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120" yWindow="2370" windowWidth="19035" windowHeight="9675" tabRatio="718" firstSheet="1" activeTab="3"/>
  </bookViews>
  <sheets>
    <sheet name="Справочник Вид продукции" sheetId="1" state="hidden" r:id="rId1"/>
    <sheet name="Статистика" sheetId="2" r:id="rId2"/>
    <sheet name="Условно-постоянные закупки" sheetId="3" r:id="rId3"/>
    <sheet name="План закупок 2014" sheetId="4" r:id="rId4"/>
  </sheets>
  <definedNames>
    <definedName name="_xlnm._FilterDatabase" localSheetId="3" hidden="1">'План закупок 2014'!$A$5:$BK$1792</definedName>
    <definedName name="_xlnm._FilterDatabase" localSheetId="2" hidden="1">'Условно-постоянные закупки'!$A$5:$X$189</definedName>
    <definedName name="Z_01B45DA7_BA20_44C0_9FEA_C97E1252ADA9_.wvu.FilterData" localSheetId="3" hidden="1">'План закупок 2014'!$A$5:$BK$1792</definedName>
    <definedName name="Z_0367F634_D8EF_4603_B2FF_90E00E24F820_.wvu.FilterData" localSheetId="3" hidden="1">'План закупок 2014'!$A$5:$BK$1792</definedName>
    <definedName name="Z_04646271_C4EF_456D_8DA8_4F811E0E00C0_.wvu.FilterData" localSheetId="3" hidden="1">'План закупок 2014'!$A$5:$BK$1792</definedName>
    <definedName name="Z_04A0F37D_8E44_4169_BE4B_FE9C9EFF3231_.wvu.FilterData" localSheetId="3" hidden="1">'План закупок 2014'!$A$5:$BK$1792</definedName>
    <definedName name="Z_06409DF7_749C_498C_BE53_4952E5439ADB_.wvu.FilterData" localSheetId="3" hidden="1">'План закупок 2014'!$A$5:$BK$1792</definedName>
    <definedName name="Z_06A7E3BA_2A4A_4AAB_BF07_38BC1FC366FC_.wvu.FilterData" localSheetId="3" hidden="1">'План закупок 2014'!$A$5:$BK$1795</definedName>
    <definedName name="Z_0723819E_7534_480B_882B_D4D35A646DE5_.wvu.FilterData" localSheetId="3" hidden="1">'План закупок 2014'!$A$5:$BK$1792</definedName>
    <definedName name="Z_0862B13E_3949_4A5E_91E7_94D5C078E900_.wvu.FilterData" localSheetId="3" hidden="1">'План закупок 2014'!$A$5:$BK$1795</definedName>
    <definedName name="Z_08EF8A75_7478_4439_AAFB_217C60E6488E_.wvu.FilterData" localSheetId="3" hidden="1">'План закупок 2014'!$A$5:$BK$1792</definedName>
    <definedName name="Z_099D6DA1_CF5C_4B74_9226_63AF56303D3C_.wvu.FilterData" localSheetId="3" hidden="1">'План закупок 2014'!$A$5:$BK$1792</definedName>
    <definedName name="Z_0AD70C75_6DFA_421B_B8CD_9F8DD548224C_.wvu.FilterData" localSheetId="3" hidden="1">'План закупок 2014'!$A$5:$BK$1792</definedName>
    <definedName name="Z_0B154B95_6F1A_44C1_ABBF_CE05E58AD6E9_.wvu.FilterData" localSheetId="3" hidden="1">'План закупок 2014'!$A$5:$BK$1792</definedName>
    <definedName name="Z_0B90D368_D6A1_478C_9DB2_987F34DEF7CD_.wvu.FilterData" localSheetId="3" hidden="1">'План закупок 2014'!$A$5:$BK$1795</definedName>
    <definedName name="Z_0C5A57E4_F597_401A_AA3A_696B8B8EA1B7_.wvu.FilterData" localSheetId="3" hidden="1">'План закупок 2014'!$A$5:$BK$1792</definedName>
    <definedName name="Z_1667259B_8BAF_4779_9A65_BC2B91C32D7D_.wvu.FilterData" localSheetId="3" hidden="1">'План закупок 2014'!$A$5:$BK$1792</definedName>
    <definedName name="Z_1CB537DB_F151_4EAE_BBB7_1543D31C0DD2_.wvu.FilterData" localSheetId="3" hidden="1">'План закупок 2014'!$A$5:$BK$1792</definedName>
    <definedName name="Z_1CF95FB5_CB80_4B43_AF97_CB3607622C80_.wvu.FilterData" localSheetId="3" hidden="1">'План закупок 2014'!$A$5:$BK$1792</definedName>
    <definedName name="Z_1D5E58C5_AEFE_4EDE_B08A_06D8D3F5B677_.wvu.FilterData" localSheetId="3" hidden="1">'План закупок 2014'!$A$5:$BK$1795</definedName>
    <definedName name="Z_21D5E430_7993_47FA_A3A3_C5B5B00E4F39_.wvu.FilterData" localSheetId="3" hidden="1">'План закупок 2014'!$A$5:$BK$1792</definedName>
    <definedName name="Z_25A85453_EB41_49B8_9797_3F44D1670197_.wvu.FilterData" localSheetId="3" hidden="1">'План закупок 2014'!$A$5:$BK$1792</definedName>
    <definedName name="Z_266D8910_EE63_4F03_AD8E_1EA3FEBC0F85_.wvu.FilterData" localSheetId="3" hidden="1">'План закупок 2014'!$A$5:$BK$1792</definedName>
    <definedName name="Z_266D8910_EE63_4F03_AD8E_1EA3FEBC0F85_.wvu.FilterData" localSheetId="2" hidden="1">'Условно-постоянные закупки'!$A$5:$X$189</definedName>
    <definedName name="Z_266D8910_EE63_4F03_AD8E_1EA3FEBC0F85_.wvu.PrintArea" localSheetId="1" hidden="1">Статистика!$A$1:$F$34</definedName>
    <definedName name="Z_266D8910_EE63_4F03_AD8E_1EA3FEBC0F85_.wvu.PrintTitles" localSheetId="3" hidden="1">'План закупок 2014'!$2:$5</definedName>
    <definedName name="Z_26DE450A_4705_477D_96AC_953872733211_.wvu.PrintArea" localSheetId="1" hidden="1">Статистика!$A$1:$F$34</definedName>
    <definedName name="Z_2B3CA6EE_37A7_4856_B3B0_DEEF064D329B_.wvu.FilterData" localSheetId="3" hidden="1">'План закупок 2014'!$A$5:$BK$1792</definedName>
    <definedName name="Z_2CD2FA92_D415_4470_A264_C832683E782D_.wvu.FilterData" localSheetId="3" hidden="1">'План закупок 2014'!$A$5:$BK$1792</definedName>
    <definedName name="Z_2DF48DF0_D5BD_4713_B9E7_38D3E76B19B4_.wvu.FilterData" localSheetId="3" hidden="1">'План закупок 2014'!$A$5:$BK$1792</definedName>
    <definedName name="Z_301306DE_5C20_4280_8AD4_274F6A2811B5_.wvu.FilterData" localSheetId="3" hidden="1">'План закупок 2014'!$A$5:$BK$1792</definedName>
    <definedName name="Z_31568E7D_5A7C_4C73_AE9C_2B4235A6F5FF_.wvu.FilterData" localSheetId="3" hidden="1">'План закупок 2014'!$A$5:$BK$1795</definedName>
    <definedName name="Z_3585E4BA_BA33_42CB_B9DA_FF0CAD3FFBBE_.wvu.FilterData" localSheetId="3" hidden="1">'План закупок 2014'!$A$5:$BK$1792</definedName>
    <definedName name="Z_371F4604_298B_4EBA_B6F1_1790908C8263_.wvu.FilterData" localSheetId="3" hidden="1">'План закупок 2014'!$A$5:$BK$1792</definedName>
    <definedName name="Z_3732FC9D_E59F_4A99_8CFE_DA2270FF1E3C_.wvu.FilterData" localSheetId="3" hidden="1">'План закупок 2014'!$A$5:$BK$1795</definedName>
    <definedName name="Z_3AE6BC6F_1679_4538_9E96_09EE40435362_.wvu.FilterData" localSheetId="3" hidden="1">'План закупок 2014'!$A$5:$BK$1792</definedName>
    <definedName name="Z_3BFC894A_18F5_4D3E_B845_29724DC63A1B_.wvu.FilterData" localSheetId="3" hidden="1">'План закупок 2014'!$A$5:$BK$1792</definedName>
    <definedName name="Z_3C2DA253_D41A_4191_9481_B70FAB0BEC0B_.wvu.FilterData" localSheetId="3" hidden="1">'План закупок 2014'!$A$5:$BK$1792</definedName>
    <definedName name="Z_3CE30646_EE8D_4BAA_ABD5_AD23D87A600E_.wvu.FilterData" localSheetId="3" hidden="1">'План закупок 2014'!$A$5:$BK$1792</definedName>
    <definedName name="Z_3D24DAB7_6D8D_4607_BCA9_ECFF195FD92E_.wvu.FilterData" localSheetId="3" hidden="1">'План закупок 2014'!$A$5:$BK$1792</definedName>
    <definedName name="Z_3D6EB874_B6FC_4E50_A241_7DE983972F5E_.wvu.FilterData" localSheetId="3" hidden="1">'План закупок 2014'!$A$5:$BK$1792</definedName>
    <definedName name="Z_3DFF92F7_BF2E_4EB4_B1E3_2E8457ECD655_.wvu.FilterData" localSheetId="3" hidden="1">'План закупок 2014'!$A$5:$BK$1792</definedName>
    <definedName name="Z_3EDA8BFB_40C1_418F_AD4D_C1FEA4D906D3_.wvu.Cols" localSheetId="3" hidden="1">'План закупок 2014'!$AM:$AX</definedName>
    <definedName name="Z_3EDA8BFB_40C1_418F_AD4D_C1FEA4D906D3_.wvu.FilterData" localSheetId="3" hidden="1">'План закупок 2014'!$A$5:$BK$1792</definedName>
    <definedName name="Z_3EDA8BFB_40C1_418F_AD4D_C1FEA4D906D3_.wvu.FilterData" localSheetId="2" hidden="1">'Условно-постоянные закупки'!$A$5:$X$189</definedName>
    <definedName name="Z_3EDA8BFB_40C1_418F_AD4D_C1FEA4D906D3_.wvu.Rows" localSheetId="3" hidden="1">'План закупок 2014'!$1063:$1064</definedName>
    <definedName name="Z_40570BBA_A481_4D05_A394_042D77D6F77F_.wvu.FilterData" localSheetId="3" hidden="1">'План закупок 2014'!$A$5:$BK$1792</definedName>
    <definedName name="Z_409D2FCD_E090_4451_8559_13512B57E37C_.wvu.FilterData" localSheetId="3" hidden="1">'План закупок 2014'!$A$5:$BK$1792</definedName>
    <definedName name="Z_42B463DA_988F_4252_AA06_FF75ED515001_.wvu.FilterData" localSheetId="3" hidden="1">'План закупок 2014'!$A$5:$BK$1792</definedName>
    <definedName name="Z_42C00A0B_2F61_461D_A82B_93464C0D63C0_.wvu.FilterData" localSheetId="3" hidden="1">'План закупок 2014'!$A$5:$BK$1792</definedName>
    <definedName name="Z_47A6ABFA_0845_4F5B_94F8_04F619BAD3D8_.wvu.FilterData" localSheetId="3" hidden="1">'План закупок 2014'!$A$5:$BK$1792</definedName>
    <definedName name="Z_4C247CAB_9957_4E7C_8315_3E90C774DE99_.wvu.FilterData" localSheetId="3" hidden="1">'План закупок 2014'!$A$5:$BK$1792</definedName>
    <definedName name="Z_4E77D10D_E00B_43A6_8C19_5C653D52BAB7_.wvu.FilterData" localSheetId="3" hidden="1">'План закупок 2014'!$A$5:$BK$1792</definedName>
    <definedName name="Z_4F29AEAA_79EB_43F7_84BD_E7B4353F29E3_.wvu.FilterData" localSheetId="3" hidden="1">'План закупок 2014'!$A$5:$BK$1792</definedName>
    <definedName name="Z_523092D2_A4DE_498B_B6CB_72D62BCA539E_.wvu.FilterData" localSheetId="3" hidden="1">'План закупок 2014'!$A$5:$BK$1792</definedName>
    <definedName name="Z_563451F0_FCC5_4FE2_8B34_043DA89DB9F7_.wvu.FilterData" localSheetId="3" hidden="1">'План закупок 2014'!$A$5:$BK$1792</definedName>
    <definedName name="Z_5A801C3B_4BF7_4D8E_A252_5635A5148572_.wvu.FilterData" localSheetId="3" hidden="1">'План закупок 2014'!$A$5:$BK$1792</definedName>
    <definedName name="Z_5CA637C8_1A8E_41AB_BEBC_6D8E5A2DCD6F_.wvu.FilterData" localSheetId="3" hidden="1">'План закупок 2014'!$A$5:$BK$1792</definedName>
    <definedName name="Z_5D343A82_53D2_438D_AA19_4DF3496A585F_.wvu.FilterData" localSheetId="3" hidden="1">'План закупок 2014'!$A$5:$BK$1792</definedName>
    <definedName name="Z_5D392156_6FE1_4476_B63C_8CD67D44521E_.wvu.FilterData" localSheetId="3" hidden="1">'План закупок 2014'!$A$5:$BK$1792</definedName>
    <definedName name="Z_5D7F732B_5B3B_4E4B_AE2A_6F0D8744ECAE_.wvu.FilterData" localSheetId="3" hidden="1">'План закупок 2014'!$A$5:$BK$1792</definedName>
    <definedName name="Z_61558981_D325_48EF_A8D9_8BBF999516D9_.wvu.FilterData" localSheetId="3" hidden="1">'План закупок 2014'!$A$5:$BK$5</definedName>
    <definedName name="Z_619A5E9C_4D87_43E5_A54A_D3C652715E4F_.wvu.FilterData" localSheetId="3" hidden="1">'План закупок 2014'!$A$5:$BK$1792</definedName>
    <definedName name="Z_6215C83A_E71E_444E_8C1C_B5FFEADBF028_.wvu.FilterData" localSheetId="3" hidden="1">'План закупок 2014'!$A$5:$BK$1792</definedName>
    <definedName name="Z_62786B95_619E_402A_83BB_BFD4EC3C13D5_.wvu.FilterData" localSheetId="3" hidden="1">'План закупок 2014'!$A$5:$BK$1792</definedName>
    <definedName name="Z_63711DF4_A197_41C1_AB88_146B5A5408A9_.wvu.FilterData" localSheetId="3" hidden="1">'План закупок 2014'!$A$5:$BK$1792</definedName>
    <definedName name="Z_647BCD7F_51E7_4BD7_9EA7_FBD990EE0E59_.wvu.FilterData" localSheetId="3" hidden="1">'План закупок 2014'!$A$5:$BK$1792</definedName>
    <definedName name="Z_68822871_CF11_480A_8C86_153777A937B7_.wvu.FilterData" localSheetId="3" hidden="1">'План закупок 2014'!$A$5:$BK$1792</definedName>
    <definedName name="Z_68932AD5_35C7_4A4E_B4A4_ECBAA5705B47_.wvu.PrintArea" localSheetId="1" hidden="1">Статистика!$A$1:$F$32</definedName>
    <definedName name="Z_6BAA78B3_F357_4483_BFAD_D4609AE65212_.wvu.FilterData" localSheetId="3" hidden="1">'План закупок 2014'!$A$5:$BK$1795</definedName>
    <definedName name="Z_713B76FF_CEF0_42EE_A4E7_5E476F43F68A_.wvu.FilterData" localSheetId="3" hidden="1">'План закупок 2014'!$A$5:$BK$1792</definedName>
    <definedName name="Z_75BCF133_015B_4C99_A87C_5E4CE90F884B_.wvu.FilterData" localSheetId="3" hidden="1">'План закупок 2014'!$A$5:$BK$1792</definedName>
    <definedName name="Z_77067939_EA8A_4F95_B4C4_66AD52D85BA9_.wvu.FilterData" localSheetId="3" hidden="1">'План закупок 2014'!$A$5:$BK$1792</definedName>
    <definedName name="Z_7769797D_9957_453B_9003_6B58C996C777_.wvu.FilterData" localSheetId="3" hidden="1">'План закупок 2014'!$A$5:$BK$1792</definedName>
    <definedName name="Z_7B0E0617_1FBF_40FE_990E_654C283C551C_.wvu.FilterData" localSheetId="3" hidden="1">'План закупок 2014'!$A$5:$BK$1792</definedName>
    <definedName name="Z_81560B9D_1879_45BB_A908_2931945938FD_.wvu.FilterData" localSheetId="3" hidden="1">'План закупок 2014'!$A$5:$BK$1792</definedName>
    <definedName name="Z_82B9E4A9_B4BD_46A9_ABC0_4B581B2EAA86_.wvu.FilterData" localSheetId="3" hidden="1">'План закупок 2014'!$A$5:$BK$1792</definedName>
    <definedName name="Z_854C9F2D_E91E_4FDA_BF61_C511FFBA4966_.wvu.FilterData" localSheetId="3" hidden="1">'План закупок 2014'!$A$5:$BK$1792</definedName>
    <definedName name="Z_8939BB03_3D00_4FCD_8F7E_941BF367A23A_.wvu.PrintArea" localSheetId="1" hidden="1">Статистика!$A$1:$F$32</definedName>
    <definedName name="Z_89E4D0BE_38AB_4B37_B7AC_F1BF03361250_.wvu.FilterData" localSheetId="3" hidden="1">'План закупок 2014'!$A$5:$BK$1792</definedName>
    <definedName name="Z_8DD37787_2C7C_4FD2_AFDF_E2AFFA680240_.wvu.FilterData" localSheetId="3" hidden="1">'План закупок 2014'!$A$5:$BK$1792</definedName>
    <definedName name="Z_8E2449A3_BDEE_4434_B3F9_F2343F004B28_.wvu.FilterData" localSheetId="3" hidden="1">'План закупок 2014'!$A$5:$BK$1792</definedName>
    <definedName name="Z_90152313_0428_4F2E_AF49_D881F4B6618D_.wvu.FilterData" localSheetId="3" hidden="1">'План закупок 2014'!$A$5:$BK$1792</definedName>
    <definedName name="Z_9107BEF2_111E_4028_B62A_866F4A4A2677_.wvu.FilterData" localSheetId="3" hidden="1">'План закупок 2014'!$A$5:$BK$1792</definedName>
    <definedName name="Z_96135924_23D5_4CA8_B7ED_0A7FA14B8B94_.wvu.FilterData" localSheetId="3" hidden="1">'План закупок 2014'!$A$5:$BK$1792</definedName>
    <definedName name="Z_97206D4B_39D2_4633_B258_544D059AB9B9_.wvu.Cols" localSheetId="3" hidden="1">'План закупок 2014'!$F:$G,'План закупок 2014'!$J:$K</definedName>
    <definedName name="Z_97206D4B_39D2_4633_B258_544D059AB9B9_.wvu.FilterData" localSheetId="3" hidden="1">'План закупок 2014'!$A$5:$BK$1792</definedName>
    <definedName name="Z_97206D4B_39D2_4633_B258_544D059AB9B9_.wvu.FilterData" localSheetId="2" hidden="1">'Условно-постоянные закупки'!$A$5:$X$189</definedName>
    <definedName name="Z_97206D4B_39D2_4633_B258_544D059AB9B9_.wvu.PrintArea" localSheetId="1" hidden="1">Статистика!$A$1:$F$34</definedName>
    <definedName name="Z_97206D4B_39D2_4633_B258_544D059AB9B9_.wvu.PrintArea" localSheetId="2" hidden="1">'Условно-постоянные закупки'!$A$1:$X$189</definedName>
    <definedName name="Z_97206D4B_39D2_4633_B258_544D059AB9B9_.wvu.PrintTitles" localSheetId="3" hidden="1">'План закупок 2014'!$2:$5</definedName>
    <definedName name="Z_97206D4B_39D2_4633_B258_544D059AB9B9_.wvu.PrintTitles" localSheetId="2" hidden="1">'Условно-постоянные закупки'!$2:$5</definedName>
    <definedName name="Z_9736142E_0B98_4999_91B3_B6B3948739CD_.wvu.PrintArea" localSheetId="1" hidden="1">Статистика!$A$1:$F$34</definedName>
    <definedName name="Z_9C47D825_E97C_42B5_B6C6_6A077C0FB4F2_.wvu.FilterData" localSheetId="3" hidden="1">'План закупок 2014'!$A$5:$BK$1792</definedName>
    <definedName name="Z_9F345A3C_6A4C_4889_99A0_2BB3E76CABD3_.wvu.FilterData" localSheetId="3" hidden="1">'План закупок 2014'!$A$5:$BK$1792</definedName>
    <definedName name="Z_A3919518_B7BB_405E_A8B2_D3A808C3D22F_.wvu.FilterData" localSheetId="3" hidden="1">'План закупок 2014'!$A$5:$BK$1792</definedName>
    <definedName name="Z_A3928C04_5F00_4BAD_B5A4_9ECC5D1045A8_.wvu.FilterData" localSheetId="3" hidden="1">'План закупок 2014'!$A$5:$BK$1792</definedName>
    <definedName name="Z_A41C7DD2_9AB7_4A79_A061_1D97F4BCA6E4_.wvu.FilterData" localSheetId="3" hidden="1">'План закупок 2014'!$A$5:$BK$1792</definedName>
    <definedName name="Z_A4A96C21_232A_4BB1_B138_642D940B198F_.wvu.FilterData" localSheetId="3" hidden="1">'План закупок 2014'!$A$5:$BK$1792</definedName>
    <definedName name="Z_A584EFEF_D656_4803_98D6_8607D52C78FA_.wvu.FilterData" localSheetId="2" hidden="1">'Условно-постоянные закупки'!$A$5:$X$189</definedName>
    <definedName name="Z_A5B93273_980A_462E_A11E_90599AE90579_.wvu.FilterData" localSheetId="3" hidden="1">'План закупок 2014'!$A$5:$BK$1795</definedName>
    <definedName name="Z_A7F59FB5_459B_45E5_A547_F6CB183A5540_.wvu.PrintArea" localSheetId="1" hidden="1">Статистика!$A$1:$F$34</definedName>
    <definedName name="Z_A83E767C_1A77_41CD_8FB9_1C1A34F0B16D_.wvu.FilterData" localSheetId="3" hidden="1">'План закупок 2014'!$A$5:$BK$1792</definedName>
    <definedName name="Z_A878278E_CD5B_4173_9A12_31E60C2E4DDC_.wvu.FilterData" localSheetId="3" hidden="1">'План закупок 2014'!$A$5:$BK$1792</definedName>
    <definedName name="Z_A93D3DCF_7F7E_4E16_887B_604A90449478_.wvu.FilterData" localSheetId="3" hidden="1">'План закупок 2014'!$A$5:$BK$1792</definedName>
    <definedName name="Z_A9490091_A13D_4AB1_8149_CFD0EB45AFA5_.wvu.FilterData" localSheetId="3" hidden="1">'План закупок 2014'!$A$5:$BK$1792</definedName>
    <definedName name="Z_ACC93B88_388B_4B58_84F9_EFFC215B47BA_.wvu.FilterData" localSheetId="3" hidden="1">'План закупок 2014'!$A$5:$BK$1792</definedName>
    <definedName name="Z_ADCF64EF_7F7B_47BC_8F7A_83AF848665A0_.wvu.FilterData" localSheetId="3" hidden="1">'План закупок 2014'!$A$5:$BK$1792</definedName>
    <definedName name="Z_B03DD863_19CC_4042_93BB_6741565A105B_.wvu.FilterData" localSheetId="3" hidden="1">'План закупок 2014'!$A$5:$BK$1792</definedName>
    <definedName name="Z_B1174C8F_1254_4F4F_B616_703A1386BA2B_.wvu.FilterData" localSheetId="3" hidden="1">'План закупок 2014'!$A$5:$BK$1792</definedName>
    <definedName name="Z_B260A8BD_4787_4F4C_B7AC_69379AC2D380_.wvu.FilterData" localSheetId="3" hidden="1">'План закупок 2014'!$A$5:$BK$1795</definedName>
    <definedName name="Z_B284A5F9_23CC_4989_9940_7B5200EFE96B_.wvu.FilterData" localSheetId="3" hidden="1">'План закупок 2014'!$A$5:$BK$1792</definedName>
    <definedName name="Z_B417B1CD_2482_475F_AD3B_F51E57BCEE8A_.wvu.FilterData" localSheetId="3" hidden="1">'План закупок 2014'!$A$5:$BK$1792</definedName>
    <definedName name="Z_B5D2D25F_D7EA_426A_AE49_4FD5B6164564_.wvu.FilterData" localSheetId="3" hidden="1">'План закупок 2014'!$A$5:$BK$1792</definedName>
    <definedName name="Z_B6B72342_36C1_474F_A8EB_987D9A78CA01_.wvu.FilterData" localSheetId="3" hidden="1">'План закупок 2014'!$A$5:$BK$1792</definedName>
    <definedName name="Z_B6D8CAB7_0079_432B_94C2_4FD4EF462680_.wvu.FilterData" localSheetId="3" hidden="1">'План закупок 2014'!$A$5:$BK$1792</definedName>
    <definedName name="Z_B9958805_F8FD_4A62_8D7A_CD345B9015E8_.wvu.FilterData" localSheetId="3" hidden="1">'План закупок 2014'!$A$5:$BK$1792</definedName>
    <definedName name="Z_B9D558FF_AFEC_4554_9CEC_65075B0F7F15_.wvu.FilterData" localSheetId="3" hidden="1">'План закупок 2014'!$A$5:$BK$1792</definedName>
    <definedName name="Z_BFAE187B_2080_44E3_BBC7_CF8BE3E902D0_.wvu.FilterData" localSheetId="3" hidden="1">'План закупок 2014'!$A$5:$BK$1792</definedName>
    <definedName name="Z_C06A4C23_DFBC_4285_8CC9_AAF26D7429C3_.wvu.FilterData" localSheetId="3" hidden="1">'План закупок 2014'!$A$5:$BK$1792</definedName>
    <definedName name="Z_C1CCEA0D_8CA9_4FA7_80A1_D1F17DACD9BC_.wvu.FilterData" localSheetId="3" hidden="1">'План закупок 2014'!$A$5:$BK$1792</definedName>
    <definedName name="Z_C1E8E5B0_263E_4F64_B1B2_C065481968DC_.wvu.FilterData" localSheetId="3" hidden="1">'План закупок 2014'!$A$5:$BK$1792</definedName>
    <definedName name="Z_C5464883_1E98_4BFB_A5A1_4661E735A474_.wvu.FilterData" localSheetId="3" hidden="1">'План закупок 2014'!$A$5:$BK$1792</definedName>
    <definedName name="Z_C7B3F481_C522_48A1_A8B6_180948975CB5_.wvu.FilterData" localSheetId="3" hidden="1">'План закупок 2014'!$A$5:$BK$1792</definedName>
    <definedName name="Z_C7F8F251_EA3A_436C_92AC_82B50F9E8EAE_.wvu.FilterData" localSheetId="3" hidden="1">'План закупок 2014'!$A$5:$BK$1792</definedName>
    <definedName name="Z_C81D6A86_14C2_4CCD_A498_EFF39E235658_.wvu.FilterData" localSheetId="3" hidden="1">'План закупок 2014'!$A$5:$BK$1792</definedName>
    <definedName name="Z_C8CC1E60_B270_41BC_9122_1F35DD70C579_.wvu.FilterData" localSheetId="3" hidden="1">'План закупок 2014'!$A$5:$BK$1792</definedName>
    <definedName name="Z_CECDEA36_574F_4487_87EF_1B3B45DD80CD_.wvu.FilterData" localSheetId="3" hidden="1">'План закупок 2014'!$A$5:$BK$1792</definedName>
    <definedName name="Z_CF815165_EF9E_40CE_8051_3F126F51D102_.wvu.FilterData" localSheetId="3" hidden="1">'План закупок 2014'!$A$5:$BK$1792</definedName>
    <definedName name="Z_D56820DD_25CC_4766_A8BC_E8AAE9B56222_.wvu.FilterData" localSheetId="3" hidden="1">'План закупок 2014'!$A$5:$BK$1792</definedName>
    <definedName name="Z_D62948CC_68BA_4EF0_AECA_82C031D67B0C_.wvu.FilterData" localSheetId="3" hidden="1">'План закупок 2014'!$A$5:$BK$1795</definedName>
    <definedName name="Z_D64C2432_1062_43DC_8076_1CA68A187353_.wvu.FilterData" localSheetId="3" hidden="1">'План закупок 2014'!$A$5:$BK$1792</definedName>
    <definedName name="Z_D9356492_6E8E_4AE8_9805_F97A7E1DE91A_.wvu.FilterData" localSheetId="3" hidden="1">'План закупок 2014'!$A$5:$BK$1792</definedName>
    <definedName name="Z_DA2AA4F3_DAFF_4E60_B0A7_312C518576AC_.wvu.FilterData" localSheetId="3" hidden="1">'План закупок 2014'!$A$5:$BK$1792</definedName>
    <definedName name="Z_DB768385_766D_48E6_9147_70AC73107DC3_.wvu.FilterData" localSheetId="3" hidden="1">'План закупок 2014'!$A$5:$BK$1792</definedName>
    <definedName name="Z_DCF2D2C0_9DC1_48A6_A3BD_CD58C2C02138_.wvu.FilterData" localSheetId="3" hidden="1">'План закупок 2014'!$A$5:$BK$1792</definedName>
    <definedName name="Z_DDB00FF3_8C72_4DD2_9E50_59F3A8883EE6_.wvu.FilterData" localSheetId="3" hidden="1">'План закупок 2014'!$A$5:$BK$1792</definedName>
    <definedName name="Z_DDB6C7FE_0525_4D01_8A0A_5088113963EA_.wvu.FilterData" localSheetId="3" hidden="1">'План закупок 2014'!$A$5:$BK$1792</definedName>
    <definedName name="Z_DEC88B32_320F_4642_BC33_11694134D428_.wvu.FilterData" localSheetId="3" hidden="1">'План закупок 2014'!$A$5:$BK$1792</definedName>
    <definedName name="Z_DF0A1AC8_B594_40F6_A460_4609A631C67B_.wvu.FilterData" localSheetId="3" hidden="1">'План закупок 2014'!$A$5:$BK$1792</definedName>
    <definedName name="Z_E0A05F0F_9523_4B91_8F82_88169A5F8FC3_.wvu.FilterData" localSheetId="3" hidden="1">'План закупок 2014'!$A$5:$BK$1792</definedName>
    <definedName name="Z_E0ACB80D_3686_4E1D_B753_BBAE03B8FD41_.wvu.FilterData" localSheetId="3" hidden="1">'План закупок 2014'!$A$5:$BK$1795</definedName>
    <definedName name="Z_E1AD98AC_304A_4E4E_9845_2E7DE337AA0E_.wvu.FilterData" localSheetId="3" hidden="1">'План закупок 2014'!$A$5:$BK$1792</definedName>
    <definedName name="Z_E298D542_F8C1_4122_8E33_636A4380657D_.wvu.FilterData" localSheetId="3" hidden="1">'План закупок 2014'!$A$5:$BK$1792</definedName>
    <definedName name="Z_E3355BE6_4959_45F9_B116_5AA56F8884B0_.wvu.FilterData" localSheetId="3" hidden="1">'План закупок 2014'!$A$5:$BK$1792</definedName>
    <definedName name="Z_E51F3B8B_4FF0_4735_81ED_1247E5CE62A0_.wvu.FilterData" localSheetId="3" hidden="1">'План закупок 2014'!$A$5:$BK$1792</definedName>
    <definedName name="Z_E6C1FE01_B2B3_47BA_BEC8_F4DBF1435A9F_.wvu.FilterData" localSheetId="3" hidden="1">'План закупок 2014'!$A$5:$BK$1792</definedName>
    <definedName name="Z_E898A4AE_DB7F_4BFB_B848_7DAB4501C551_.wvu.FilterData" localSheetId="3" hidden="1">'План закупок 2014'!$A$5:$BK$1792</definedName>
    <definedName name="Z_EA672832_8DF5_4BF5_BB5B_703CCDE00A49_.wvu.FilterData" localSheetId="3" hidden="1">'План закупок 2014'!$A$5:$BK$1792</definedName>
    <definedName name="Z_EC8E82B3_7C73_4755_8915_0971BE19A77F_.wvu.FilterData" localSheetId="3" hidden="1">'План закупок 2014'!$A$5:$BK$1792</definedName>
    <definedName name="Z_EC8E82B3_7C73_4755_8915_0971BE19A77F_.wvu.FilterData" localSheetId="2" hidden="1">'Условно-постоянные закупки'!$A$5:$X$189</definedName>
    <definedName name="Z_EC8E82B3_7C73_4755_8915_0971BE19A77F_.wvu.PrintArea" localSheetId="1" hidden="1">Статистика!$A$1:$F$34</definedName>
    <definedName name="Z_EE691F1B_FC68_4525_9BF0_C606B4239A76_.wvu.FilterData" localSheetId="3" hidden="1">'План закупок 2014'!$A$5:$BK$1792</definedName>
    <definedName name="Z_EFB241EA_21DF_40B6_955D_7BE3F6B9F56A_.wvu.FilterData" localSheetId="3" hidden="1">'План закупок 2014'!$A$5:$BK$1792</definedName>
    <definedName name="Z_F0DE677B_9D6D_4C74_A6C4_90263B693569_.wvu.FilterData" localSheetId="3" hidden="1">'План закупок 2014'!$A$5:$BK$1792</definedName>
    <definedName name="Z_F1A1F6EF_B464_46CB_BBAE_DACEDC40F7D1_.wvu.FilterData" localSheetId="3" hidden="1">'План закупок 2014'!$A$5:$BK$1792</definedName>
    <definedName name="Z_F220C3B2_5F57_44C3_843F_A7EF216E5F51_.wvu.PrintArea" localSheetId="1" hidden="1">Статистика!$A$1:$F$32</definedName>
    <definedName name="Z_F2BFC75F_DCDD_4379_98D4_21E9DAE46A3D_.wvu.FilterData" localSheetId="3" hidden="1">'План закупок 2014'!$A$5:$BK$1792</definedName>
    <definedName name="Z_F3FBA6E7_8C64_4F69_8B8D_5C30CFF5AFFE_.wvu.FilterData" localSheetId="3" hidden="1">'План закупок 2014'!$A$5:$BK$1792</definedName>
    <definedName name="Z_F472F0A7_91F8_4DB5_8A95_D895C5D99D52_.wvu.FilterData" localSheetId="3" hidden="1">'План закупок 2014'!$A$5:$BK$1792</definedName>
    <definedName name="Z_F472F0A7_91F8_4DB5_8A95_D895C5D99D52_.wvu.FilterData" localSheetId="2" hidden="1">'Условно-постоянные закупки'!$A$5:$X$189</definedName>
    <definedName name="Z_F56A1A76_3DA1_4EBE_AF4F_943A634B5066_.wvu.FilterData" localSheetId="3" hidden="1">'План закупок 2014'!$A$5:$BK$1792</definedName>
    <definedName name="Z_F65FE4A0_48C1_467F_853C_E9F6BDC31A5E_.wvu.FilterData" localSheetId="3" hidden="1">'План закупок 2014'!$A$5:$BK$1792</definedName>
    <definedName name="Z_F8837130_909A_447A_A397_D98069E44A8B_.wvu.FilterData" localSheetId="3" hidden="1">'План закупок 2014'!$A$5:$BK$1792</definedName>
    <definedName name="Z_F8A0D741_4BA1_492D_8508_34E1AAEBB75C_.wvu.FilterData" localSheetId="3" hidden="1">'План закупок 2014'!$A$5:$BK$1792</definedName>
    <definedName name="Z_F9A3C033_7D4E_4E9E_B4A8_1F3C639D035F_.wvu.FilterData" localSheetId="3" hidden="1">'План закупок 2014'!$A$5:$BK$1795</definedName>
    <definedName name="Z_FB173691_3FDD_44C5_B17F_D1A524886620_.wvu.FilterData" localSheetId="3" hidden="1">'План закупок 2014'!$A$5:$BK$1792</definedName>
    <definedName name="Z_FD42BF7A_753B_420A_B31F_0184E4DBF628_.wvu.FilterData" localSheetId="3" hidden="1">'План закупок 2014'!$A$5:$BK$1792</definedName>
    <definedName name="Z_FF164BA3_B770_4A8D_BD05_84ECFA9931F3_.wvu.FilterData" localSheetId="3" hidden="1">'План закупок 2014'!$A$5:$BK$1792</definedName>
    <definedName name="ВД">'План закупок 2014'!$A$8:$A$1791</definedName>
    <definedName name="ВидЭТП">'План закупок 2014'!$AH$8:$AH$1791</definedName>
    <definedName name="Группа_продукции">'План закупок 2014'!$J$8:$J$1791</definedName>
    <definedName name="_xlnm.Print_Titles" localSheetId="3">'План закупок 2014'!$2:$5</definedName>
    <definedName name="Номер">'План закупок 2014'!$B$8:$B$1791</definedName>
    <definedName name="Номер2">'Условно-постоянные закупки'!$B$6:$B$189</definedName>
    <definedName name="_xlnm.Print_Area" localSheetId="1">Статистика!$A$1:$F$34</definedName>
    <definedName name="СпособЗакупки">'План закупок 2014'!$AE$8:$AE$1791</definedName>
    <definedName name="Сумма">'План закупок 2014'!$AD$8:$AD$1791</definedName>
    <definedName name="Сумма_16">'План закупок 2014'!$P$8:$P$1791</definedName>
    <definedName name="Сумма_17">'План закупок 2014'!$Q$8:$Q$1791</definedName>
    <definedName name="Сумма_25">'План закупок 2014'!$Y$8:$Y$1791</definedName>
    <definedName name="Сумма_26">'План закупок 2014'!$Z$8:$Z$1791</definedName>
    <definedName name="Сумма_27">'План закупок 2014'!$AA$8:$AA$1791</definedName>
    <definedName name="Сумма_28">'План закупок 2014'!$AB$8:$AB$1791</definedName>
    <definedName name="Сумма_29">'План закупок 2014'!$AC$8:$AC$1791</definedName>
    <definedName name="СуммаУПЗ">'Условно-постоянные закупки'!$K$6:$K$188</definedName>
    <definedName name="Филиал">'План закупок 2014'!$C$8:$C$1791</definedName>
    <definedName name="ФилиалУПЗ">'Условно-постоянные закупки'!$C$6:$C$188</definedName>
  </definedNames>
  <calcPr calcId="125725"/>
  <customWorkbookViews>
    <customWorkbookView name="DavletshinOR - Личное представление" guid="{266D8910-EE63-4F03-AD8E-1EA3FEBC0F85}" mergeInterval="0" personalView="1" maximized="1" xWindow="1" yWindow="1" windowWidth="1846" windowHeight="889" tabRatio="718" activeSheetId="4"/>
    <customWorkbookView name="moesk - Личное представление" guid="{97206D4B-39D2-4633-B258-544D059AB9B9}" mergeInterval="0" personalView="1" maximized="1" xWindow="1" yWindow="1" windowWidth="1276" windowHeight="806" tabRatio="718" activeSheetId="4"/>
    <customWorkbookView name="FaleevaAM - Личное представление" guid="{EC8E82B3-7C73-4755-8915-0971BE19A77F}" mergeInterval="0" personalView="1" maximized="1" xWindow="1" yWindow="1" windowWidth="1276" windowHeight="741" tabRatio="718" activeSheetId="4"/>
    <customWorkbookView name="PchelyakovaEU - Личное представление" guid="{3EDA8BFB-40C1-418F-AD4D-C1FEA4D906D3}" mergeInterval="0" personalView="1" maximized="1" xWindow="1" yWindow="1" windowWidth="1276" windowHeight="777" tabRatio="718" activeSheetId="4"/>
    <customWorkbookView name="Урманчеев Тимур Равилевич - Личное представление" guid="{91CCA552-4FF9-4F8A-918F-E90526B3286D}" mergeInterval="0" personalView="1" maximized="1" windowWidth="1676" windowHeight="785" tabRatio="718" activeSheetId="3"/>
    <customWorkbookView name="Minko.VP - Личное представление" guid="{AF533CF8-BCBD-4BCE-89DB-18D6C13C2DDE}" mergeInterval="0" personalView="1" maximized="1" windowWidth="1680" windowHeight="782" tabRatio="718" activeSheetId="1"/>
  </customWorkbookViews>
</workbook>
</file>

<file path=xl/calcChain.xml><?xml version="1.0" encoding="utf-8"?>
<calcChain xmlns="http://schemas.openxmlformats.org/spreadsheetml/2006/main">
  <c r="AD942" i="4"/>
  <c r="AB942"/>
  <c r="Z942"/>
  <c r="Q942"/>
  <c r="AD941"/>
  <c r="AB941"/>
  <c r="Z941"/>
  <c r="Q941"/>
  <c r="BG940"/>
  <c r="BF940"/>
  <c r="AD940"/>
  <c r="AB940"/>
  <c r="Z940"/>
  <c r="Q940"/>
  <c r="BG939"/>
  <c r="BF939"/>
  <c r="AD939"/>
  <c r="AB939"/>
  <c r="Z939"/>
  <c r="P939"/>
  <c r="Q939" s="1"/>
  <c r="BG938"/>
  <c r="BF938"/>
  <c r="AD938"/>
  <c r="AB938"/>
  <c r="Z938"/>
  <c r="P938"/>
  <c r="Q938" s="1"/>
  <c r="AD937"/>
  <c r="AB937"/>
  <c r="Z937"/>
  <c r="P937"/>
  <c r="Q937" s="1"/>
  <c r="BG936"/>
  <c r="BF936"/>
  <c r="AD936"/>
  <c r="AB936"/>
  <c r="Z936"/>
  <c r="P936"/>
  <c r="Q936" s="1"/>
  <c r="BF935"/>
  <c r="AD935"/>
  <c r="AB935"/>
  <c r="Z935"/>
  <c r="P935"/>
  <c r="Q935" s="1"/>
  <c r="AD934"/>
  <c r="AB934"/>
  <c r="Z934"/>
  <c r="Q934"/>
  <c r="AD933"/>
  <c r="AB933"/>
  <c r="Z933"/>
  <c r="P933"/>
  <c r="Q933" s="1"/>
  <c r="AD932"/>
  <c r="AB932"/>
  <c r="Z932"/>
  <c r="P932"/>
  <c r="Q932" s="1"/>
  <c r="AD931"/>
  <c r="AB931"/>
  <c r="Z931"/>
  <c r="P931"/>
  <c r="Q931" s="1"/>
  <c r="BF930"/>
  <c r="AD930"/>
  <c r="AB930"/>
  <c r="Z930"/>
  <c r="P930"/>
  <c r="Q930" s="1"/>
  <c r="BG929"/>
  <c r="AD929"/>
  <c r="AB929"/>
  <c r="Z929"/>
  <c r="Q929"/>
  <c r="P929"/>
  <c r="BG928"/>
  <c r="BF928"/>
  <c r="AD928"/>
  <c r="AB928"/>
  <c r="Z928"/>
  <c r="P928"/>
  <c r="Q928" s="1"/>
  <c r="BG927"/>
  <c r="BF927"/>
  <c r="AD927"/>
  <c r="AB927"/>
  <c r="Z927"/>
  <c r="Q927"/>
  <c r="BG926"/>
  <c r="AD926"/>
  <c r="AB926"/>
  <c r="Z926"/>
  <c r="P926"/>
  <c r="Q926" s="1"/>
  <c r="BG925"/>
  <c r="BF925"/>
  <c r="AD925"/>
  <c r="AB925"/>
  <c r="Z925"/>
  <c r="P925"/>
  <c r="Q925" s="1"/>
  <c r="AD924"/>
  <c r="AB924"/>
  <c r="Z924"/>
  <c r="P924"/>
  <c r="Q924" s="1"/>
  <c r="BG923"/>
  <c r="BF923"/>
  <c r="AD923"/>
  <c r="AB923"/>
  <c r="Z923"/>
  <c r="P923"/>
  <c r="Q923" s="1"/>
  <c r="BG922"/>
  <c r="AD922"/>
  <c r="AB922"/>
  <c r="Z922"/>
  <c r="P922"/>
  <c r="Q922" s="1"/>
  <c r="BG921"/>
  <c r="AD921"/>
  <c r="AB921"/>
  <c r="Z921"/>
  <c r="P921"/>
  <c r="Q921" s="1"/>
  <c r="BG920"/>
  <c r="AD920"/>
  <c r="AB920"/>
  <c r="Z920"/>
  <c r="P920"/>
  <c r="Q920" s="1"/>
  <c r="AD919"/>
  <c r="AB919"/>
  <c r="Z919"/>
  <c r="P919"/>
  <c r="Q919" s="1"/>
  <c r="AD918"/>
  <c r="AB918"/>
  <c r="Z918"/>
  <c r="Q918"/>
  <c r="AD917"/>
  <c r="AB917"/>
  <c r="Z917"/>
  <c r="P917"/>
  <c r="Q917" s="1"/>
  <c r="BF916"/>
  <c r="BG916" s="1"/>
  <c r="AD916"/>
  <c r="AB916"/>
  <c r="Z916"/>
  <c r="P916"/>
  <c r="Q916" s="1"/>
  <c r="BF915"/>
  <c r="BG915" s="1"/>
  <c r="AD915"/>
  <c r="AB915"/>
  <c r="Z915"/>
  <c r="P915"/>
  <c r="Q915" s="1"/>
  <c r="BG914"/>
  <c r="BF914"/>
  <c r="AD914"/>
  <c r="AB914"/>
  <c r="Z914"/>
  <c r="Q914"/>
  <c r="P914"/>
  <c r="AD913"/>
  <c r="AB913"/>
  <c r="Z913"/>
  <c r="Q913"/>
  <c r="BG912"/>
  <c r="BF912"/>
  <c r="AD912"/>
  <c r="AB912"/>
  <c r="Z912"/>
  <c r="Q912"/>
  <c r="AD911"/>
  <c r="AB911"/>
  <c r="Z911"/>
  <c r="Q911"/>
  <c r="AD910"/>
  <c r="AB910"/>
  <c r="Z910"/>
  <c r="P910"/>
  <c r="Q910" s="1"/>
  <c r="BG909"/>
  <c r="BF909"/>
  <c r="AD909"/>
  <c r="AB909"/>
  <c r="Z909"/>
  <c r="Q909"/>
  <c r="AD908"/>
  <c r="AB908"/>
  <c r="Z908"/>
  <c r="Q908"/>
  <c r="AD907"/>
  <c r="AB907"/>
  <c r="Z907"/>
  <c r="Q907"/>
  <c r="AD906"/>
  <c r="AB906"/>
  <c r="Z906"/>
  <c r="Q906"/>
  <c r="AD905"/>
  <c r="AB905"/>
  <c r="Z905"/>
  <c r="Q905"/>
  <c r="AD904"/>
  <c r="AB904"/>
  <c r="Z904"/>
  <c r="Q904"/>
  <c r="AD903"/>
  <c r="AB903"/>
  <c r="Z903"/>
  <c r="Q903"/>
  <c r="AD902"/>
  <c r="AB902"/>
  <c r="Z902"/>
  <c r="Q902"/>
  <c r="AD901"/>
  <c r="AB901"/>
  <c r="Z901"/>
  <c r="Q901"/>
  <c r="AD900"/>
  <c r="AB900"/>
  <c r="Z900"/>
  <c r="P900"/>
  <c r="Q900" s="1"/>
  <c r="AD899"/>
  <c r="AB899"/>
  <c r="Z899"/>
  <c r="Q899"/>
  <c r="Q947"/>
  <c r="Z947"/>
  <c r="AD947"/>
  <c r="Q948"/>
  <c r="Z948"/>
  <c r="AD948"/>
  <c r="Q949"/>
  <c r="Z949"/>
  <c r="AD949"/>
  <c r="Q950"/>
  <c r="Z950"/>
  <c r="AD950"/>
  <c r="AD898"/>
  <c r="AB898"/>
  <c r="Z898"/>
  <c r="Q898"/>
  <c r="AD897"/>
  <c r="AB897"/>
  <c r="Z897"/>
  <c r="Q897"/>
  <c r="AD896"/>
  <c r="AB896"/>
  <c r="Z896"/>
  <c r="Q896"/>
  <c r="AD892"/>
  <c r="AB892"/>
  <c r="Z892"/>
  <c r="Q892"/>
  <c r="AD891"/>
  <c r="AB891"/>
  <c r="Z891"/>
  <c r="Q891"/>
  <c r="AD890"/>
  <c r="AB890"/>
  <c r="Z890"/>
  <c r="Q890"/>
  <c r="AD889"/>
  <c r="AB889"/>
  <c r="Z889"/>
  <c r="Q889"/>
  <c r="AD885"/>
  <c r="AB885"/>
  <c r="Z885"/>
  <c r="Q885"/>
  <c r="AD882"/>
  <c r="AB882"/>
  <c r="Z882"/>
  <c r="Q882"/>
  <c r="AD879"/>
  <c r="AB879"/>
  <c r="Z879"/>
  <c r="Q879"/>
  <c r="AD874"/>
  <c r="AB874"/>
  <c r="Z874"/>
  <c r="Q874"/>
  <c r="AD873"/>
  <c r="AB873"/>
  <c r="Z873"/>
  <c r="Q873"/>
  <c r="AD872"/>
  <c r="AB872"/>
  <c r="Z872"/>
  <c r="Q872"/>
  <c r="AD871"/>
  <c r="AB871"/>
  <c r="Z871"/>
  <c r="Q871"/>
  <c r="AD870"/>
  <c r="AB870"/>
  <c r="Z870"/>
  <c r="Q870"/>
  <c r="AD866"/>
  <c r="AB866"/>
  <c r="Z866"/>
  <c r="Q866"/>
  <c r="AD863"/>
  <c r="AB863"/>
  <c r="Z863"/>
  <c r="Q863"/>
  <c r="AM809"/>
  <c r="BI808"/>
  <c r="BH808"/>
  <c r="AM808"/>
  <c r="BI807"/>
  <c r="BH807"/>
  <c r="AM807"/>
  <c r="AM806"/>
  <c r="AD806"/>
  <c r="AC806"/>
  <c r="AB806"/>
  <c r="AA806"/>
  <c r="AM805"/>
  <c r="AM804"/>
  <c r="AM803"/>
  <c r="AD803"/>
  <c r="AC803"/>
  <c r="AB803"/>
  <c r="AA803"/>
  <c r="AM802"/>
  <c r="AM801"/>
  <c r="AM800"/>
  <c r="AD800"/>
  <c r="AC800"/>
  <c r="AB800"/>
  <c r="AA800"/>
  <c r="AM799"/>
  <c r="AM798"/>
  <c r="AM797"/>
  <c r="AM796"/>
  <c r="AD796"/>
  <c r="AC796"/>
  <c r="AB796"/>
  <c r="AA796"/>
  <c r="AM795"/>
  <c r="AM794"/>
  <c r="AM793"/>
  <c r="AD793"/>
  <c r="AC793"/>
  <c r="AB793"/>
  <c r="AA793"/>
  <c r="AM792"/>
  <c r="AM791"/>
  <c r="AM790"/>
  <c r="AM789"/>
  <c r="AD789"/>
  <c r="AC789"/>
  <c r="AB789"/>
  <c r="AA789"/>
  <c r="AM788"/>
  <c r="AM787"/>
  <c r="AM786"/>
  <c r="AM785"/>
  <c r="AM784"/>
  <c r="AM783"/>
  <c r="AM782"/>
  <c r="AD782"/>
  <c r="AC782"/>
  <c r="AB782"/>
  <c r="AA782"/>
  <c r="AM781"/>
  <c r="AM780"/>
  <c r="AM779"/>
  <c r="AD779"/>
  <c r="AC779"/>
  <c r="AB779"/>
  <c r="AA779"/>
  <c r="AM778"/>
  <c r="AM777"/>
  <c r="AM776"/>
  <c r="AM775"/>
  <c r="AM774"/>
  <c r="AM773"/>
  <c r="AM772"/>
  <c r="AM771"/>
  <c r="AM770"/>
  <c r="AD770"/>
  <c r="AC770"/>
  <c r="AB770"/>
  <c r="AA770"/>
  <c r="AM769"/>
  <c r="AM768"/>
  <c r="AM767"/>
  <c r="AM766"/>
  <c r="AM765"/>
  <c r="AD765"/>
  <c r="AC765"/>
  <c r="AB765"/>
  <c r="AA765"/>
  <c r="Z765"/>
  <c r="Y765"/>
  <c r="R765"/>
  <c r="Q765"/>
  <c r="P765"/>
  <c r="AM764"/>
  <c r="AM763"/>
  <c r="AM762"/>
  <c r="AD762"/>
  <c r="AC762"/>
  <c r="AB762"/>
  <c r="AA762"/>
  <c r="Z762"/>
  <c r="Y762"/>
  <c r="R762"/>
  <c r="Q762"/>
  <c r="P762"/>
  <c r="AM761"/>
  <c r="AM760"/>
  <c r="AM759"/>
  <c r="AM758"/>
  <c r="AM757"/>
  <c r="AM756"/>
  <c r="AM755"/>
  <c r="AM754"/>
  <c r="AM753"/>
  <c r="AM752"/>
  <c r="AM751"/>
  <c r="AD751"/>
  <c r="AC751"/>
  <c r="AB751"/>
  <c r="AA751"/>
  <c r="Z751"/>
  <c r="Y751"/>
  <c r="R751"/>
  <c r="Q751"/>
  <c r="P751"/>
  <c r="AM750"/>
  <c r="AM749"/>
  <c r="AM748"/>
  <c r="AM747"/>
  <c r="AM746"/>
  <c r="AM745"/>
  <c r="AD745"/>
  <c r="AC745"/>
  <c r="AB745"/>
  <c r="AA745"/>
  <c r="AA944" s="1"/>
  <c r="Z745"/>
  <c r="Y745"/>
  <c r="Y944" s="1"/>
  <c r="R745"/>
  <c r="Q745"/>
  <c r="P745"/>
  <c r="AM744"/>
  <c r="AC694"/>
  <c r="AD694" s="1"/>
  <c r="AB694"/>
  <c r="Z694"/>
  <c r="Q694"/>
  <c r="BE693"/>
  <c r="AM693"/>
  <c r="AJ693"/>
  <c r="AT693" s="1"/>
  <c r="AU693" s="1"/>
  <c r="AC693"/>
  <c r="AD693" s="1"/>
  <c r="AB693"/>
  <c r="Z693"/>
  <c r="Q693"/>
  <c r="BE692"/>
  <c r="AM692"/>
  <c r="AJ692"/>
  <c r="AT692" s="1"/>
  <c r="AU692" s="1"/>
  <c r="AC692"/>
  <c r="AD692" s="1"/>
  <c r="Z692"/>
  <c r="Q692"/>
  <c r="BE691"/>
  <c r="AM691"/>
  <c r="AJ691"/>
  <c r="AT691" s="1"/>
  <c r="AU691" s="1"/>
  <c r="AC691"/>
  <c r="AD691" s="1"/>
  <c r="AB691"/>
  <c r="Z691"/>
  <c r="Q691"/>
  <c r="BE690"/>
  <c r="AM690"/>
  <c r="AJ690"/>
  <c r="AT690" s="1"/>
  <c r="AU690" s="1"/>
  <c r="AC690"/>
  <c r="AD690" s="1"/>
  <c r="AB690"/>
  <c r="Z690"/>
  <c r="Q690"/>
  <c r="BE689"/>
  <c r="AM689"/>
  <c r="AJ689"/>
  <c r="AT689" s="1"/>
  <c r="AU689" s="1"/>
  <c r="AC689"/>
  <c r="AD689" s="1"/>
  <c r="AB689"/>
  <c r="Z689"/>
  <c r="Q689"/>
  <c r="BE688"/>
  <c r="AM688"/>
  <c r="AC688"/>
  <c r="AD688" s="1"/>
  <c r="AB688"/>
  <c r="Z688"/>
  <c r="Q688"/>
  <c r="AD687"/>
  <c r="AB687"/>
  <c r="Z687"/>
  <c r="Q687"/>
  <c r="BG686"/>
  <c r="AC686"/>
  <c r="AD686" s="1"/>
  <c r="AB686"/>
  <c r="Z686"/>
  <c r="Q686"/>
  <c r="AC685"/>
  <c r="AD685" s="1"/>
  <c r="AB685"/>
  <c r="Z685"/>
  <c r="Q685"/>
  <c r="AC684"/>
  <c r="AD684" s="1"/>
  <c r="AB684"/>
  <c r="Z684"/>
  <c r="Q684"/>
  <c r="AC683"/>
  <c r="AD683" s="1"/>
  <c r="AB683"/>
  <c r="Z683"/>
  <c r="Q683"/>
  <c r="AC682"/>
  <c r="AD682" s="1"/>
  <c r="AB682"/>
  <c r="Z682"/>
  <c r="Q682"/>
  <c r="AC681"/>
  <c r="AD681" s="1"/>
  <c r="AB681"/>
  <c r="Z681"/>
  <c r="Q681"/>
  <c r="AC680"/>
  <c r="AD680" s="1"/>
  <c r="AB680"/>
  <c r="Z680"/>
  <c r="Q680"/>
  <c r="AC679"/>
  <c r="AD679" s="1"/>
  <c r="AB679"/>
  <c r="Z679"/>
  <c r="Q679"/>
  <c r="AC678"/>
  <c r="AD678" s="1"/>
  <c r="AB678"/>
  <c r="Z678"/>
  <c r="Q678"/>
  <c r="AC677"/>
  <c r="AD677" s="1"/>
  <c r="AB677"/>
  <c r="Z677"/>
  <c r="Q677"/>
  <c r="AC676"/>
  <c r="AD676" s="1"/>
  <c r="AB676"/>
  <c r="Z676"/>
  <c r="Q676"/>
  <c r="AC675"/>
  <c r="AD675" s="1"/>
  <c r="AB675"/>
  <c r="Z675"/>
  <c r="Q675"/>
  <c r="AC674"/>
  <c r="AD674" s="1"/>
  <c r="AB674"/>
  <c r="Z674"/>
  <c r="Q674"/>
  <c r="AC673"/>
  <c r="AD673" s="1"/>
  <c r="AB673"/>
  <c r="Z673"/>
  <c r="Q673"/>
  <c r="AC672"/>
  <c r="AD672" s="1"/>
  <c r="AB672"/>
  <c r="Z672"/>
  <c r="Q672"/>
  <c r="AC671"/>
  <c r="AD671" s="1"/>
  <c r="AB671"/>
  <c r="Z671"/>
  <c r="Q671"/>
  <c r="AC670"/>
  <c r="AD670" s="1"/>
  <c r="AB670"/>
  <c r="Z670"/>
  <c r="Q670"/>
  <c r="AC669"/>
  <c r="AD669" s="1"/>
  <c r="AB669"/>
  <c r="Z669"/>
  <c r="Q669"/>
  <c r="BG668"/>
  <c r="AJ668"/>
  <c r="AT668" s="1"/>
  <c r="AU668" s="1"/>
  <c r="AC668"/>
  <c r="AD668" s="1"/>
  <c r="AB668"/>
  <c r="Z668"/>
  <c r="Q668"/>
  <c r="AC667"/>
  <c r="AD667" s="1"/>
  <c r="AB667"/>
  <c r="Z667"/>
  <c r="Q667"/>
  <c r="AC666"/>
  <c r="AD666" s="1"/>
  <c r="AB666"/>
  <c r="Z666"/>
  <c r="Q666"/>
  <c r="AJ665"/>
  <c r="AT665" s="1"/>
  <c r="AU665" s="1"/>
  <c r="AC665"/>
  <c r="AD665" s="1"/>
  <c r="AB665"/>
  <c r="Z665"/>
  <c r="Q665"/>
  <c r="AC664"/>
  <c r="AD664" s="1"/>
  <c r="AB664"/>
  <c r="Z664"/>
  <c r="Q664"/>
  <c r="AC663"/>
  <c r="AD663" s="1"/>
  <c r="AB663"/>
  <c r="Z663"/>
  <c r="Q663"/>
  <c r="AC662"/>
  <c r="AD662" s="1"/>
  <c r="AB662"/>
  <c r="Z662"/>
  <c r="Q662"/>
  <c r="AC661"/>
  <c r="AD661" s="1"/>
  <c r="AB661"/>
  <c r="Z661"/>
  <c r="Q661"/>
  <c r="BG660"/>
  <c r="AC660"/>
  <c r="AD660" s="1"/>
  <c r="AB660"/>
  <c r="Z660"/>
  <c r="Q660"/>
  <c r="AT659"/>
  <c r="AU659" s="1"/>
  <c r="AC659"/>
  <c r="AD659" s="1"/>
  <c r="AB659"/>
  <c r="Z659"/>
  <c r="Q659"/>
  <c r="AC658"/>
  <c r="AD658" s="1"/>
  <c r="AB658"/>
  <c r="Z658"/>
  <c r="Q658"/>
  <c r="AC657"/>
  <c r="AD657" s="1"/>
  <c r="AB657"/>
  <c r="Z657"/>
  <c r="Q657"/>
  <c r="AC656"/>
  <c r="AD656" s="1"/>
  <c r="AB656"/>
  <c r="Z656"/>
  <c r="Q656"/>
  <c r="AC655"/>
  <c r="AD655" s="1"/>
  <c r="AB655"/>
  <c r="Z655"/>
  <c r="Q655"/>
  <c r="AC654"/>
  <c r="AD654" s="1"/>
  <c r="AB654"/>
  <c r="Z654"/>
  <c r="Q654"/>
  <c r="AC653"/>
  <c r="AD653" s="1"/>
  <c r="AB653"/>
  <c r="Z653"/>
  <c r="Q653"/>
  <c r="AC652"/>
  <c r="AD652" s="1"/>
  <c r="AB652"/>
  <c r="Z652"/>
  <c r="Q652"/>
  <c r="AC651"/>
  <c r="AD651" s="1"/>
  <c r="AB651"/>
  <c r="Z651"/>
  <c r="Q651"/>
  <c r="AC650"/>
  <c r="AD650" s="1"/>
  <c r="AB650"/>
  <c r="Z650"/>
  <c r="Q650"/>
  <c r="AC649"/>
  <c r="AD649" s="1"/>
  <c r="AB649"/>
  <c r="Z649"/>
  <c r="Q649"/>
  <c r="AC648"/>
  <c r="AD648" s="1"/>
  <c r="AB648"/>
  <c r="Z648"/>
  <c r="Q648"/>
  <c r="AC647"/>
  <c r="AD647" s="1"/>
  <c r="AB647"/>
  <c r="Z647"/>
  <c r="Q647"/>
  <c r="AC646"/>
  <c r="AD646" s="1"/>
  <c r="AB646"/>
  <c r="Z646"/>
  <c r="Q646"/>
  <c r="AC645"/>
  <c r="AD645" s="1"/>
  <c r="AB645"/>
  <c r="Z645"/>
  <c r="Q645"/>
  <c r="AC644"/>
  <c r="AD644" s="1"/>
  <c r="AB644"/>
  <c r="Z644"/>
  <c r="Q644"/>
  <c r="AC643"/>
  <c r="AD643" s="1"/>
  <c r="AB643"/>
  <c r="Z643"/>
  <c r="Q643"/>
  <c r="AC642"/>
  <c r="AD642" s="1"/>
  <c r="AB642"/>
  <c r="Z642"/>
  <c r="Q642"/>
  <c r="AC641"/>
  <c r="AD641" s="1"/>
  <c r="AB641"/>
  <c r="Z641"/>
  <c r="Q641"/>
  <c r="AC640"/>
  <c r="AD640" s="1"/>
  <c r="AB640"/>
  <c r="Z640"/>
  <c r="Q640"/>
  <c r="AC639"/>
  <c r="AD639" s="1"/>
  <c r="AB639"/>
  <c r="Z639"/>
  <c r="Q639"/>
  <c r="AC638"/>
  <c r="AD638" s="1"/>
  <c r="AB638"/>
  <c r="Z638"/>
  <c r="Q638"/>
  <c r="AC637"/>
  <c r="AD637" s="1"/>
  <c r="AB637"/>
  <c r="Z637"/>
  <c r="Q637"/>
  <c r="AC636"/>
  <c r="AD636" s="1"/>
  <c r="AB636"/>
  <c r="Z636"/>
  <c r="Q636"/>
  <c r="AC635"/>
  <c r="AD635" s="1"/>
  <c r="AB635"/>
  <c r="Z635"/>
  <c r="Q635"/>
  <c r="AC634"/>
  <c r="AD634" s="1"/>
  <c r="AB634"/>
  <c r="Z634"/>
  <c r="Q634"/>
  <c r="AC633"/>
  <c r="AD633" s="1"/>
  <c r="AB633"/>
  <c r="Z633"/>
  <c r="Q633"/>
  <c r="AC632"/>
  <c r="AD632" s="1"/>
  <c r="AB632"/>
  <c r="Z632"/>
  <c r="Q632"/>
  <c r="AC631"/>
  <c r="AD631" s="1"/>
  <c r="AB631"/>
  <c r="Z631"/>
  <c r="Q631"/>
  <c r="AC630"/>
  <c r="AD630" s="1"/>
  <c r="AB630"/>
  <c r="Z630"/>
  <c r="Q630"/>
  <c r="AC629"/>
  <c r="AD629" s="1"/>
  <c r="AB629"/>
  <c r="Z629"/>
  <c r="Q629"/>
  <c r="AC628"/>
  <c r="AD628" s="1"/>
  <c r="AB628"/>
  <c r="Z628"/>
  <c r="Q628"/>
  <c r="AC627"/>
  <c r="AD627" s="1"/>
  <c r="AB627"/>
  <c r="Z627"/>
  <c r="Q627"/>
  <c r="AC626"/>
  <c r="AD626" s="1"/>
  <c r="AB626"/>
  <c r="Z626"/>
  <c r="Q626"/>
  <c r="AC625"/>
  <c r="AD625" s="1"/>
  <c r="AB625"/>
  <c r="Z625"/>
  <c r="Q625"/>
  <c r="AC624"/>
  <c r="AD624" s="1"/>
  <c r="AB624"/>
  <c r="Z624"/>
  <c r="Q624"/>
  <c r="AC623"/>
  <c r="AD623" s="1"/>
  <c r="AB623"/>
  <c r="Z623"/>
  <c r="Q623"/>
  <c r="AC622"/>
  <c r="AD622" s="1"/>
  <c r="AB622"/>
  <c r="Z622"/>
  <c r="Q622"/>
  <c r="AC621"/>
  <c r="AD621" s="1"/>
  <c r="AB621"/>
  <c r="Z621"/>
  <c r="Q621"/>
  <c r="AC620"/>
  <c r="AD620" s="1"/>
  <c r="AB620"/>
  <c r="Z620"/>
  <c r="Q620"/>
  <c r="AC619"/>
  <c r="AD619" s="1"/>
  <c r="AB619"/>
  <c r="Z619"/>
  <c r="Q619"/>
  <c r="AC618"/>
  <c r="AD618" s="1"/>
  <c r="AB618"/>
  <c r="Z618"/>
  <c r="Q618"/>
  <c r="AC617"/>
  <c r="AD617" s="1"/>
  <c r="AB617"/>
  <c r="Z617"/>
  <c r="Q617"/>
  <c r="AC616"/>
  <c r="AD616" s="1"/>
  <c r="AB616"/>
  <c r="Z616"/>
  <c r="Q616"/>
  <c r="AC615"/>
  <c r="AD615" s="1"/>
  <c r="AB615"/>
  <c r="Z615"/>
  <c r="Q615"/>
  <c r="AC614"/>
  <c r="AD614" s="1"/>
  <c r="AB614"/>
  <c r="Z614"/>
  <c r="Q614"/>
  <c r="AC613"/>
  <c r="AD613" s="1"/>
  <c r="AB613"/>
  <c r="Z613"/>
  <c r="Q613"/>
  <c r="AC612"/>
  <c r="AD612" s="1"/>
  <c r="AB612"/>
  <c r="Z612"/>
  <c r="Q612"/>
  <c r="AC611"/>
  <c r="AD611" s="1"/>
  <c r="AB611"/>
  <c r="Z611"/>
  <c r="Q611"/>
  <c r="AC610"/>
  <c r="AD610" s="1"/>
  <c r="AB610"/>
  <c r="Z610"/>
  <c r="Q610"/>
  <c r="AC609"/>
  <c r="AD609" s="1"/>
  <c r="AB609"/>
  <c r="Z609"/>
  <c r="Q609"/>
  <c r="AC608"/>
  <c r="AD608" s="1"/>
  <c r="AB608"/>
  <c r="Z608"/>
  <c r="Q608"/>
  <c r="AC607"/>
  <c r="AD607" s="1"/>
  <c r="AB607"/>
  <c r="Z607"/>
  <c r="Q607"/>
  <c r="AC606"/>
  <c r="AD606" s="1"/>
  <c r="AB606"/>
  <c r="Z606"/>
  <c r="Q606"/>
  <c r="AC605"/>
  <c r="AD605" s="1"/>
  <c r="AB605"/>
  <c r="Z605"/>
  <c r="Q605"/>
  <c r="AC604"/>
  <c r="AD604" s="1"/>
  <c r="AB604"/>
  <c r="Z604"/>
  <c r="Q604"/>
  <c r="AC603"/>
  <c r="AD603" s="1"/>
  <c r="AB603"/>
  <c r="Z603"/>
  <c r="Q603"/>
  <c r="AC602"/>
  <c r="AD602" s="1"/>
  <c r="AB602"/>
  <c r="Z602"/>
  <c r="Q602"/>
  <c r="AC601"/>
  <c r="AD601" s="1"/>
  <c r="AB601"/>
  <c r="Z601"/>
  <c r="Q601"/>
  <c r="AC600"/>
  <c r="AD600" s="1"/>
  <c r="AB600"/>
  <c r="Z600"/>
  <c r="Q600"/>
  <c r="AC599"/>
  <c r="AD599" s="1"/>
  <c r="AB599"/>
  <c r="Z599"/>
  <c r="Q599"/>
  <c r="AC598"/>
  <c r="AD598" s="1"/>
  <c r="AB598"/>
  <c r="Z598"/>
  <c r="Q598"/>
  <c r="AC597"/>
  <c r="AD597" s="1"/>
  <c r="AB597"/>
  <c r="Z597"/>
  <c r="Q597"/>
  <c r="AC596"/>
  <c r="AD596" s="1"/>
  <c r="AB596"/>
  <c r="Z596"/>
  <c r="Q596"/>
  <c r="AC595"/>
  <c r="AD595" s="1"/>
  <c r="AB595"/>
  <c r="Z595"/>
  <c r="Q595"/>
  <c r="AJ594"/>
  <c r="AT594" s="1"/>
  <c r="AU594" s="1"/>
  <c r="AC594"/>
  <c r="AD594" s="1"/>
  <c r="AB594"/>
  <c r="Z594"/>
  <c r="Q594"/>
  <c r="AC593"/>
  <c r="AD593" s="1"/>
  <c r="AB593"/>
  <c r="Z593"/>
  <c r="Q593"/>
  <c r="AC592"/>
  <c r="AD592" s="1"/>
  <c r="AB592"/>
  <c r="Z592"/>
  <c r="Q592"/>
  <c r="AC591"/>
  <c r="AD591" s="1"/>
  <c r="AB591"/>
  <c r="Z591"/>
  <c r="Q591"/>
  <c r="AC590"/>
  <c r="AD590" s="1"/>
  <c r="AB590"/>
  <c r="Z590"/>
  <c r="Q590"/>
  <c r="BG589"/>
  <c r="AC589"/>
  <c r="AD589" s="1"/>
  <c r="AB589"/>
  <c r="Z589"/>
  <c r="Q589"/>
  <c r="AC588"/>
  <c r="AC587"/>
  <c r="AC586"/>
  <c r="AC585"/>
  <c r="AC584"/>
  <c r="AC583"/>
  <c r="AC582"/>
  <c r="AD582" s="1"/>
  <c r="AB582"/>
  <c r="Z582"/>
  <c r="Q582"/>
  <c r="AC581"/>
  <c r="AD581" s="1"/>
  <c r="AB581"/>
  <c r="Z581"/>
  <c r="Q581"/>
  <c r="AC580"/>
  <c r="AD580" s="1"/>
  <c r="AB580"/>
  <c r="Z580"/>
  <c r="Q580"/>
  <c r="AC579"/>
  <c r="AD579" s="1"/>
  <c r="AB579"/>
  <c r="Z579"/>
  <c r="Q579"/>
  <c r="AC578"/>
  <c r="AD578" s="1"/>
  <c r="AB578"/>
  <c r="Z578"/>
  <c r="Q578"/>
  <c r="AC577"/>
  <c r="AD577" s="1"/>
  <c r="AB577"/>
  <c r="Z577"/>
  <c r="Q577"/>
  <c r="AC576"/>
  <c r="AD576" s="1"/>
  <c r="AB576"/>
  <c r="Z576"/>
  <c r="Q576"/>
  <c r="AC575"/>
  <c r="AD575" s="1"/>
  <c r="AB575"/>
  <c r="Z575"/>
  <c r="Q575"/>
  <c r="AC574"/>
  <c r="AD574" s="1"/>
  <c r="AB574"/>
  <c r="Z574"/>
  <c r="Q574"/>
  <c r="AC573"/>
  <c r="AD573" s="1"/>
  <c r="AB573"/>
  <c r="Z573"/>
  <c r="Q573"/>
  <c r="AC572"/>
  <c r="AD572" s="1"/>
  <c r="AB572"/>
  <c r="Z572"/>
  <c r="Q572"/>
  <c r="AC571"/>
  <c r="AD571" s="1"/>
  <c r="AB571"/>
  <c r="Z571"/>
  <c r="Q571"/>
  <c r="AC570"/>
  <c r="AD570" s="1"/>
  <c r="AB570"/>
  <c r="Z570"/>
  <c r="Q570"/>
  <c r="AC569"/>
  <c r="AD569" s="1"/>
  <c r="AB569"/>
  <c r="Z569"/>
  <c r="Q569"/>
  <c r="AC568"/>
  <c r="AD568" s="1"/>
  <c r="AB568"/>
  <c r="Z568"/>
  <c r="Q568"/>
  <c r="AC567"/>
  <c r="AD567" s="1"/>
  <c r="AB567"/>
  <c r="Z567"/>
  <c r="Q567"/>
  <c r="AC566"/>
  <c r="AD566" s="1"/>
  <c r="AB566"/>
  <c r="Z566"/>
  <c r="Q566"/>
  <c r="AC565"/>
  <c r="AD565" s="1"/>
  <c r="AB565"/>
  <c r="Z565"/>
  <c r="Q565"/>
  <c r="AC564"/>
  <c r="AD564" s="1"/>
  <c r="AB564"/>
  <c r="Z564"/>
  <c r="Q564"/>
  <c r="AC563"/>
  <c r="AD563" s="1"/>
  <c r="AB563"/>
  <c r="Z563"/>
  <c r="Q563"/>
  <c r="AC562"/>
  <c r="AD562" s="1"/>
  <c r="AB562"/>
  <c r="Z562"/>
  <c r="Q562"/>
  <c r="AC561"/>
  <c r="AD561" s="1"/>
  <c r="AB561"/>
  <c r="Z561"/>
  <c r="Q561"/>
  <c r="AC560"/>
  <c r="AD560" s="1"/>
  <c r="AB560"/>
  <c r="Z560"/>
  <c r="Q560"/>
  <c r="AC559"/>
  <c r="AD559" s="1"/>
  <c r="AB559"/>
  <c r="Z559"/>
  <c r="Q559"/>
  <c r="AC558"/>
  <c r="AD558" s="1"/>
  <c r="AB558"/>
  <c r="Z558"/>
  <c r="Q558"/>
  <c r="AC557"/>
  <c r="AD557" s="1"/>
  <c r="AB557"/>
  <c r="Z557"/>
  <c r="Q557"/>
  <c r="AC556"/>
  <c r="AD556" s="1"/>
  <c r="AB556"/>
  <c r="Z556"/>
  <c r="Q556"/>
  <c r="AC555"/>
  <c r="AD555" s="1"/>
  <c r="AB555"/>
  <c r="Z555"/>
  <c r="Q555"/>
  <c r="AC554"/>
  <c r="AD554" s="1"/>
  <c r="AB554"/>
  <c r="Z554"/>
  <c r="Q554"/>
  <c r="AC553"/>
  <c r="AD553" s="1"/>
  <c r="AB553"/>
  <c r="Z553"/>
  <c r="Q553"/>
  <c r="AC552"/>
  <c r="AD552" s="1"/>
  <c r="AB552"/>
  <c r="Z552"/>
  <c r="Q552"/>
  <c r="AC551"/>
  <c r="AD551" s="1"/>
  <c r="AB551"/>
  <c r="Z551"/>
  <c r="Q551"/>
  <c r="AC550"/>
  <c r="AD550" s="1"/>
  <c r="AB550"/>
  <c r="Z550"/>
  <c r="Q550"/>
  <c r="AC549"/>
  <c r="AD549" s="1"/>
  <c r="AB549"/>
  <c r="Z549"/>
  <c r="Q549"/>
  <c r="AC548"/>
  <c r="AD548" s="1"/>
  <c r="AB548"/>
  <c r="Z548"/>
  <c r="Q548"/>
  <c r="AC547"/>
  <c r="AD547" s="1"/>
  <c r="AB547"/>
  <c r="Z547"/>
  <c r="Q547"/>
  <c r="AC546"/>
  <c r="AD546" s="1"/>
  <c r="AB546"/>
  <c r="Z546"/>
  <c r="Q546"/>
  <c r="AC545"/>
  <c r="AD545" s="1"/>
  <c r="AB545"/>
  <c r="Z545"/>
  <c r="Q545"/>
  <c r="AC544"/>
  <c r="AD544" s="1"/>
  <c r="AB544"/>
  <c r="Z544"/>
  <c r="Q544"/>
  <c r="AC543"/>
  <c r="AD543" s="1"/>
  <c r="AB543"/>
  <c r="Z543"/>
  <c r="Q543"/>
  <c r="AC542"/>
  <c r="AD542" s="1"/>
  <c r="AB542"/>
  <c r="Z542"/>
  <c r="Q542"/>
  <c r="AC541"/>
  <c r="AD541" s="1"/>
  <c r="AB541"/>
  <c r="Z541"/>
  <c r="Q541"/>
  <c r="AC540"/>
  <c r="AD540" s="1"/>
  <c r="AB540"/>
  <c r="Z540"/>
  <c r="Q540"/>
  <c r="AC539"/>
  <c r="AD539" s="1"/>
  <c r="AB539"/>
  <c r="Z539"/>
  <c r="Q539"/>
  <c r="AC538"/>
  <c r="AD538" s="1"/>
  <c r="AB538"/>
  <c r="Z538"/>
  <c r="Q538"/>
  <c r="AC537"/>
  <c r="AD537" s="1"/>
  <c r="AB537"/>
  <c r="Z537"/>
  <c r="Q537"/>
  <c r="AC536"/>
  <c r="AD536" s="1"/>
  <c r="AB536"/>
  <c r="Z536"/>
  <c r="Q536"/>
  <c r="AC535"/>
  <c r="AD535" s="1"/>
  <c r="AB535"/>
  <c r="Z535"/>
  <c r="Q535"/>
  <c r="AC534"/>
  <c r="AD534" s="1"/>
  <c r="AB534"/>
  <c r="Z534"/>
  <c r="Q534"/>
  <c r="AC533"/>
  <c r="AD533" s="1"/>
  <c r="AB533"/>
  <c r="Z533"/>
  <c r="Q533"/>
  <c r="AC532"/>
  <c r="AD532" s="1"/>
  <c r="AB532"/>
  <c r="Z532"/>
  <c r="Q532"/>
  <c r="AC531"/>
  <c r="AD531" s="1"/>
  <c r="AB531"/>
  <c r="Z531"/>
  <c r="Q531"/>
  <c r="AC530"/>
  <c r="AD530" s="1"/>
  <c r="AB530"/>
  <c r="Z530"/>
  <c r="Q530"/>
  <c r="AC529"/>
  <c r="AD529" s="1"/>
  <c r="AB529"/>
  <c r="Z529"/>
  <c r="Q529"/>
  <c r="AC528"/>
  <c r="AD528" s="1"/>
  <c r="AB528"/>
  <c r="Z528"/>
  <c r="Q528"/>
  <c r="AC527"/>
  <c r="AD527" s="1"/>
  <c r="AB527"/>
  <c r="Z527"/>
  <c r="Q527"/>
  <c r="AC526"/>
  <c r="AD526" s="1"/>
  <c r="AB526"/>
  <c r="Z526"/>
  <c r="Q526"/>
  <c r="AC525"/>
  <c r="AD525" s="1"/>
  <c r="AB525"/>
  <c r="Z525"/>
  <c r="Q525"/>
  <c r="AC524"/>
  <c r="AD524" s="1"/>
  <c r="AB524"/>
  <c r="Z524"/>
  <c r="Q524"/>
  <c r="AC523"/>
  <c r="AD523" s="1"/>
  <c r="AB523"/>
  <c r="Z523"/>
  <c r="Q523"/>
  <c r="AC522"/>
  <c r="AD522" s="1"/>
  <c r="AB522"/>
  <c r="Z522"/>
  <c r="Q522"/>
  <c r="AC521"/>
  <c r="AD521" s="1"/>
  <c r="AB521"/>
  <c r="Z521"/>
  <c r="Q521"/>
  <c r="AC520"/>
  <c r="AD520" s="1"/>
  <c r="AB520"/>
  <c r="Z520"/>
  <c r="Q520"/>
  <c r="AC519"/>
  <c r="AD519" s="1"/>
  <c r="AB519"/>
  <c r="Z519"/>
  <c r="Q519"/>
  <c r="AC518"/>
  <c r="AD518" s="1"/>
  <c r="AB518"/>
  <c r="Z518"/>
  <c r="Q518"/>
  <c r="AC517"/>
  <c r="AD517" s="1"/>
  <c r="AB517"/>
  <c r="Z517"/>
  <c r="Q517"/>
  <c r="AC516"/>
  <c r="AD516" s="1"/>
  <c r="AB516"/>
  <c r="Z516"/>
  <c r="Q516"/>
  <c r="AC515"/>
  <c r="AD515" s="1"/>
  <c r="AB515"/>
  <c r="Z515"/>
  <c r="Q515"/>
  <c r="AC514"/>
  <c r="AD514" s="1"/>
  <c r="AB514"/>
  <c r="Z514"/>
  <c r="Q514"/>
  <c r="AC513"/>
  <c r="AD513" s="1"/>
  <c r="AB513"/>
  <c r="Z513"/>
  <c r="Q513"/>
  <c r="AC512"/>
  <c r="AD512" s="1"/>
  <c r="AB512"/>
  <c r="Z512"/>
  <c r="Q512"/>
  <c r="AC511"/>
  <c r="AD511" s="1"/>
  <c r="AB511"/>
  <c r="Z511"/>
  <c r="Q511"/>
  <c r="AC510"/>
  <c r="AD510" s="1"/>
  <c r="AB510"/>
  <c r="Z510"/>
  <c r="Q510"/>
  <c r="AC509"/>
  <c r="AD509" s="1"/>
  <c r="AB509"/>
  <c r="Z509"/>
  <c r="Q509"/>
  <c r="AC508"/>
  <c r="AD508" s="1"/>
  <c r="AB508"/>
  <c r="Z508"/>
  <c r="Q508"/>
  <c r="AC507"/>
  <c r="AD507" s="1"/>
  <c r="AB507"/>
  <c r="Z507"/>
  <c r="Q507"/>
  <c r="AC506"/>
  <c r="AD506" s="1"/>
  <c r="AB506"/>
  <c r="Z506"/>
  <c r="Q506"/>
  <c r="AC505"/>
  <c r="AD505" s="1"/>
  <c r="AB505"/>
  <c r="Z505"/>
  <c r="Q505"/>
  <c r="AC504"/>
  <c r="AD504" s="1"/>
  <c r="AB504"/>
  <c r="Z504"/>
  <c r="Q504"/>
  <c r="AC503"/>
  <c r="AD503" s="1"/>
  <c r="AB503"/>
  <c r="Z503"/>
  <c r="Q503"/>
  <c r="AC502"/>
  <c r="AD502" s="1"/>
  <c r="AB502"/>
  <c r="Z502"/>
  <c r="Q502"/>
  <c r="AC501"/>
  <c r="AD501" s="1"/>
  <c r="AB501"/>
  <c r="Z501"/>
  <c r="Q501"/>
  <c r="AC500"/>
  <c r="AD500" s="1"/>
  <c r="AB500"/>
  <c r="Z500"/>
  <c r="Q500"/>
  <c r="AC499"/>
  <c r="AD499" s="1"/>
  <c r="AB499"/>
  <c r="Z499"/>
  <c r="Q499"/>
  <c r="AC498"/>
  <c r="AD498" s="1"/>
  <c r="AB498"/>
  <c r="Z498"/>
  <c r="Q498"/>
  <c r="AC497"/>
  <c r="AD497" s="1"/>
  <c r="AB497"/>
  <c r="Z497"/>
  <c r="Q497"/>
  <c r="AC496"/>
  <c r="AD496" s="1"/>
  <c r="AB496"/>
  <c r="Z496"/>
  <c r="Q496"/>
  <c r="AC495"/>
  <c r="AD495" s="1"/>
  <c r="AB495"/>
  <c r="Z495"/>
  <c r="Q495"/>
  <c r="AC494"/>
  <c r="AD494" s="1"/>
  <c r="AB494"/>
  <c r="Z494"/>
  <c r="Q494"/>
  <c r="AC493"/>
  <c r="AD493" s="1"/>
  <c r="AB493"/>
  <c r="Z493"/>
  <c r="Q493"/>
  <c r="AC492"/>
  <c r="AD492" s="1"/>
  <c r="AB492"/>
  <c r="Z492"/>
  <c r="Q492"/>
  <c r="AC491"/>
  <c r="AD491" s="1"/>
  <c r="AB491"/>
  <c r="Z491"/>
  <c r="Q491"/>
  <c r="AC490"/>
  <c r="AD490" s="1"/>
  <c r="AB490"/>
  <c r="Z490"/>
  <c r="Q490"/>
  <c r="AC489"/>
  <c r="AD489" s="1"/>
  <c r="AB489"/>
  <c r="Z489"/>
  <c r="Q489"/>
  <c r="AC488"/>
  <c r="AD488" s="1"/>
  <c r="AB488"/>
  <c r="Z488"/>
  <c r="Q488"/>
  <c r="AC487"/>
  <c r="AD487" s="1"/>
  <c r="AB487"/>
  <c r="Z487"/>
  <c r="Q487"/>
  <c r="AC486"/>
  <c r="AD486" s="1"/>
  <c r="AB486"/>
  <c r="Z486"/>
  <c r="Q486"/>
  <c r="AC485"/>
  <c r="AD485" s="1"/>
  <c r="AB485"/>
  <c r="Z485"/>
  <c r="Q485"/>
  <c r="AC484"/>
  <c r="AD484" s="1"/>
  <c r="AB484"/>
  <c r="Z484"/>
  <c r="Q484"/>
  <c r="BG483"/>
  <c r="AC482"/>
  <c r="AD482" s="1"/>
  <c r="AB482"/>
  <c r="Z482"/>
  <c r="Q482"/>
  <c r="BG481"/>
  <c r="AJ481"/>
  <c r="AT481" s="1"/>
  <c r="AU481" s="1"/>
  <c r="AC481"/>
  <c r="AD481" s="1"/>
  <c r="AB481"/>
  <c r="Z481"/>
  <c r="Q481"/>
  <c r="AC480"/>
  <c r="AD480" s="1"/>
  <c r="AB480"/>
  <c r="Z480"/>
  <c r="Q480"/>
  <c r="AC479"/>
  <c r="AD479" s="1"/>
  <c r="AB479"/>
  <c r="Z479"/>
  <c r="Q479"/>
  <c r="AC478"/>
  <c r="AD478" s="1"/>
  <c r="AB478"/>
  <c r="Z478"/>
  <c r="P478"/>
  <c r="Q478" s="1"/>
  <c r="AC477"/>
  <c r="AD477" s="1"/>
  <c r="AB477"/>
  <c r="Z477"/>
  <c r="Q477"/>
  <c r="AC476"/>
  <c r="AD476" s="1"/>
  <c r="AB476"/>
  <c r="Z476"/>
  <c r="Q476"/>
  <c r="AC475"/>
  <c r="AD475" s="1"/>
  <c r="AB475"/>
  <c r="Z475"/>
  <c r="Q475"/>
  <c r="AC474"/>
  <c r="AD474" s="1"/>
  <c r="AB474"/>
  <c r="Z474"/>
  <c r="Q474"/>
  <c r="AC473"/>
  <c r="AD473" s="1"/>
  <c r="AB473"/>
  <c r="Z473"/>
  <c r="Q473"/>
  <c r="AC472"/>
  <c r="AD472" s="1"/>
  <c r="AB472"/>
  <c r="Z472"/>
  <c r="Q472"/>
  <c r="AC471"/>
  <c r="AD471" s="1"/>
  <c r="AB471"/>
  <c r="Z471"/>
  <c r="Q471"/>
  <c r="AC470"/>
  <c r="AD470" s="1"/>
  <c r="AB470"/>
  <c r="Z470"/>
  <c r="Q470"/>
  <c r="AC469"/>
  <c r="AD469" s="1"/>
  <c r="AB469"/>
  <c r="Z469"/>
  <c r="Q469"/>
  <c r="AC468"/>
  <c r="AD468" s="1"/>
  <c r="AB468"/>
  <c r="Z468"/>
  <c r="Q468"/>
  <c r="AC467"/>
  <c r="AD467" s="1"/>
  <c r="AB467"/>
  <c r="Z467"/>
  <c r="Q467"/>
  <c r="AC466"/>
  <c r="AD466" s="1"/>
  <c r="AB466"/>
  <c r="Z466"/>
  <c r="Q466"/>
  <c r="AC465"/>
  <c r="AD465" s="1"/>
  <c r="AB465"/>
  <c r="Z465"/>
  <c r="Q465"/>
  <c r="AC464"/>
  <c r="AD464" s="1"/>
  <c r="AB464"/>
  <c r="Z464"/>
  <c r="Q464"/>
  <c r="AC463"/>
  <c r="AD463" s="1"/>
  <c r="AB463"/>
  <c r="Z463"/>
  <c r="Q463"/>
  <c r="AC462"/>
  <c r="AD462" s="1"/>
  <c r="AB462"/>
  <c r="Z462"/>
  <c r="Q462"/>
  <c r="AC461"/>
  <c r="AD461" s="1"/>
  <c r="AB461"/>
  <c r="Z461"/>
  <c r="Q461"/>
  <c r="AC460"/>
  <c r="AD460" s="1"/>
  <c r="AB460"/>
  <c r="Z460"/>
  <c r="Q460"/>
  <c r="AC459"/>
  <c r="AD459" s="1"/>
  <c r="AB459"/>
  <c r="Z459"/>
  <c r="Q459"/>
  <c r="AJ458"/>
  <c r="AT458" s="1"/>
  <c r="AU458" s="1"/>
  <c r="AC458"/>
  <c r="AD458" s="1"/>
  <c r="AB458"/>
  <c r="Z458"/>
  <c r="Q458"/>
  <c r="AT457"/>
  <c r="AU457" s="1"/>
  <c r="AC457"/>
  <c r="AD457" s="1"/>
  <c r="AB457"/>
  <c r="Z457"/>
  <c r="Q457"/>
  <c r="AC456"/>
  <c r="AD456" s="1"/>
  <c r="AB456"/>
  <c r="Z456"/>
  <c r="Q456"/>
  <c r="AT455"/>
  <c r="AU455" s="1"/>
  <c r="AC455"/>
  <c r="AD455" s="1"/>
  <c r="AB455"/>
  <c r="Z455"/>
  <c r="Q455"/>
  <c r="AC454"/>
  <c r="AD454" s="1"/>
  <c r="AB454"/>
  <c r="Z454"/>
  <c r="Q454"/>
  <c r="AC453"/>
  <c r="AD453" s="1"/>
  <c r="AB453"/>
  <c r="Z453"/>
  <c r="Q453"/>
  <c r="AC452"/>
  <c r="AD452" s="1"/>
  <c r="AB452"/>
  <c r="Z452"/>
  <c r="Q452"/>
  <c r="AC451"/>
  <c r="AD451" s="1"/>
  <c r="AB451"/>
  <c r="Z451"/>
  <c r="Q451"/>
  <c r="AC450"/>
  <c r="AD450" s="1"/>
  <c r="AB450"/>
  <c r="Z450"/>
  <c r="Q450"/>
  <c r="AC449"/>
  <c r="AD449" s="1"/>
  <c r="AB449"/>
  <c r="Z449"/>
  <c r="Q449"/>
  <c r="AC448"/>
  <c r="AD448" s="1"/>
  <c r="AB448"/>
  <c r="Z448"/>
  <c r="Q448"/>
  <c r="AC447"/>
  <c r="AD447" s="1"/>
  <c r="AB447"/>
  <c r="Z447"/>
  <c r="Q447"/>
  <c r="AC446"/>
  <c r="AD446" s="1"/>
  <c r="AB446"/>
  <c r="Z446"/>
  <c r="Q446"/>
  <c r="AJ445"/>
  <c r="AT445" s="1"/>
  <c r="AU445" s="1"/>
  <c r="AB445"/>
  <c r="AC444"/>
  <c r="AD444" s="1"/>
  <c r="AB444"/>
  <c r="Z444"/>
  <c r="Q444"/>
  <c r="AC443"/>
  <c r="AD443" s="1"/>
  <c r="AB443"/>
  <c r="Z443"/>
  <c r="Q443"/>
  <c r="AC442"/>
  <c r="AD442" s="1"/>
  <c r="AB442"/>
  <c r="Z442"/>
  <c r="Q442"/>
  <c r="AC441"/>
  <c r="AD441" s="1"/>
  <c r="AB441"/>
  <c r="Z441"/>
  <c r="Q441"/>
  <c r="AC440"/>
  <c r="AD440" s="1"/>
  <c r="AB440"/>
  <c r="Z440"/>
  <c r="Q440"/>
  <c r="AC439"/>
  <c r="AD439" s="1"/>
  <c r="AB439"/>
  <c r="Z439"/>
  <c r="Q439"/>
  <c r="AC438"/>
  <c r="AD438" s="1"/>
  <c r="AB438"/>
  <c r="Z438"/>
  <c r="Q438"/>
  <c r="AC437"/>
  <c r="AD437" s="1"/>
  <c r="AB437"/>
  <c r="Z437"/>
  <c r="Q437"/>
  <c r="AC436"/>
  <c r="AD436" s="1"/>
  <c r="AB436"/>
  <c r="Z436"/>
  <c r="Q436"/>
  <c r="AC435"/>
  <c r="AD435" s="1"/>
  <c r="AB435"/>
  <c r="Z435"/>
  <c r="Q435"/>
  <c r="AC434"/>
  <c r="AD434" s="1"/>
  <c r="AB434"/>
  <c r="Z434"/>
  <c r="Q434"/>
  <c r="AC433"/>
  <c r="AD433" s="1"/>
  <c r="AB433"/>
  <c r="Z433"/>
  <c r="Q433"/>
  <c r="AC432"/>
  <c r="AD432" s="1"/>
  <c r="AB432"/>
  <c r="Z432"/>
  <c r="Q432"/>
  <c r="AC431"/>
  <c r="AD431" s="1"/>
  <c r="AB431"/>
  <c r="Z431"/>
  <c r="Q431"/>
  <c r="AC430"/>
  <c r="AD430" s="1"/>
  <c r="AB430"/>
  <c r="Z430"/>
  <c r="Q430"/>
  <c r="AC429"/>
  <c r="AD429" s="1"/>
  <c r="AB429"/>
  <c r="Z429"/>
  <c r="Q429"/>
  <c r="AC428"/>
  <c r="AD428" s="1"/>
  <c r="AB428"/>
  <c r="Z428"/>
  <c r="Q428"/>
  <c r="AC427"/>
  <c r="AD427" s="1"/>
  <c r="AB427"/>
  <c r="Z427"/>
  <c r="Q427"/>
  <c r="AC426"/>
  <c r="AD426" s="1"/>
  <c r="AB426"/>
  <c r="Z426"/>
  <c r="Q426"/>
  <c r="AC425"/>
  <c r="AD425" s="1"/>
  <c r="AB425"/>
  <c r="Z425"/>
  <c r="Q425"/>
  <c r="AC424"/>
  <c r="AD424" s="1"/>
  <c r="AB424"/>
  <c r="Z424"/>
  <c r="Q424"/>
  <c r="AC423"/>
  <c r="AD423" s="1"/>
  <c r="AB423"/>
  <c r="Z423"/>
  <c r="Q423"/>
  <c r="AC422"/>
  <c r="AD422" s="1"/>
  <c r="AB422"/>
  <c r="Z422"/>
  <c r="Q422"/>
  <c r="AC421"/>
  <c r="AD421" s="1"/>
  <c r="AB421"/>
  <c r="Z421"/>
  <c r="Q421"/>
  <c r="AC420"/>
  <c r="AD420" s="1"/>
  <c r="AB420"/>
  <c r="Z420"/>
  <c r="Q420"/>
  <c r="AC419"/>
  <c r="AD419" s="1"/>
  <c r="AB419"/>
  <c r="Z419"/>
  <c r="Q419"/>
  <c r="AC418"/>
  <c r="AD418" s="1"/>
  <c r="AB418"/>
  <c r="Z418"/>
  <c r="Q418"/>
  <c r="AC417"/>
  <c r="AD417" s="1"/>
  <c r="AB417"/>
  <c r="Z417"/>
  <c r="Q417"/>
  <c r="AC416"/>
  <c r="AD416" s="1"/>
  <c r="AB416"/>
  <c r="Z416"/>
  <c r="Q416"/>
  <c r="AC415"/>
  <c r="AD415" s="1"/>
  <c r="AB415"/>
  <c r="Z415"/>
  <c r="Q415"/>
  <c r="AC414"/>
  <c r="AD414" s="1"/>
  <c r="AB414"/>
  <c r="Z414"/>
  <c r="Q414"/>
  <c r="AC413"/>
  <c r="AD413" s="1"/>
  <c r="AB413"/>
  <c r="Z413"/>
  <c r="Q413"/>
  <c r="AC412"/>
  <c r="AD412" s="1"/>
  <c r="AB412"/>
  <c r="Z412"/>
  <c r="Q412"/>
  <c r="AC411"/>
  <c r="AD411" s="1"/>
  <c r="AB411"/>
  <c r="Z411"/>
  <c r="Q411"/>
  <c r="AC410"/>
  <c r="AD410" s="1"/>
  <c r="AB410"/>
  <c r="Z410"/>
  <c r="Q410"/>
  <c r="AC409"/>
  <c r="AD409" s="1"/>
  <c r="AB409"/>
  <c r="Z409"/>
  <c r="Q409"/>
  <c r="AC408"/>
  <c r="AD408" s="1"/>
  <c r="AB408"/>
  <c r="Z408"/>
  <c r="Q408"/>
  <c r="AC407"/>
  <c r="AD407" s="1"/>
  <c r="AB407"/>
  <c r="Z407"/>
  <c r="Q407"/>
  <c r="AC406"/>
  <c r="AD406" s="1"/>
  <c r="AB406"/>
  <c r="Z406"/>
  <c r="Q406"/>
  <c r="AC405"/>
  <c r="AD405" s="1"/>
  <c r="AB405"/>
  <c r="Z405"/>
  <c r="Q405"/>
  <c r="AC404"/>
  <c r="AD404" s="1"/>
  <c r="AB404"/>
  <c r="Z404"/>
  <c r="Q404"/>
  <c r="AC403"/>
  <c r="AD403" s="1"/>
  <c r="AB403"/>
  <c r="Z403"/>
  <c r="Q403"/>
  <c r="AC402"/>
  <c r="AD402" s="1"/>
  <c r="AB402"/>
  <c r="Z402"/>
  <c r="Q402"/>
  <c r="AC401"/>
  <c r="AD401" s="1"/>
  <c r="AB401"/>
  <c r="Z401"/>
  <c r="Q401"/>
  <c r="AC400"/>
  <c r="AD400" s="1"/>
  <c r="AB400"/>
  <c r="Z400"/>
  <c r="Q400"/>
  <c r="AC399"/>
  <c r="AD399" s="1"/>
  <c r="AB399"/>
  <c r="Z399"/>
  <c r="Q399"/>
  <c r="AC398"/>
  <c r="AD398" s="1"/>
  <c r="AB398"/>
  <c r="Z398"/>
  <c r="Q398"/>
  <c r="AC397"/>
  <c r="AD397" s="1"/>
  <c r="AB397"/>
  <c r="Z397"/>
  <c r="Q397"/>
  <c r="AC396"/>
  <c r="AD396" s="1"/>
  <c r="AB396"/>
  <c r="Z396"/>
  <c r="Q396"/>
  <c r="AC395"/>
  <c r="AD395" s="1"/>
  <c r="AB395"/>
  <c r="Z395"/>
  <c r="Q395"/>
  <c r="AC394"/>
  <c r="AD394" s="1"/>
  <c r="AB394"/>
  <c r="Z394"/>
  <c r="Q394"/>
  <c r="AC393"/>
  <c r="AD393" s="1"/>
  <c r="AB393"/>
  <c r="Z393"/>
  <c r="Q393"/>
  <c r="AC392"/>
  <c r="AD392" s="1"/>
  <c r="AB392"/>
  <c r="Z392"/>
  <c r="Q392"/>
  <c r="AC391"/>
  <c r="AD391" s="1"/>
  <c r="AB391"/>
  <c r="Z391"/>
  <c r="Q391"/>
  <c r="AC390"/>
  <c r="AD390" s="1"/>
  <c r="AB390"/>
  <c r="Z390"/>
  <c r="Q390"/>
  <c r="AC389"/>
  <c r="AD389" s="1"/>
  <c r="AB389"/>
  <c r="Z389"/>
  <c r="Q389"/>
  <c r="AC388"/>
  <c r="AD388" s="1"/>
  <c r="AB388"/>
  <c r="Z388"/>
  <c r="Q388"/>
  <c r="AC387"/>
  <c r="AD387" s="1"/>
  <c r="AB387"/>
  <c r="Z387"/>
  <c r="Q387"/>
  <c r="AC386"/>
  <c r="AD386" s="1"/>
  <c r="AB386"/>
  <c r="Z386"/>
  <c r="Q386"/>
  <c r="AC385"/>
  <c r="AD385" s="1"/>
  <c r="AB385"/>
  <c r="Z385"/>
  <c r="Q385"/>
  <c r="AC384"/>
  <c r="AD384" s="1"/>
  <c r="AB384"/>
  <c r="Z384"/>
  <c r="Q384"/>
  <c r="AC383"/>
  <c r="AD383" s="1"/>
  <c r="AB383"/>
  <c r="Z383"/>
  <c r="Q383"/>
  <c r="AC382"/>
  <c r="AD382" s="1"/>
  <c r="AB382"/>
  <c r="Z382"/>
  <c r="Q382"/>
  <c r="AC381"/>
  <c r="AD381" s="1"/>
  <c r="AB381"/>
  <c r="Z381"/>
  <c r="Q381"/>
  <c r="AC380"/>
  <c r="AD380" s="1"/>
  <c r="AB380"/>
  <c r="Z380"/>
  <c r="Q380"/>
  <c r="AC379"/>
  <c r="AD379" s="1"/>
  <c r="AB379"/>
  <c r="Z379"/>
  <c r="Q379"/>
  <c r="AC378"/>
  <c r="AD378" s="1"/>
  <c r="AB378"/>
  <c r="Z378"/>
  <c r="Q378"/>
  <c r="AC377"/>
  <c r="AD377" s="1"/>
  <c r="AB377"/>
  <c r="Z377"/>
  <c r="Q377"/>
  <c r="AC376"/>
  <c r="AD376" s="1"/>
  <c r="AB376"/>
  <c r="Z376"/>
  <c r="Q376"/>
  <c r="AC375"/>
  <c r="AD375" s="1"/>
  <c r="AB375"/>
  <c r="Z375"/>
  <c r="Q375"/>
  <c r="AC374"/>
  <c r="AD374" s="1"/>
  <c r="AB374"/>
  <c r="Z374"/>
  <c r="Q374"/>
  <c r="AC373"/>
  <c r="AD373" s="1"/>
  <c r="AB373"/>
  <c r="Z373"/>
  <c r="Q373"/>
  <c r="AC372"/>
  <c r="AD372" s="1"/>
  <c r="AB372"/>
  <c r="Z372"/>
  <c r="Q372"/>
  <c r="AC371"/>
  <c r="AD371" s="1"/>
  <c r="AB371"/>
  <c r="Z371"/>
  <c r="Q371"/>
  <c r="AC370"/>
  <c r="AD370" s="1"/>
  <c r="AB370"/>
  <c r="Z370"/>
  <c r="Q370"/>
  <c r="AC369"/>
  <c r="AD369" s="1"/>
  <c r="AB369"/>
  <c r="Z369"/>
  <c r="Q369"/>
  <c r="AC367"/>
  <c r="AD367" s="1"/>
  <c r="AB367"/>
  <c r="Z367"/>
  <c r="Q367"/>
  <c r="AC366"/>
  <c r="AD366" s="1"/>
  <c r="AB366"/>
  <c r="Z366"/>
  <c r="Q366"/>
  <c r="AC365"/>
  <c r="AD365" s="1"/>
  <c r="AB365"/>
  <c r="Z365"/>
  <c r="Q365"/>
  <c r="AC364"/>
  <c r="AD364" s="1"/>
  <c r="AB364"/>
  <c r="Z364"/>
  <c r="Q364"/>
  <c r="AC363"/>
  <c r="AD363" s="1"/>
  <c r="AB363"/>
  <c r="Z363"/>
  <c r="Q363"/>
  <c r="AC362"/>
  <c r="AD362" s="1"/>
  <c r="AB362"/>
  <c r="Z362"/>
  <c r="Q362"/>
  <c r="AC361"/>
  <c r="AD361" s="1"/>
  <c r="AB361"/>
  <c r="Z361"/>
  <c r="Q361"/>
  <c r="AC360"/>
  <c r="AD360" s="1"/>
  <c r="AB360"/>
  <c r="Z360"/>
  <c r="Q360"/>
  <c r="AC359"/>
  <c r="AD359" s="1"/>
  <c r="AB359"/>
  <c r="Z359"/>
  <c r="Q359"/>
  <c r="AC358"/>
  <c r="AD358" s="1"/>
  <c r="AB358"/>
  <c r="Z358"/>
  <c r="Q358"/>
  <c r="AC357"/>
  <c r="AD357" s="1"/>
  <c r="AB357"/>
  <c r="Z357"/>
  <c r="Q357"/>
  <c r="AC356"/>
  <c r="AD356" s="1"/>
  <c r="AB356"/>
  <c r="Z356"/>
  <c r="Q356"/>
  <c r="AC355"/>
  <c r="AD355" s="1"/>
  <c r="AB355"/>
  <c r="Z355"/>
  <c r="Q355"/>
  <c r="AC354"/>
  <c r="AD354" s="1"/>
  <c r="AB354"/>
  <c r="Z354"/>
  <c r="Q354"/>
  <c r="AC353"/>
  <c r="AD353" s="1"/>
  <c r="AB353"/>
  <c r="Z353"/>
  <c r="Q353"/>
  <c r="AC352"/>
  <c r="AD352" s="1"/>
  <c r="AB352"/>
  <c r="Z352"/>
  <c r="Q352"/>
  <c r="AC351"/>
  <c r="AD351" s="1"/>
  <c r="AB351"/>
  <c r="Z351"/>
  <c r="Q351"/>
  <c r="AC350"/>
  <c r="AD350" s="1"/>
  <c r="AB350"/>
  <c r="Z350"/>
  <c r="Q350"/>
  <c r="AC349"/>
  <c r="AD349" s="1"/>
  <c r="AB349"/>
  <c r="Z349"/>
  <c r="Q349"/>
  <c r="AC348"/>
  <c r="AD348" s="1"/>
  <c r="AB348"/>
  <c r="Z348"/>
  <c r="Q348"/>
  <c r="AC347"/>
  <c r="AD347" s="1"/>
  <c r="AB347"/>
  <c r="Z347"/>
  <c r="Q347"/>
  <c r="AC346"/>
  <c r="AD346" s="1"/>
  <c r="AB346"/>
  <c r="Z346"/>
  <c r="Q346"/>
  <c r="AC345"/>
  <c r="AD345" s="1"/>
  <c r="AB345"/>
  <c r="Z345"/>
  <c r="Q345"/>
  <c r="AC344"/>
  <c r="AD344" s="1"/>
  <c r="AB344"/>
  <c r="Z344"/>
  <c r="Q344"/>
  <c r="AC343"/>
  <c r="AD343" s="1"/>
  <c r="AB343"/>
  <c r="Z343"/>
  <c r="Q343"/>
  <c r="AC342"/>
  <c r="AD342" s="1"/>
  <c r="AB342"/>
  <c r="Z342"/>
  <c r="Q342"/>
  <c r="AC341"/>
  <c r="AD341" s="1"/>
  <c r="AB341"/>
  <c r="Z341"/>
  <c r="Q341"/>
  <c r="AC340"/>
  <c r="AD340" s="1"/>
  <c r="AB340"/>
  <c r="Z340"/>
  <c r="Q340"/>
  <c r="AC339"/>
  <c r="AD339" s="1"/>
  <c r="AB339"/>
  <c r="Z339"/>
  <c r="Q339"/>
  <c r="AC338"/>
  <c r="AD338" s="1"/>
  <c r="AB338"/>
  <c r="Z338"/>
  <c r="Q338"/>
  <c r="AC337"/>
  <c r="AD337" s="1"/>
  <c r="AB337"/>
  <c r="Z337"/>
  <c r="Q337"/>
  <c r="AC336"/>
  <c r="AD336" s="1"/>
  <c r="AB336"/>
  <c r="Z336"/>
  <c r="Q336"/>
  <c r="AC335"/>
  <c r="AD335" s="1"/>
  <c r="AB335"/>
  <c r="Z335"/>
  <c r="Q335"/>
  <c r="AC334"/>
  <c r="AD334" s="1"/>
  <c r="AB334"/>
  <c r="Z334"/>
  <c r="Q334"/>
  <c r="BG333"/>
  <c r="BF333"/>
  <c r="AC333"/>
  <c r="AD333" s="1"/>
  <c r="AB333"/>
  <c r="Z333"/>
  <c r="Q333"/>
  <c r="BG332"/>
  <c r="AJ332"/>
  <c r="AT332" s="1"/>
  <c r="AU332" s="1"/>
  <c r="AB332"/>
  <c r="BF331"/>
  <c r="AC331"/>
  <c r="AD331" s="1"/>
  <c r="AB331"/>
  <c r="Z331"/>
  <c r="Q331"/>
  <c r="AC330"/>
  <c r="AD330" s="1"/>
  <c r="AB330"/>
  <c r="Z330"/>
  <c r="Q330"/>
  <c r="AJ329"/>
  <c r="AT329" s="1"/>
  <c r="AU329" s="1"/>
  <c r="AC329"/>
  <c r="AD329" s="1"/>
  <c r="AB329"/>
  <c r="Z329"/>
  <c r="Q329"/>
  <c r="BG328"/>
  <c r="AT328"/>
  <c r="AU328" s="1"/>
  <c r="AC328"/>
  <c r="AD328" s="1"/>
  <c r="AB328"/>
  <c r="Z328"/>
  <c r="Q328"/>
  <c r="BF327"/>
  <c r="AJ327"/>
  <c r="AT327" s="1"/>
  <c r="AU327" s="1"/>
  <c r="AC327"/>
  <c r="AD327" s="1"/>
  <c r="AB327"/>
  <c r="Z327"/>
  <c r="Q327"/>
  <c r="BG326"/>
  <c r="AC326"/>
  <c r="AD326" s="1"/>
  <c r="AB326"/>
  <c r="Z326"/>
  <c r="Q326"/>
  <c r="AJ325"/>
  <c r="AT325" s="1"/>
  <c r="AU325" s="1"/>
  <c r="AC324"/>
  <c r="AD324" s="1"/>
  <c r="AB324"/>
  <c r="Z324"/>
  <c r="Q324"/>
  <c r="AC323"/>
  <c r="AD323" s="1"/>
  <c r="AB323"/>
  <c r="Z323"/>
  <c r="Q323"/>
  <c r="AJ322"/>
  <c r="AT322" s="1"/>
  <c r="AU322" s="1"/>
  <c r="AJ321"/>
  <c r="AT321" s="1"/>
  <c r="AU321" s="1"/>
  <c r="AJ320"/>
  <c r="AT320" s="1"/>
  <c r="AU320" s="1"/>
  <c r="AC320"/>
  <c r="AD320" s="1"/>
  <c r="AB320"/>
  <c r="Z320"/>
  <c r="Q320"/>
  <c r="AC319"/>
  <c r="AD319" s="1"/>
  <c r="AB319"/>
  <c r="Z319"/>
  <c r="Q319"/>
  <c r="AC318"/>
  <c r="AD318" s="1"/>
  <c r="AB318"/>
  <c r="Z318"/>
  <c r="Q318"/>
  <c r="AC317"/>
  <c r="AD317" s="1"/>
  <c r="AB317"/>
  <c r="Z317"/>
  <c r="Q317"/>
  <c r="AC316"/>
  <c r="AD316" s="1"/>
  <c r="AB316"/>
  <c r="Z316"/>
  <c r="Q316"/>
  <c r="AC315"/>
  <c r="AD315" s="1"/>
  <c r="AB315"/>
  <c r="Z315"/>
  <c r="Q315"/>
  <c r="BI220"/>
  <c r="BI219"/>
  <c r="BH219"/>
  <c r="BI217"/>
  <c r="BH217"/>
  <c r="BI216"/>
  <c r="BH216"/>
  <c r="BE185"/>
  <c r="AJ185"/>
  <c r="AT185" s="1"/>
  <c r="AU185" s="1"/>
  <c r="AC185"/>
  <c r="AD185" s="1"/>
  <c r="AB185"/>
  <c r="Z185"/>
  <c r="Q185"/>
  <c r="BE184"/>
  <c r="AJ184"/>
  <c r="AT184" s="1"/>
  <c r="AU184" s="1"/>
  <c r="AC184"/>
  <c r="AD184" s="1"/>
  <c r="AB184"/>
  <c r="Z184"/>
  <c r="AJ183"/>
  <c r="AT183" s="1"/>
  <c r="AU183" s="1"/>
  <c r="AC183"/>
  <c r="AD183" s="1"/>
  <c r="AB183"/>
  <c r="Z183"/>
  <c r="BE182"/>
  <c r="AJ182"/>
  <c r="AT182" s="1"/>
  <c r="AU182" s="1"/>
  <c r="AC182"/>
  <c r="AD182" s="1"/>
  <c r="AB182"/>
  <c r="Z182"/>
  <c r="Q182"/>
  <c r="BE181"/>
  <c r="AJ181"/>
  <c r="AT181" s="1"/>
  <c r="AU181" s="1"/>
  <c r="AC181"/>
  <c r="AD181" s="1"/>
  <c r="AB181"/>
  <c r="Z181"/>
  <c r="Q181"/>
  <c r="BE180"/>
  <c r="AJ180"/>
  <c r="AT180" s="1"/>
  <c r="AU180" s="1"/>
  <c r="AC180"/>
  <c r="AD180" s="1"/>
  <c r="AB180"/>
  <c r="Z180"/>
  <c r="Q180"/>
  <c r="BE179"/>
  <c r="AJ179"/>
  <c r="AT179" s="1"/>
  <c r="AU179" s="1"/>
  <c r="AC179"/>
  <c r="AD179" s="1"/>
  <c r="AB179"/>
  <c r="Z179"/>
  <c r="Q179"/>
  <c r="AJ178"/>
  <c r="AT178" s="1"/>
  <c r="AU178" s="1"/>
  <c r="AC178"/>
  <c r="AD178" s="1"/>
  <c r="AB178"/>
  <c r="Z178"/>
  <c r="Q178"/>
  <c r="BE177"/>
  <c r="AJ177"/>
  <c r="AT177" s="1"/>
  <c r="AU177" s="1"/>
  <c r="AC177"/>
  <c r="AD177" s="1"/>
  <c r="AB177"/>
  <c r="Z177"/>
  <c r="Q177"/>
  <c r="BE176"/>
  <c r="AJ176"/>
  <c r="AT176" s="1"/>
  <c r="AU176" s="1"/>
  <c r="AC176"/>
  <c r="AD176" s="1"/>
  <c r="AB176"/>
  <c r="Z176"/>
  <c r="Q176"/>
  <c r="BE175"/>
  <c r="AJ175"/>
  <c r="AT175" s="1"/>
  <c r="AU175" s="1"/>
  <c r="AC175"/>
  <c r="AD175" s="1"/>
  <c r="AB175"/>
  <c r="Z175"/>
  <c r="Q175"/>
  <c r="BE174"/>
  <c r="AJ174"/>
  <c r="AT174" s="1"/>
  <c r="AU174" s="1"/>
  <c r="AC174"/>
  <c r="AD174" s="1"/>
  <c r="AB174"/>
  <c r="Z174"/>
  <c r="Q174"/>
  <c r="AJ173"/>
  <c r="AT173" s="1"/>
  <c r="AU173" s="1"/>
  <c r="AC173"/>
  <c r="AD173" s="1"/>
  <c r="AB173"/>
  <c r="Z173"/>
  <c r="Q173"/>
  <c r="BE172"/>
  <c r="AJ172"/>
  <c r="AT172" s="1"/>
  <c r="AU172" s="1"/>
  <c r="AC172"/>
  <c r="AD172" s="1"/>
  <c r="AB172"/>
  <c r="Z172"/>
  <c r="Q172"/>
  <c r="BE171"/>
  <c r="AJ171"/>
  <c r="AT171" s="1"/>
  <c r="AU171" s="1"/>
  <c r="AC171"/>
  <c r="AD171" s="1"/>
  <c r="AB171"/>
  <c r="Z171"/>
  <c r="Q171"/>
  <c r="BE170"/>
  <c r="AJ170"/>
  <c r="AT170" s="1"/>
  <c r="AU170" s="1"/>
  <c r="AC170"/>
  <c r="AD170" s="1"/>
  <c r="AB170"/>
  <c r="Z170"/>
  <c r="Q170"/>
  <c r="AJ169"/>
  <c r="AT169" s="1"/>
  <c r="AU169" s="1"/>
  <c r="AC169"/>
  <c r="AD169" s="1"/>
  <c r="AB169"/>
  <c r="Z169"/>
  <c r="Q169"/>
  <c r="BE168"/>
  <c r="AJ168"/>
  <c r="AT168" s="1"/>
  <c r="AU168" s="1"/>
  <c r="AC168"/>
  <c r="AD168" s="1"/>
  <c r="AB168"/>
  <c r="Z168"/>
  <c r="Q168"/>
  <c r="BE167"/>
  <c r="AJ167"/>
  <c r="AT167" s="1"/>
  <c r="AU167" s="1"/>
  <c r="AC167"/>
  <c r="AD167" s="1"/>
  <c r="AB167"/>
  <c r="Z167"/>
  <c r="Q167"/>
  <c r="BE166"/>
  <c r="AJ166"/>
  <c r="AT166" s="1"/>
  <c r="AU166" s="1"/>
  <c r="AC166"/>
  <c r="AD166" s="1"/>
  <c r="AB166"/>
  <c r="Z166"/>
  <c r="Q166"/>
  <c r="BE165"/>
  <c r="AJ165"/>
  <c r="AT165" s="1"/>
  <c r="AU165" s="1"/>
  <c r="AC165"/>
  <c r="AD165" s="1"/>
  <c r="AB165"/>
  <c r="Z165"/>
  <c r="Q165"/>
  <c r="BE164"/>
  <c r="AJ164"/>
  <c r="AT164" s="1"/>
  <c r="AU164" s="1"/>
  <c r="AC164"/>
  <c r="AD164" s="1"/>
  <c r="AB164"/>
  <c r="Z164"/>
  <c r="Q164"/>
  <c r="BE163"/>
  <c r="AJ163"/>
  <c r="AT163" s="1"/>
  <c r="AU163" s="1"/>
  <c r="AC163"/>
  <c r="AD163" s="1"/>
  <c r="AB163"/>
  <c r="Z163"/>
  <c r="Q163"/>
  <c r="AJ162"/>
  <c r="AT162" s="1"/>
  <c r="AU162" s="1"/>
  <c r="AC162"/>
  <c r="AD162" s="1"/>
  <c r="AB162"/>
  <c r="Z162"/>
  <c r="Q162"/>
  <c r="BE161"/>
  <c r="AJ161"/>
  <c r="AT161" s="1"/>
  <c r="AU161" s="1"/>
  <c r="AC161"/>
  <c r="AD161" s="1"/>
  <c r="AB161"/>
  <c r="BE160"/>
  <c r="AJ160"/>
  <c r="AT160" s="1"/>
  <c r="AU160" s="1"/>
  <c r="AC160"/>
  <c r="AD160" s="1"/>
  <c r="AB160"/>
  <c r="BE159"/>
  <c r="AJ159"/>
  <c r="AT159" s="1"/>
  <c r="AU159" s="1"/>
  <c r="AC159"/>
  <c r="AD159" s="1"/>
  <c r="AB159"/>
  <c r="Z159"/>
  <c r="AJ158"/>
  <c r="AT158" s="1"/>
  <c r="AU158" s="1"/>
  <c r="AC158"/>
  <c r="AD158" s="1"/>
  <c r="AB158"/>
  <c r="Z158"/>
  <c r="Q158"/>
  <c r="BE157"/>
  <c r="AJ157"/>
  <c r="AT157" s="1"/>
  <c r="AU157" s="1"/>
  <c r="AC157"/>
  <c r="AD157" s="1"/>
  <c r="AB157"/>
  <c r="Z157"/>
  <c r="Q157"/>
  <c r="BE156"/>
  <c r="AJ156"/>
  <c r="AT156" s="1"/>
  <c r="AU156" s="1"/>
  <c r="AC156"/>
  <c r="AD156" s="1"/>
  <c r="AB156"/>
  <c r="Z156"/>
  <c r="Q156"/>
  <c r="BE155"/>
  <c r="AJ155"/>
  <c r="AT155" s="1"/>
  <c r="AU155" s="1"/>
  <c r="AC155"/>
  <c r="AD155" s="1"/>
  <c r="AB155"/>
  <c r="Z155"/>
  <c r="Q155"/>
  <c r="AJ154"/>
  <c r="AT154" s="1"/>
  <c r="AU154" s="1"/>
  <c r="AC154"/>
  <c r="AD154" s="1"/>
  <c r="AB154"/>
  <c r="Z154"/>
  <c r="Q154"/>
  <c r="BE153"/>
  <c r="AJ153"/>
  <c r="AT153" s="1"/>
  <c r="AU153" s="1"/>
  <c r="AC153"/>
  <c r="AD153" s="1"/>
  <c r="AB153"/>
  <c r="Z153"/>
  <c r="Q153"/>
  <c r="BE152"/>
  <c r="AJ152"/>
  <c r="AT152" s="1"/>
  <c r="AU152" s="1"/>
  <c r="AC152"/>
  <c r="AD152" s="1"/>
  <c r="AB152"/>
  <c r="Z152"/>
  <c r="Q152"/>
  <c r="BE151"/>
  <c r="AJ151"/>
  <c r="AT151" s="1"/>
  <c r="AU151" s="1"/>
  <c r="AC151"/>
  <c r="AD151" s="1"/>
  <c r="AB151"/>
  <c r="Z151"/>
  <c r="Q151"/>
  <c r="BE150"/>
  <c r="AJ150"/>
  <c r="AT150" s="1"/>
  <c r="AU150" s="1"/>
  <c r="AC150"/>
  <c r="AD150" s="1"/>
  <c r="AB150"/>
  <c r="Z150"/>
  <c r="Q150"/>
  <c r="BE149"/>
  <c r="AJ149"/>
  <c r="AT149" s="1"/>
  <c r="AU149" s="1"/>
  <c r="AC149"/>
  <c r="AD149" s="1"/>
  <c r="AB149"/>
  <c r="Z149"/>
  <c r="Q149"/>
  <c r="BE148"/>
  <c r="AJ148"/>
  <c r="AT148" s="1"/>
  <c r="AU148" s="1"/>
  <c r="AC148"/>
  <c r="AD148" s="1"/>
  <c r="AB148"/>
  <c r="Z148"/>
  <c r="Q148"/>
  <c r="AJ147"/>
  <c r="AT147" s="1"/>
  <c r="AU147" s="1"/>
  <c r="AC147"/>
  <c r="AD147" s="1"/>
  <c r="AB147"/>
  <c r="Z147"/>
  <c r="Q147"/>
  <c r="BE146"/>
  <c r="AJ146"/>
  <c r="AT146" s="1"/>
  <c r="AU146" s="1"/>
  <c r="AC146"/>
  <c r="AD146" s="1"/>
  <c r="Z146"/>
  <c r="Q146"/>
  <c r="BE145"/>
  <c r="AJ145"/>
  <c r="AT145" s="1"/>
  <c r="AU145" s="1"/>
  <c r="AC145"/>
  <c r="AD145" s="1"/>
  <c r="Z145"/>
  <c r="Q145"/>
  <c r="AJ144"/>
  <c r="AT144" s="1"/>
  <c r="AU144" s="1"/>
  <c r="AA144"/>
  <c r="AB144" s="1"/>
  <c r="Z144"/>
  <c r="Q144"/>
  <c r="BE143"/>
  <c r="AJ143"/>
  <c r="AT143" s="1"/>
  <c r="AU143" s="1"/>
  <c r="AC143"/>
  <c r="AD143" s="1"/>
  <c r="AB143"/>
  <c r="Z143"/>
  <c r="Q143"/>
  <c r="BE142"/>
  <c r="AJ142"/>
  <c r="AT142" s="1"/>
  <c r="AU142" s="1"/>
  <c r="AC142"/>
  <c r="AD142" s="1"/>
  <c r="AB142"/>
  <c r="Z142"/>
  <c r="Q142"/>
  <c r="AJ141"/>
  <c r="AT141" s="1"/>
  <c r="AU141" s="1"/>
  <c r="AC141"/>
  <c r="AD141" s="1"/>
  <c r="AB141"/>
  <c r="Z141"/>
  <c r="Q141"/>
  <c r="BE140"/>
  <c r="AJ140"/>
  <c r="AT140" s="1"/>
  <c r="AU140" s="1"/>
  <c r="AC140"/>
  <c r="AD140" s="1"/>
  <c r="AB140"/>
  <c r="Z140"/>
  <c r="Q140"/>
  <c r="BE139"/>
  <c r="AJ139"/>
  <c r="AT139" s="1"/>
  <c r="AU139" s="1"/>
  <c r="AC139"/>
  <c r="AD139" s="1"/>
  <c r="AB139"/>
  <c r="Z139"/>
  <c r="Q139"/>
  <c r="BE138"/>
  <c r="AJ138"/>
  <c r="AT138" s="1"/>
  <c r="AU138" s="1"/>
  <c r="AC138"/>
  <c r="AD138" s="1"/>
  <c r="AB138"/>
  <c r="Z138"/>
  <c r="Q138"/>
  <c r="BE137"/>
  <c r="AJ137"/>
  <c r="AT137" s="1"/>
  <c r="AU137" s="1"/>
  <c r="AC137"/>
  <c r="AD137" s="1"/>
  <c r="AB137"/>
  <c r="Z137"/>
  <c r="Q137"/>
  <c r="BE136"/>
  <c r="AJ136"/>
  <c r="AT136" s="1"/>
  <c r="AU136" s="1"/>
  <c r="AC136"/>
  <c r="AD136" s="1"/>
  <c r="AB136"/>
  <c r="Z136"/>
  <c r="Q136"/>
  <c r="AJ135"/>
  <c r="AT135" s="1"/>
  <c r="AU135" s="1"/>
  <c r="AC135"/>
  <c r="AD135" s="1"/>
  <c r="AB135"/>
  <c r="Z135"/>
  <c r="Q135"/>
  <c r="BE134"/>
  <c r="AJ134"/>
  <c r="AT134" s="1"/>
  <c r="AU134" s="1"/>
  <c r="AC134"/>
  <c r="AD134" s="1"/>
  <c r="AB134"/>
  <c r="Z134"/>
  <c r="Q134"/>
  <c r="BE133"/>
  <c r="AJ133"/>
  <c r="AT133" s="1"/>
  <c r="AU133" s="1"/>
  <c r="AC133"/>
  <c r="AD133" s="1"/>
  <c r="AB133"/>
  <c r="Z133"/>
  <c r="Q133"/>
  <c r="BE132"/>
  <c r="AJ132"/>
  <c r="AT132" s="1"/>
  <c r="AU132" s="1"/>
  <c r="AC132"/>
  <c r="AD132" s="1"/>
  <c r="AB132"/>
  <c r="Z132"/>
  <c r="Q132"/>
  <c r="BE131"/>
  <c r="AJ131"/>
  <c r="AT131" s="1"/>
  <c r="AU131" s="1"/>
  <c r="AC131"/>
  <c r="AD131" s="1"/>
  <c r="AB131"/>
  <c r="Z131"/>
  <c r="Q131"/>
  <c r="BE130"/>
  <c r="AJ130"/>
  <c r="AT130" s="1"/>
  <c r="AU130" s="1"/>
  <c r="AC130"/>
  <c r="AD130" s="1"/>
  <c r="AB130"/>
  <c r="Z130"/>
  <c r="Q130"/>
  <c r="AJ129"/>
  <c r="AT129" s="1"/>
  <c r="AU129" s="1"/>
  <c r="AC129"/>
  <c r="AD129" s="1"/>
  <c r="AB129"/>
  <c r="Z129"/>
  <c r="Q129"/>
  <c r="BE128"/>
  <c r="AJ128"/>
  <c r="AT128" s="1"/>
  <c r="AU128" s="1"/>
  <c r="AC128"/>
  <c r="AD128" s="1"/>
  <c r="AB128"/>
  <c r="Z128"/>
  <c r="Q128"/>
  <c r="BE127"/>
  <c r="AJ127"/>
  <c r="AT127" s="1"/>
  <c r="AU127" s="1"/>
  <c r="AC127"/>
  <c r="AD127" s="1"/>
  <c r="AB127"/>
  <c r="Z127"/>
  <c r="Q127"/>
  <c r="BE126"/>
  <c r="AJ126"/>
  <c r="AT126" s="1"/>
  <c r="AU126" s="1"/>
  <c r="AC126"/>
  <c r="AD126" s="1"/>
  <c r="AB126"/>
  <c r="Z126"/>
  <c r="Q126"/>
  <c r="BE125"/>
  <c r="AJ125"/>
  <c r="AT125" s="1"/>
  <c r="AU125" s="1"/>
  <c r="AC125"/>
  <c r="AD125" s="1"/>
  <c r="AB125"/>
  <c r="Z125"/>
  <c r="Q125"/>
  <c r="BE124"/>
  <c r="AJ124"/>
  <c r="AT124" s="1"/>
  <c r="AU124" s="1"/>
  <c r="AC124"/>
  <c r="AD124" s="1"/>
  <c r="AB124"/>
  <c r="Z124"/>
  <c r="Q124"/>
  <c r="AJ123"/>
  <c r="AT123" s="1"/>
  <c r="AU123" s="1"/>
  <c r="AC123"/>
  <c r="AD123" s="1"/>
  <c r="AB123"/>
  <c r="Z123"/>
  <c r="Q123"/>
  <c r="BE122"/>
  <c r="AJ122"/>
  <c r="AT122" s="1"/>
  <c r="AU122" s="1"/>
  <c r="AC122"/>
  <c r="AD122" s="1"/>
  <c r="AB122"/>
  <c r="Z122"/>
  <c r="Q122"/>
  <c r="BE121"/>
  <c r="AJ121"/>
  <c r="AT121" s="1"/>
  <c r="AU121" s="1"/>
  <c r="AC121"/>
  <c r="AD121" s="1"/>
  <c r="AB121"/>
  <c r="Z121"/>
  <c r="Q121"/>
  <c r="BE120"/>
  <c r="AJ120"/>
  <c r="AT120" s="1"/>
  <c r="AU120" s="1"/>
  <c r="AC120"/>
  <c r="AD120" s="1"/>
  <c r="AB120"/>
  <c r="Z120"/>
  <c r="Q120"/>
  <c r="AJ119"/>
  <c r="AT119" s="1"/>
  <c r="AU119" s="1"/>
  <c r="AC119"/>
  <c r="AD119" s="1"/>
  <c r="Z119"/>
  <c r="Q119"/>
  <c r="AJ118"/>
  <c r="AT118" s="1"/>
  <c r="AU118" s="1"/>
  <c r="AC118"/>
  <c r="AD118" s="1"/>
  <c r="AB118"/>
  <c r="BE117"/>
  <c r="AJ117"/>
  <c r="AT117" s="1"/>
  <c r="AU117" s="1"/>
  <c r="AC117"/>
  <c r="AD117" s="1"/>
  <c r="AB117"/>
  <c r="BE116"/>
  <c r="AJ116"/>
  <c r="AT116" s="1"/>
  <c r="AU116" s="1"/>
  <c r="AC116"/>
  <c r="AD116" s="1"/>
  <c r="AB116"/>
  <c r="BE115"/>
  <c r="AJ115"/>
  <c r="AT115" s="1"/>
  <c r="AU115" s="1"/>
  <c r="AC115"/>
  <c r="AD115" s="1"/>
  <c r="AB115"/>
  <c r="AJ114"/>
  <c r="AT114" s="1"/>
  <c r="AU114" s="1"/>
  <c r="AC114"/>
  <c r="AD114" s="1"/>
  <c r="AB114"/>
  <c r="Z114"/>
  <c r="Q114"/>
  <c r="BE113"/>
  <c r="AJ113"/>
  <c r="AT113" s="1"/>
  <c r="AU113" s="1"/>
  <c r="AC113"/>
  <c r="AD113" s="1"/>
  <c r="AB113"/>
  <c r="Z113"/>
  <c r="Q113"/>
  <c r="AJ112"/>
  <c r="AT112" s="1"/>
  <c r="AU112" s="1"/>
  <c r="AC112"/>
  <c r="AD112" s="1"/>
  <c r="BE111"/>
  <c r="AJ111"/>
  <c r="AT111" s="1"/>
  <c r="AU111" s="1"/>
  <c r="AC111"/>
  <c r="AD111" s="1"/>
  <c r="Z111"/>
  <c r="Q111"/>
  <c r="BE110"/>
  <c r="AJ110"/>
  <c r="AT110" s="1"/>
  <c r="AU110" s="1"/>
  <c r="AC110"/>
  <c r="AD110" s="1"/>
  <c r="Z110"/>
  <c r="Q110"/>
  <c r="BE109"/>
  <c r="AJ109"/>
  <c r="AT109" s="1"/>
  <c r="AU109" s="1"/>
  <c r="AC109"/>
  <c r="AD109" s="1"/>
  <c r="Z109"/>
  <c r="Q109"/>
  <c r="BE108"/>
  <c r="AJ108"/>
  <c r="AT108" s="1"/>
  <c r="AU108" s="1"/>
  <c r="AC108"/>
  <c r="AD108" s="1"/>
  <c r="Z108"/>
  <c r="Q108"/>
  <c r="BE107"/>
  <c r="AJ107"/>
  <c r="AT107" s="1"/>
  <c r="AU107" s="1"/>
  <c r="AC107"/>
  <c r="AD107" s="1"/>
  <c r="Z107"/>
  <c r="Q107"/>
  <c r="AJ106"/>
  <c r="AT106" s="1"/>
  <c r="AU106" s="1"/>
  <c r="AC106"/>
  <c r="AD106" s="1"/>
  <c r="AB106"/>
  <c r="Z106"/>
  <c r="Q106"/>
  <c r="BF105"/>
  <c r="AJ105"/>
  <c r="AT105" s="1"/>
  <c r="AU105" s="1"/>
  <c r="AC105"/>
  <c r="AD105" s="1"/>
  <c r="AB105"/>
  <c r="Z105"/>
  <c r="Q105"/>
  <c r="AC104"/>
  <c r="AD104" s="1"/>
  <c r="AB104"/>
  <c r="Z104"/>
  <c r="Q104"/>
  <c r="AC103"/>
  <c r="AD103" s="1"/>
  <c r="AB103"/>
  <c r="Z103"/>
  <c r="Q103"/>
  <c r="AC102"/>
  <c r="AD102" s="1"/>
  <c r="AB102"/>
  <c r="Z102"/>
  <c r="Q102"/>
  <c r="AC101"/>
  <c r="AD101" s="1"/>
  <c r="AB101"/>
  <c r="Z101"/>
  <c r="Q101"/>
  <c r="AC100"/>
  <c r="AD100" s="1"/>
  <c r="AB100"/>
  <c r="Z100"/>
  <c r="Q100"/>
  <c r="AC99"/>
  <c r="AD99" s="1"/>
  <c r="AB99"/>
  <c r="Z99"/>
  <c r="Q99"/>
  <c r="AC98"/>
  <c r="AD98" s="1"/>
  <c r="AB98"/>
  <c r="Z98"/>
  <c r="Q98"/>
  <c r="AC97"/>
  <c r="AD97" s="1"/>
  <c r="AB97"/>
  <c r="Z97"/>
  <c r="Q97"/>
  <c r="AC96"/>
  <c r="AD96" s="1"/>
  <c r="AB96"/>
  <c r="Z96"/>
  <c r="Q96"/>
  <c r="AC95"/>
  <c r="AD95" s="1"/>
  <c r="AB95"/>
  <c r="Z95"/>
  <c r="Q95"/>
  <c r="AC94"/>
  <c r="AD94" s="1"/>
  <c r="AB94"/>
  <c r="Z94"/>
  <c r="Q94"/>
  <c r="AC93"/>
  <c r="AD93" s="1"/>
  <c r="AB93"/>
  <c r="Z93"/>
  <c r="Q93"/>
  <c r="AC92"/>
  <c r="AD92" s="1"/>
  <c r="AB92"/>
  <c r="Z92"/>
  <c r="Q92"/>
  <c r="AC91"/>
  <c r="AD91" s="1"/>
  <c r="AB91"/>
  <c r="Z91"/>
  <c r="Q91"/>
  <c r="BG90"/>
  <c r="AC90"/>
  <c r="AD90" s="1"/>
  <c r="AB90"/>
  <c r="Z90"/>
  <c r="AC89"/>
  <c r="AD89" s="1"/>
  <c r="AB89"/>
  <c r="Z89"/>
  <c r="Q89"/>
  <c r="AC88"/>
  <c r="AD88" s="1"/>
  <c r="AB88"/>
  <c r="Z88"/>
  <c r="Q88"/>
  <c r="AC87"/>
  <c r="AD87" s="1"/>
  <c r="AB87"/>
  <c r="Z87"/>
  <c r="Q87"/>
  <c r="AC86"/>
  <c r="AD86" s="1"/>
  <c r="AB86"/>
  <c r="Z86"/>
  <c r="Q86"/>
  <c r="AC85"/>
  <c r="AD85" s="1"/>
  <c r="AB85"/>
  <c r="Z85"/>
  <c r="Q85"/>
  <c r="AC84"/>
  <c r="AD84" s="1"/>
  <c r="AB84"/>
  <c r="Z84"/>
  <c r="Q84"/>
  <c r="AC83"/>
  <c r="AD83" s="1"/>
  <c r="AB83"/>
  <c r="Z83"/>
  <c r="Q83"/>
  <c r="AC82"/>
  <c r="AD82" s="1"/>
  <c r="AB82"/>
  <c r="Z82"/>
  <c r="Q82"/>
  <c r="AC81"/>
  <c r="AD81" s="1"/>
  <c r="AB81"/>
  <c r="Z81"/>
  <c r="Q81"/>
  <c r="AC80"/>
  <c r="AD80" s="1"/>
  <c r="AB80"/>
  <c r="Z80"/>
  <c r="Q80"/>
  <c r="AC79"/>
  <c r="AD79" s="1"/>
  <c r="AB79"/>
  <c r="Z79"/>
  <c r="Q79"/>
  <c r="AC78"/>
  <c r="AD78" s="1"/>
  <c r="AB78"/>
  <c r="Z78"/>
  <c r="Q78"/>
  <c r="AC77"/>
  <c r="AD77" s="1"/>
  <c r="AB77"/>
  <c r="Z77"/>
  <c r="Q77"/>
  <c r="AC76"/>
  <c r="AD76" s="1"/>
  <c r="AB76"/>
  <c r="Z76"/>
  <c r="Q76"/>
  <c r="AC75"/>
  <c r="AD75" s="1"/>
  <c r="AB75"/>
  <c r="Z75"/>
  <c r="Q75"/>
  <c r="BG74"/>
  <c r="AC74"/>
  <c r="AD74" s="1"/>
  <c r="AB74"/>
  <c r="Z74"/>
  <c r="Q74"/>
  <c r="AC73"/>
  <c r="AD73" s="1"/>
  <c r="AB73"/>
  <c r="Z73"/>
  <c r="Q73"/>
  <c r="AC72"/>
  <c r="AD72" s="1"/>
  <c r="AB72"/>
  <c r="Z72"/>
  <c r="Q72"/>
  <c r="AC71"/>
  <c r="AD71" s="1"/>
  <c r="AB71"/>
  <c r="Z71"/>
  <c r="Q71"/>
  <c r="AC70"/>
  <c r="AD70" s="1"/>
  <c r="AB70"/>
  <c r="Z70"/>
  <c r="Q70"/>
  <c r="AC69"/>
  <c r="AD69" s="1"/>
  <c r="AB69"/>
  <c r="Z69"/>
  <c r="Q69"/>
  <c r="AC68"/>
  <c r="AD68" s="1"/>
  <c r="AB68"/>
  <c r="Z68"/>
  <c r="Q68"/>
  <c r="AC67"/>
  <c r="AD67" s="1"/>
  <c r="AB67"/>
  <c r="Z67"/>
  <c r="Q67"/>
  <c r="AC66"/>
  <c r="AD66" s="1"/>
  <c r="AB66"/>
  <c r="Z66"/>
  <c r="Q66"/>
  <c r="AC65"/>
  <c r="AD65" s="1"/>
  <c r="AB65"/>
  <c r="Z65"/>
  <c r="Q65"/>
  <c r="AC64"/>
  <c r="AD64" s="1"/>
  <c r="AB64"/>
  <c r="Z64"/>
  <c r="Q64"/>
  <c r="AC63"/>
  <c r="AD63" s="1"/>
  <c r="AB63"/>
  <c r="Z63"/>
  <c r="Q63"/>
  <c r="AC62"/>
  <c r="AD62" s="1"/>
  <c r="AB62"/>
  <c r="Z62"/>
  <c r="Q62"/>
  <c r="AC61"/>
  <c r="AD61" s="1"/>
  <c r="AB61"/>
  <c r="Z61"/>
  <c r="Q61"/>
  <c r="AC60"/>
  <c r="AD60" s="1"/>
  <c r="AB60"/>
  <c r="Z60"/>
  <c r="Q60"/>
  <c r="AC59"/>
  <c r="AD59" s="1"/>
  <c r="AB59"/>
  <c r="Z59"/>
  <c r="Q59"/>
  <c r="AC58"/>
  <c r="AD58" s="1"/>
  <c r="AB58"/>
  <c r="Z58"/>
  <c r="Q58"/>
  <c r="AC57"/>
  <c r="AD57" s="1"/>
  <c r="AB57"/>
  <c r="Z57"/>
  <c r="Q57"/>
  <c r="AC56"/>
  <c r="AD56" s="1"/>
  <c r="AB56"/>
  <c r="Z56"/>
  <c r="Q56"/>
  <c r="AC55"/>
  <c r="AD55" s="1"/>
  <c r="AB55"/>
  <c r="Z55"/>
  <c r="Q55"/>
  <c r="AC54"/>
  <c r="AD54" s="1"/>
  <c r="AB54"/>
  <c r="Z54"/>
  <c r="Q54"/>
  <c r="AC53"/>
  <c r="AD53" s="1"/>
  <c r="AB53"/>
  <c r="Z53"/>
  <c r="Q53"/>
  <c r="AC52"/>
  <c r="AD52" s="1"/>
  <c r="AB52"/>
  <c r="Z52"/>
  <c r="Q52"/>
  <c r="AC51"/>
  <c r="AD51" s="1"/>
  <c r="AB51"/>
  <c r="Z51"/>
  <c r="Q51"/>
  <c r="AC50"/>
  <c r="AD50" s="1"/>
  <c r="AB50"/>
  <c r="Z50"/>
  <c r="Q50"/>
  <c r="AC49"/>
  <c r="AD49" s="1"/>
  <c r="AB49"/>
  <c r="Z49"/>
  <c r="Q49"/>
  <c r="AC48"/>
  <c r="AD48" s="1"/>
  <c r="AB48"/>
  <c r="Z48"/>
  <c r="Q48"/>
  <c r="AC47"/>
  <c r="AD47" s="1"/>
  <c r="AB47"/>
  <c r="Z47"/>
  <c r="Q47"/>
  <c r="AC46"/>
  <c r="AD46" s="1"/>
  <c r="AB46"/>
  <c r="Z46"/>
  <c r="Q46"/>
  <c r="AC45"/>
  <c r="AD45" s="1"/>
  <c r="AB45"/>
  <c r="Z45"/>
  <c r="Q45"/>
  <c r="AC44"/>
  <c r="AD44" s="1"/>
  <c r="AB44"/>
  <c r="Z44"/>
  <c r="Q44"/>
  <c r="AC43"/>
  <c r="AD43" s="1"/>
  <c r="AB43"/>
  <c r="Z43"/>
  <c r="Q43"/>
  <c r="AC42"/>
  <c r="AD42" s="1"/>
  <c r="AB42"/>
  <c r="Z42"/>
  <c r="Q42"/>
  <c r="AC41"/>
  <c r="AD41" s="1"/>
  <c r="AB41"/>
  <c r="Z41"/>
  <c r="Q41"/>
  <c r="AC40"/>
  <c r="AD40" s="1"/>
  <c r="AB40"/>
  <c r="Z40"/>
  <c r="Q40"/>
  <c r="AC39"/>
  <c r="AD39" s="1"/>
  <c r="AB39"/>
  <c r="Z39"/>
  <c r="Q39"/>
  <c r="AC38"/>
  <c r="AD38" s="1"/>
  <c r="AB38"/>
  <c r="Z38"/>
  <c r="Q38"/>
  <c r="AC37"/>
  <c r="AD37" s="1"/>
  <c r="AB37"/>
  <c r="Z37"/>
  <c r="Q37"/>
  <c r="AC36"/>
  <c r="AD36" s="1"/>
  <c r="AB36"/>
  <c r="Z36"/>
  <c r="Q36"/>
  <c r="AC35"/>
  <c r="AD35" s="1"/>
  <c r="AB35"/>
  <c r="Z35"/>
  <c r="Q35"/>
  <c r="AC34"/>
  <c r="AD34" s="1"/>
  <c r="AB34"/>
  <c r="Z34"/>
  <c r="Q34"/>
  <c r="AC33"/>
  <c r="AD33" s="1"/>
  <c r="AB33"/>
  <c r="Z33"/>
  <c r="Q33"/>
  <c r="AC32"/>
  <c r="AD32" s="1"/>
  <c r="AB32"/>
  <c r="Z32"/>
  <c r="Q32"/>
  <c r="AC31"/>
  <c r="AD31" s="1"/>
  <c r="AB31"/>
  <c r="Z31"/>
  <c r="Q31"/>
  <c r="AC30"/>
  <c r="AD30" s="1"/>
  <c r="AB30"/>
  <c r="Z30"/>
  <c r="Q30"/>
  <c r="AC29"/>
  <c r="AD29" s="1"/>
  <c r="AB29"/>
  <c r="Z29"/>
  <c r="Q29"/>
  <c r="AC28"/>
  <c r="AD28" s="1"/>
  <c r="AB28"/>
  <c r="Z28"/>
  <c r="Q28"/>
  <c r="AC27"/>
  <c r="AD27" s="1"/>
  <c r="AB27"/>
  <c r="Z27"/>
  <c r="Q27"/>
  <c r="AC26"/>
  <c r="AD26" s="1"/>
  <c r="AB26"/>
  <c r="Z26"/>
  <c r="Q26"/>
  <c r="AC25"/>
  <c r="AD25" s="1"/>
  <c r="AB25"/>
  <c r="Z25"/>
  <c r="Q25"/>
  <c r="AC24"/>
  <c r="AD24" s="1"/>
  <c r="AB24"/>
  <c r="Z24"/>
  <c r="Q24"/>
  <c r="AC23"/>
  <c r="AD23" s="1"/>
  <c r="AB23"/>
  <c r="Z23"/>
  <c r="Q23"/>
  <c r="AC22"/>
  <c r="AD22" s="1"/>
  <c r="AB22"/>
  <c r="Z22"/>
  <c r="Q22"/>
  <c r="AC21"/>
  <c r="AD21" s="1"/>
  <c r="AB21"/>
  <c r="Z21"/>
  <c r="Q21"/>
  <c r="AC20"/>
  <c r="AD20" s="1"/>
  <c r="AB20"/>
  <c r="Z20"/>
  <c r="Q20"/>
  <c r="AC19"/>
  <c r="AD19" s="1"/>
  <c r="AB19"/>
  <c r="Z19"/>
  <c r="Q19"/>
  <c r="AC18"/>
  <c r="AD18" s="1"/>
  <c r="AB18"/>
  <c r="Z18"/>
  <c r="Q18"/>
  <c r="AC17"/>
  <c r="AD17" s="1"/>
  <c r="AB17"/>
  <c r="Z17"/>
  <c r="Q17"/>
  <c r="AC16"/>
  <c r="AD16" s="1"/>
  <c r="AB16"/>
  <c r="Z16"/>
  <c r="Q16"/>
  <c r="AC15"/>
  <c r="AD15" s="1"/>
  <c r="AB15"/>
  <c r="Z15"/>
  <c r="Q15"/>
  <c r="AC14"/>
  <c r="AD14" s="1"/>
  <c r="AB14"/>
  <c r="Z14"/>
  <c r="Q14"/>
  <c r="AC13"/>
  <c r="AD13" s="1"/>
  <c r="AB13"/>
  <c r="Z13"/>
  <c r="Q13"/>
  <c r="AC12"/>
  <c r="AD12" s="1"/>
  <c r="AB12"/>
  <c r="Z12"/>
  <c r="Q12"/>
  <c r="AC11"/>
  <c r="AD11" s="1"/>
  <c r="AB11"/>
  <c r="Z11"/>
  <c r="Q11"/>
  <c r="AC10"/>
  <c r="AD10" s="1"/>
  <c r="AB10"/>
  <c r="Z10"/>
  <c r="Q10"/>
  <c r="AC9"/>
  <c r="AD9" s="1"/>
  <c r="AB9"/>
  <c r="Z9"/>
  <c r="Q9"/>
  <c r="BF8"/>
  <c r="AJ8"/>
  <c r="AT8" s="1"/>
  <c r="AU8" s="1"/>
  <c r="AC8"/>
  <c r="AD8" s="1"/>
  <c r="AB8"/>
  <c r="Z8"/>
  <c r="Q8"/>
  <c r="AD1788"/>
  <c r="Z1788"/>
  <c r="Q1788"/>
  <c r="AD1790"/>
  <c r="Z1790"/>
  <c r="Q1790"/>
  <c r="AD1789"/>
  <c r="Z1789"/>
  <c r="Q1789"/>
  <c r="AM1787"/>
  <c r="AD1787"/>
  <c r="Z1787"/>
  <c r="Q1787"/>
  <c r="AD1786"/>
  <c r="Z1786"/>
  <c r="Q1786"/>
  <c r="AD1785"/>
  <c r="Z1785"/>
  <c r="Q1785"/>
  <c r="AD1782"/>
  <c r="Z1782"/>
  <c r="Q1782"/>
  <c r="AD1781"/>
  <c r="Z1781"/>
  <c r="Q1781"/>
  <c r="AD1780"/>
  <c r="Z1780"/>
  <c r="Q1780"/>
  <c r="AD1779"/>
  <c r="Z1779"/>
  <c r="Q1779"/>
  <c r="AD1778"/>
  <c r="Z1778"/>
  <c r="Q1778"/>
  <c r="AD1777"/>
  <c r="Z1777"/>
  <c r="Q1777"/>
  <c r="AD1776"/>
  <c r="Z1776"/>
  <c r="Q1776"/>
  <c r="AD1775"/>
  <c r="Z1775"/>
  <c r="Q1775"/>
  <c r="AD1774"/>
  <c r="Z1774"/>
  <c r="Q1774"/>
  <c r="AD1773"/>
  <c r="Z1773"/>
  <c r="Q1773"/>
  <c r="AD1772"/>
  <c r="Z1772"/>
  <c r="Q1772"/>
  <c r="AD1771"/>
  <c r="Z1771"/>
  <c r="Q1771"/>
  <c r="AD1770"/>
  <c r="Z1770"/>
  <c r="Q1770"/>
  <c r="AD1769"/>
  <c r="Z1769"/>
  <c r="Q1769"/>
  <c r="AD1768"/>
  <c r="Z1768"/>
  <c r="Q1768"/>
  <c r="AD1767"/>
  <c r="Z1767"/>
  <c r="Q1767"/>
  <c r="AD1766"/>
  <c r="Z1766"/>
  <c r="Q1766"/>
  <c r="AD1765"/>
  <c r="Z1765"/>
  <c r="Q1765"/>
  <c r="AD1764"/>
  <c r="Z1764"/>
  <c r="Q1764"/>
  <c r="AD1763"/>
  <c r="Z1763"/>
  <c r="Q1763"/>
  <c r="AD1762"/>
  <c r="Z1762"/>
  <c r="Q1762"/>
  <c r="AD1761"/>
  <c r="Z1761"/>
  <c r="Q1761"/>
  <c r="AD1760"/>
  <c r="Z1760"/>
  <c r="Q1760"/>
  <c r="AD1759"/>
  <c r="Z1759"/>
  <c r="Q1759"/>
  <c r="AD1758"/>
  <c r="Z1758"/>
  <c r="Q1758"/>
  <c r="AD1757"/>
  <c r="Z1757"/>
  <c r="Q1757"/>
  <c r="AD1756"/>
  <c r="Z1756"/>
  <c r="Q1756"/>
  <c r="AD1755"/>
  <c r="Z1755"/>
  <c r="Q1755"/>
  <c r="AD1754"/>
  <c r="Z1754"/>
  <c r="Q1754"/>
  <c r="AD1753"/>
  <c r="Z1753"/>
  <c r="Q1753"/>
  <c r="AD1752"/>
  <c r="Z1752"/>
  <c r="Q1752"/>
  <c r="AD1751"/>
  <c r="Z1751"/>
  <c r="Q1751"/>
  <c r="AD1750"/>
  <c r="Z1750"/>
  <c r="Q1750"/>
  <c r="AD1749"/>
  <c r="Z1749"/>
  <c r="Q1749"/>
  <c r="AD1748"/>
  <c r="Z1748"/>
  <c r="Q1748"/>
  <c r="AD1747"/>
  <c r="Z1747"/>
  <c r="Q1747"/>
  <c r="AD1746"/>
  <c r="Z1746"/>
  <c r="Q1746"/>
  <c r="AD1745"/>
  <c r="Z1745"/>
  <c r="Q1745"/>
  <c r="AD1744"/>
  <c r="Z1744"/>
  <c r="Q1744"/>
  <c r="AD1743"/>
  <c r="Z1743"/>
  <c r="Q1743"/>
  <c r="AD1742"/>
  <c r="Z1742"/>
  <c r="Q1742"/>
  <c r="AD1741"/>
  <c r="Z1741"/>
  <c r="Q1741"/>
  <c r="AD1740"/>
  <c r="Z1740"/>
  <c r="Q1740"/>
  <c r="AD1739"/>
  <c r="Z1739"/>
  <c r="Q1739"/>
  <c r="AD1738"/>
  <c r="Z1738"/>
  <c r="Q1738"/>
  <c r="AD1737"/>
  <c r="Z1737"/>
  <c r="Q1737"/>
  <c r="AD1736"/>
  <c r="Z1736"/>
  <c r="Q1736"/>
  <c r="AM1735"/>
  <c r="AD1735"/>
  <c r="Z1735"/>
  <c r="Q1735"/>
  <c r="K1735"/>
  <c r="AM1734"/>
  <c r="AD1734"/>
  <c r="Z1734"/>
  <c r="Q1734"/>
  <c r="K1734"/>
  <c r="AM1733"/>
  <c r="AD1733"/>
  <c r="Z1733"/>
  <c r="Q1733"/>
  <c r="K1733"/>
  <c r="AM1732"/>
  <c r="AD1732"/>
  <c r="Z1732"/>
  <c r="Q1732"/>
  <c r="K1732"/>
  <c r="AM1731"/>
  <c r="AD1731"/>
  <c r="Z1731"/>
  <c r="Q1731"/>
  <c r="K1731"/>
  <c r="AM1730"/>
  <c r="AD1730"/>
  <c r="Z1730"/>
  <c r="Q1730"/>
  <c r="K1730"/>
  <c r="AD1729"/>
  <c r="Z1729"/>
  <c r="Q1729"/>
  <c r="AD1728"/>
  <c r="Z1728"/>
  <c r="Q1728"/>
  <c r="AD1727"/>
  <c r="Z1727"/>
  <c r="Q1727"/>
  <c r="AD1726"/>
  <c r="Z1726"/>
  <c r="Q1726"/>
  <c r="AD1725"/>
  <c r="Z1725"/>
  <c r="Q1725"/>
  <c r="AD1724"/>
  <c r="Z1724"/>
  <c r="Q1724"/>
  <c r="AD1718"/>
  <c r="Z1718"/>
  <c r="Q1718"/>
  <c r="K1718"/>
  <c r="AD1717"/>
  <c r="Z1717"/>
  <c r="Q1717"/>
  <c r="K1717"/>
  <c r="AD1716"/>
  <c r="Z1716"/>
  <c r="Q1716"/>
  <c r="K1716"/>
  <c r="Z1715"/>
  <c r="Q1715"/>
  <c r="AD1715" s="1"/>
  <c r="Z1714"/>
  <c r="Q1714"/>
  <c r="AD1714" s="1"/>
  <c r="Z1713"/>
  <c r="Q1713"/>
  <c r="AD1712"/>
  <c r="Z1712"/>
  <c r="Q1712"/>
  <c r="AD1711"/>
  <c r="Z1711"/>
  <c r="Q1711"/>
  <c r="AD1710"/>
  <c r="Z1710"/>
  <c r="Q1710"/>
  <c r="AD1709"/>
  <c r="Z1709"/>
  <c r="Q1709"/>
  <c r="AD1708"/>
  <c r="Z1708"/>
  <c r="Q1708"/>
  <c r="AD1707"/>
  <c r="Z1707"/>
  <c r="Q1707"/>
  <c r="AD1706"/>
  <c r="Z1706"/>
  <c r="Q1706"/>
  <c r="AD1705"/>
  <c r="Z1705"/>
  <c r="Q1705"/>
  <c r="AD1704"/>
  <c r="Z1704"/>
  <c r="Q1704"/>
  <c r="AD1703"/>
  <c r="Z1703"/>
  <c r="Q1703"/>
  <c r="AD1702"/>
  <c r="Z1702"/>
  <c r="Q1702"/>
  <c r="AD1701"/>
  <c r="Z1701"/>
  <c r="Q1701"/>
  <c r="AD1700"/>
  <c r="Z1700"/>
  <c r="Q1700"/>
  <c r="AD1699"/>
  <c r="Z1699"/>
  <c r="Q1699"/>
  <c r="AD1698"/>
  <c r="Z1698"/>
  <c r="Q1698"/>
  <c r="AD1697"/>
  <c r="Z1697"/>
  <c r="Q1697"/>
  <c r="AD1696"/>
  <c r="Z1696"/>
  <c r="Q1696"/>
  <c r="AD1695"/>
  <c r="Z1695"/>
  <c r="Q1695"/>
  <c r="AD1694"/>
  <c r="Z1694"/>
  <c r="Q1694"/>
  <c r="AD1693"/>
  <c r="Z1693"/>
  <c r="Q1693"/>
  <c r="AD1692"/>
  <c r="Z1692"/>
  <c r="Q1692"/>
  <c r="AD1691"/>
  <c r="Z1691"/>
  <c r="Q1691"/>
  <c r="AD1690"/>
  <c r="Z1690"/>
  <c r="Q1690"/>
  <c r="AD1689"/>
  <c r="Z1689"/>
  <c r="Q1689"/>
  <c r="AD1688"/>
  <c r="Z1688"/>
  <c r="Q1688"/>
  <c r="AD1687"/>
  <c r="Z1687"/>
  <c r="Q1687"/>
  <c r="AD1686"/>
  <c r="Z1686"/>
  <c r="Q1686"/>
  <c r="AD1685"/>
  <c r="Z1685"/>
  <c r="Q1685"/>
  <c r="AD1684"/>
  <c r="Y1684"/>
  <c r="Z1684" s="1"/>
  <c r="Q1684"/>
  <c r="AD1683"/>
  <c r="Y1683"/>
  <c r="Z1683" s="1"/>
  <c r="Q1683"/>
  <c r="AD1671"/>
  <c r="Z1671"/>
  <c r="Q1671"/>
  <c r="AD1670"/>
  <c r="Z1670"/>
  <c r="Q1670"/>
  <c r="AD1669"/>
  <c r="Z1669"/>
  <c r="Q1669"/>
  <c r="AD1668"/>
  <c r="Z1668"/>
  <c r="Q1668"/>
  <c r="AD1667"/>
  <c r="Z1667"/>
  <c r="Q1667"/>
  <c r="AD1666"/>
  <c r="Z1666"/>
  <c r="Q1666"/>
  <c r="AD1665"/>
  <c r="Z1665"/>
  <c r="Q1665"/>
  <c r="AD1664"/>
  <c r="Z1664"/>
  <c r="Q1664"/>
  <c r="AD1663"/>
  <c r="Z1663"/>
  <c r="Q1663"/>
  <c r="AD1662"/>
  <c r="Z1662"/>
  <c r="Q1662"/>
  <c r="AD1661"/>
  <c r="Z1661"/>
  <c r="Q1661"/>
  <c r="AD1660"/>
  <c r="Z1660"/>
  <c r="Q1660"/>
  <c r="AD1659"/>
  <c r="Z1659"/>
  <c r="Q1659"/>
  <c r="P1658"/>
  <c r="Q1658" s="1"/>
  <c r="P1657"/>
  <c r="Y1657" s="1"/>
  <c r="AD1655"/>
  <c r="Z1655"/>
  <c r="Q1655"/>
  <c r="AD1654"/>
  <c r="Z1654"/>
  <c r="Q1654"/>
  <c r="AD1653"/>
  <c r="Z1653"/>
  <c r="Q1653"/>
  <c r="AD1652"/>
  <c r="Z1652"/>
  <c r="Q1652"/>
  <c r="AD1648"/>
  <c r="Z1648"/>
  <c r="Q1648"/>
  <c r="AD1647"/>
  <c r="Z1647"/>
  <c r="Q1647"/>
  <c r="AD1646"/>
  <c r="Z1646"/>
  <c r="Q1646"/>
  <c r="AD1645"/>
  <c r="Z1645"/>
  <c r="Q1645"/>
  <c r="AD1644"/>
  <c r="Z1644"/>
  <c r="Q1644"/>
  <c r="AD1643"/>
  <c r="Z1643"/>
  <c r="Q1643"/>
  <c r="Z1642"/>
  <c r="Q1642"/>
  <c r="AD1642" s="1"/>
  <c r="AM1641"/>
  <c r="AD1641"/>
  <c r="Z1641"/>
  <c r="Q1641"/>
  <c r="AD1640"/>
  <c r="Z1640"/>
  <c r="Q1640"/>
  <c r="AD1639"/>
  <c r="Z1639"/>
  <c r="Q1639"/>
  <c r="AD1638"/>
  <c r="Z1638"/>
  <c r="Q1638"/>
  <c r="AD1637"/>
  <c r="Z1637"/>
  <c r="Q1637"/>
  <c r="AD1636"/>
  <c r="Z1636"/>
  <c r="Q1636"/>
  <c r="AD1635"/>
  <c r="Z1635"/>
  <c r="Q1635"/>
  <c r="Z1634"/>
  <c r="Q1634"/>
  <c r="AD1634" s="1"/>
  <c r="Z1633"/>
  <c r="Q1633"/>
  <c r="AD1633" s="1"/>
  <c r="AD1632"/>
  <c r="Z1632"/>
  <c r="Q1632"/>
  <c r="AD1631"/>
  <c r="Z1631"/>
  <c r="Q1631"/>
  <c r="AD1630"/>
  <c r="Z1630"/>
  <c r="Q1630"/>
  <c r="AD1629"/>
  <c r="Z1629"/>
  <c r="Q1629"/>
  <c r="AD1628"/>
  <c r="Z1628"/>
  <c r="Q1628"/>
  <c r="AD1627"/>
  <c r="Z1627"/>
  <c r="Q1627"/>
  <c r="AD1626"/>
  <c r="Z1626"/>
  <c r="Q1626"/>
  <c r="AD1625"/>
  <c r="Z1625"/>
  <c r="Q1625"/>
  <c r="AD1624"/>
  <c r="Z1624"/>
  <c r="Q1624"/>
  <c r="AD1623"/>
  <c r="Z1623"/>
  <c r="Q1623"/>
  <c r="AM1622"/>
  <c r="AD1622"/>
  <c r="Z1622"/>
  <c r="Q1622"/>
  <c r="AM1621"/>
  <c r="AD1621"/>
  <c r="Z1621"/>
  <c r="Q1621"/>
  <c r="AM1620"/>
  <c r="AD1620"/>
  <c r="Z1620"/>
  <c r="Q1620"/>
  <c r="AM1619"/>
  <c r="AD1619"/>
  <c r="Z1619"/>
  <c r="Q1619"/>
  <c r="AM1618"/>
  <c r="Z1618"/>
  <c r="Q1618"/>
  <c r="AM1617"/>
  <c r="Z1617"/>
  <c r="Q1617"/>
  <c r="AD1616"/>
  <c r="Z1616"/>
  <c r="Q1616"/>
  <c r="AD1615"/>
  <c r="Z1615"/>
  <c r="Q1615"/>
  <c r="AD1614"/>
  <c r="Z1614"/>
  <c r="Q1614"/>
  <c r="AD1613"/>
  <c r="Z1613"/>
  <c r="Q1613"/>
  <c r="AD1612"/>
  <c r="Z1612"/>
  <c r="Q1612"/>
  <c r="AD1611"/>
  <c r="Z1611"/>
  <c r="Q1611"/>
  <c r="AM1610"/>
  <c r="Z1610"/>
  <c r="Q1610"/>
  <c r="AM1609"/>
  <c r="AD1609"/>
  <c r="Z1609"/>
  <c r="Q1609"/>
  <c r="AD1608"/>
  <c r="Z1608"/>
  <c r="Q1608"/>
  <c r="AM1607"/>
  <c r="Z1607"/>
  <c r="Q1607"/>
  <c r="Z1606"/>
  <c r="Q1606"/>
  <c r="AD1604"/>
  <c r="Z1604"/>
  <c r="Q1604"/>
  <c r="Z1603"/>
  <c r="Q1603"/>
  <c r="Z1602"/>
  <c r="Q1602"/>
  <c r="AD1601"/>
  <c r="Z1601"/>
  <c r="Q1601"/>
  <c r="AD1600"/>
  <c r="Z1600"/>
  <c r="Q1600"/>
  <c r="Z1599"/>
  <c r="Q1599"/>
  <c r="AD1598"/>
  <c r="Z1598"/>
  <c r="Q1598"/>
  <c r="AD1597"/>
  <c r="Z1597"/>
  <c r="Q1597"/>
  <c r="AD1595"/>
  <c r="Z1595"/>
  <c r="Q1595"/>
  <c r="AD1594"/>
  <c r="Z1594"/>
  <c r="Q1594"/>
  <c r="AD1593"/>
  <c r="Z1593"/>
  <c r="Q1593"/>
  <c r="AD1592"/>
  <c r="Z1592"/>
  <c r="Q1592"/>
  <c r="AD1591"/>
  <c r="Z1591"/>
  <c r="Q1591"/>
  <c r="AD1590"/>
  <c r="Z1590"/>
  <c r="Q1590"/>
  <c r="AM1589"/>
  <c r="Z1589"/>
  <c r="Q1589"/>
  <c r="AD1589" s="1"/>
  <c r="AM1588"/>
  <c r="Z1588"/>
  <c r="Q1588"/>
  <c r="AD1588" s="1"/>
  <c r="AD1587"/>
  <c r="Z1587"/>
  <c r="Q1587"/>
  <c r="AD1586"/>
  <c r="Z1586"/>
  <c r="Q1586"/>
  <c r="AD1585"/>
  <c r="Z1585"/>
  <c r="Q1585"/>
  <c r="AD1584"/>
  <c r="Z1584"/>
  <c r="Q1584"/>
  <c r="AD1583"/>
  <c r="Z1583"/>
  <c r="Q1583"/>
  <c r="AD1582"/>
  <c r="Z1582"/>
  <c r="Q1582"/>
  <c r="AD1581"/>
  <c r="Y1581"/>
  <c r="Z1581" s="1"/>
  <c r="Q1581"/>
  <c r="AD1580"/>
  <c r="Z1580"/>
  <c r="Q1580"/>
  <c r="AD1579"/>
  <c r="Z1579"/>
  <c r="Q1579"/>
  <c r="AD1578"/>
  <c r="Z1578"/>
  <c r="Q1578"/>
  <c r="AD1577"/>
  <c r="Z1577"/>
  <c r="Q1577"/>
  <c r="AD1576"/>
  <c r="Z1576"/>
  <c r="Q1576"/>
  <c r="AD1575"/>
  <c r="Z1575"/>
  <c r="Q1575"/>
  <c r="AD1574"/>
  <c r="Z1574"/>
  <c r="Q1574"/>
  <c r="AD1573"/>
  <c r="Z1573"/>
  <c r="Q1573"/>
  <c r="Z1572"/>
  <c r="Q1572"/>
  <c r="Z1571"/>
  <c r="Q1571"/>
  <c r="Z1570"/>
  <c r="Q1570"/>
  <c r="AD1565"/>
  <c r="Z1565"/>
  <c r="Q1565"/>
  <c r="AD1564"/>
  <c r="Z1564"/>
  <c r="Q1564"/>
  <c r="AD1563"/>
  <c r="Z1563"/>
  <c r="Q1563"/>
  <c r="AD1562"/>
  <c r="Z1562"/>
  <c r="Q1562"/>
  <c r="AD1561"/>
  <c r="Z1561"/>
  <c r="Q1561"/>
  <c r="AD1560"/>
  <c r="Z1560"/>
  <c r="Q1560"/>
  <c r="AD1559"/>
  <c r="Z1559"/>
  <c r="Q1559"/>
  <c r="AD1558"/>
  <c r="Z1558"/>
  <c r="Q1558"/>
  <c r="AD1557"/>
  <c r="Z1557"/>
  <c r="Q1557"/>
  <c r="AD1556"/>
  <c r="Z1556"/>
  <c r="Q1556"/>
  <c r="AD1555"/>
  <c r="Z1555"/>
  <c r="Q1555"/>
  <c r="AD1554"/>
  <c r="Z1554"/>
  <c r="Q1554"/>
  <c r="AD1553"/>
  <c r="Z1553"/>
  <c r="Q1553"/>
  <c r="AD1552"/>
  <c r="Z1552"/>
  <c r="Q1552"/>
  <c r="AD1551"/>
  <c r="Z1551"/>
  <c r="Q1551"/>
  <c r="AD1550"/>
  <c r="Z1550"/>
  <c r="Q1550"/>
  <c r="AD1549"/>
  <c r="Z1549"/>
  <c r="Q1549"/>
  <c r="AD1548"/>
  <c r="Z1548"/>
  <c r="Q1548"/>
  <c r="AD1547"/>
  <c r="Z1547"/>
  <c r="Q1547"/>
  <c r="AD1546"/>
  <c r="Z1546"/>
  <c r="Q1546"/>
  <c r="AD1545"/>
  <c r="Z1545"/>
  <c r="Q1545"/>
  <c r="AD1544"/>
  <c r="Z1544"/>
  <c r="Q1544"/>
  <c r="AD1543"/>
  <c r="Z1543"/>
  <c r="Q1543"/>
  <c r="AD1542"/>
  <c r="Z1542"/>
  <c r="Q1542"/>
  <c r="AD1541"/>
  <c r="Z1541"/>
  <c r="Q1541"/>
  <c r="AD1540"/>
  <c r="Z1540"/>
  <c r="Q1540"/>
  <c r="AD1539"/>
  <c r="Z1539"/>
  <c r="Q1539"/>
  <c r="AD1538"/>
  <c r="Z1538"/>
  <c r="Q1538"/>
  <c r="AD1537"/>
  <c r="Z1537"/>
  <c r="Q1537"/>
  <c r="AD1536"/>
  <c r="Z1536"/>
  <c r="Q1536"/>
  <c r="AI1535"/>
  <c r="AD1529"/>
  <c r="Z1529"/>
  <c r="Q1529"/>
  <c r="AD1528"/>
  <c r="Z1528"/>
  <c r="Q1528"/>
  <c r="AD1527"/>
  <c r="X1527"/>
  <c r="Y1527" s="1"/>
  <c r="Z1527" s="1"/>
  <c r="Q1527"/>
  <c r="AD1526"/>
  <c r="Z1526"/>
  <c r="Q1526"/>
  <c r="AD1525"/>
  <c r="Z1525"/>
  <c r="Q1525"/>
  <c r="AD1524"/>
  <c r="Z1524"/>
  <c r="Q1524"/>
  <c r="AD1523"/>
  <c r="Z1523"/>
  <c r="Q1523"/>
  <c r="AD1522"/>
  <c r="Z1522"/>
  <c r="Q1522"/>
  <c r="AD1521"/>
  <c r="Z1521"/>
  <c r="Q1521"/>
  <c r="P1520"/>
  <c r="Y1520" s="1"/>
  <c r="AD1519"/>
  <c r="X1519"/>
  <c r="Y1519" s="1"/>
  <c r="Z1519" s="1"/>
  <c r="Q1519"/>
  <c r="AD1518"/>
  <c r="Z1518"/>
  <c r="Q1518"/>
  <c r="AD1517"/>
  <c r="Z1517"/>
  <c r="Q1517"/>
  <c r="AJ1508"/>
  <c r="AD1508"/>
  <c r="Z1508"/>
  <c r="Q1508"/>
  <c r="AJ1507"/>
  <c r="AD1507"/>
  <c r="Z1507"/>
  <c r="Q1507"/>
  <c r="AT1506"/>
  <c r="AD1506"/>
  <c r="Z1506"/>
  <c r="Q1506"/>
  <c r="AJ1505"/>
  <c r="AT1505" s="1"/>
  <c r="AD1505"/>
  <c r="Z1505"/>
  <c r="Q1505"/>
  <c r="AT1504"/>
  <c r="AD1504"/>
  <c r="Z1504"/>
  <c r="Q1504"/>
  <c r="AT1503"/>
  <c r="AD1503"/>
  <c r="Z1503"/>
  <c r="Q1503"/>
  <c r="AT1502"/>
  <c r="AD1502"/>
  <c r="Z1502"/>
  <c r="Q1502"/>
  <c r="AJ1501"/>
  <c r="AD1501"/>
  <c r="Z1501"/>
  <c r="Q1501"/>
  <c r="AJ1500"/>
  <c r="AT1500" s="1"/>
  <c r="AC1500"/>
  <c r="AD1500" s="1"/>
  <c r="Y1500"/>
  <c r="Z1500" s="1"/>
  <c r="P1500"/>
  <c r="Q1500" s="1"/>
  <c r="AD1499"/>
  <c r="Z1499"/>
  <c r="Q1499"/>
  <c r="AD1498"/>
  <c r="Z1498"/>
  <c r="Q1498"/>
  <c r="AD1497"/>
  <c r="Z1497"/>
  <c r="Q1497"/>
  <c r="AD1496"/>
  <c r="Z1496"/>
  <c r="Q1496"/>
  <c r="AD1495"/>
  <c r="Z1495"/>
  <c r="Q1495"/>
  <c r="AD1494"/>
  <c r="Z1494"/>
  <c r="Q1494"/>
  <c r="AD1493"/>
  <c r="Z1493"/>
  <c r="Q1493"/>
  <c r="AD1492"/>
  <c r="Z1492"/>
  <c r="Q1492"/>
  <c r="AD1490"/>
  <c r="Z1490"/>
  <c r="Q1490"/>
  <c r="AD1487"/>
  <c r="Z1487"/>
  <c r="Q1487"/>
  <c r="AD1486"/>
  <c r="Z1486"/>
  <c r="Q1486"/>
  <c r="AD1485"/>
  <c r="Z1485"/>
  <c r="Q1485"/>
  <c r="Q1484"/>
  <c r="AD1483"/>
  <c r="Z1483"/>
  <c r="Q1483"/>
  <c r="AD1482"/>
  <c r="Z1482"/>
  <c r="Q1482"/>
  <c r="AD1481"/>
  <c r="Z1481"/>
  <c r="Q1481"/>
  <c r="AD1480"/>
  <c r="Z1480"/>
  <c r="Q1480"/>
  <c r="AD1478"/>
  <c r="Z1478"/>
  <c r="Q1478"/>
  <c r="AD1476"/>
  <c r="Z1476"/>
  <c r="Q1476"/>
  <c r="AD1474"/>
  <c r="Z1474"/>
  <c r="Q1474"/>
  <c r="AD1473"/>
  <c r="Z1473"/>
  <c r="Q1473"/>
  <c r="AD1472"/>
  <c r="Z1472"/>
  <c r="Q1472"/>
  <c r="AD1471"/>
  <c r="Z1471"/>
  <c r="Q1471"/>
  <c r="AD1470"/>
  <c r="Z1470"/>
  <c r="Q1470"/>
  <c r="AD1469"/>
  <c r="Z1469"/>
  <c r="Q1469"/>
  <c r="AD1468"/>
  <c r="Z1468"/>
  <c r="Q1468"/>
  <c r="AD1467"/>
  <c r="Z1467"/>
  <c r="Q1467"/>
  <c r="AD1466"/>
  <c r="Z1466"/>
  <c r="Q1466"/>
  <c r="AD1463"/>
  <c r="Z1463"/>
  <c r="Q1463"/>
  <c r="AD1461"/>
  <c r="Z1461"/>
  <c r="Q1461"/>
  <c r="AD1460"/>
  <c r="Z1460"/>
  <c r="Q1460"/>
  <c r="AD1459"/>
  <c r="Z1459"/>
  <c r="Q1459"/>
  <c r="AD1458"/>
  <c r="Z1458"/>
  <c r="Q1458"/>
  <c r="AD1457"/>
  <c r="Z1457"/>
  <c r="Q1457"/>
  <c r="AD1456"/>
  <c r="Z1456"/>
  <c r="Q1456"/>
  <c r="AD1455"/>
  <c r="Z1455"/>
  <c r="Q1455"/>
  <c r="AD1454"/>
  <c r="Z1454"/>
  <c r="Q1454"/>
  <c r="AD1453"/>
  <c r="Z1453"/>
  <c r="Q1453"/>
  <c r="AD1452"/>
  <c r="Z1452"/>
  <c r="Q1452"/>
  <c r="AD1451"/>
  <c r="Z1451"/>
  <c r="Q1451"/>
  <c r="AD1450"/>
  <c r="Z1450"/>
  <c r="Q1450"/>
  <c r="AD1448"/>
  <c r="Z1448"/>
  <c r="Q1448"/>
  <c r="AD1447"/>
  <c r="Z1447"/>
  <c r="Q1447"/>
  <c r="AD1446"/>
  <c r="Z1446"/>
  <c r="Q1446"/>
  <c r="AD1445"/>
  <c r="Z1445"/>
  <c r="Q1445"/>
  <c r="AD1444"/>
  <c r="Z1444"/>
  <c r="Q1444"/>
  <c r="AD1441"/>
  <c r="Z1441"/>
  <c r="Q1441"/>
  <c r="AD1440"/>
  <c r="Z1440"/>
  <c r="Q1440"/>
  <c r="AD1439"/>
  <c r="Z1439"/>
  <c r="Q1439"/>
  <c r="AD1438"/>
  <c r="Z1438"/>
  <c r="Q1438"/>
  <c r="AD1437"/>
  <c r="Z1437"/>
  <c r="Q1437"/>
  <c r="AD1436"/>
  <c r="Z1436"/>
  <c r="Q1436"/>
  <c r="AD1435"/>
  <c r="Z1435"/>
  <c r="Q1435"/>
  <c r="AD1434"/>
  <c r="Z1434"/>
  <c r="Q1434"/>
  <c r="AD1432"/>
  <c r="Z1432"/>
  <c r="Q1432"/>
  <c r="AD1431"/>
  <c r="Z1431"/>
  <c r="Q1431"/>
  <c r="AD1430"/>
  <c r="Z1430"/>
  <c r="Q1430"/>
  <c r="AD1429"/>
  <c r="Z1429"/>
  <c r="Q1429"/>
  <c r="AD1427"/>
  <c r="Z1427"/>
  <c r="Q1427"/>
  <c r="AD1426"/>
  <c r="Z1426"/>
  <c r="Q1426"/>
  <c r="AD1424"/>
  <c r="Z1424"/>
  <c r="Q1424"/>
  <c r="AD1423"/>
  <c r="Z1423"/>
  <c r="Q1423"/>
  <c r="AD1422"/>
  <c r="Z1422"/>
  <c r="Q1422"/>
  <c r="AD1421"/>
  <c r="Z1421"/>
  <c r="Q1421"/>
  <c r="AD1420"/>
  <c r="Z1420"/>
  <c r="Q1420"/>
  <c r="AD1419"/>
  <c r="Z1419"/>
  <c r="Q1419"/>
  <c r="AD1417"/>
  <c r="Z1417"/>
  <c r="Q1417"/>
  <c r="AD1412"/>
  <c r="Z1412"/>
  <c r="Q1412"/>
  <c r="AD1411"/>
  <c r="Z1411"/>
  <c r="Q1411"/>
  <c r="AD1410"/>
  <c r="Z1410"/>
  <c r="Q1410"/>
  <c r="AD1409"/>
  <c r="Z1409"/>
  <c r="Q1409"/>
  <c r="AD1408"/>
  <c r="Z1408"/>
  <c r="Q1408"/>
  <c r="AD1407"/>
  <c r="Z1407"/>
  <c r="Q1407"/>
  <c r="AD1406"/>
  <c r="Z1406"/>
  <c r="Q1406"/>
  <c r="AD1405"/>
  <c r="Z1405"/>
  <c r="Q1405"/>
  <c r="AD1404"/>
  <c r="Z1404"/>
  <c r="Q1404"/>
  <c r="AD1403"/>
  <c r="Z1403"/>
  <c r="Q1403"/>
  <c r="AD1402"/>
  <c r="Z1402"/>
  <c r="Q1402"/>
  <c r="AD1401"/>
  <c r="Z1401"/>
  <c r="Q1401"/>
  <c r="AD1400"/>
  <c r="Z1400"/>
  <c r="Q1400"/>
  <c r="AD1399"/>
  <c r="Z1399"/>
  <c r="Q1399"/>
  <c r="AD1398"/>
  <c r="Z1398"/>
  <c r="Q1398"/>
  <c r="AD1397"/>
  <c r="Z1397"/>
  <c r="Q1397"/>
  <c r="AD1396"/>
  <c r="Z1396"/>
  <c r="Q1396"/>
  <c r="AD1395"/>
  <c r="Z1395"/>
  <c r="Q1395"/>
  <c r="AD1394"/>
  <c r="Z1394"/>
  <c r="Q1394"/>
  <c r="AD1393"/>
  <c r="Z1393"/>
  <c r="Q1393"/>
  <c r="AD1392"/>
  <c r="Z1392"/>
  <c r="Q1392"/>
  <c r="AD1391"/>
  <c r="Z1391"/>
  <c r="Q1391"/>
  <c r="AD1390"/>
  <c r="Z1390"/>
  <c r="Q1390"/>
  <c r="AD1389"/>
  <c r="Z1389"/>
  <c r="Q1389"/>
  <c r="AD1388"/>
  <c r="Z1388"/>
  <c r="Q1388"/>
  <c r="AD1387"/>
  <c r="Z1387"/>
  <c r="Q1387"/>
  <c r="AD1386"/>
  <c r="Z1386"/>
  <c r="Q1386"/>
  <c r="AD1385"/>
  <c r="Z1385"/>
  <c r="Q1385"/>
  <c r="AD1384"/>
  <c r="Z1384"/>
  <c r="Q1384"/>
  <c r="AD1381"/>
  <c r="Z1381"/>
  <c r="Q1381"/>
  <c r="AD1380"/>
  <c r="Z1380"/>
  <c r="Q1380"/>
  <c r="AD1379"/>
  <c r="Z1379"/>
  <c r="Q1379"/>
  <c r="AD1378"/>
  <c r="Z1378"/>
  <c r="Q1378"/>
  <c r="AD1377"/>
  <c r="Z1377"/>
  <c r="Q1377"/>
  <c r="AD1376"/>
  <c r="Z1376"/>
  <c r="Q1376"/>
  <c r="AD1375"/>
  <c r="Z1375"/>
  <c r="Q1375"/>
  <c r="AD1374"/>
  <c r="Z1374"/>
  <c r="Q1374"/>
  <c r="AD1373"/>
  <c r="Z1373"/>
  <c r="Q1373"/>
  <c r="AD1372"/>
  <c r="Z1372"/>
  <c r="Q1372"/>
  <c r="AD1371"/>
  <c r="Z1371"/>
  <c r="Q1371"/>
  <c r="AD1370"/>
  <c r="Z1370"/>
  <c r="Q1370"/>
  <c r="AD1369"/>
  <c r="Z1369"/>
  <c r="Q1369"/>
  <c r="AD1368"/>
  <c r="Z1368"/>
  <c r="Q1368"/>
  <c r="AD1367"/>
  <c r="Z1367"/>
  <c r="Q1367"/>
  <c r="AD1366"/>
  <c r="Z1366"/>
  <c r="Q1366"/>
  <c r="AD1365"/>
  <c r="Z1365"/>
  <c r="Q1365"/>
  <c r="AD1364"/>
  <c r="Z1364"/>
  <c r="Q1364"/>
  <c r="AD1363"/>
  <c r="Z1363"/>
  <c r="Q1363"/>
  <c r="AD1362"/>
  <c r="Z1362"/>
  <c r="Q1362"/>
  <c r="AD1361"/>
  <c r="Z1361"/>
  <c r="Q1361"/>
  <c r="AD1360"/>
  <c r="Z1360"/>
  <c r="Q1360"/>
  <c r="AD1359"/>
  <c r="Z1359"/>
  <c r="Q1359"/>
  <c r="AD1358"/>
  <c r="Z1358"/>
  <c r="Q1358"/>
  <c r="AD1357"/>
  <c r="Z1357"/>
  <c r="Q1357"/>
  <c r="AD1356"/>
  <c r="Z1356"/>
  <c r="Q1356"/>
  <c r="AD1355"/>
  <c r="Z1355"/>
  <c r="Q1355"/>
  <c r="AD1354"/>
  <c r="Z1354"/>
  <c r="Q1354"/>
  <c r="AD1353"/>
  <c r="Z1353"/>
  <c r="Q1353"/>
  <c r="AD1352"/>
  <c r="Z1352"/>
  <c r="Q1352"/>
  <c r="AD1351"/>
  <c r="Z1351"/>
  <c r="Q1351"/>
  <c r="AD1350"/>
  <c r="Z1350"/>
  <c r="Q1350"/>
  <c r="AD1349"/>
  <c r="Z1349"/>
  <c r="Q1349"/>
  <c r="AD1348"/>
  <c r="Z1348"/>
  <c r="Q1348"/>
  <c r="AD1347"/>
  <c r="Z1347"/>
  <c r="Q1347"/>
  <c r="AD1346"/>
  <c r="Z1346"/>
  <c r="Q1346"/>
  <c r="AD1345"/>
  <c r="Z1345"/>
  <c r="Q1345"/>
  <c r="AD1344"/>
  <c r="Z1344"/>
  <c r="Q1344"/>
  <c r="AD1343"/>
  <c r="Z1343"/>
  <c r="Q1343"/>
  <c r="AD1342"/>
  <c r="Z1342"/>
  <c r="Q1342"/>
  <c r="AD1341"/>
  <c r="Z1341"/>
  <c r="Q1341"/>
  <c r="AD1340"/>
  <c r="Z1340"/>
  <c r="Q1340"/>
  <c r="AD1339"/>
  <c r="Z1339"/>
  <c r="Q1339"/>
  <c r="AD1338"/>
  <c r="Z1338"/>
  <c r="Q1338"/>
  <c r="AD1337"/>
  <c r="Z1337"/>
  <c r="Q1337"/>
  <c r="AD1336"/>
  <c r="Z1336"/>
  <c r="Q1336"/>
  <c r="AD1335"/>
  <c r="Z1335"/>
  <c r="Q1335"/>
  <c r="AD1334"/>
  <c r="Z1334"/>
  <c r="Q1334"/>
  <c r="AD1333"/>
  <c r="Z1333"/>
  <c r="Q1333"/>
  <c r="AD1332"/>
  <c r="Z1332"/>
  <c r="Q1332"/>
  <c r="AD1331"/>
  <c r="Z1331"/>
  <c r="Q1331"/>
  <c r="AD1330"/>
  <c r="Z1330"/>
  <c r="Q1330"/>
  <c r="AD1329"/>
  <c r="Z1329"/>
  <c r="Q1329"/>
  <c r="AD1328"/>
  <c r="Z1328"/>
  <c r="Q1328"/>
  <c r="AD1327"/>
  <c r="Z1327"/>
  <c r="Q1327"/>
  <c r="AD1326"/>
  <c r="Z1326"/>
  <c r="Q1326"/>
  <c r="AD1325"/>
  <c r="Z1325"/>
  <c r="Q1325"/>
  <c r="AD1324"/>
  <c r="Z1324"/>
  <c r="Q1324"/>
  <c r="AD1323"/>
  <c r="Z1323"/>
  <c r="Q1323"/>
  <c r="AD1322"/>
  <c r="Z1322"/>
  <c r="Q1322"/>
  <c r="AD1321"/>
  <c r="Z1321"/>
  <c r="Q1321"/>
  <c r="AD1320"/>
  <c r="Z1320"/>
  <c r="Q1320"/>
  <c r="AD1319"/>
  <c r="Z1319"/>
  <c r="Q1319"/>
  <c r="AD1318"/>
  <c r="Z1318"/>
  <c r="Q1318"/>
  <c r="AD1317"/>
  <c r="Z1317"/>
  <c r="Q1317"/>
  <c r="AD1316"/>
  <c r="Z1316"/>
  <c r="Q1316"/>
  <c r="AD1315"/>
  <c r="Z1315"/>
  <c r="Q1315"/>
  <c r="AD1314"/>
  <c r="Z1314"/>
  <c r="Q1314"/>
  <c r="AD1313"/>
  <c r="Z1313"/>
  <c r="Q1313"/>
  <c r="AD1312"/>
  <c r="Z1312"/>
  <c r="Q1312"/>
  <c r="AD1311"/>
  <c r="Z1311"/>
  <c r="Q1311"/>
  <c r="AD1310"/>
  <c r="Z1310"/>
  <c r="Q1310"/>
  <c r="AD1309"/>
  <c r="Z1309"/>
  <c r="Q1309"/>
  <c r="AD1308"/>
  <c r="Z1308"/>
  <c r="Q1308"/>
  <c r="AD1307"/>
  <c r="Z1307"/>
  <c r="Q1307"/>
  <c r="AD1306"/>
  <c r="Z1306"/>
  <c r="Q1306"/>
  <c r="AD1305"/>
  <c r="Z1305"/>
  <c r="Q1305"/>
  <c r="AD1304"/>
  <c r="Z1304"/>
  <c r="Q1304"/>
  <c r="AD1303"/>
  <c r="Z1303"/>
  <c r="Q1303"/>
  <c r="AD1302"/>
  <c r="Z1302"/>
  <c r="Q1302"/>
  <c r="AD1301"/>
  <c r="Z1301"/>
  <c r="Q1301"/>
  <c r="AD1300"/>
  <c r="Z1300"/>
  <c r="Q1300"/>
  <c r="AD1299"/>
  <c r="Z1299"/>
  <c r="Q1299"/>
  <c r="AD1298"/>
  <c r="Z1298"/>
  <c r="Q1298"/>
  <c r="AD1297"/>
  <c r="Z1297"/>
  <c r="Q1297"/>
  <c r="AD1296"/>
  <c r="Z1296"/>
  <c r="Q1296"/>
  <c r="AD1295"/>
  <c r="Z1295"/>
  <c r="Q1295"/>
  <c r="AD1294"/>
  <c r="Z1294"/>
  <c r="Q1294"/>
  <c r="AD1293"/>
  <c r="Z1293"/>
  <c r="Q1293"/>
  <c r="AD1292"/>
  <c r="Z1292"/>
  <c r="Q1292"/>
  <c r="AD1291"/>
  <c r="Z1291"/>
  <c r="Q1291"/>
  <c r="AD1290"/>
  <c r="Z1290"/>
  <c r="Q1290"/>
  <c r="AD1289"/>
  <c r="Z1289"/>
  <c r="Q1289"/>
  <c r="AD1288"/>
  <c r="Z1288"/>
  <c r="Q1288"/>
  <c r="AD1287"/>
  <c r="Z1287"/>
  <c r="Q1287"/>
  <c r="AD1286"/>
  <c r="Z1286"/>
  <c r="Q1286"/>
  <c r="AD1285"/>
  <c r="Z1285"/>
  <c r="Q1285"/>
  <c r="AD1284"/>
  <c r="Z1284"/>
  <c r="Q1284"/>
  <c r="AD1283"/>
  <c r="Z1283"/>
  <c r="Q1283"/>
  <c r="AD1282"/>
  <c r="Z1282"/>
  <c r="Q1282"/>
  <c r="AD1281"/>
  <c r="Z1281"/>
  <c r="Q1281"/>
  <c r="AD1280"/>
  <c r="Z1280"/>
  <c r="Q1280"/>
  <c r="AD1279"/>
  <c r="Z1279"/>
  <c r="Q1279"/>
  <c r="AD1278"/>
  <c r="Z1278"/>
  <c r="Q1278"/>
  <c r="AD1277"/>
  <c r="Z1277"/>
  <c r="Q1277"/>
  <c r="AD1276"/>
  <c r="Z1276"/>
  <c r="Q1276"/>
  <c r="AD1275"/>
  <c r="Z1275"/>
  <c r="Q1275"/>
  <c r="AD1274"/>
  <c r="Z1274"/>
  <c r="Q1274"/>
  <c r="AD1273"/>
  <c r="Z1273"/>
  <c r="Q1273"/>
  <c r="AD1272"/>
  <c r="Z1272"/>
  <c r="Q1272"/>
  <c r="AD1271"/>
  <c r="Z1271"/>
  <c r="Q1271"/>
  <c r="AD1270"/>
  <c r="Z1270"/>
  <c r="Q1270"/>
  <c r="AD1268"/>
  <c r="Z1268"/>
  <c r="Q1268"/>
  <c r="AD1267"/>
  <c r="Z1267"/>
  <c r="Q1267"/>
  <c r="AD1266"/>
  <c r="Z1266"/>
  <c r="R1266"/>
  <c r="Q1266"/>
  <c r="AD1265"/>
  <c r="Z1265"/>
  <c r="Q1265"/>
  <c r="AD1264"/>
  <c r="Z1264"/>
  <c r="Q1264"/>
  <c r="AD1263"/>
  <c r="Z1263"/>
  <c r="Q1263"/>
  <c r="AD1262"/>
  <c r="Z1262"/>
  <c r="Q1262"/>
  <c r="AD1261"/>
  <c r="Z1261"/>
  <c r="Q1261"/>
  <c r="AD1260"/>
  <c r="Z1260"/>
  <c r="Q1260"/>
  <c r="AD1259"/>
  <c r="Z1259"/>
  <c r="Q1259"/>
  <c r="AD1258"/>
  <c r="Z1258"/>
  <c r="Q1258"/>
  <c r="AD1257"/>
  <c r="Z1257"/>
  <c r="Q1257"/>
  <c r="AD1256"/>
  <c r="Z1256"/>
  <c r="Q1256"/>
  <c r="AD1255"/>
  <c r="Z1255"/>
  <c r="Q1255"/>
  <c r="AD1254"/>
  <c r="Z1254"/>
  <c r="Q1254"/>
  <c r="AD1253"/>
  <c r="Z1253"/>
  <c r="Q1253"/>
  <c r="AD1252"/>
  <c r="Z1252"/>
  <c r="Q1252"/>
  <c r="AD1251"/>
  <c r="Z1251"/>
  <c r="Q1251"/>
  <c r="AD1245"/>
  <c r="Z1245"/>
  <c r="Q1245"/>
  <c r="AD1244"/>
  <c r="Z1244"/>
  <c r="Q1244"/>
  <c r="AD1243"/>
  <c r="Z1243"/>
  <c r="Q1243"/>
  <c r="AD1242"/>
  <c r="Z1242"/>
  <c r="Q1242"/>
  <c r="AD1241"/>
  <c r="Z1241"/>
  <c r="Q1241"/>
  <c r="AD1240"/>
  <c r="Z1240"/>
  <c r="Q1240"/>
  <c r="AD1239"/>
  <c r="Z1239"/>
  <c r="Q1239"/>
  <c r="AD1238"/>
  <c r="Z1238"/>
  <c r="Q1238"/>
  <c r="AD1237"/>
  <c r="Z1237"/>
  <c r="Q1237"/>
  <c r="AD1236"/>
  <c r="Z1236"/>
  <c r="Q1236"/>
  <c r="AD1235"/>
  <c r="Z1235"/>
  <c r="Q1235"/>
  <c r="AD1234"/>
  <c r="Z1234"/>
  <c r="Q1234"/>
  <c r="AD1233"/>
  <c r="Z1233"/>
  <c r="Q1233"/>
  <c r="Z1232"/>
  <c r="Q1232"/>
  <c r="Z1231"/>
  <c r="Q1231"/>
  <c r="AD1230"/>
  <c r="Z1230"/>
  <c r="Q1230"/>
  <c r="AI1229"/>
  <c r="AD1229"/>
  <c r="Z1229"/>
  <c r="Q1229"/>
  <c r="AI1228"/>
  <c r="AD1228"/>
  <c r="Z1228"/>
  <c r="Q1228"/>
  <c r="AI1227"/>
  <c r="AD1227"/>
  <c r="Z1227"/>
  <c r="Q1227"/>
  <c r="AD1226"/>
  <c r="Y1226"/>
  <c r="Z1226" s="1"/>
  <c r="Q1226"/>
  <c r="AD1225"/>
  <c r="Y1225"/>
  <c r="Z1225" s="1"/>
  <c r="Q1225"/>
  <c r="AD1224"/>
  <c r="Y1224"/>
  <c r="Z1224" s="1"/>
  <c r="Q1224"/>
  <c r="AD1223"/>
  <c r="Y1223"/>
  <c r="Z1223" s="1"/>
  <c r="Q1223"/>
  <c r="AD1222"/>
  <c r="Y1222"/>
  <c r="Z1222" s="1"/>
  <c r="Q1222"/>
  <c r="AI1221"/>
  <c r="AD1221"/>
  <c r="Z1221"/>
  <c r="Q1221"/>
  <c r="AD1220"/>
  <c r="Z1220"/>
  <c r="Q1220"/>
  <c r="AD1219"/>
  <c r="Z1219"/>
  <c r="Q1219"/>
  <c r="AD1218"/>
  <c r="Z1218"/>
  <c r="Q1218"/>
  <c r="AD1217"/>
  <c r="Z1217"/>
  <c r="Q1217"/>
  <c r="AD1216"/>
  <c r="Z1216"/>
  <c r="Q1216"/>
  <c r="AD1215"/>
  <c r="Y1215"/>
  <c r="Z1215" s="1"/>
  <c r="Q1215"/>
  <c r="AD1214"/>
  <c r="Z1214"/>
  <c r="Q1214"/>
  <c r="AD1213"/>
  <c r="Y1213"/>
  <c r="Z1213" s="1"/>
  <c r="Q1213"/>
  <c r="AD1212"/>
  <c r="Y1212"/>
  <c r="Z1212" s="1"/>
  <c r="Q1212"/>
  <c r="AI1211"/>
  <c r="AD1211"/>
  <c r="Y1211"/>
  <c r="Z1211" s="1"/>
  <c r="Q1211"/>
  <c r="AD1210"/>
  <c r="Y1210"/>
  <c r="Z1210" s="1"/>
  <c r="Q1210"/>
  <c r="AI1209"/>
  <c r="AD1209"/>
  <c r="Y1209"/>
  <c r="Z1209" s="1"/>
  <c r="Q1209"/>
  <c r="AI1208"/>
  <c r="AD1208"/>
  <c r="Y1208"/>
  <c r="Z1208" s="1"/>
  <c r="Q1208"/>
  <c r="AI1207"/>
  <c r="AD1207"/>
  <c r="Y1207"/>
  <c r="Z1207" s="1"/>
  <c r="Q1207"/>
  <c r="AI1206"/>
  <c r="AD1206"/>
  <c r="Y1206"/>
  <c r="Z1206" s="1"/>
  <c r="Q1206"/>
  <c r="AI1205"/>
  <c r="Z1205"/>
  <c r="Q1205"/>
  <c r="AD1205" s="1"/>
  <c r="AI1204"/>
  <c r="Z1204"/>
  <c r="Q1204"/>
  <c r="AD1204" s="1"/>
  <c r="AI1203"/>
  <c r="Z1203"/>
  <c r="Q1203"/>
  <c r="AD1203" s="1"/>
  <c r="AI1202"/>
  <c r="Y1202"/>
  <c r="Z1202" s="1"/>
  <c r="Q1202"/>
  <c r="AD1202" s="1"/>
  <c r="AI1201"/>
  <c r="Y1201"/>
  <c r="Z1201" s="1"/>
  <c r="Q1201"/>
  <c r="AD1201" s="1"/>
  <c r="AI1200"/>
  <c r="AD1200"/>
  <c r="Y1200"/>
  <c r="Z1200" s="1"/>
  <c r="Q1200"/>
  <c r="Z1199"/>
  <c r="Q1199"/>
  <c r="AD1199" s="1"/>
  <c r="AI1198"/>
  <c r="Y1198"/>
  <c r="Z1198" s="1"/>
  <c r="Q1198"/>
  <c r="AD1198" s="1"/>
  <c r="AI1197"/>
  <c r="Y1197"/>
  <c r="Z1197" s="1"/>
  <c r="Q1197"/>
  <c r="AD1197" s="1"/>
  <c r="Z1196"/>
  <c r="Q1196"/>
  <c r="AD1196" s="1"/>
  <c r="AI1195"/>
  <c r="AD1195"/>
  <c r="Y1195"/>
  <c r="Z1195" s="1"/>
  <c r="Q1195"/>
  <c r="AI1194"/>
  <c r="Z1194"/>
  <c r="Q1194"/>
  <c r="AD1194" s="1"/>
  <c r="AI1193"/>
  <c r="AD1193"/>
  <c r="Z1193"/>
  <c r="Q1193"/>
  <c r="Y1192"/>
  <c r="Z1192" s="1"/>
  <c r="Q1192"/>
  <c r="AD1192" s="1"/>
  <c r="AI1191"/>
  <c r="AD1191"/>
  <c r="Z1191"/>
  <c r="Q1191"/>
  <c r="AI1190"/>
  <c r="Y1190"/>
  <c r="Z1190" s="1"/>
  <c r="Q1190"/>
  <c r="AD1190" s="1"/>
  <c r="Y1189"/>
  <c r="Z1189" s="1"/>
  <c r="Q1189"/>
  <c r="AD1189" s="1"/>
  <c r="Y1188"/>
  <c r="Z1188" s="1"/>
  <c r="Q1188"/>
  <c r="AD1188" s="1"/>
  <c r="AD1187"/>
  <c r="Y1187"/>
  <c r="Z1187" s="1"/>
  <c r="Q1187"/>
  <c r="Y1186"/>
  <c r="Z1186" s="1"/>
  <c r="Q1186"/>
  <c r="AD1186" s="1"/>
  <c r="AI1185"/>
  <c r="Y1185"/>
  <c r="Z1185" s="1"/>
  <c r="Q1185"/>
  <c r="AD1185" s="1"/>
  <c r="AI1184"/>
  <c r="AD1184"/>
  <c r="Y1184"/>
  <c r="Z1184" s="1"/>
  <c r="Q1184"/>
  <c r="AD1183"/>
  <c r="Y1183"/>
  <c r="Z1183" s="1"/>
  <c r="Q1183"/>
  <c r="AD1182"/>
  <c r="Y1182"/>
  <c r="Z1182" s="1"/>
  <c r="Q1182"/>
  <c r="AD1181"/>
  <c r="Y1181"/>
  <c r="Z1181" s="1"/>
  <c r="Q1181"/>
  <c r="AD1180"/>
  <c r="Y1180"/>
  <c r="Z1180" s="1"/>
  <c r="Q1180"/>
  <c r="Y1179"/>
  <c r="Z1179" s="1"/>
  <c r="Q1179"/>
  <c r="AD1179" s="1"/>
  <c r="AI1178"/>
  <c r="Y1178"/>
  <c r="Z1178" s="1"/>
  <c r="Q1178"/>
  <c r="AD1178" s="1"/>
  <c r="AI1177"/>
  <c r="Y1177"/>
  <c r="Z1177" s="1"/>
  <c r="Q1177"/>
  <c r="AD1177" s="1"/>
  <c r="AD1176"/>
  <c r="Z1176"/>
  <c r="Q1176"/>
  <c r="AD1175"/>
  <c r="Z1175"/>
  <c r="Q1175"/>
  <c r="AD1174"/>
  <c r="Z1174"/>
  <c r="Q1174"/>
  <c r="AD1173"/>
  <c r="Z1173"/>
  <c r="Q1173"/>
  <c r="AD1172"/>
  <c r="Z1172"/>
  <c r="Q1172"/>
  <c r="AD1171"/>
  <c r="Z1171"/>
  <c r="Q1171"/>
  <c r="AD1170"/>
  <c r="Z1170"/>
  <c r="Q1170"/>
  <c r="AD1169"/>
  <c r="Z1169"/>
  <c r="Q1169"/>
  <c r="AD1168"/>
  <c r="Z1168"/>
  <c r="Q1168"/>
  <c r="AD1167"/>
  <c r="Z1167"/>
  <c r="Q1167"/>
  <c r="AD1166"/>
  <c r="Y1166"/>
  <c r="Z1166" s="1"/>
  <c r="Q1166"/>
  <c r="AD1165"/>
  <c r="Z1165"/>
  <c r="Q1165"/>
  <c r="AD1164"/>
  <c r="Z1164"/>
  <c r="Q1164"/>
  <c r="AD1163"/>
  <c r="Z1163"/>
  <c r="Q1163"/>
  <c r="AD1162"/>
  <c r="Z1162"/>
  <c r="Q1162"/>
  <c r="AD1161"/>
  <c r="Z1161"/>
  <c r="Q1161"/>
  <c r="AD1160"/>
  <c r="Z1160"/>
  <c r="Q1160"/>
  <c r="AD1159"/>
  <c r="Z1159"/>
  <c r="Q1159"/>
  <c r="AD1158"/>
  <c r="Z1158"/>
  <c r="Q1158"/>
  <c r="AD1157"/>
  <c r="Z1157"/>
  <c r="Q1157"/>
  <c r="AD1156"/>
  <c r="Z1156"/>
  <c r="Q1156"/>
  <c r="AD1155"/>
  <c r="Z1155"/>
  <c r="Q1155"/>
  <c r="AD1154"/>
  <c r="Z1154"/>
  <c r="Q1154"/>
  <c r="AD1153"/>
  <c r="Z1153"/>
  <c r="Q1153"/>
  <c r="AD1152"/>
  <c r="Z1152"/>
  <c r="Q1152"/>
  <c r="AI1151"/>
  <c r="AD1151"/>
  <c r="Z1151"/>
  <c r="Q1151"/>
  <c r="AD1150"/>
  <c r="Z1150"/>
  <c r="Q1150"/>
  <c r="AD1149"/>
  <c r="Z1149"/>
  <c r="Q1149"/>
  <c r="AD1148"/>
  <c r="Z1148"/>
  <c r="Q1148"/>
  <c r="AD1147"/>
  <c r="Z1147"/>
  <c r="Q1147"/>
  <c r="AD1146"/>
  <c r="Z1146"/>
  <c r="Q1146"/>
  <c r="AD1145"/>
  <c r="Z1145"/>
  <c r="Q1145"/>
  <c r="AD1144"/>
  <c r="Z1144"/>
  <c r="Q1144"/>
  <c r="AD1143"/>
  <c r="Z1143"/>
  <c r="Q1143"/>
  <c r="AD1142"/>
  <c r="Z1142"/>
  <c r="Q1142"/>
  <c r="AD1141"/>
  <c r="Z1141"/>
  <c r="Q1141"/>
  <c r="AD1140"/>
  <c r="Z1140"/>
  <c r="Q1140"/>
  <c r="AD1139"/>
  <c r="Z1139"/>
  <c r="Q1139"/>
  <c r="AD1138"/>
  <c r="Z1138"/>
  <c r="Q1138"/>
  <c r="AD1137"/>
  <c r="Z1137"/>
  <c r="Q1137"/>
  <c r="AD1136"/>
  <c r="Z1136"/>
  <c r="Q1136"/>
  <c r="AD1135"/>
  <c r="Z1135"/>
  <c r="Q1135"/>
  <c r="AD1134"/>
  <c r="Z1134"/>
  <c r="Q1134"/>
  <c r="AD1133"/>
  <c r="Z1133"/>
  <c r="Q1133"/>
  <c r="AD1132"/>
  <c r="Z1132"/>
  <c r="Q1132"/>
  <c r="AD1131"/>
  <c r="Z1131"/>
  <c r="Q1131"/>
  <c r="AD1130"/>
  <c r="Z1130"/>
  <c r="Q1130"/>
  <c r="AD1129"/>
  <c r="Z1129"/>
  <c r="Q1129"/>
  <c r="AD1128"/>
  <c r="Z1128"/>
  <c r="Q1128"/>
  <c r="AD1127"/>
  <c r="Z1127"/>
  <c r="Q1127"/>
  <c r="AD1126"/>
  <c r="Z1126"/>
  <c r="Q1126"/>
  <c r="AD1125"/>
  <c r="Z1125"/>
  <c r="Q1125"/>
  <c r="AD1124"/>
  <c r="Z1124"/>
  <c r="Q1124"/>
  <c r="AD1123"/>
  <c r="Z1123"/>
  <c r="Q1123"/>
  <c r="AD1122"/>
  <c r="Z1122"/>
  <c r="Q1122"/>
  <c r="AD1121"/>
  <c r="Z1121"/>
  <c r="Q1121"/>
  <c r="AD1120"/>
  <c r="Z1120"/>
  <c r="Q1120"/>
  <c r="AD1119"/>
  <c r="Z1119"/>
  <c r="Q1119"/>
  <c r="AD1118"/>
  <c r="Z1118"/>
  <c r="Q1118"/>
  <c r="AD1117"/>
  <c r="Z1117"/>
  <c r="Q1117"/>
  <c r="AD1116"/>
  <c r="Z1116"/>
  <c r="Q1116"/>
  <c r="AD1115"/>
  <c r="Z1115"/>
  <c r="Q1115"/>
  <c r="AD1114"/>
  <c r="Z1114"/>
  <c r="Q1114"/>
  <c r="AD1113"/>
  <c r="Z1113"/>
  <c r="Q1113"/>
  <c r="AD1112"/>
  <c r="Z1112"/>
  <c r="Q1112"/>
  <c r="AD1111"/>
  <c r="Z1111"/>
  <c r="Q1111"/>
  <c r="AD1110"/>
  <c r="Z1110"/>
  <c r="Q1110"/>
  <c r="AD1109"/>
  <c r="Z1109"/>
  <c r="Q1109"/>
  <c r="AD1108"/>
  <c r="Z1108"/>
  <c r="Q1108"/>
  <c r="AD1107"/>
  <c r="Z1107"/>
  <c r="Q1107"/>
  <c r="AD1106"/>
  <c r="Z1106"/>
  <c r="Q1106"/>
  <c r="AD1105"/>
  <c r="Z1105"/>
  <c r="Q1105"/>
  <c r="Z1104"/>
  <c r="Q1104"/>
  <c r="AD1103"/>
  <c r="Z1103"/>
  <c r="Q1103"/>
  <c r="AD1102"/>
  <c r="Z1102"/>
  <c r="Q1102"/>
  <c r="AD1101"/>
  <c r="Z1101"/>
  <c r="Q1101"/>
  <c r="AD1100"/>
  <c r="Z1100"/>
  <c r="Q1100"/>
  <c r="AD1099"/>
  <c r="Z1099"/>
  <c r="Q1099"/>
  <c r="AD1098"/>
  <c r="Z1098"/>
  <c r="Q1098"/>
  <c r="AD1097"/>
  <c r="Z1097"/>
  <c r="Q1097"/>
  <c r="AD1096"/>
  <c r="Z1096"/>
  <c r="Q1096"/>
  <c r="AD1095"/>
  <c r="Z1095"/>
  <c r="Q1095"/>
  <c r="AD1094"/>
  <c r="Z1094"/>
  <c r="Q1094"/>
  <c r="Z1093"/>
  <c r="Q1093"/>
  <c r="AD1093" s="1"/>
  <c r="AD1092"/>
  <c r="Z1092"/>
  <c r="Q1092"/>
  <c r="AD1091"/>
  <c r="Z1091"/>
  <c r="Q1091"/>
  <c r="Z1090"/>
  <c r="Q1090"/>
  <c r="AD1090" s="1"/>
  <c r="AD1089"/>
  <c r="Z1089"/>
  <c r="Q1089"/>
  <c r="AD1088"/>
  <c r="Z1088"/>
  <c r="Q1088"/>
  <c r="Z1086"/>
  <c r="Q1086"/>
  <c r="AD1085"/>
  <c r="Z1085"/>
  <c r="Q1085"/>
  <c r="AD1084"/>
  <c r="Z1084"/>
  <c r="Q1084"/>
  <c r="AI1083"/>
  <c r="AD1083"/>
  <c r="Z1083"/>
  <c r="Q1083"/>
  <c r="Z1082"/>
  <c r="Q1082"/>
  <c r="AD1082" s="1"/>
  <c r="AD1081"/>
  <c r="Z1081"/>
  <c r="Q1081"/>
  <c r="Z1080"/>
  <c r="Q1080"/>
  <c r="AD1080" s="1"/>
  <c r="Z1079"/>
  <c r="Q1079"/>
  <c r="AD1079" s="1"/>
  <c r="AD1078"/>
  <c r="Z1078"/>
  <c r="Q1078"/>
  <c r="Z1077"/>
  <c r="Q1077"/>
  <c r="AD1077" s="1"/>
  <c r="Z1076"/>
  <c r="Q1076"/>
  <c r="AD1076" s="1"/>
  <c r="AD1075"/>
  <c r="Z1075"/>
  <c r="R1075"/>
  <c r="Q1075"/>
  <c r="AD1074"/>
  <c r="Z1074"/>
  <c r="Q1074"/>
  <c r="AD1073"/>
  <c r="Z1073"/>
  <c r="Q1073"/>
  <c r="AD1072"/>
  <c r="Z1072"/>
  <c r="Q1072"/>
  <c r="AD1071"/>
  <c r="Z1071"/>
  <c r="Q1071"/>
  <c r="Z1070"/>
  <c r="Q1070"/>
  <c r="AD1070" s="1"/>
  <c r="AD1069"/>
  <c r="Z1069"/>
  <c r="Q1069"/>
  <c r="AD1068"/>
  <c r="Z1068"/>
  <c r="Q1068"/>
  <c r="AD1067"/>
  <c r="Z1067"/>
  <c r="Q1067"/>
  <c r="AD1066"/>
  <c r="Z1066"/>
  <c r="Q1066"/>
  <c r="AD1065"/>
  <c r="Z1065"/>
  <c r="Q1065"/>
  <c r="AD1064"/>
  <c r="Z1064"/>
  <c r="Q1064"/>
  <c r="Z1063"/>
  <c r="Q1063"/>
  <c r="AD1062"/>
  <c r="Z1062"/>
  <c r="Q1062"/>
  <c r="AD1061"/>
  <c r="Z1061"/>
  <c r="Q1061"/>
  <c r="AD1060"/>
  <c r="Z1060"/>
  <c r="Q1060"/>
  <c r="AD1059"/>
  <c r="Z1059"/>
  <c r="Q1059"/>
  <c r="AD1058"/>
  <c r="Z1058"/>
  <c r="Q1058"/>
  <c r="AD1057"/>
  <c r="Z1057"/>
  <c r="Q1057"/>
  <c r="AD1056"/>
  <c r="Z1056"/>
  <c r="Q1056"/>
  <c r="Y1055"/>
  <c r="Z1055" s="1"/>
  <c r="Q1055"/>
  <c r="Y1054"/>
  <c r="Z1054" s="1"/>
  <c r="Q1054"/>
  <c r="AD1053"/>
  <c r="Z1053"/>
  <c r="Q1053"/>
  <c r="AD1052"/>
  <c r="Z1052"/>
  <c r="Q1052"/>
  <c r="AD1051"/>
  <c r="Z1051"/>
  <c r="Q1051"/>
  <c r="AD1050"/>
  <c r="Z1050"/>
  <c r="Q1050"/>
  <c r="AD1049"/>
  <c r="Z1049"/>
  <c r="Q1049"/>
  <c r="AD1048"/>
  <c r="Z1048"/>
  <c r="Q1048"/>
  <c r="AD1047"/>
  <c r="Z1047"/>
  <c r="Q1047"/>
  <c r="AD1046"/>
  <c r="Z1046"/>
  <c r="Q1046"/>
  <c r="AD1045"/>
  <c r="Z1045"/>
  <c r="Q1045"/>
  <c r="AD1044"/>
  <c r="Z1044"/>
  <c r="Q1044"/>
  <c r="AD1043"/>
  <c r="Z1043"/>
  <c r="Q1043"/>
  <c r="AD1042"/>
  <c r="Z1042"/>
  <c r="Q1042"/>
  <c r="AD1041"/>
  <c r="Z1041"/>
  <c r="Q1041"/>
  <c r="AD1040"/>
  <c r="Z1040"/>
  <c r="Q1040"/>
  <c r="AD1039"/>
  <c r="Z1039"/>
  <c r="Q1039"/>
  <c r="AD1038"/>
  <c r="Z1038"/>
  <c r="Q1038"/>
  <c r="AD1037"/>
  <c r="Z1037"/>
  <c r="Q1037"/>
  <c r="AD1036"/>
  <c r="Z1036"/>
  <c r="Q1036"/>
  <c r="AD1035"/>
  <c r="Z1035"/>
  <c r="Q1035"/>
  <c r="AD1034"/>
  <c r="Z1034"/>
  <c r="Q1034"/>
  <c r="AD1033"/>
  <c r="Z1033"/>
  <c r="Q1033"/>
  <c r="AD1032"/>
  <c r="Z1032"/>
  <c r="Q1032"/>
  <c r="AD1031"/>
  <c r="Z1031"/>
  <c r="Q1031"/>
  <c r="AD1030"/>
  <c r="Z1030"/>
  <c r="Q1030"/>
  <c r="AD1029"/>
  <c r="Z1029"/>
  <c r="R1029"/>
  <c r="Q1029"/>
  <c r="AD1028"/>
  <c r="Z1028"/>
  <c r="Q1028"/>
  <c r="AD1027"/>
  <c r="Z1027"/>
  <c r="Q1027"/>
  <c r="AD1026"/>
  <c r="Z1026"/>
  <c r="Q1026"/>
  <c r="AI1025"/>
  <c r="AD1025"/>
  <c r="Z1025"/>
  <c r="Q1025"/>
  <c r="AI1024"/>
  <c r="AD1024"/>
  <c r="Z1024"/>
  <c r="Q1024"/>
  <c r="AI1023"/>
  <c r="AD1023"/>
  <c r="Z1023"/>
  <c r="Q1023"/>
  <c r="AI1022"/>
  <c r="AD1022"/>
  <c r="Z1022"/>
  <c r="Q1022"/>
  <c r="AI1021"/>
  <c r="AD1021"/>
  <c r="Z1021"/>
  <c r="R1021"/>
  <c r="Q1021"/>
  <c r="AI1020"/>
  <c r="AD1020"/>
  <c r="Z1020"/>
  <c r="R1020"/>
  <c r="Q1020"/>
  <c r="AI1019"/>
  <c r="AD1019"/>
  <c r="Z1019"/>
  <c r="Q1019"/>
  <c r="AI1018"/>
  <c r="AD1018"/>
  <c r="Z1018"/>
  <c r="Q1018"/>
  <c r="AD1017"/>
  <c r="Z1017"/>
  <c r="Q1017"/>
  <c r="AD1016"/>
  <c r="Z1016"/>
  <c r="Q1016"/>
  <c r="AI1015"/>
  <c r="AD1015"/>
  <c r="Z1015"/>
  <c r="Q1015"/>
  <c r="AD1014"/>
  <c r="Z1014"/>
  <c r="Q1014"/>
  <c r="AD1013"/>
  <c r="Z1013"/>
  <c r="Q1013"/>
  <c r="AD1012"/>
  <c r="Z1012"/>
  <c r="Q1012"/>
  <c r="AD1011"/>
  <c r="Z1011"/>
  <c r="Q1011"/>
  <c r="AD1010"/>
  <c r="Z1010"/>
  <c r="Q1010"/>
  <c r="AD1009"/>
  <c r="Z1009"/>
  <c r="Q1009"/>
  <c r="AI1008"/>
  <c r="AD1008"/>
  <c r="Z1008"/>
  <c r="Q1008"/>
  <c r="AI1007"/>
  <c r="AD1007"/>
  <c r="Z1007"/>
  <c r="Q1007"/>
  <c r="AI1006"/>
  <c r="AD1006"/>
  <c r="Z1006"/>
  <c r="Q1006"/>
  <c r="AI1005"/>
  <c r="AD1005"/>
  <c r="Z1005"/>
  <c r="Q1005"/>
  <c r="AD1004"/>
  <c r="Z1004"/>
  <c r="Q1004"/>
  <c r="AD1003"/>
  <c r="Z1003"/>
  <c r="Q1003"/>
  <c r="AI1002"/>
  <c r="AD1002"/>
  <c r="Z1002"/>
  <c r="Q1002"/>
  <c r="AD1001"/>
  <c r="Z1001"/>
  <c r="Q1001"/>
  <c r="AI1000"/>
  <c r="AD1000"/>
  <c r="Z1000"/>
  <c r="Q1000"/>
  <c r="AD999"/>
  <c r="Z999"/>
  <c r="Q999"/>
  <c r="AD998"/>
  <c r="Z998"/>
  <c r="Q998"/>
  <c r="AD997"/>
  <c r="Z997"/>
  <c r="Q997"/>
  <c r="AI996"/>
  <c r="AD996"/>
  <c r="Z996"/>
  <c r="Q996"/>
  <c r="AD995"/>
  <c r="AD994"/>
  <c r="AD993"/>
  <c r="AD992"/>
  <c r="AD991"/>
  <c r="AD990"/>
  <c r="Z990"/>
  <c r="Q990"/>
  <c r="AD989"/>
  <c r="AD988"/>
  <c r="AD987"/>
  <c r="AD985"/>
  <c r="AD984"/>
  <c r="AD983"/>
  <c r="Z983"/>
  <c r="AD982"/>
  <c r="Z982"/>
  <c r="Q982"/>
  <c r="AD981"/>
  <c r="Z981"/>
  <c r="Q981"/>
  <c r="AD980"/>
  <c r="Z980"/>
  <c r="Q980"/>
  <c r="AD979"/>
  <c r="Z979"/>
  <c r="Q979"/>
  <c r="AD978"/>
  <c r="Z978"/>
  <c r="Q978"/>
  <c r="AD977"/>
  <c r="Z977"/>
  <c r="R977"/>
  <c r="Q977"/>
  <c r="AD976"/>
  <c r="Z976"/>
  <c r="Q976"/>
  <c r="AD975"/>
  <c r="Z975"/>
  <c r="R975"/>
  <c r="Q975"/>
  <c r="AD974"/>
  <c r="Z974"/>
  <c r="R974"/>
  <c r="Q974"/>
  <c r="AD973"/>
  <c r="Z973"/>
  <c r="Q973"/>
  <c r="AD972"/>
  <c r="Z972"/>
  <c r="Q972"/>
  <c r="AD971"/>
  <c r="Z971"/>
  <c r="Q971"/>
  <c r="AD970"/>
  <c r="Z970"/>
  <c r="Q970"/>
  <c r="AD969"/>
  <c r="Z969"/>
  <c r="R969"/>
  <c r="Q969"/>
  <c r="AD968"/>
  <c r="Z968"/>
  <c r="R968"/>
  <c r="Q968"/>
  <c r="AD967"/>
  <c r="Z967"/>
  <c r="Q967"/>
  <c r="AD966"/>
  <c r="Z966"/>
  <c r="Q966"/>
  <c r="AD965"/>
  <c r="Z965"/>
  <c r="Q965"/>
  <c r="AD964"/>
  <c r="Z964"/>
  <c r="Q964"/>
  <c r="AD963"/>
  <c r="Z963"/>
  <c r="Q963"/>
  <c r="AD962"/>
  <c r="Z962"/>
  <c r="Q962"/>
  <c r="AD961"/>
  <c r="Z961"/>
  <c r="AD960"/>
  <c r="Z960"/>
  <c r="Q960"/>
  <c r="AD959"/>
  <c r="Z959"/>
  <c r="Q959"/>
  <c r="AD958"/>
  <c r="Z958"/>
  <c r="Q958"/>
  <c r="AI957"/>
  <c r="AD957"/>
  <c r="Z957"/>
  <c r="Q957"/>
  <c r="AD956"/>
  <c r="Z956"/>
  <c r="Q956"/>
  <c r="AD955"/>
  <c r="Z955"/>
  <c r="Q955"/>
  <c r="AD954"/>
  <c r="Z954"/>
  <c r="Q954"/>
  <c r="AD953"/>
  <c r="Z953"/>
  <c r="Q953"/>
  <c r="AD952"/>
  <c r="Z952"/>
  <c r="Q952"/>
  <c r="AD951"/>
  <c r="Z951"/>
  <c r="Q951"/>
  <c r="Z944" l="1"/>
  <c r="AD944"/>
  <c r="AB944"/>
  <c r="AC944"/>
  <c r="Q944"/>
  <c r="P944"/>
  <c r="Q1657"/>
  <c r="Z1657" s="1"/>
  <c r="AC144"/>
  <c r="AD144" s="1"/>
  <c r="Q1520"/>
  <c r="Z1520" s="1"/>
  <c r="AD1658"/>
  <c r="Z1658"/>
  <c r="Y1658"/>
  <c r="AD1657" l="1"/>
  <c r="AD1520"/>
  <c r="K139" i="3" l="1"/>
  <c r="K138"/>
  <c r="K112" l="1"/>
  <c r="E25" i="2" l="1"/>
  <c r="AD1514" i="4" l="1"/>
  <c r="AC1792"/>
  <c r="AC1567"/>
  <c r="AC1532"/>
  <c r="AC1514"/>
  <c r="AC1510"/>
  <c r="AC1414"/>
  <c r="AC312"/>
  <c r="Z1514"/>
  <c r="Y1567"/>
  <c r="Y1514"/>
  <c r="Y1510"/>
  <c r="Y312"/>
  <c r="Q1514"/>
  <c r="P1567"/>
  <c r="P1514"/>
  <c r="P1510"/>
  <c r="P1414"/>
  <c r="P312"/>
  <c r="E34" i="2"/>
  <c r="AA312" i="4" l="1"/>
  <c r="K187" i="3" l="1"/>
  <c r="AB312" i="4" l="1"/>
  <c r="J189" i="3" l="1"/>
  <c r="C28" i="2" l="1"/>
  <c r="C16"/>
  <c r="D16" s="1"/>
  <c r="C12"/>
  <c r="C11"/>
  <c r="D11" s="1"/>
  <c r="C10"/>
  <c r="C9"/>
  <c r="C7"/>
  <c r="D10" l="1"/>
  <c r="D28"/>
  <c r="D9"/>
  <c r="Z312" i="4" l="1"/>
  <c r="Q312"/>
  <c r="AD312"/>
  <c r="K23" i="3"/>
  <c r="J5" i="4" l="1"/>
  <c r="K5" s="1"/>
  <c r="L5" s="1"/>
  <c r="M5" s="1"/>
  <c r="N5" s="1"/>
  <c r="O5" s="1"/>
  <c r="P5" s="1"/>
  <c r="Q5" s="1"/>
  <c r="R5" s="1"/>
  <c r="S5" s="1"/>
  <c r="T5" s="1"/>
  <c r="U5" s="1"/>
  <c r="V5" s="1"/>
  <c r="W5" s="1"/>
  <c r="X5" s="1"/>
  <c r="Y5" l="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K186" i="3" l="1"/>
  <c r="K185"/>
  <c r="K184" l="1"/>
  <c r="Y1414" i="4" l="1"/>
  <c r="K182" i="3" l="1"/>
  <c r="U59" l="1"/>
  <c r="U60"/>
  <c r="U61"/>
  <c r="U62"/>
  <c r="U63"/>
  <c r="U64"/>
  <c r="U65"/>
  <c r="U66"/>
  <c r="U67"/>
  <c r="U68"/>
  <c r="U69"/>
  <c r="U58"/>
  <c r="K183" l="1"/>
  <c r="K181"/>
  <c r="K179"/>
  <c r="K180"/>
  <c r="K178"/>
  <c r="K177"/>
  <c r="Q1567" i="4" l="1"/>
  <c r="K176" i="3"/>
  <c r="K175"/>
  <c r="K174"/>
  <c r="K173"/>
  <c r="K172"/>
  <c r="K171"/>
  <c r="K170"/>
  <c r="K169"/>
  <c r="K168"/>
  <c r="K167"/>
  <c r="K166"/>
  <c r="K165"/>
  <c r="K164"/>
  <c r="K163"/>
  <c r="AD1567" i="4" l="1"/>
  <c r="Z1567"/>
  <c r="C30" i="2"/>
  <c r="N162" i="3" l="1"/>
  <c r="K162"/>
  <c r="N161"/>
  <c r="K161"/>
  <c r="N160"/>
  <c r="K160"/>
  <c r="N159"/>
  <c r="K159"/>
  <c r="N158"/>
  <c r="K158"/>
  <c r="N157"/>
  <c r="K157"/>
  <c r="N156"/>
  <c r="K156"/>
  <c r="N155"/>
  <c r="K155"/>
  <c r="N154"/>
  <c r="K154"/>
  <c r="N153"/>
  <c r="K153"/>
  <c r="K152" l="1"/>
  <c r="K151"/>
  <c r="K150"/>
  <c r="K149"/>
  <c r="K148"/>
  <c r="K147"/>
  <c r="K146"/>
  <c r="K145"/>
  <c r="K144"/>
  <c r="K143"/>
  <c r="K142"/>
  <c r="K141"/>
  <c r="K140"/>
  <c r="K137"/>
  <c r="K136"/>
  <c r="K135"/>
  <c r="K134"/>
  <c r="K133"/>
  <c r="K132"/>
  <c r="K131"/>
  <c r="K130"/>
  <c r="K129"/>
  <c r="K128"/>
  <c r="K127"/>
  <c r="K126"/>
  <c r="K125"/>
  <c r="K124"/>
  <c r="K123"/>
  <c r="K122"/>
  <c r="K121"/>
  <c r="K120"/>
  <c r="K119" l="1"/>
  <c r="K118"/>
  <c r="K117"/>
  <c r="K116"/>
  <c r="Z1510" i="4" l="1"/>
  <c r="Q1510"/>
  <c r="K114" i="3"/>
  <c r="P1532" i="4"/>
  <c r="K113" i="3"/>
  <c r="K111"/>
  <c r="K110"/>
  <c r="K109"/>
  <c r="K108"/>
  <c r="K107"/>
  <c r="K106"/>
  <c r="K105"/>
  <c r="K104"/>
  <c r="K103"/>
  <c r="K102"/>
  <c r="K101"/>
  <c r="K100"/>
  <c r="K99"/>
  <c r="K98"/>
  <c r="K97"/>
  <c r="K96"/>
  <c r="K94"/>
  <c r="K93"/>
  <c r="K92"/>
  <c r="K91"/>
  <c r="K90"/>
  <c r="K89"/>
  <c r="K88"/>
  <c r="K87"/>
  <c r="K86"/>
  <c r="K85"/>
  <c r="K84"/>
  <c r="K83"/>
  <c r="K82"/>
  <c r="K81"/>
  <c r="K80"/>
  <c r="K79"/>
  <c r="K77"/>
  <c r="K76"/>
  <c r="K75"/>
  <c r="K74"/>
  <c r="K73"/>
  <c r="K72"/>
  <c r="K71"/>
  <c r="K70"/>
  <c r="K69"/>
  <c r="K68"/>
  <c r="K67"/>
  <c r="K66"/>
  <c r="K64"/>
  <c r="K63"/>
  <c r="K62"/>
  <c r="K61"/>
  <c r="K60"/>
  <c r="K59"/>
  <c r="K58"/>
  <c r="K57"/>
  <c r="K56"/>
  <c r="K55"/>
  <c r="K54"/>
  <c r="K53"/>
  <c r="K52"/>
  <c r="K51"/>
  <c r="K48"/>
  <c r="K47"/>
  <c r="K46"/>
  <c r="K45"/>
  <c r="K44"/>
  <c r="K43"/>
  <c r="K42"/>
  <c r="K41"/>
  <c r="P1792" i="4" l="1"/>
  <c r="AD1510"/>
  <c r="C27" i="2"/>
  <c r="Q1532" i="4"/>
  <c r="Y1532"/>
  <c r="K40" i="3"/>
  <c r="K39"/>
  <c r="K38"/>
  <c r="K37"/>
  <c r="K36"/>
  <c r="K35"/>
  <c r="K34"/>
  <c r="K33"/>
  <c r="K32"/>
  <c r="K31"/>
  <c r="K30"/>
  <c r="K29"/>
  <c r="K28"/>
  <c r="K26"/>
  <c r="K25"/>
  <c r="K24"/>
  <c r="K22"/>
  <c r="K21"/>
  <c r="K20"/>
  <c r="K19"/>
  <c r="K18"/>
  <c r="K17"/>
  <c r="K16"/>
  <c r="K15"/>
  <c r="K14"/>
  <c r="K13"/>
  <c r="K12"/>
  <c r="K11"/>
  <c r="K10"/>
  <c r="K9"/>
  <c r="K8"/>
  <c r="C34" i="2" s="1"/>
  <c r="Y1792" i="4" l="1"/>
  <c r="Q1414"/>
  <c r="AD1414"/>
  <c r="Q1792"/>
  <c r="Z1414"/>
  <c r="C14" i="2"/>
  <c r="K189" i="3"/>
  <c r="C26" i="2"/>
  <c r="AD1532" i="4" l="1"/>
  <c r="AD1792"/>
  <c r="Z1792"/>
  <c r="Z1532"/>
  <c r="C31" i="2"/>
  <c r="C29"/>
  <c r="C15"/>
  <c r="C24" l="1"/>
  <c r="C13"/>
  <c r="C8"/>
  <c r="C25"/>
  <c r="C17" l="1"/>
  <c r="C23"/>
  <c r="D24" s="1"/>
  <c r="C6"/>
  <c r="E28" l="1"/>
  <c r="E24"/>
  <c r="E29"/>
  <c r="E30"/>
  <c r="E31"/>
  <c r="E17"/>
  <c r="E26"/>
  <c r="E27"/>
  <c r="E16"/>
  <c r="F16" s="1"/>
  <c r="C32"/>
  <c r="E15"/>
  <c r="E10"/>
  <c r="F10" s="1"/>
  <c r="E7"/>
  <c r="E12"/>
  <c r="E9"/>
  <c r="F9" s="1"/>
  <c r="E14"/>
  <c r="E6"/>
  <c r="E11"/>
  <c r="F11" s="1"/>
  <c r="E8"/>
  <c r="E13"/>
  <c r="C18"/>
  <c r="C5"/>
  <c r="D30"/>
  <c r="D27"/>
  <c r="D26"/>
  <c r="D31"/>
  <c r="D29"/>
  <c r="F28"/>
  <c r="D25"/>
  <c r="D15" l="1"/>
  <c r="D12"/>
  <c r="D23"/>
  <c r="D17"/>
  <c r="E23"/>
  <c r="F29" s="1"/>
  <c r="D7"/>
  <c r="D14"/>
  <c r="D8"/>
  <c r="D13"/>
  <c r="E5"/>
  <c r="F7" s="1"/>
  <c r="E18"/>
  <c r="D6"/>
  <c r="D18"/>
  <c r="F12" l="1"/>
  <c r="F31"/>
  <c r="D5"/>
  <c r="F15"/>
  <c r="F17"/>
  <c r="F25"/>
  <c r="F27"/>
  <c r="F6"/>
  <c r="F18"/>
  <c r="F30"/>
  <c r="F26"/>
  <c r="F14"/>
  <c r="F13"/>
  <c r="F8"/>
  <c r="F24"/>
  <c r="F23" l="1"/>
  <c r="F5"/>
</calcChain>
</file>

<file path=xl/sharedStrings.xml><?xml version="1.0" encoding="utf-8"?>
<sst xmlns="http://schemas.openxmlformats.org/spreadsheetml/2006/main" count="52690" uniqueCount="7466">
  <si>
    <t>Сведения о конкурентной процедуре</t>
  </si>
  <si>
    <t>ПИР – проектно-изыскательские работы;</t>
  </si>
  <si>
    <t>ГЭ – прохождение экспертизы проектов;</t>
  </si>
  <si>
    <t>АН – авторский надзор за ходом строительства;</t>
  </si>
  <si>
    <t>ТН – технический надзор за ходом строительства;</t>
  </si>
  <si>
    <t>СМР – строительно-монтажные работы;</t>
  </si>
  <si>
    <t>ПНР – пуско-наладочные работы;</t>
  </si>
  <si>
    <t>ГП – генподрядные работы (работы «под ключ»);</t>
  </si>
  <si>
    <t>УС – услуги сторонних организаций по управлению строительством;</t>
  </si>
  <si>
    <t>МТРиО – поставка материально-технических ресурсов и оборудования;</t>
  </si>
  <si>
    <t>ОН – приобретение, аренда объектов недвижимости, включая услуги по юридическому сопровождению сделок, оформлению объектов недвижимости, а также возмещение убытков, связанных с использованием земельных участков под строительство;</t>
  </si>
  <si>
    <t>ИТ – покупка и техническое обслуживание вычислительной и оргтехники, внедрение и сопровождение лицензионного программного обеспечения, корпоративных информационных систем;</t>
  </si>
  <si>
    <t>ТС – покупка, аренда транспортных средств и спецтехники, транспортные услуги;</t>
  </si>
  <si>
    <t>СБ – обеспечение безопасности и защита коммерческой, промышленной, финансовой, деловой и другой информации;</t>
  </si>
  <si>
    <t>ФО – отбор финансовых организаций в соответствии со статьей 18 Федерального закона Российской Федерации от 26 июля 2006 г. № 135-ФЗ «О защите конкуренции»;</t>
  </si>
  <si>
    <t>Охрана – услуги сторонних организаций по охране имущества;</t>
  </si>
  <si>
    <t>Услуги – прочие услуги, не вошедшие в вышеперечисленные виды закупок;</t>
  </si>
  <si>
    <t>Работы – прочие работы, не вошедшие в вышеперечисленные виды закупок.</t>
  </si>
  <si>
    <t>Номер закупки</t>
  </si>
  <si>
    <t>Год под обеспечение потребности которого планируется данная закупка</t>
  </si>
  <si>
    <t>Подразделение/предприятие-потребитель продукции</t>
  </si>
  <si>
    <t>Номер лота</t>
  </si>
  <si>
    <t>Наименование лота</t>
  </si>
  <si>
    <t>Базовая стоимость в фактических ценах 2010 г. тыс. руб. (без НДС)</t>
  </si>
  <si>
    <t>Применяемые индекс-дефляторы</t>
  </si>
  <si>
    <t>Коэффициент 10% снижения</t>
  </si>
  <si>
    <t>Единица измерения</t>
  </si>
  <si>
    <t>Наименование</t>
  </si>
  <si>
    <t>2011 / 2010</t>
  </si>
  <si>
    <t>2012 / 2011</t>
  </si>
  <si>
    <t>2013 / 2012</t>
  </si>
  <si>
    <t>Плановая дата начала поставки товаров, выполнения работ, услуг (дд.мм.гггг)</t>
  </si>
  <si>
    <t>Плановая дата окончания поставки товаров, выполнения работ, услуг (дд.мм.гггг)</t>
  </si>
  <si>
    <t>Плановая дата подведения итогов по закупочной процедуре (дд.мм.гггг)</t>
  </si>
  <si>
    <t>Плановая дата заключения договора (дд.мм.гггг)</t>
  </si>
  <si>
    <t>Основание для проведения закупки у ЕИ (Положение, дата утверждения (дд.мм.гггг), пункт положения)</t>
  </si>
  <si>
    <t>Регион поставки товаров (выполнения работ, оказания услуг)</t>
  </si>
  <si>
    <t>Код по ОКАТО</t>
  </si>
  <si>
    <t>наименование</t>
  </si>
  <si>
    <t>Предмет договора</t>
  </si>
  <si>
    <t>Минимально необходимые требования, предъявляемые к закупаемым товарам (работам, услугам)</t>
  </si>
  <si>
    <t>Код вида деятельности</t>
  </si>
  <si>
    <t>Условия договора</t>
  </si>
  <si>
    <t>Код по ОКВЭД</t>
  </si>
  <si>
    <t>Код по ОКДП</t>
  </si>
  <si>
    <t>Код по ОКЕИ</t>
  </si>
  <si>
    <t>Сведения о количестве (объеме) - количество единиц измерения</t>
  </si>
  <si>
    <t>2014 / 2013</t>
  </si>
  <si>
    <t>Группа продукции (Код классификатора)</t>
  </si>
  <si>
    <t>Вид закупаемой продукции</t>
  </si>
  <si>
    <t>Планируемый способ закупки</t>
  </si>
  <si>
    <t>Наименование контрагента</t>
  </si>
  <si>
    <t>Сведения о закупке у ЕИ</t>
  </si>
  <si>
    <t>без НДС</t>
  </si>
  <si>
    <t>с НДС</t>
  </si>
  <si>
    <t>Планируемая (предельная) цена закупки, тыс. руб.</t>
  </si>
  <si>
    <t>Планируемая (предельная) цена закупки с учетом требования о 10% снижении от уровня цен 2010 года, тыс. руб.</t>
  </si>
  <si>
    <t>Примечание</t>
  </si>
  <si>
    <t>Вид закупки (электронная/неэлектронная)</t>
  </si>
  <si>
    <t>Плановая дата официального объявления о начале процедур (дд.мм.гггг)</t>
  </si>
  <si>
    <t>Источник финансирования</t>
  </si>
  <si>
    <t>Код статьи БДР ИА/бизнес-плана филиала</t>
  </si>
  <si>
    <t>Наименование статьи БДР ИА/бизнес-плана филиала/ИПР год</t>
  </si>
  <si>
    <t>Документ, на основании которого определена планируемая цена закупки</t>
  </si>
  <si>
    <t>Планируемая начальная (предельная) цена лота по извещению/уведомлению, тыс. руб.</t>
  </si>
  <si>
    <t>Дополнительная информация по закупке</t>
  </si>
  <si>
    <t>Признак условно-постоянных закупок (Да/Нет)</t>
  </si>
  <si>
    <t>Документ по условно-постоянной закупке</t>
  </si>
  <si>
    <t>Данные из ИПР текущий и следующий календарные годы</t>
  </si>
  <si>
    <t>Юридическое лицо</t>
  </si>
  <si>
    <t>Филиал/подразделение</t>
  </si>
  <si>
    <t>Функциональный блок</t>
  </si>
  <si>
    <t>Организатор закупки</t>
  </si>
  <si>
    <t>Уровень закупочной комиссии</t>
  </si>
  <si>
    <t>ИПР год</t>
  </si>
  <si>
    <t>Наименование инвестиционного проекта</t>
  </si>
  <si>
    <t>Дата утвержденния проектно-сметной документации / Не утверждена / Не требуется</t>
  </si>
  <si>
    <t>Ввод объекта в эксплуатацию/ окончание работ по проекту (месяц, год)</t>
  </si>
  <si>
    <t>Сметная стоимость объекта в тек. ценах, тыс. руб. с НДС</t>
  </si>
  <si>
    <t>Физические параметры инвестиционного проекта</t>
  </si>
  <si>
    <t>Технологическое присоединение (Да/Нет)***</t>
  </si>
  <si>
    <t>МВА</t>
  </si>
  <si>
    <t>км</t>
  </si>
  <si>
    <t>ОАО "МОЭСК"</t>
  </si>
  <si>
    <t>Блок по корпоративному управлению</t>
  </si>
  <si>
    <t>70.31.2, 74.84</t>
  </si>
  <si>
    <t>Оценка объектов электросетевого хозяйства (ЗЗЦ по ОКП, среди рамочников, выбранных ранее)</t>
  </si>
  <si>
    <t>Оценка объектов электросетевого хозяйства</t>
  </si>
  <si>
    <t>Прибыль</t>
  </si>
  <si>
    <t>Бизнес-план на 2014 год</t>
  </si>
  <si>
    <t>Электронная</t>
  </si>
  <si>
    <t>Отчет об оценке в соответствии с требованиями Федеральных стандартов</t>
  </si>
  <si>
    <t>Москва, Московская область</t>
  </si>
  <si>
    <t>45, 46</t>
  </si>
  <si>
    <t>штука</t>
  </si>
  <si>
    <t>Заключение рамочных соглашений об оказании услуг по оценке</t>
  </si>
  <si>
    <t>-</t>
  </si>
  <si>
    <t>Открытые конкурентные переговоры</t>
  </si>
  <si>
    <t>Отчеты об оценке в соответствии с требованиями Федеральных стандартов</t>
  </si>
  <si>
    <t>2014-2015</t>
  </si>
  <si>
    <t>ИА/Департамент консолидации электросетевых активов</t>
  </si>
  <si>
    <t>062-0005843</t>
  </si>
  <si>
    <t>062-0005849</t>
  </si>
  <si>
    <t>062-0005850</t>
  </si>
  <si>
    <t>062-0005857</t>
  </si>
  <si>
    <t>062-0005858</t>
  </si>
  <si>
    <t>062-0005859</t>
  </si>
  <si>
    <t>062-0005860</t>
  </si>
  <si>
    <t>062-0005861</t>
  </si>
  <si>
    <t>062-0005862</t>
  </si>
  <si>
    <t>062-0005863</t>
  </si>
  <si>
    <t>062-0005864</t>
  </si>
  <si>
    <t>062-0005865</t>
  </si>
  <si>
    <t>062-0005866</t>
  </si>
  <si>
    <t>062-0005867</t>
  </si>
  <si>
    <t>062-0005868</t>
  </si>
  <si>
    <t>062-0005869</t>
  </si>
  <si>
    <t>062-0005870</t>
  </si>
  <si>
    <t>062-0005871</t>
  </si>
  <si>
    <t>062-0005872</t>
  </si>
  <si>
    <t>062-0005873</t>
  </si>
  <si>
    <t>062-0005874</t>
  </si>
  <si>
    <t>062-0005875</t>
  </si>
  <si>
    <t>062-0005876</t>
  </si>
  <si>
    <t>062-0005877</t>
  </si>
  <si>
    <t>062-0005878</t>
  </si>
  <si>
    <t>062-0005879</t>
  </si>
  <si>
    <t>062-0005880</t>
  </si>
  <si>
    <t>062-0005881</t>
  </si>
  <si>
    <t>062-0005882</t>
  </si>
  <si>
    <t>062-0005883</t>
  </si>
  <si>
    <t>062-0005884</t>
  </si>
  <si>
    <t>.</t>
  </si>
  <si>
    <t xml:space="preserve">Код статьи БДР </t>
  </si>
  <si>
    <t>Юридическое лицо/Организатор закупки</t>
  </si>
  <si>
    <t>Подразделение</t>
  </si>
  <si>
    <t>ВЭС 
УПОиУС</t>
  </si>
  <si>
    <t>70.20.2 
70.31.12</t>
  </si>
  <si>
    <t>020105110</t>
  </si>
  <si>
    <t>ООО "Мосторфстрой"</t>
  </si>
  <si>
    <t>055</t>
  </si>
  <si>
    <t>кв.м.</t>
  </si>
  <si>
    <t>Коломна</t>
  </si>
  <si>
    <t>ЗАО "ЕТЕКС"</t>
  </si>
  <si>
    <t>Егорьевск</t>
  </si>
  <si>
    <t>ООО "Ранорд"</t>
  </si>
  <si>
    <t>ООО "Сигма Плюс"</t>
  </si>
  <si>
    <t>Озеры</t>
  </si>
  <si>
    <t>ООО "Мцыри"</t>
  </si>
  <si>
    <t>Ногинск</t>
  </si>
  <si>
    <t>084-0002533</t>
  </si>
  <si>
    <t>Ииндивидуальный предприниматель 
Ларионов Артем Валерьевич</t>
  </si>
  <si>
    <t>128,4</t>
  </si>
  <si>
    <t>46 257.0</t>
  </si>
  <si>
    <t>Шатура</t>
  </si>
  <si>
    <t>084-0002618</t>
  </si>
  <si>
    <t>Ииндивидуальный предприниматель 
Карцев Алексей Алексеевич</t>
  </si>
  <si>
    <t>62,4</t>
  </si>
  <si>
    <t>46 204 501.3</t>
  </si>
  <si>
    <t>Балашиха</t>
  </si>
  <si>
    <t>ИА</t>
  </si>
  <si>
    <t>062-0005944</t>
  </si>
  <si>
    <t>ИА/УИиЭ</t>
  </si>
  <si>
    <t>Блок по ИТ, стратегии и бизнес-процессам</t>
  </si>
  <si>
    <t>74.14</t>
  </si>
  <si>
    <t>Внедрение системы управления энергосбережением и повышением энергетической эффективности (энергоменеджмента) в соответствии с требованиями международного стандарта ISO 50001 на уровне РЭС и ОВЭС</t>
  </si>
  <si>
    <t>себестоимость</t>
  </si>
  <si>
    <t>Коммерческое предложение</t>
  </si>
  <si>
    <t>Индекс потребительских цен (ИПЦ)</t>
  </si>
  <si>
    <t>Открытый конкурс</t>
  </si>
  <si>
    <t>Оказание услуг по внедрению системы управления энергосбережением и повышением энергетической эффективности (энергоменеджмента) в соответствии с требованиями международного стандарта ISO 50001 на уровне РЭС и ОВЭС</t>
  </si>
  <si>
    <t>В соответствии с ТЗ</t>
  </si>
  <si>
    <t>74.30.8</t>
  </si>
  <si>
    <t>Открытый запрос предложений</t>
  </si>
  <si>
    <t>062-0005999</t>
  </si>
  <si>
    <t>ИА/Управление маркетинга</t>
  </si>
  <si>
    <t>Блок по развитию и реализации услуг</t>
  </si>
  <si>
    <t>72.20 /72.40</t>
  </si>
  <si>
    <t>72.2</t>
  </si>
  <si>
    <t>Создание ПО для ведения базы данных перспективных проектов</t>
  </si>
  <si>
    <t>Себестоимость</t>
  </si>
  <si>
    <t>Консультационные услуги (УМ) из себестоимости</t>
  </si>
  <si>
    <t>Программа маркетинга (выписка из протокола заседания Правления №44/13 от 14 августа 2013г.)</t>
  </si>
  <si>
    <t>х</t>
  </si>
  <si>
    <t>Оказание услуг по созданию ПО для ведения базы данных перспективных проектов</t>
  </si>
  <si>
    <t>Москва, МО</t>
  </si>
  <si>
    <t>нет</t>
  </si>
  <si>
    <t>72.60</t>
  </si>
  <si>
    <t>45, 47</t>
  </si>
  <si>
    <t xml:space="preserve">062-0005916                              </t>
  </si>
  <si>
    <t>Блок по административно-хозяйственной деятельности</t>
  </si>
  <si>
    <t>Услуги по обслуживанию зданий помещений, оборудования и инженерных систем</t>
  </si>
  <si>
    <t>услуги</t>
  </si>
  <si>
    <t xml:space="preserve">Стоимость определена на основании цен прошлого года на аналогичные услуги </t>
  </si>
  <si>
    <t>062-0005919</t>
  </si>
  <si>
    <t>Уход за комнатными и уличными растениями, уборка газона, озеленение офиса в помещении и территории</t>
  </si>
  <si>
    <t>062-0005920</t>
  </si>
  <si>
    <t>Праздничное оформление мероприятий и изготовление цветочной продукции для ИА</t>
  </si>
  <si>
    <t>45, 48</t>
  </si>
  <si>
    <t>062-0005922</t>
  </si>
  <si>
    <t>Подготовка и проведение дня энергетика, аренда помещения, концертного зала для работников ОАО "МОЭСК".</t>
  </si>
  <si>
    <t>45, 50</t>
  </si>
  <si>
    <t>062-0005923</t>
  </si>
  <si>
    <t>Поставка питьевой воды для нужд ИА</t>
  </si>
  <si>
    <t>45, 51</t>
  </si>
  <si>
    <t>062-0005924</t>
  </si>
  <si>
    <t>Организация отправлений почтовой корреспонденции, оказание курьерских услуг</t>
  </si>
  <si>
    <t>45, 52</t>
  </si>
  <si>
    <t>062-0005925</t>
  </si>
  <si>
    <t>Подписка на газеты и журналы для нужд ИА</t>
  </si>
  <si>
    <t>45, 53</t>
  </si>
  <si>
    <t>ИА ОАО "МОЭСК"</t>
  </si>
  <si>
    <t>062-0005986</t>
  </si>
  <si>
    <t>ЮЭС</t>
  </si>
  <si>
    <t>Блок по безопасности</t>
  </si>
  <si>
    <t>74.6</t>
  </si>
  <si>
    <t>Услуги охраны объектов ЮЭС</t>
  </si>
  <si>
    <t>По результатам предыдущих торгов</t>
  </si>
  <si>
    <t>открытый конкурс</t>
  </si>
  <si>
    <t>неэлектронная</t>
  </si>
  <si>
    <t>Услуги охраны</t>
  </si>
  <si>
    <t>штука (объект)</t>
  </si>
  <si>
    <t>46200 0</t>
  </si>
  <si>
    <t>МО</t>
  </si>
  <si>
    <t>062-0005988</t>
  </si>
  <si>
    <t>СЭС</t>
  </si>
  <si>
    <t>Услуги охраны объектов СЭС</t>
  </si>
  <si>
    <t>062-0005989</t>
  </si>
  <si>
    <t>45260 0</t>
  </si>
  <si>
    <t>Г. Москва</t>
  </si>
  <si>
    <t>062-0005990</t>
  </si>
  <si>
    <t>ЗЭС</t>
  </si>
  <si>
    <t>Услуги охраны объектов ЗЭС</t>
  </si>
  <si>
    <t>062-0005991</t>
  </si>
  <si>
    <t>062-0005992</t>
  </si>
  <si>
    <t>ВЭС</t>
  </si>
  <si>
    <t>Услуги охраны объектов ВЭС</t>
  </si>
  <si>
    <t>062-0005993</t>
  </si>
  <si>
    <t>ЦЭС</t>
  </si>
  <si>
    <t>Услуги охраны объектов ЦЭС</t>
  </si>
  <si>
    <t>062-0005994</t>
  </si>
  <si>
    <t>062-0006002</t>
  </si>
  <si>
    <t>МКС</t>
  </si>
  <si>
    <t>Услуги охраны объектов МКС</t>
  </si>
  <si>
    <t>062-0006003</t>
  </si>
  <si>
    <t>ВКС</t>
  </si>
  <si>
    <t>Услуги охраны объектов ВКС</t>
  </si>
  <si>
    <t>062-0006004</t>
  </si>
  <si>
    <t>Услуги охраны объектов ИА</t>
  </si>
  <si>
    <t>082-0005070</t>
  </si>
  <si>
    <t>Технический блок</t>
  </si>
  <si>
    <t>75.11</t>
  </si>
  <si>
    <t xml:space="preserve">Разработка и продление разрешительной экологической документации </t>
  </si>
  <si>
    <t>Разработка природоохранной документации</t>
  </si>
  <si>
    <t>Приложение 2, МРР-3.2.06.07-10</t>
  </si>
  <si>
    <t>Индекс потребительских цен в среднем за год в соответствии с прогнозом социально экономического развития РФ на 2013 год</t>
  </si>
  <si>
    <t xml:space="preserve"> шт.</t>
  </si>
  <si>
    <t>по 3 штуки томов разрешительной экологической документации на 1 РЭС (10 РЭС)</t>
  </si>
  <si>
    <t>Подольск</t>
  </si>
  <si>
    <t>082-0005073</t>
  </si>
  <si>
    <t xml:space="preserve">Блок по безопасности </t>
  </si>
  <si>
    <t>31.62.9</t>
  </si>
  <si>
    <t>Услуги по реагированию на сигнал "тревога" и техническое обслуживание КТС</t>
  </si>
  <si>
    <t>Услуги охраны объектов ОАО "МОЭСК"</t>
  </si>
  <si>
    <t xml:space="preserve">Техническое задание </t>
  </si>
  <si>
    <t xml:space="preserve">69 КТС </t>
  </si>
  <si>
    <t>082-0005072</t>
  </si>
  <si>
    <t>74.70.1</t>
  </si>
  <si>
    <t>Уборка производственных и служебных помещений, уборка прилегающих территорий</t>
  </si>
  <si>
    <t>Уборка помещений, уборка территорий</t>
  </si>
  <si>
    <t>020105140703</t>
  </si>
  <si>
    <t>Техническое задание</t>
  </si>
  <si>
    <t>квадратный метр</t>
  </si>
  <si>
    <t>Площадь объектов по уборке: Админ-е здания-22260,5 м2, Помещений ПС с пост-м опер-м перс-м,ЭТУ,гаражей-39978м2,помещений ПС без пост-го опер-го персонала,гаражей,складов-31534 м2, прилег-х помещений-48095 м2</t>
  </si>
  <si>
    <t>Блок по логистике и МТО</t>
  </si>
  <si>
    <t>Услуги</t>
  </si>
  <si>
    <t>0201051404</t>
  </si>
  <si>
    <t>082-0005096</t>
  </si>
  <si>
    <t>60.10</t>
  </si>
  <si>
    <t>Услуги ж/д</t>
  </si>
  <si>
    <t>Единственный источник</t>
  </si>
  <si>
    <t>Неэлектронная</t>
  </si>
  <si>
    <t>ОАО "РЖД"</t>
  </si>
  <si>
    <t>082-0005079</t>
  </si>
  <si>
    <t>64.20</t>
  </si>
  <si>
    <t>Предоставление в аренду места в телефонной канализации</t>
  </si>
  <si>
    <t>Услуги связи</t>
  </si>
  <si>
    <t>ОАО "Ростелеком"</t>
  </si>
  <si>
    <t>006</t>
  </si>
  <si>
    <t>метр</t>
  </si>
  <si>
    <t>082-0005080</t>
  </si>
  <si>
    <t>082-0005081</t>
  </si>
  <si>
    <t>Оказании услуг связи по передаче данных.</t>
  </si>
  <si>
    <t>поддержка VPN сети</t>
  </si>
  <si>
    <t>082-0005082</t>
  </si>
  <si>
    <t>Возмездное оказание услуг связи  по предоставлению в пользование цифровых каналов связи и порта PRI</t>
  </si>
  <si>
    <t>16 каналов и порт PRI 2048Кб/с</t>
  </si>
  <si>
    <t>082-0005083</t>
  </si>
  <si>
    <t>Возмездное оказание услуг связи  по предоставлению в пользование цифровых каналов связи</t>
  </si>
  <si>
    <t>082-0005084</t>
  </si>
  <si>
    <t>Оказание услуг по предоставлению резервных каналов диспетчерской телефонной связи и телемеханики</t>
  </si>
  <si>
    <t xml:space="preserve"> 38 цифровых  каналов связи до 2048Кб/с</t>
  </si>
  <si>
    <t>082-0005085</t>
  </si>
  <si>
    <t>Предоставление цифровых каналов связи</t>
  </si>
  <si>
    <t>13 каналов, 2 порта +VPN  100Мб/с 11кан.+VPN+11кан.+1кан.</t>
  </si>
  <si>
    <t>082-0005086</t>
  </si>
  <si>
    <t>Предоставление цифровых каналов связи.</t>
  </si>
  <si>
    <t>17 цифровых каналов  связи до 2048Кб/с</t>
  </si>
  <si>
    <t>082-0005087</t>
  </si>
  <si>
    <t>Предоставление каналов передачи данных АИИС КУЭ, КРАП, ОМП и диспетчерской телефонной связи</t>
  </si>
  <si>
    <t>11 цифровых каналов  связи</t>
  </si>
  <si>
    <t>082-0005088</t>
  </si>
  <si>
    <t>Предоставление  каналов передачи данных</t>
  </si>
  <si>
    <t xml:space="preserve"> 3 цифровых  канала связи 2Мб/с</t>
  </si>
  <si>
    <t>082-0005090</t>
  </si>
  <si>
    <t>Предоставление  каналов связи</t>
  </si>
  <si>
    <t>10 каналов  связи 2Мб/с</t>
  </si>
  <si>
    <t>082-0005091</t>
  </si>
  <si>
    <t>Предоставление каналов связи</t>
  </si>
  <si>
    <t xml:space="preserve">13 цифровоых каналов связи </t>
  </si>
  <si>
    <t>082-0005092</t>
  </si>
  <si>
    <t xml:space="preserve">48 каналов связи  64Кб/с: </t>
  </si>
  <si>
    <t>082-0005093</t>
  </si>
  <si>
    <t xml:space="preserve">49 каналов связи  64Кб/с: </t>
  </si>
  <si>
    <t>082-0005094</t>
  </si>
  <si>
    <t xml:space="preserve"> 13  цифровых  каналов связи до 2Мб/с </t>
  </si>
  <si>
    <t>082-0005095</t>
  </si>
  <si>
    <t>Предоставление услуг по предоставлению цифровых каналов связи</t>
  </si>
  <si>
    <t xml:space="preserve"> 1 основной  и 1 резервный  цифровые  каналы связи</t>
  </si>
  <si>
    <t>082-0005075</t>
  </si>
  <si>
    <t>40.30.1</t>
  </si>
  <si>
    <t>Коммунальные услуги: отопление, им. очищенная  горячая вода объектов г. Кашира</t>
  </si>
  <si>
    <t>Каширская ГРЭС</t>
  </si>
  <si>
    <t>Гигакалория</t>
  </si>
  <si>
    <t>082-0005076</t>
  </si>
  <si>
    <t>Коммунальные услуги Отопление  производственных объектов г. Чехова</t>
  </si>
  <si>
    <t>ЖКХ Чеховского района</t>
  </si>
  <si>
    <t>082-0005074</t>
  </si>
  <si>
    <t>Коммунальные услуги :Отопление здания РДП в Подольске</t>
  </si>
  <si>
    <t>МУП Подольская теплосеть</t>
  </si>
  <si>
    <t>082-0005077</t>
  </si>
  <si>
    <t>41.00, 40.30.1</t>
  </si>
  <si>
    <t>Коммунальные услуги по водоснабжению,  водоотведению и теплоснабжению</t>
  </si>
  <si>
    <t>2010104 
020105140000</t>
  </si>
  <si>
    <t>ЗАО "Агрокомбинат Московский"</t>
  </si>
  <si>
    <t>233 
113 
113</t>
  </si>
  <si>
    <t>Гигакалория
Куб.м. 
Куб.м</t>
  </si>
  <si>
    <t>т/э 619,8 
вода 4523 водоот.4523</t>
  </si>
  <si>
    <t>Главный бухгалтер-Директор департамента</t>
  </si>
  <si>
    <t>40.10.2</t>
  </si>
  <si>
    <t>062-0005939</t>
  </si>
  <si>
    <t>Аудит налоговых обязательств ОАО "МОЭСК"</t>
  </si>
  <si>
    <t>Консультационные услуги</t>
  </si>
  <si>
    <t>В соответсвии с ТЗ</t>
  </si>
  <si>
    <t>Аудит налоговых обязательств ОАО "МОЭСК" за 2014 год</t>
  </si>
  <si>
    <t>Правильное предоставление бухгалтерской и налоговой отчетности</t>
  </si>
  <si>
    <t xml:space="preserve">Город Москва столица       Российской Федерации город   федерального значения        
</t>
  </si>
  <si>
    <t>062-0005942</t>
  </si>
  <si>
    <t>Консультационные услуги на оказание оценочных услуг</t>
  </si>
  <si>
    <t>062-0005941</t>
  </si>
  <si>
    <t>Консультационные услуги, связанные с подготовкой  отчетности ОАО "МОЭСК" в соответствии с РСБУ</t>
  </si>
  <si>
    <t>062-0005915</t>
  </si>
  <si>
    <t>УНиЗ</t>
  </si>
  <si>
    <t>75.11.21 75.11.22</t>
  </si>
  <si>
    <t>Заключение договоров аренды земельных участков  под объектами недвижимого имущества ОАО "МОЭСК", находящимися на территории города Москвы и Муниципальных образований Московской области</t>
  </si>
  <si>
    <t>0201051103</t>
  </si>
  <si>
    <t>Департамент городского имущества города Москвы и муниципальные образования Московской области</t>
  </si>
  <si>
    <t>аренда земельных участков  под объектами недвижимого имущества ОАО "МОЭСК"</t>
  </si>
  <si>
    <t>шт.</t>
  </si>
  <si>
    <t>45 260                   46 200                       46 400</t>
  </si>
  <si>
    <t>062-0005933</t>
  </si>
  <si>
    <t>70.32.3</t>
  </si>
  <si>
    <t>Проведение работ по технической инвентаризации объектов недвижимого имущества</t>
  </si>
  <si>
    <t>020105140103</t>
  </si>
  <si>
    <t>ГУП МосгорБТИ</t>
  </si>
  <si>
    <t>062-0005930</t>
  </si>
  <si>
    <t>70.32.4</t>
  </si>
  <si>
    <t>ФГУП Ростехинвентаризация - Федеральное БТИ</t>
  </si>
  <si>
    <t>062-0005931</t>
  </si>
  <si>
    <t>74.20.1</t>
  </si>
  <si>
    <t>Подготовка заключений по закреплению границ земельных участков</t>
  </si>
  <si>
    <t>ГУП НИ и ПИ Генплана                   г. Москвы</t>
  </si>
  <si>
    <t>062-0005938</t>
  </si>
  <si>
    <t>Проведение работ по технической инвентаризации объектов недвижимого имущества в Московской области</t>
  </si>
  <si>
    <t>ГУП МО МОБТИ</t>
  </si>
  <si>
    <t>ИА/УМКиОЭ</t>
  </si>
  <si>
    <t>Услуги по ресертификации системы менеджмента качества</t>
  </si>
  <si>
    <t>---</t>
  </si>
  <si>
    <t>Оказание услуг по ресертификации системы менеджмента качества</t>
  </si>
  <si>
    <t>Услуги по ресертификации интегрированной системы менеджмента</t>
  </si>
  <si>
    <t>Оказание услуг по ресертификации интегрированной системы менеджмента</t>
  </si>
  <si>
    <t>062-0006009</t>
  </si>
  <si>
    <t>062-0006010</t>
  </si>
  <si>
    <t>Консультационные услуги в области ISO</t>
  </si>
  <si>
    <t>062-0005894</t>
  </si>
  <si>
    <t xml:space="preserve">72.10     </t>
  </si>
  <si>
    <t>Техническая поддержка программного обеспечения мониторинга сети ПО Lancope</t>
  </si>
  <si>
    <t>Сопровождение ИТ инфраструктуры</t>
  </si>
  <si>
    <t>Технико-коммерческое предложение</t>
  </si>
  <si>
    <t>Даниловский</t>
  </si>
  <si>
    <t>Нет</t>
  </si>
  <si>
    <t>062-0005893</t>
  </si>
  <si>
    <t>Техническая поддержка инженерных систем серверных помещений с предоставлением услуг ЗИП (кондиционеры, ДГУ, ИБП, диз.топливо, мониторинг, ГРЩ и пр.)</t>
  </si>
  <si>
    <t>062-0005892</t>
  </si>
  <si>
    <t>Техническая поддержка инфраструктуры корпоративного портала</t>
  </si>
  <si>
    <t>062-0005891</t>
  </si>
  <si>
    <t>Техническая поддержка для ПО СЗПДН (персональные данные)</t>
  </si>
  <si>
    <t>062-0005890</t>
  </si>
  <si>
    <t>Техническая поддержка Cisco IronPort C, S класса на 1 год</t>
  </si>
  <si>
    <t>062-0005889</t>
  </si>
  <si>
    <t>Техническая поддержка сетевой инфраструктуры на 2 года</t>
  </si>
  <si>
    <t>062-0005888</t>
  </si>
  <si>
    <t>Техническая поддержка серверной инфраструктуры на 2 года</t>
  </si>
  <si>
    <t>062-0005887</t>
  </si>
  <si>
    <t>Техническая поддержка SUSE с виртуализацией на 1 год</t>
  </si>
  <si>
    <t>062-0005886</t>
  </si>
  <si>
    <t>Техническая поддержка RHEL с виртуализацией на 1 год</t>
  </si>
  <si>
    <t>062-0005885</t>
  </si>
  <si>
    <t>Оказание технологических услуг по сопровождению информационных систем ОАО"МОЭСК"</t>
  </si>
  <si>
    <t>шт</t>
  </si>
  <si>
    <t>В рамках технологических услуг по сопровождению информационной системы ОАО «МОЭсК» предусматривается выполнение следующих видов работ:
1. обеспечение информационной безопасности;
2. хранение данных;
3. передача данных;
4. поддержка рабочих мест</t>
  </si>
  <si>
    <t>062-0005855</t>
  </si>
  <si>
    <t xml:space="preserve">72.20     </t>
  </si>
  <si>
    <t>Увеличение и продление кол-ва лицензий, поддерживаемых в рамках корпоративного договора Microsoft  EAS на 3 года</t>
  </si>
  <si>
    <t>Лицензии ИТ</t>
  </si>
  <si>
    <t>Увеличение количества лицензий, поддерживаемых в рамках корпоративного договора Microsoft EAS на 3 года.</t>
  </si>
  <si>
    <t>062-0005854</t>
  </si>
  <si>
    <t xml:space="preserve">72.20
72.30     </t>
  </si>
  <si>
    <t>Развитие ИТ инфраструктуры</t>
  </si>
  <si>
    <t>062-0005853</t>
  </si>
  <si>
    <t xml:space="preserve">72.20
72.10
72.30     </t>
  </si>
  <si>
    <t xml:space="preserve">7220000
7260000
</t>
  </si>
  <si>
    <t>Приобретение лицензий и техническая поддержка системы защиты баз данных</t>
  </si>
  <si>
    <t>Приобретение программного обеспечения</t>
  </si>
  <si>
    <t>062-0005852</t>
  </si>
  <si>
    <t>Продление неисключительных прав ПО Veritas Cluster и Netbackup</t>
  </si>
  <si>
    <t>062-0005851</t>
  </si>
  <si>
    <t>Приобретение ПО для проекта внедрения единого корпоративного домена, службы единого каталога, мониторинга</t>
  </si>
  <si>
    <t>Амортизация</t>
  </si>
  <si>
    <t>062-0005848</t>
  </si>
  <si>
    <t xml:space="preserve">72.20
72.10     </t>
  </si>
  <si>
    <t>062-0005912</t>
  </si>
  <si>
    <t>Модернизация и оптимизация автоматизированных рабочих мест пользователя комплекса терминального доступа Citrix, включая техническую поддержку</t>
  </si>
  <si>
    <t>Сопровождение информационной системы</t>
  </si>
  <si>
    <t>062-0005910</t>
  </si>
  <si>
    <t xml:space="preserve">72.10
72.40     </t>
  </si>
  <si>
    <t>7220024
7220022</t>
  </si>
  <si>
    <t>062-0005908</t>
  </si>
  <si>
    <t>Продление сопровождения инженерных систем и мониторинг состояния ЦОХД, ЦОД</t>
  </si>
  <si>
    <t>062-0005906</t>
  </si>
  <si>
    <t>IT - услуги КС (УЭСИТ)</t>
  </si>
  <si>
    <t>062-0005904</t>
  </si>
  <si>
    <t>Сопровождение автоматизированных систем/подсистем,</t>
  </si>
  <si>
    <t>Аренда оборудования</t>
  </si>
  <si>
    <t>062-0005902</t>
  </si>
  <si>
    <t>Техническая поддержка и обновление Smeta.ru для блока ремонтов</t>
  </si>
  <si>
    <t>062-0005900</t>
  </si>
  <si>
    <t>062-0005899</t>
  </si>
  <si>
    <t>7210000
7230010</t>
  </si>
  <si>
    <t>Информационные услуги</t>
  </si>
  <si>
    <t>062-0005896</t>
  </si>
  <si>
    <t>062-0005827</t>
  </si>
  <si>
    <t>Разработка и внедрение систем/подсистем, информаци</t>
  </si>
  <si>
    <t>062-0005821</t>
  </si>
  <si>
    <t>Сопровождение и техническая поддержка информационного портала по технологическим присоединениям к электрическим сетям ОАО «МОЭСК» с учетом доработки и модернизации</t>
  </si>
  <si>
    <t>062-0005819</t>
  </si>
  <si>
    <t>Оказание услуг по сопровождению Программного комплекса оперативного оповещения об инцидентах (ПКО)</t>
  </si>
  <si>
    <t>062-0005817</t>
  </si>
  <si>
    <t>Сопровождение ТПР «АСУД» на базе программного обеспечения Documentum</t>
  </si>
  <si>
    <t>085-0003802</t>
  </si>
  <si>
    <t>Сопровождение информационной системы : АСОИ МКС</t>
  </si>
  <si>
    <t>062-0005847</t>
  </si>
  <si>
    <t>10% снижение отсутствует, поскольку данный продукт с текущей версией ПО произведен в 2012 году</t>
  </si>
  <si>
    <t>062-0005846</t>
  </si>
  <si>
    <t>Продление технической поддержки и лицензионного программного обеспечения Citrix</t>
  </si>
  <si>
    <t>062-0005845</t>
  </si>
  <si>
    <t>Продление неисключительных прав ПО ABBYY FlexiCapture 10</t>
  </si>
  <si>
    <t>062-0005844</t>
  </si>
  <si>
    <t>Программное обеспечение MaxPatrol</t>
  </si>
  <si>
    <t>062-0005842</t>
  </si>
  <si>
    <t xml:space="preserve">72.30     </t>
  </si>
  <si>
    <t>062-0005841</t>
  </si>
  <si>
    <t>Продление неисключительных прав и технической поддержки Adobe</t>
  </si>
  <si>
    <t>062-0005840</t>
  </si>
  <si>
    <t xml:space="preserve">7260000
</t>
  </si>
  <si>
    <t>Необходимость исполнения ФЗ РФ о лицензировании используемого программного обеспечения на рабочих станциях пользователей
В 2010 году закупка не проводилась</t>
  </si>
  <si>
    <t>72.10
72.40</t>
  </si>
  <si>
    <t>062-0005837</t>
  </si>
  <si>
    <t>062-0005833</t>
  </si>
  <si>
    <t>Создание Контактного центра «Светлая линия» с закупкой лицензий программного обеспечения по сублицензионному Договору для нужд ОАО «МОЭСК» Genesys</t>
  </si>
  <si>
    <t>062-0005832</t>
  </si>
  <si>
    <t>062-0005831</t>
  </si>
  <si>
    <t>72.10</t>
  </si>
  <si>
    <t>Оказание услуг по сопровождению автоматизированной системы финансово-экономического управления (АС ФЭУ) и Автоматизированной системы  управления персоналом и расчета заработной платы (АСУПиРЗП) на платформе 1С:Предприятие 8.1"</t>
  </si>
  <si>
    <t>062-0005829</t>
  </si>
  <si>
    <t>Оказание услуг по сопровождению электронной карты с объектами ОАО "МОЭСК"</t>
  </si>
  <si>
    <t>Вид деятельности</t>
  </si>
  <si>
    <t>ИТ-закупки</t>
  </si>
  <si>
    <t>ИТОГО</t>
  </si>
  <si>
    <t>Консультационные услуги в области оптимизации системы управления Общества</t>
  </si>
  <si>
    <t>062-0005981</t>
  </si>
  <si>
    <t>ИА/блок по реализации услуг</t>
  </si>
  <si>
    <t>73.10</t>
  </si>
  <si>
    <t>Сопровождение комплекса для расчета технологических потерь РТП-3 на 2014 год</t>
  </si>
  <si>
    <t>Сопровождение программного комплекса для расчета</t>
  </si>
  <si>
    <t>020105061003</t>
  </si>
  <si>
    <t>Стоимость услуг сопровождения равна 10% от стоимости программного комплекса</t>
  </si>
  <si>
    <t>показатели соответствуют Прогнозу социально экономического развития Российской Федерации на 2012 год и на плановый период 2013 и 2014 годов, одобренному на заседании Правительства Российской Федерации 21 сентября 2011 г. (Протокол № 32)</t>
  </si>
  <si>
    <t>На основании п.п. 11.8.1.b) "Положения о порядке проведения регламентированных закупок товаров, работ,  услуг для нужд ОАО "МОЭСК"</t>
  </si>
  <si>
    <t>ООО "Энергоэкспертсервис"</t>
  </si>
  <si>
    <t>Сопровождение программного комплекса для расчета технологических потерь РТП-3 на 2014 год</t>
  </si>
  <si>
    <t>1. Устранение ошибок программирования ;                                             2. Замена дистрибутивов ПК;                                             3. Замена электронных ключей;                                                   4. Усовершенствование ПК с учетом пожеланий Заказчика;                                                                                        5. Восстановление поврежденных данных;                                                      6. Информационная помощь.</t>
  </si>
  <si>
    <t>г. Москва</t>
  </si>
  <si>
    <t>062-0005987</t>
  </si>
  <si>
    <t>74.12.2</t>
  </si>
  <si>
    <t>062-0005985</t>
  </si>
  <si>
    <t>ИА/Блок по реализации услуг</t>
  </si>
  <si>
    <t>Услуги по передаче электрической энергии ОАО "ФСК ЕЭС" на 2014 год</t>
  </si>
  <si>
    <t>ОАО "ФСК ЕЭС"</t>
  </si>
  <si>
    <t>Качество передаваемой электроэнергии должно соответствовать стандарту РФ ГОСТ Р 54149-2010</t>
  </si>
  <si>
    <t>062-0004470</t>
  </si>
  <si>
    <t>ИА/Управление профессиональной безопасности</t>
  </si>
  <si>
    <t>Блок по управлению персоналом</t>
  </si>
  <si>
    <t>85.12</t>
  </si>
  <si>
    <t>Медицинское обслуживание</t>
  </si>
  <si>
    <t>Трудовой кодекс Российской Федерации (ст. 213); приказ Минздравсоцразвития России от 12.04.2011 № 302н</t>
  </si>
  <si>
    <t>Предварительные и периодические медицинские осмотры персонала ОАО "МОЭСК"</t>
  </si>
  <si>
    <t>Оказание услуг в соответствии с требованиями приказа Минздравсоцразвития России от 12.04.2011 № 302н в условиях лечебно-профилактических учреждений и на выезде (в филиалах Общества)</t>
  </si>
  <si>
    <t>штука (ШТ)</t>
  </si>
  <si>
    <t>45 ;                                       46</t>
  </si>
  <si>
    <t>г. Москва; Московская область</t>
  </si>
  <si>
    <t>062-0004468</t>
  </si>
  <si>
    <t>85.14</t>
  </si>
  <si>
    <t>Предрейсовые, послерейсовые и предсменные медицинские осмотры персонала ОАО МОЭСК" в 2014 - 2016 гг.</t>
  </si>
  <si>
    <t>Федеральный закон РФ от 10.12.1995 № 196-ФЗ "О безопасности дорожного движения", Федеральный закон РФ от 26.03.2003 № 35-ФЗ "Об электроэнергетике"</t>
  </si>
  <si>
    <t>Предрейсовые, послерейсовые и предсменные  (ежедневные) медицинские осмотры водителей, оперативного и оперативно- ремонтного персонала ОАО "МОЭСК"</t>
  </si>
  <si>
    <t>Оказание услуг в условиях территориально разветвленной сети мест проведения ежедневных медосмотров (Москва и Московская область)</t>
  </si>
  <si>
    <t>062-0006021</t>
  </si>
  <si>
    <t>80.30.3</t>
  </si>
  <si>
    <t>Услуги по обучению персонала (Обучение оперативного и производственно-технического персонала подразделений исполнительного аппарата и филиалов)</t>
  </si>
  <si>
    <t>Обучение персонала</t>
  </si>
  <si>
    <t>ТЗ</t>
  </si>
  <si>
    <t>усл.шт.</t>
  </si>
  <si>
    <t>80.30.1</t>
  </si>
  <si>
    <t>Оказание образовательных услуг по обучению персонала ОАО "МОЭСК" по учебным программам высшего профессионального образования</t>
  </si>
  <si>
    <t>электронная</t>
  </si>
  <si>
    <t>Оказание образовательных услуг</t>
  </si>
  <si>
    <t>Москва</t>
  </si>
  <si>
    <t>80.22.21</t>
  </si>
  <si>
    <t>Оказание образовательных услуг по обучению персонала ОАО "МОЭСК" по учебным программам среднего профессионального образования</t>
  </si>
  <si>
    <t>НОУ ВПО "Экономико-энергетический институт"</t>
  </si>
  <si>
    <t>Организация и проведение соревнований профессионального мастерства</t>
  </si>
  <si>
    <t>прибыль</t>
  </si>
  <si>
    <t>Аренда нежилых 
помещений г.Шатура, ул.Строителей,д.4</t>
  </si>
  <si>
    <t>Аренда нежилых 
помещений г.Балашиха, шоссе Энтузиастов, д.7/1</t>
  </si>
  <si>
    <t>ИА/ДАХД</t>
  </si>
  <si>
    <t>01,41</t>
  </si>
  <si>
    <t>Подписка</t>
  </si>
  <si>
    <t>062-0005937</t>
  </si>
  <si>
    <t>ИА/УНиЗ</t>
  </si>
  <si>
    <t>Оформление земельно-правовых отношений</t>
  </si>
  <si>
    <t>Программа по оформлению прав собственности на объекты недвижимого имущества, оформлению/переоформлению прав пользования на земельные участки на период 2011-2014 годы с учетом выполнения работ по подготовке сведений о границах охранных зон объектов электросетевого хозяйства</t>
  </si>
  <si>
    <t>45 260                                                             46 200                                  46 400</t>
  </si>
  <si>
    <t>062-0005980</t>
  </si>
  <si>
    <t>Департамент по связям с общественностью</t>
  </si>
  <si>
    <t>Услуги по ребрендингу ОАО "МОЭСК", изготовлению рекламной и сувенирной продукции</t>
  </si>
  <si>
    <t>020105090301</t>
  </si>
  <si>
    <t>2014</t>
  </si>
  <si>
    <t>062-0005979</t>
  </si>
  <si>
    <t>Сопровождение англоязычной версии корпоративного сайта ОАО "МОЭСК"</t>
  </si>
  <si>
    <t>062-0005982</t>
  </si>
  <si>
    <t>Информационное сопровождение деятельности ОАО "МОЭСК" в специальных проектах федерального информационного агентства</t>
  </si>
  <si>
    <t>062-0005974</t>
  </si>
  <si>
    <t>Реализация и разарботка имиджевых проектов, программ и других публичных мероприятий ОАО "МОЭСК"</t>
  </si>
  <si>
    <t>062-0005973</t>
  </si>
  <si>
    <t>062-0005968</t>
  </si>
  <si>
    <t>Информационное сопровождение деятельности ОАО "МОЭСК" в интернет СМИ</t>
  </si>
  <si>
    <t>062-0005964</t>
  </si>
  <si>
    <t>Информационное сопровождение деятельности ОАО "МОЭСК" в региональных СМИ</t>
  </si>
  <si>
    <t>062-0005962</t>
  </si>
  <si>
    <t>Информационное сопровождение деятельности ОАО "МОЭСК" в федеральных СМИ</t>
  </si>
  <si>
    <t>062-0005949</t>
  </si>
  <si>
    <t>Мониторинг и анализ СМИ, деятельности органов государственной власти</t>
  </si>
  <si>
    <t>062-0005976</t>
  </si>
  <si>
    <t>Комплексная круглосуточная техническая поддержка, администрирование веб-ресурса, круглосуточный контент-менеджмент корпоративного сайта и разработка интерактивных сервисов для клиентов</t>
  </si>
  <si>
    <t>062-0005970</t>
  </si>
  <si>
    <t>Издательско-полиграфические услуги в интересах ОАО "МОЭСК", выпуск корпоративной газеты "Вести МОЭСК", изданий для потребителей</t>
  </si>
  <si>
    <t>ЮЭС/САХО</t>
  </si>
  <si>
    <t>ЮЭС/ОМТО</t>
  </si>
  <si>
    <t>ЮЭС/СДТУ</t>
  </si>
  <si>
    <t>ЮЭС/ОООС</t>
  </si>
  <si>
    <t>ЮЭС/ОРО</t>
  </si>
  <si>
    <t>Услуги связи (СлСДТУ)</t>
  </si>
  <si>
    <t xml:space="preserve">Техническое задание тарифный план СТЭК.КОМ </t>
  </si>
  <si>
    <t xml:space="preserve">Техническое задание тарифный план АБН </t>
  </si>
  <si>
    <t>Техническое задание тарифный план МУСЭ</t>
  </si>
  <si>
    <t>081-0003056</t>
  </si>
  <si>
    <t>СЭС-2008</t>
  </si>
  <si>
    <t>40.10.3</t>
  </si>
  <si>
    <t>Коммунальные услуги(Поставка электроэнергии (г.Дмитров)</t>
  </si>
  <si>
    <t>02010103</t>
  </si>
  <si>
    <t>ОАО Мосэнергосбыт Дмитровского МРО</t>
  </si>
  <si>
    <t>Поставка электроэнергии (г.Дмитров)</t>
  </si>
  <si>
    <t>квт.ч</t>
  </si>
  <si>
    <t>45 296 9</t>
  </si>
  <si>
    <t>Московская область</t>
  </si>
  <si>
    <t>081-0003057</t>
  </si>
  <si>
    <t>Коммунальные услуги(Поставка электроэнергией СЭС (г.Москва, ул.Руставели 2)</t>
  </si>
  <si>
    <t>ОАО Мосэнергосбыт Зеленоградского МРО</t>
  </si>
  <si>
    <t>Поставка электроэнергией СЭС (г.Москва, ул.Руставели 2)</t>
  </si>
  <si>
    <t>081-0003058</t>
  </si>
  <si>
    <t>Коммунальные услуги(Поставка электроэнергии (МРЭС, ПРЭС, СПРЭС)</t>
  </si>
  <si>
    <t>ОАО Мосэнергосбыт</t>
  </si>
  <si>
    <t>Поставка электроэнергии (МРЭС, ПРЭС, СПРЭС)</t>
  </si>
  <si>
    <t>081-0003055</t>
  </si>
  <si>
    <t>Коммунальные услуги(Поставка электроэнергии (г.Долгопрудный)</t>
  </si>
  <si>
    <t>Поставка электроэнергии (г.Долгопрудный)</t>
  </si>
  <si>
    <t>081-0003059</t>
  </si>
  <si>
    <t>Коммунальные услуги(Поставка электроэнергии (г.Королев)</t>
  </si>
  <si>
    <t>ЗАО Королевская электрросеть</t>
  </si>
  <si>
    <t>Поставка электроэнергии (г.Королев)</t>
  </si>
  <si>
    <t>46 234 4</t>
  </si>
  <si>
    <t>081-0003045</t>
  </si>
  <si>
    <t>40.30.3</t>
  </si>
  <si>
    <t xml:space="preserve">Коммунальные услуги(Теплоснабжение г.Клин)
(КлРЭС) </t>
  </si>
  <si>
    <t>02010104</t>
  </si>
  <si>
    <t>Клинтеплоэнергосервис</t>
  </si>
  <si>
    <t>Снабжение тепловой энергией и горячей водой Клинского РЭС</t>
  </si>
  <si>
    <t>Гкал</t>
  </si>
  <si>
    <t>46 221 2</t>
  </si>
  <si>
    <t>081-0003046</t>
  </si>
  <si>
    <t xml:space="preserve">Коммунальные услуги(Теплоснабжение г.Пушкино)
(ПРЭС) </t>
  </si>
  <si>
    <t>Пушкинская теплосеть</t>
  </si>
  <si>
    <t>Снабжение тепловой энергией и горячей водой Пушкинского РЭС</t>
  </si>
  <si>
    <t>46 247 7</t>
  </si>
  <si>
    <t>081-0003047</t>
  </si>
  <si>
    <t>Коммунальные услуги(Отпуск и потребление тепловой энергии и теплоносителя по адресу: г.Королев, ул.Гагарина,4)</t>
  </si>
  <si>
    <t>Теплосеть</t>
  </si>
  <si>
    <t>Отпуст и потребление тепловой энергии и теплоносителя по адресу: г.Королев, ул.Гагарина,4</t>
  </si>
  <si>
    <t>081-0003048</t>
  </si>
  <si>
    <t>Коммунальные услуги(Снабжение тепловой энергией и горячее водоснабжение административного здания, РДП, СМиТ (г.Москва, ул.Руставели 2)</t>
  </si>
  <si>
    <t>Горэнергосбыт 11</t>
  </si>
  <si>
    <t>Снабжение тепловой энергией и горячее водоснабжение административного здания, РДП, СМиТ (г.Москва, ул.Руставели 2)</t>
  </si>
  <si>
    <t>45 280 8</t>
  </si>
  <si>
    <t>081-0003049</t>
  </si>
  <si>
    <t>Коммунальные услуги(Отпуск тепловой энергии и горячее водоснабжение)      (ДРЭС)</t>
  </si>
  <si>
    <t>Дмитровтеплосервис</t>
  </si>
  <si>
    <t>Отпуск тепловой энергии и горячее водоснабжение       (ДРЭС)</t>
  </si>
  <si>
    <t>46 208 7</t>
  </si>
  <si>
    <t>081-0003050</t>
  </si>
  <si>
    <t>Коммунальные услуги(Теплоснабжение г.Мытищи   (МРЭС)</t>
  </si>
  <si>
    <t>Мытищинская теплосеть</t>
  </si>
  <si>
    <t>Снабжение тепловой энергией и горячей водой Мытищинского РЭС</t>
  </si>
  <si>
    <t>081-0003051</t>
  </si>
  <si>
    <t>Коммунальные услуги(Теплоснабжение   (г.Солнечногорск)</t>
  </si>
  <si>
    <t>Водоканал Московской области ОАО</t>
  </si>
  <si>
    <t>Снабжение тепловой энергией и горячей водой Солнечногорского  РЭС</t>
  </si>
  <si>
    <t>46 444 0</t>
  </si>
  <si>
    <t>081-0003052</t>
  </si>
  <si>
    <t>Коммунальные услуги(Теплоснабжение                  (г.Клин)</t>
  </si>
  <si>
    <t>Энергоцентр</t>
  </si>
  <si>
    <t>Теплоснабжение                  (г.Клин)</t>
  </si>
  <si>
    <t>081-0003053</t>
  </si>
  <si>
    <t>Коммунальные услуги(Теплоснабжение              (г.Талдом)</t>
  </si>
  <si>
    <t>Снабжение тепловой энергией Талдомского РЭС</t>
  </si>
  <si>
    <t>081-0003054</t>
  </si>
  <si>
    <t>Коммунальные услуги(Теплоснабжение                (г.Химки)</t>
  </si>
  <si>
    <t>ТСК Мосэнерго</t>
  </si>
  <si>
    <t>Снабжение тепловой энергией Химкинского РЭС</t>
  </si>
  <si>
    <t>45 293 5</t>
  </si>
  <si>
    <t>081-0003102</t>
  </si>
  <si>
    <t>СЭС/СОТ</t>
  </si>
  <si>
    <t>93.01</t>
  </si>
  <si>
    <t>Химчистка спецодежды</t>
  </si>
  <si>
    <t>Мероприятия по улучшению условий труда</t>
  </si>
  <si>
    <t>020105140301</t>
  </si>
  <si>
    <t>Мероприятия по охране труда (себестоимость)</t>
  </si>
  <si>
    <t>1660</t>
  </si>
  <si>
    <t>081-0003151</t>
  </si>
  <si>
    <t>51.34.1</t>
  </si>
  <si>
    <t>Обеспенчение питьевой водой персонала электросетей</t>
  </si>
  <si>
    <t>Московская область,Москва</t>
  </si>
  <si>
    <t>081-0003136</t>
  </si>
  <si>
    <t>СЭС/СООС</t>
  </si>
  <si>
    <t>Разработка и продление экологической документации ля промплощадок СЭС</t>
  </si>
  <si>
    <t>Разработка нормативной документации</t>
  </si>
  <si>
    <t>0201050801</t>
  </si>
  <si>
    <t>Природоохранные мероприятия (себестоимость)</t>
  </si>
  <si>
    <t>СЭС/СДТУ</t>
  </si>
  <si>
    <t>64.20.11</t>
  </si>
  <si>
    <t>020105010201</t>
  </si>
  <si>
    <t>Прочие услуги связи (филиалы)</t>
  </si>
  <si>
    <t>Договор 2013 г.</t>
  </si>
  <si>
    <t>мбит/с</t>
  </si>
  <si>
    <t>45.2</t>
  </si>
  <si>
    <t>081-0003066</t>
  </si>
  <si>
    <t>64.20.3</t>
  </si>
  <si>
    <t>0101030102</t>
  </si>
  <si>
    <t>081-0003068</t>
  </si>
  <si>
    <t>Предоставление каналов передачи данных</t>
  </si>
  <si>
    <t>бит/с</t>
  </si>
  <si>
    <t>9600бит/с</t>
  </si>
  <si>
    <t>081-0003070</t>
  </si>
  <si>
    <t>Аренда линейно-кабельных сооружений</t>
  </si>
  <si>
    <t>ОАО МГТС "Останкинский ТУ"</t>
  </si>
  <si>
    <t>081-0003079</t>
  </si>
  <si>
    <t>Предоставление канала передачи данных</t>
  </si>
  <si>
    <t>Кбит/с</t>
  </si>
  <si>
    <t xml:space="preserve">17 цифровых каналов скорость - 9,6Кбит/с </t>
  </si>
  <si>
    <t>081-0003082</t>
  </si>
  <si>
    <t>Оказание услуг местной и внутризонной связи</t>
  </si>
  <si>
    <t>ЗАО "Глобус-Телеком"</t>
  </si>
  <si>
    <t>081-0003084</t>
  </si>
  <si>
    <t>ОАО МГТС "Тушинский УС"</t>
  </si>
  <si>
    <t>081-0003089</t>
  </si>
  <si>
    <t>Предоставление доступа и использования места в телефонной канализации.</t>
  </si>
  <si>
    <t>Предоставление каналов телефонной связи</t>
  </si>
  <si>
    <t>м</t>
  </si>
  <si>
    <t>081-0003092</t>
  </si>
  <si>
    <t>Предоставление телефонной канализации</t>
  </si>
  <si>
    <t>081-0003110</t>
  </si>
  <si>
    <t>Москва и Московская область</t>
  </si>
  <si>
    <t>081-0003098</t>
  </si>
  <si>
    <t>Размещение кабеля в телефонной канализации</t>
  </si>
  <si>
    <t>ЗАО "Электросвязьстрой"</t>
  </si>
  <si>
    <t>081-0003099</t>
  </si>
  <si>
    <t>Предоставление зонового телефонного соединения</t>
  </si>
  <si>
    <t>ОАО "Центральный телеграф"</t>
  </si>
  <si>
    <t>081-0003101</t>
  </si>
  <si>
    <t>Предоставление резервных цифровых каналов связи.</t>
  </si>
  <si>
    <t>081-0003107</t>
  </si>
  <si>
    <t>Мбит/с</t>
  </si>
  <si>
    <t>081-0003112</t>
  </si>
  <si>
    <t>081-0003063</t>
  </si>
  <si>
    <t>СЭС/САХО</t>
  </si>
  <si>
    <t>Услуги по комплексной уборке служебных (производственных) помещений и территорий Северных электрических сетей</t>
  </si>
  <si>
    <t>Уборка помещений</t>
  </si>
  <si>
    <t>м2</t>
  </si>
  <si>
    <t>ед</t>
  </si>
  <si>
    <t>081-0003150</t>
  </si>
  <si>
    <t>СЭС/ОРО</t>
  </si>
  <si>
    <t>74.60</t>
  </si>
  <si>
    <t>Техническое обслуживание комплексов тревожной сигнализации,реагирование на тревожные сигналы .</t>
  </si>
  <si>
    <t>0201050702</t>
  </si>
  <si>
    <t>Прочие услуги охраны (филиалы)</t>
  </si>
  <si>
    <t>081-0003152</t>
  </si>
  <si>
    <t>74.61</t>
  </si>
  <si>
    <t>Услуги охраны(Реагирование на тревожные сигналы и техническое обслуживание комплексов тревожной сигнализации)</t>
  </si>
  <si>
    <t>062-0006017</t>
  </si>
  <si>
    <t>ИА/Управление консолидированной отчетности по МСФО</t>
  </si>
  <si>
    <t>Блок по экономике и финансам</t>
  </si>
  <si>
    <t>Консультационные услуги по формированию консолидированной промужуточной отчетности за 1 квартал 2014, 1 полугодие 2014, 9 месяцев 2014 и за отчетности за  2014 год.</t>
  </si>
  <si>
    <t>Консультационные услуги, связанные с подготовкой финансовой отчетности в соответствии с МСФО</t>
  </si>
  <si>
    <t>Стоимость аналогичных услуг за предыдущий год</t>
  </si>
  <si>
    <t>Качество предоставляемых услуг</t>
  </si>
  <si>
    <t>062-0006018</t>
  </si>
  <si>
    <t>Услуги по контролю качества разрабатываемой документации (методология и регламент) в целях автоматизации учета по МСФО.</t>
  </si>
  <si>
    <t>Аудит и обзор финансовой отчетности ОАО "МОЭСК"</t>
  </si>
  <si>
    <t>Аудиторские услуги (МСФО)</t>
  </si>
  <si>
    <t>062-0006019</t>
  </si>
  <si>
    <t>Аудит отчетности ОАО "МОЭСК" в соответствии с РСБУ и МСФО за 2014 и аудиторский обзор промежуточной отчетности по МСФО за 1 полугодие 2014 г.</t>
  </si>
  <si>
    <t>Аудиторские услуги</t>
  </si>
  <si>
    <t>Единица</t>
  </si>
  <si>
    <t xml:space="preserve">Город Москва столица       Российской Федерации город   федерального значения        </t>
  </si>
  <si>
    <t>038-0000528</t>
  </si>
  <si>
    <t>ВКС/СПИП ТОиР</t>
  </si>
  <si>
    <t>Раскопка и засыпка котлованов, ремонт асфальтовых покрытий и озеленение после проведения ремонтных работ на КЛ 110-220кВ</t>
  </si>
  <si>
    <t>Раскопка и засыпка котлованов, благоустройство тер.</t>
  </si>
  <si>
    <t>Услуги по ремонту</t>
  </si>
  <si>
    <t>Смета</t>
  </si>
  <si>
    <t>Раскопка и засыпка котлованов</t>
  </si>
  <si>
    <t>038-0000529</t>
  </si>
  <si>
    <t>Капитальный ремонт вспомогательного оборудования и системы водоудаления  кабельных сооружений</t>
  </si>
  <si>
    <t>Ремонт зданий и сооружений</t>
  </si>
  <si>
    <t>Ремонт вспомогательного оборудования и системы водоудаления  кабельных сооружений</t>
  </si>
  <si>
    <t>038-0000530</t>
  </si>
  <si>
    <t xml:space="preserve">Капитальный ремонт коллекторов </t>
  </si>
  <si>
    <t>Ремонт коллекторов</t>
  </si>
  <si>
    <t>038-0000531</t>
  </si>
  <si>
    <t xml:space="preserve">Капитальный ремонт строительной части и гидроизоляции  стопорных колодцев </t>
  </si>
  <si>
    <t xml:space="preserve">Ремонт строительной части и гидроизоляции  стопорных колодцев </t>
  </si>
  <si>
    <t>038-0000532</t>
  </si>
  <si>
    <t xml:space="preserve">Капитальный ремонт пунктов маслоподпитки </t>
  </si>
  <si>
    <t xml:space="preserve">Ремонт пунктов маслоподпитки </t>
  </si>
  <si>
    <t>038-0000533</t>
  </si>
  <si>
    <t>Капитальный ремонт строительной части соединительных  колодцев</t>
  </si>
  <si>
    <t>Ремонт строительной части соединительных  колодцев</t>
  </si>
  <si>
    <t>038-0000534</t>
  </si>
  <si>
    <t>Капитальный ремонт системы бесперебойного питания аппаратуры связи</t>
  </si>
  <si>
    <t>Ремонт системы бесперебойного питания аппаратуры связи</t>
  </si>
  <si>
    <t>038-0000535</t>
  </si>
  <si>
    <t>Капитальный ремонт систем пожарно- охранной сигнализации коллекторов</t>
  </si>
  <si>
    <t>ремонт охранно-пожарной сигнализации и системы видеонаблюдения</t>
  </si>
  <si>
    <t>Ремонт систем пожарно- охранной сигнализации коллекторов</t>
  </si>
  <si>
    <t>038-0000541</t>
  </si>
  <si>
    <t>Покрытие кабеля огнезащитной пастой. Установка огнеупорных перегородок между цепями КЛ.</t>
  </si>
  <si>
    <t>Покрытие кабеля огнезащитной пастой</t>
  </si>
  <si>
    <t>038-0000542</t>
  </si>
  <si>
    <t>Капитальный ремонт системы электроснабжения собственных нужд в сооружениях КЛ ВД</t>
  </si>
  <si>
    <t>Капитальный ремонт системы электроснабжения в сооружениях КЛВД</t>
  </si>
  <si>
    <t>038-0000536</t>
  </si>
  <si>
    <t>Ремонт емкостей подземного маслохранилища РПБ по адресу ул. Подольских Курсантов д.9а</t>
  </si>
  <si>
    <t>Ремонт емкостей подземного маслохранилища</t>
  </si>
  <si>
    <t>038-0000543</t>
  </si>
  <si>
    <t>Ремонт системы теплоснабжения  и водоснабжения на ПБ</t>
  </si>
  <si>
    <t>038-0000537</t>
  </si>
  <si>
    <t>Капитальный ремонт помещений ПБ</t>
  </si>
  <si>
    <t>038-0000538</t>
  </si>
  <si>
    <t>Ремонт кровли и фасадов ПБ</t>
  </si>
  <si>
    <t>038-0000539</t>
  </si>
  <si>
    <t>Ремонт территорий ПБ</t>
  </si>
  <si>
    <t>038-0000540</t>
  </si>
  <si>
    <t>Ремонт КЛ 110кВ Автозаводская-Южная</t>
  </si>
  <si>
    <t>Ремонт КЛ</t>
  </si>
  <si>
    <t>038-0000491</t>
  </si>
  <si>
    <t>ВКС/СДТУ</t>
  </si>
  <si>
    <t>45.31</t>
  </si>
  <si>
    <t>Техническое обслуживание охранной сигнализации; пожарной сигнализации; системы оповещения и управления эвакуацией; системы порошкового пожаротушения</t>
  </si>
  <si>
    <t>Техническое обслуживание охранной сигнализации</t>
  </si>
  <si>
    <t>ТО охранной сигнализации</t>
  </si>
  <si>
    <t>038-0000492</t>
  </si>
  <si>
    <t>ВКС/СЭЗиС</t>
  </si>
  <si>
    <t>45.21.4</t>
  </si>
  <si>
    <t>Определение технического состояния строительных конструкций зданий и кабельных сооружений</t>
  </si>
  <si>
    <t>Технич.освидет.(обслед-е) кабельных зданий и соор.</t>
  </si>
  <si>
    <t>Прочие услуги производственного характера</t>
  </si>
  <si>
    <t>Определение технического состояния зданий и кабельных сооружений</t>
  </si>
  <si>
    <t>038-0000493</t>
  </si>
  <si>
    <t>ВКС/СКТ</t>
  </si>
  <si>
    <t>31.30</t>
  </si>
  <si>
    <t>Освидетельствование кабельных линий 110 - 220 кВ</t>
  </si>
  <si>
    <t>Освидетельствование кабельных линий</t>
  </si>
  <si>
    <t>038-0000494</t>
  </si>
  <si>
    <t>ВКС/СОТБиНТП</t>
  </si>
  <si>
    <t xml:space="preserve">29.22.9   </t>
  </si>
  <si>
    <t>Техническое обслуживание пассажирских и грузовых лифтов (ул. Н. Красносельская д. 6 стр. 1, Волгоградский проспект д. 43а)</t>
  </si>
  <si>
    <t>ТО пассажирских и грузовых лифтов</t>
  </si>
  <si>
    <t>Техническое обслуживание ГПМ</t>
  </si>
  <si>
    <t>ТО грузовых а/м  (гарант., послегарант. ремонт)</t>
  </si>
  <si>
    <t>038-0000499</t>
  </si>
  <si>
    <t>74.30.9</t>
  </si>
  <si>
    <t>Проведение испытаний по обследованию оболочек и изоляции маслонаполненных и полиэтиленовых кабелей</t>
  </si>
  <si>
    <t>Обсл. оболочек из-ции маслонаполн. и полиэтил. каб</t>
  </si>
  <si>
    <t>Положение №155 от 30.12.2011,п.11.1.3</t>
  </si>
  <si>
    <t>ОАО "ВНИИ КП"</t>
  </si>
  <si>
    <t xml:space="preserve">Проведение испытаний и обследование оболочек и изоляции кабелей </t>
  </si>
  <si>
    <t>038-0000511</t>
  </si>
  <si>
    <t>ВКС/СТТ</t>
  </si>
  <si>
    <t>Техническое сопровождение информационной системы (ПО): оперативный информационный комплекс (ДП ВКС)</t>
  </si>
  <si>
    <t>Услуги связи (СлАСУ)</t>
  </si>
  <si>
    <t>Техническое сопровождение информационной системы</t>
  </si>
  <si>
    <t>038-0000512</t>
  </si>
  <si>
    <t>Сопровождение прикладных систем: система коллективного отображения (ЦУС МОЭСК и ДП ВКС)</t>
  </si>
  <si>
    <t>Сопровождение прикладных систем</t>
  </si>
  <si>
    <t>038-0000513</t>
  </si>
  <si>
    <t>ВКС/сектор РО</t>
  </si>
  <si>
    <t>Техническое обслуживание инженерно - технических средств охраны; систем охранного видеонаблюдения</t>
  </si>
  <si>
    <t>ТО ИТСО</t>
  </si>
  <si>
    <t>038-0000515</t>
  </si>
  <si>
    <t>ВКС/САХО</t>
  </si>
  <si>
    <t>33.20.9</t>
  </si>
  <si>
    <t xml:space="preserve">Техническое обслуживание теплотехнического оборудования: ИТП, систем КИПиА, коммерческих узлов тепловой энергии ( ул. Рябиновая д.47а,  Кронштадтский  бульвар д. 35,  ул.Дорожная д.13а, Волгоградский проспект д. 43а,  ул. Нижняя Красносельская д. 6 стр.1.)
</t>
  </si>
  <si>
    <t>Тех. обслуживание теплотехнического оборудования</t>
  </si>
  <si>
    <t>ТО теплотехнического оборудования</t>
  </si>
  <si>
    <t>038-0000516</t>
  </si>
  <si>
    <t>90.00.2</t>
  </si>
  <si>
    <t>Вывоз ТБО</t>
  </si>
  <si>
    <t>Коммунальные услуги</t>
  </si>
  <si>
    <t>038-0000517</t>
  </si>
  <si>
    <t>90.00.3</t>
  </si>
  <si>
    <t>Техническое обслуживание инженерных систем; уборка помещений; уборка территорий: РПБ ВКС (ул. Генерала Дорохова д. 16б, Волгоградский пр-т д. 43а, ул. Дорожная д. 13а, Кронштадтский б-р д. 35, 2-й Кожуховский пр-д д. 29 к. 2 стр. 8, ул. Подольских Курсантов д. 9а, ул. Рябиновая д. 47а)</t>
  </si>
  <si>
    <t xml:space="preserve">Техническое обслуживание инженерных систем </t>
  </si>
  <si>
    <t>ТО инженерных систем;уборка помещений;уборка территорий</t>
  </si>
  <si>
    <t>038-0000518</t>
  </si>
  <si>
    <t>Техническое обслуживание инженерных систем; уборка помещений; уборка территорий: административное здание ВКС (ул. Н.Красносельская д. 6 стр. 1)</t>
  </si>
  <si>
    <t>038-0000519</t>
  </si>
  <si>
    <t>ВКС/ПТУ</t>
  </si>
  <si>
    <t>74.20.55</t>
  </si>
  <si>
    <t>Разработка и согласование нормативно-разрешительной природоохранной документации</t>
  </si>
  <si>
    <t>Разработка и согласование природоохранной документации</t>
  </si>
  <si>
    <t>71.10</t>
  </si>
  <si>
    <t>038-0000510</t>
  </si>
  <si>
    <t>60.21</t>
  </si>
  <si>
    <t>Приобретение проездных билетов</t>
  </si>
  <si>
    <t>ГУП "Мосгортранс"</t>
  </si>
  <si>
    <t>038-0000500</t>
  </si>
  <si>
    <t>70.20</t>
  </si>
  <si>
    <t xml:space="preserve">Услуги по эксплуатации коллекторов </t>
  </si>
  <si>
    <t>ГУП "Москоллектор"</t>
  </si>
  <si>
    <t>Услуги по технической эксплуатации коллекторов</t>
  </si>
  <si>
    <t>038-0000501</t>
  </si>
  <si>
    <t>Услуги по эксплуатации коллекторов: Серп и Молот</t>
  </si>
  <si>
    <t>Услуги по технической эксплуатации коллектора Серп и Молот</t>
  </si>
  <si>
    <t>038-0000502</t>
  </si>
  <si>
    <t>Коммунальные услуги (теплоснабжение)</t>
  </si>
  <si>
    <t>ОАО "Мосэнерго"</t>
  </si>
  <si>
    <t>Услуги по подаче тепловой энергии</t>
  </si>
  <si>
    <t>038-0000503</t>
  </si>
  <si>
    <t>40.30.17</t>
  </si>
  <si>
    <t>Коммунальные услуги (отпуск питьевой воды из систем водоснабжения и прием сточных вод в систему канализации)</t>
  </si>
  <si>
    <t>МГУП "Мосводоканал"</t>
  </si>
  <si>
    <t>Услуги по отпуску питьевой воды из систем водоснабжения и прием сточных вод в систему канализации</t>
  </si>
  <si>
    <t>м3</t>
  </si>
  <si>
    <t>038-0000504</t>
  </si>
  <si>
    <t>90.01</t>
  </si>
  <si>
    <t>Коммунальные услуги (приём сточных вод в систему водостока)</t>
  </si>
  <si>
    <t>ГУП "Мосводосток"</t>
  </si>
  <si>
    <t xml:space="preserve">Услуги по приёму сточных вод в систему водостока </t>
  </si>
  <si>
    <t>038-0000505</t>
  </si>
  <si>
    <t>ОАО "МОЭК"-филиал №11 "Горэнергосбыт"</t>
  </si>
  <si>
    <t>038-0000506</t>
  </si>
  <si>
    <t>40.13.1</t>
  </si>
  <si>
    <t>Коммунальные услуги (электроснабжение)</t>
  </si>
  <si>
    <t>ОАО "Мосэнергосбыт" Южное отделение</t>
  </si>
  <si>
    <t>Услуги по подаче элетроэнергии</t>
  </si>
  <si>
    <t>кВт.ч</t>
  </si>
  <si>
    <t>038-0000507</t>
  </si>
  <si>
    <t>70.20.2</t>
  </si>
  <si>
    <t>Аренда нежилого помещения (ул.Плющиха, д.42)</t>
  </si>
  <si>
    <t>Департамент имущества г. Москвы</t>
  </si>
  <si>
    <t>Услуги по аренде нежилого помещения</t>
  </si>
  <si>
    <t>038-0000509</t>
  </si>
  <si>
    <t>Услуги  эксплуатации ЛКС</t>
  </si>
  <si>
    <t>ОАО "МГТС"</t>
  </si>
  <si>
    <t>Услуги эксплуатации линейно-кабельных сооружений</t>
  </si>
  <si>
    <t>74.20.3  74.20.31</t>
  </si>
  <si>
    <t>Административные округа г. Москвы, районы МО, города областного подчинения МО</t>
  </si>
  <si>
    <t>ВКС/ЦЭОКЛ</t>
  </si>
  <si>
    <t>ИА/ДБиНУиО</t>
  </si>
  <si>
    <t>на основании фактических затрат прошлого периода</t>
  </si>
  <si>
    <t>062-0006060</t>
  </si>
  <si>
    <t>ИА/УПРЭС</t>
  </si>
  <si>
    <t>Разработка схемы развития электрических сетей ОАО "МОЭСК" напряжением 6-20 кВ (сетей РЭС) Троицкого административного округа г. Москвы</t>
  </si>
  <si>
    <t>Консультационные услуги (УПРЭС) из себестоимости</t>
  </si>
  <si>
    <t>В 2010 г. работы не выполнялись</t>
  </si>
  <si>
    <t>062-0006062</t>
  </si>
  <si>
    <t>Разработка схемы развития электрических сетей ОАО "МОЭСК" напряжением 6-20 кВ (сетей РЭС) Новомосковского административного округа г. Москвы</t>
  </si>
  <si>
    <t>062-0006057</t>
  </si>
  <si>
    <t>Актуализация  схемы развития электрических сетей ОАО "МОЭСК" напряжением 110 кВ и выше в г. Москве и Московской области на период до 2025 года</t>
  </si>
  <si>
    <t>062-0005972</t>
  </si>
  <si>
    <t>Услуги по организации годового Общего собрания акционеров ОАО "МОЭСК"</t>
  </si>
  <si>
    <t>Услуги по организации и проведению общего собрания</t>
  </si>
  <si>
    <t>Проведение годового Общего собрания акционеров</t>
  </si>
  <si>
    <t>Предоставление акта выполненых работ по проведению ОСА</t>
  </si>
  <si>
    <t>062-0005977</t>
  </si>
  <si>
    <t>Услуги по организации внеочередного Общего собрания акционеров ОАО "МОЭСК"</t>
  </si>
  <si>
    <t>Проведение внеочередного Общего собрания акционеров</t>
  </si>
  <si>
    <t>062-0005978</t>
  </si>
  <si>
    <t>Услуги по ведению реестра владельцев именных ценных бумаг</t>
  </si>
  <si>
    <t>Прочие консультационные услуги</t>
  </si>
  <si>
    <t>020105060602</t>
  </si>
  <si>
    <t>Услуги по ведению реестра акционеров</t>
  </si>
  <si>
    <t>Ведение реестра акционеров</t>
  </si>
  <si>
    <t>Исходя из практики предыдущих закупок за последние 2 года, кроме 2013, организатором закупки был Холдинг МРСК, который применял по данным услугам, вид закупки "Открытые конкурентные переговоры". Закупка проводилась в целом по Холдингу МРСК. Есть вероятность, что Россети в 2014 году, так же будут проводить общую единую закупку по группе Россети.</t>
  </si>
  <si>
    <t>Стоимость данной закупки содержит стоимость лота по РСБУ. Необходимо удалить лот РСБУ № 062-0005940. Исходя из практики предыдущих закупок за последние 2 года, кроме 2013, организатором закупки был Холдинг МРСК, который применял по данным услугам, вид закупки "Открытые конкурентные переговоры". Закупка проводилась в целом по Холдингу МРСК. Есть вероятность, что Россети в 2014 году, так же будут проводить общую единую закупку по группе Россети.</t>
  </si>
  <si>
    <t>081-0003061</t>
  </si>
  <si>
    <t>СЭС/ТОиР</t>
  </si>
  <si>
    <t>40.10.5.</t>
  </si>
  <si>
    <t xml:space="preserve">Неотложные и аварийно-восстановительных работы 
по ремонту зданий и сооружений для Северных электрических сетей в 2014 году
</t>
  </si>
  <si>
    <t>услуги по ремонту</t>
  </si>
  <si>
    <t>сметный расчет</t>
  </si>
  <si>
    <t>г.Королев Моск.обл.</t>
  </si>
  <si>
    <t>081-0003074</t>
  </si>
  <si>
    <t>Неотложные ремонтно-востановительные работы по ремонту электротехнического оборудования  для Северных эл. сетей  в 2014-2015 году (рамочник)</t>
  </si>
  <si>
    <t>Ремонт силовых трансформаторов 35-220 кВ и 6-20 кВ</t>
  </si>
  <si>
    <t>081-0003075</t>
  </si>
  <si>
    <t>Неотложные ремонтно-восстановительные работы на кабельных ЛЭП 0,4-10кВ  для Северных эл. сетей  в 2014-2015 году (рамочник)</t>
  </si>
  <si>
    <t>Ремонт КЛ 0,4-20 кВ</t>
  </si>
  <si>
    <t>081-0003077</t>
  </si>
  <si>
    <t xml:space="preserve">Неотложные и аварийно-восстановительных работы 
по ремонту ВЛ -0,4-6-10 кВ для Северных электрических сетей в 2014-2015 
</t>
  </si>
  <si>
    <t>Ремонт ВЛ 6-20 кВ</t>
  </si>
  <si>
    <t>081-0003064</t>
  </si>
  <si>
    <t xml:space="preserve">Расчистка трасс  ВЛ-35-110-220 кВ от ДКР для Северных электрических сетей
</t>
  </si>
  <si>
    <t>Расчистка трасс ВЛ от ДКР</t>
  </si>
  <si>
    <t>Минэкономразвитие</t>
  </si>
  <si>
    <t>059</t>
  </si>
  <si>
    <t xml:space="preserve">га  </t>
  </si>
  <si>
    <t>081-0003067</t>
  </si>
  <si>
    <t>Ремонт ВЛ-35-110-220 кВ для Северных электрических сетей</t>
  </si>
  <si>
    <t>Ремонт ВЛ</t>
  </si>
  <si>
    <t>081-0003069</t>
  </si>
  <si>
    <t>Ремонт силовых трансформаторов  и прочего электросетевого оборудования ПС   для Северных электрических сетей</t>
  </si>
  <si>
    <t>081-0003072</t>
  </si>
  <si>
    <t>Ремон контуров заземления на ПС для Северных электрических сетей</t>
  </si>
  <si>
    <t>Ремонт контура заземления ПС</t>
  </si>
  <si>
    <t>081-0003071</t>
  </si>
  <si>
    <t>Ремонт КЛ -0,4-6-10кВ для Северных электрических сетей</t>
  </si>
  <si>
    <t>008</t>
  </si>
  <si>
    <t>081-0003073</t>
  </si>
  <si>
    <t>Расчистка трасс ВЛ-6-10кВ от ДКР для Северных электрических сетей</t>
  </si>
  <si>
    <t xml:space="preserve">  га  </t>
  </si>
  <si>
    <t>081-0003080</t>
  </si>
  <si>
    <t>Ремонт трансформаторов 6-20 кВ для Северных электрических сетей</t>
  </si>
  <si>
    <t>081-0003081</t>
  </si>
  <si>
    <t>Ремонт  ВЛ-0,4-6-10кВ    для Северных электрических сетей</t>
  </si>
  <si>
    <t>081-0003083</t>
  </si>
  <si>
    <t>Ремонт инженерных коммуникаций СЭС</t>
  </si>
  <si>
    <t>081-0003087</t>
  </si>
  <si>
    <t>Ремонт зданий и сооружений ПС ХРЭС, СРЭС, КлРЭС, ремонт площадок для складирования оборудования, материалов и отходов производства на ПС СЭС, ремонт зданий и сооружений по адресу: г.Москва, ул.Руставели, д.2, ремонт маслоприемных устройств, фундаментов под оборудованием, наземных кабельных каналов и лотков на территории ОРУ для нужд СЭС - филиала ОАО "МОЭСК"</t>
  </si>
  <si>
    <t>081-0003093</t>
  </si>
  <si>
    <t>Ремонт зданий и сооружений  СПРЭС, ПРЭС, МРЭС для Северных электрических сетей</t>
  </si>
  <si>
    <t>Ремонт зданий и сооружений  ТРЭС, ДРЭС для Северных электрических сетей</t>
  </si>
  <si>
    <t>081-0003097</t>
  </si>
  <si>
    <t>Ремонт  в/ч оборудования каналов связи  ПС Северных электрических сетей</t>
  </si>
  <si>
    <t>Ремонт высокочаст. обор-я телемеханики и связи</t>
  </si>
  <si>
    <t>081-0003103</t>
  </si>
  <si>
    <t>Ремонт средств ДТУ и телемеханики</t>
  </si>
  <si>
    <t>081-0003108</t>
  </si>
  <si>
    <t>Ремонт  грузоподъемных машин и механизмов для  Северных электрических сетей</t>
  </si>
  <si>
    <t>Ремонт грузоподъёмных машин и механизмов</t>
  </si>
  <si>
    <t>Калькуляция стоимости нормы часа.</t>
  </si>
  <si>
    <t>Ремонт автотранспорта и спец.техники</t>
  </si>
  <si>
    <t>081-0003111</t>
  </si>
  <si>
    <t>Техническое обслуживание аккумуляторных батарей в 2014-2015 гг</t>
  </si>
  <si>
    <t>ТО аккумуляторных батарей и зарядных устр-в к ним</t>
  </si>
  <si>
    <t>081-0003113</t>
  </si>
  <si>
    <t xml:space="preserve">Техническое освидетельствование силовых трансформаторов 35-220кВ </t>
  </si>
  <si>
    <t>Техническое освидет. силовых тр-ров 35-220 кВ</t>
  </si>
  <si>
    <t>081-0003114</t>
  </si>
  <si>
    <t xml:space="preserve">Техническое освидетельствование электооборудования подстанций 35-220кВ </t>
  </si>
  <si>
    <t>Техническое освидетельствование ПС 35-220 кВ</t>
  </si>
  <si>
    <t>081-0003115</t>
  </si>
  <si>
    <t xml:space="preserve">Техническое обслуживание элегазового оборудования 35-220кВ </t>
  </si>
  <si>
    <t>Сервисное обслуживание элегазового оборудования</t>
  </si>
  <si>
    <t>081-0003116</t>
  </si>
  <si>
    <t>Техническое обслуживание ПС для собственных нужд</t>
  </si>
  <si>
    <t>Промывка гравийной засыпки маслоприемника</t>
  </si>
  <si>
    <t>081-0003118</t>
  </si>
  <si>
    <t>Диагностика заземляющих устройств, проверка на ЭМС</t>
  </si>
  <si>
    <t>Комплексн.диагн-ка заземл.устр-в (с учетом ЭМС)</t>
  </si>
  <si>
    <t>081-0003121</t>
  </si>
  <si>
    <t xml:space="preserve">Обработка огнезащитным составом кабелей на ПС и деревянных конструкций крыши зданий </t>
  </si>
  <si>
    <t>Выполнение работ по противопожарным мероприятиям</t>
  </si>
  <si>
    <t>081-0003122</t>
  </si>
  <si>
    <t>Техническое обслуживание технических средств охраны и видеоконтрольных устройств.</t>
  </si>
  <si>
    <t>081-0003123</t>
  </si>
  <si>
    <t>Техническое освидетельствование объектов распределительных сетей</t>
  </si>
  <si>
    <t>Технич.освидет. оборуд. распредсетей (ТП, РП и др)</t>
  </si>
  <si>
    <t>081-0003124</t>
  </si>
  <si>
    <t>Эксплуатация КЛ расположенных в коллекторах</t>
  </si>
  <si>
    <t>081-0003125</t>
  </si>
  <si>
    <t>Поверка средств измерений по 27,28,29,30,31,32,33,34,35,37,38 кодам видов измерений</t>
  </si>
  <si>
    <t>Проверка и калибровка средств измерений</t>
  </si>
  <si>
    <t>081-0003126</t>
  </si>
  <si>
    <t>Замена щитовых приборов</t>
  </si>
  <si>
    <t>Замена щитовых электроизмерительных приборов</t>
  </si>
  <si>
    <t>081-0003127</t>
  </si>
  <si>
    <t>Техническое обслуживание автоматических установок пожарной сигнализации и систем оповещения о пожаре</t>
  </si>
  <si>
    <t>Техническое обслуживание пожарной сигнализации</t>
  </si>
  <si>
    <t>081-0003129</t>
  </si>
  <si>
    <t>Техническое обслуживание автокранов, автоподъемников, кранов-манипуляторов</t>
  </si>
  <si>
    <t>081-0003130</t>
  </si>
  <si>
    <t>Хромотографический анализ газов растворенных в трансформаторном масле для нужд Северных электрических сетей</t>
  </si>
  <si>
    <t>Хроматогр. анализ газов, раств-х в трансфор. масле</t>
  </si>
  <si>
    <t>081-0003131</t>
  </si>
  <si>
    <t>Изготовление и установка постоянных информационных знаков на опорах ВЛ-35-220кВ</t>
  </si>
  <si>
    <t>Техническое обслуживание оборудования</t>
  </si>
  <si>
    <t>081-0003132</t>
  </si>
  <si>
    <t>Техническое освидетельствование ВЛ 35-220 кВ</t>
  </si>
  <si>
    <t>Техническое освидетельствование ВЛ-35-220 кВ</t>
  </si>
  <si>
    <t>081-0003135</t>
  </si>
  <si>
    <t>Техническое обслуживание ОИК "Сириус" на РДП Северных ЭС</t>
  </si>
  <si>
    <t>ТО систем телемеханики</t>
  </si>
  <si>
    <t>Техническое обслуживание комплексов телемеханики</t>
  </si>
  <si>
    <t>081-0003139</t>
  </si>
  <si>
    <t>Техническое обслуживание ОИК "Систел" РДП Северной ОЗ</t>
  </si>
  <si>
    <t>081-0003140</t>
  </si>
  <si>
    <t>Техническое обслуживание устройств ТМ Гранит, Гранит-микро выпоненное на оборудовании фирмы "Гранит" для нужд Северных электрических сетей</t>
  </si>
  <si>
    <t>081-0003141</t>
  </si>
  <si>
    <t>Обследование зданий и сооружений. Паспортизация зданий и сооружений.</t>
  </si>
  <si>
    <t>Обследование строительных конструкций зданий</t>
  </si>
  <si>
    <t>081-0003142</t>
  </si>
  <si>
    <t>Техническое обслуживание систем теплоснабжения, холодного и горячего водоснабжения, канализации, обслуживание электроприемников на объектах.</t>
  </si>
  <si>
    <t>Техническое обслуживание инженерных систем</t>
  </si>
  <si>
    <t>081-0003143</t>
  </si>
  <si>
    <t>Техническое обслуживание секционных, откатных, распашных ворот и шлагбаумов  на объектах Северных электрических сетей</t>
  </si>
  <si>
    <t>081-0003144</t>
  </si>
  <si>
    <t>Техническое обслуживание вентиляционных систем производственных зданий</t>
  </si>
  <si>
    <t>ТО систем приточно-вытяжной вентиляции зданий</t>
  </si>
  <si>
    <t>081-0003145</t>
  </si>
  <si>
    <t xml:space="preserve">Обследование и паспортизация вентиляционных систем производственных зданий.  </t>
  </si>
  <si>
    <t>081-0003147</t>
  </si>
  <si>
    <t>Установка устройст определения мест повреждения ТОР 100-ЛОК на линиях 35-220кВ.</t>
  </si>
  <si>
    <t>ТО устройств противоаварийной автоматики (РЗА )</t>
  </si>
  <si>
    <t>081-0003149</t>
  </si>
  <si>
    <t>Техническое обслуживание автоматики регулирования напряжения силовых трансформаторов с заменой блоков регулирования на микропроцессорные</t>
  </si>
  <si>
    <t>Техническое обслуживание  автоматики регулирования напряжения силовых тр-ров с заменой блоков регулирования на микропроцессорные.</t>
  </si>
  <si>
    <t>062-0006027</t>
  </si>
  <si>
    <t>ИА/Управление корпоративных финансов</t>
  </si>
  <si>
    <t>1J6512</t>
  </si>
  <si>
    <t>Заключение соглашения об организации еврооблигационного займа на сумму 500 млн. долл. США</t>
  </si>
  <si>
    <t>062-0006042</t>
  </si>
  <si>
    <t>1J659</t>
  </si>
  <si>
    <t>Заключение договора на консультационные услуги, связанные с организацией еврооблигационного займа</t>
  </si>
  <si>
    <t>062-0006043</t>
  </si>
  <si>
    <t>1H551</t>
  </si>
  <si>
    <t>Заключение договора "РОУД ШОУ"</t>
  </si>
  <si>
    <t>062-0006044</t>
  </si>
  <si>
    <t>Заключение договора на привлечение заемных средств</t>
  </si>
  <si>
    <t>062-0006045</t>
  </si>
  <si>
    <t>062-0006046</t>
  </si>
  <si>
    <t>Заключение рамочного соглашения на предоставления банковской гарантии</t>
  </si>
  <si>
    <t>062-0006048</t>
  </si>
  <si>
    <t>Заключение договора на консультационные услуги по повышению кредитного рейтинга</t>
  </si>
  <si>
    <t>062-0006025</t>
  </si>
  <si>
    <t>ИА/управление развития персонала</t>
  </si>
  <si>
    <t>Организация и проведение обучающих и производственных корпоративных  мероприятий (семинаров, семинаров-совещаний, круглых столов, конференций) для руководителей и специалистов ИА и филиалов ОАО «МОЭСК»</t>
  </si>
  <si>
    <t xml:space="preserve">Обучение проводится в связи с постоянными изменениями в законодательстве, по охране труда. </t>
  </si>
  <si>
    <t>Подготовка и переподготовка кадров, обучение связано с производственной необходимостью и ПРП</t>
  </si>
  <si>
    <t>062-0006026</t>
  </si>
  <si>
    <t>«Положения о порядке проведения регламентированных закупок товаров, работ,  услуг для нужд ОАО «МОЭСК», п. 11.8.1 в)</t>
  </si>
  <si>
    <t>2014-2019</t>
  </si>
  <si>
    <t>062-0006028</t>
  </si>
  <si>
    <t>2014-2017</t>
  </si>
  <si>
    <t>062-0006030</t>
  </si>
  <si>
    <t>062-0006032</t>
  </si>
  <si>
    <t>Аренда нежилого помещения М.о., г.Солнечногрск, ул. Зеленая, дом 19</t>
  </si>
  <si>
    <t>ООО ПКО "СТЭП"</t>
  </si>
  <si>
    <t xml:space="preserve">Московская область </t>
  </si>
  <si>
    <t>Аренда нежилого помещения М.о., Сергиево-Посадский район, пос. Богородское, 20</t>
  </si>
  <si>
    <t>ЗАО "СТРОЙГРУППА СП"</t>
  </si>
  <si>
    <t>Аренда нежилого помещения М.о., Сергиево-Посадский район, г.Хотьково, ул. 1-ая Овражная, д.17</t>
  </si>
  <si>
    <t>ООО "СТОА Хотьково"</t>
  </si>
  <si>
    <t>Аренда нежилого помещения М.о., г. Клин, ул. Транспортная, д.6</t>
  </si>
  <si>
    <t>МУП "Клинские электрические сети"</t>
  </si>
  <si>
    <t>Аренда нежилого помещения г.Москва, Зеленоград, ул. Заводская, д.1, стр.1</t>
  </si>
  <si>
    <t>ООО "ТОРИОН-АРСЕНАЛ"</t>
  </si>
  <si>
    <t>Аренда нежилого помещения Москва, ул. Красностуденческий проезд, д.7</t>
  </si>
  <si>
    <t>ООО «ВИЛАР»</t>
  </si>
  <si>
    <t>Аренда нежилого помещения  г. Москва, 1-й Митинский пер., д.25</t>
  </si>
  <si>
    <t>ИП Фролов В.А.</t>
  </si>
  <si>
    <t>Аренда нежилого помещения г. Москва, ул. Винокурова, д.10,к.1</t>
  </si>
  <si>
    <t>ООО «Серпантин»</t>
  </si>
  <si>
    <t>Аренда нежилого помещения г. Москва, ул. Барклая, д.13, стр.2</t>
  </si>
  <si>
    <t>ЗАО «Развитие»</t>
  </si>
  <si>
    <t>Аренда нежилого помещения  г. Москва, Михайловский проезд, д.3, стр.66</t>
  </si>
  <si>
    <t>ООО «Мистраль»</t>
  </si>
  <si>
    <t>Аренда нежилого помещения г. Москва, Бережковская набережная, дом 20-Е (с 1-20 комнаты)</t>
  </si>
  <si>
    <t>ООО «СЕРВИС-ПЛАСТИК»</t>
  </si>
  <si>
    <t>Аренда нежилого помещения М.О., г. Наро-Фоминск, ул. Луговая, д. 5а</t>
  </si>
  <si>
    <t>ИП Емельянов С.В.</t>
  </si>
  <si>
    <t xml:space="preserve">Аренда нежилого помещения М.О., пос. Шаховская, д. Судислово, д.85 </t>
  </si>
  <si>
    <t>ИП Коцюбенко В.А.</t>
  </si>
  <si>
    <t>Аренда нежилого помещения М.О., г. Истра, пл. Революции, д. 6</t>
  </si>
  <si>
    <t>ООО "СТЭМ"</t>
  </si>
  <si>
    <t>Аренда нежилого помещения М.О., г. Одинцово, ул. Сосновая, д. 34</t>
  </si>
  <si>
    <t>ООО "Союз-Бетон"</t>
  </si>
  <si>
    <t>Аренда нежилого помещения Московская обл., Серебряно-Прудский р-н, п.Серебряные Пруды, пл.Советская, д.6</t>
  </si>
  <si>
    <t>ООО "Трансойл"</t>
  </si>
  <si>
    <t>Аренда нежилого помещения Московская обл., г.Бронницы, ул.Красная, д.81</t>
  </si>
  <si>
    <t>ИП Богуславский В.Я.</t>
  </si>
  <si>
    <t>Аренда нежилого помещения г.Троицк, ул.Лесная, д.4б</t>
  </si>
  <si>
    <t>гр.Запуниди А.С.</t>
  </si>
  <si>
    <t>Аренда нежилого помещения Московская обл., г.Люберцы, ул.Красная, д.1</t>
  </si>
  <si>
    <t>ООО "Фирма Зевс-Сервис"</t>
  </si>
  <si>
    <t xml:space="preserve">Аренда нежилого помещения МО, г.Озеры, улица Ленина, д.53, на 2 этаже, №5, №6, №23 </t>
  </si>
  <si>
    <t xml:space="preserve">Аренда нежилого помещения МО, г.Железнодорожный, ул.Гидрогородок, д.4, подъезд 1, на 1 этаже, комнаты №3,5,6,7,8 под офис и помещение №4 коридор </t>
  </si>
  <si>
    <t>Аренда нежилого помещения МО, г.Егорьевск, ул.Парижской Коммуны, д.1"Б" на 1 этаже 3-х этажного административного корпуса (нежилое помещение - офис №115 , нежилое помещение - офис №110 )</t>
  </si>
  <si>
    <t xml:space="preserve">Аренда нежилого помещения МО, г.Озеры, улица Ленина, д.65, помещения №11, №12, №13 </t>
  </si>
  <si>
    <t>ЗАО "Химико-металлургическая компания ПРЕРАМЕТ"</t>
  </si>
  <si>
    <t>Аренда нежилого помещения МО, г.Коломна, ул.Октябрьской революции, д.406, (офисные помещения, производственные помещения, складские помещения) этаж 2 правое крыло, комнаты №214-225, 227, 229.</t>
  </si>
  <si>
    <t>ООО "Техноас-Коломна"</t>
  </si>
  <si>
    <t>Аренда нежилого помещения МО, г.Воскресенск, ул.2-ая Куйбышева, д.2, нежилое помещение, этаж 3, комнаты №21,22,23,24,25.</t>
  </si>
  <si>
    <t>ООО "Фаби"</t>
  </si>
  <si>
    <t>Аренда нежилого помещения МО, Щелковский р-н, п.Литвиново, д.5/1, на 2 этаже, комнаты №19,24</t>
  </si>
  <si>
    <t>Аренда нежилого помещения МО, г.Павловский-Посад, пер.1-ый Карповский, д.3, нежилые помещения, расположенные на 2 этаже нежилого здания, комнаты 5,6,18.</t>
  </si>
  <si>
    <t>Аренда нежилого помещения МО, г.Зарайск, ул.Советская, д.33-А</t>
  </si>
  <si>
    <t>ИП Гончаров С.Ф.</t>
  </si>
  <si>
    <t xml:space="preserve">Аренда нежилого помещения МО, г.Луховицы, ул.Тимирязева, д.13, этаж 1 и 2, комнаты №3,4,35,36 </t>
  </si>
  <si>
    <t>Аренда нежилого помещения МО, г.Ногинск, Аптечный переулок, д.2А, помещения, для использования в качестве офиса, расположенные на 1 этаже нежилого здания, комнаты №26-31,33,41.</t>
  </si>
  <si>
    <t>ИП Налгиева М.И.</t>
  </si>
  <si>
    <t>Аренда нежилого помещения МО, Орехово-Зуевский р-н, г.Куровское, ул.Советская, д.1А</t>
  </si>
  <si>
    <t>ИП Бекмурзиев М.Г.</t>
  </si>
  <si>
    <t>064-0001294</t>
  </si>
  <si>
    <t>Обрезка боковых деревьев в охранных зонах ЛЭП ЦЭС</t>
  </si>
  <si>
    <t>0201020204</t>
  </si>
  <si>
    <t>45</t>
  </si>
  <si>
    <t>064-0001284</t>
  </si>
  <si>
    <t>Техническое освидетельствование  ВЛ 35-220 кВ</t>
  </si>
  <si>
    <t>064-0001276</t>
  </si>
  <si>
    <t>Обследование, освидетельствование и паспортизация зданий и сооружений ПС ЦЭС</t>
  </si>
  <si>
    <t>064-0001331</t>
  </si>
  <si>
    <t>Техническое обслуживание системы пожаротушения на ПС ЦЭС</t>
  </si>
  <si>
    <t>Техническое обслуживание системы пожаротушения</t>
  </si>
  <si>
    <t>020102020501</t>
  </si>
  <si>
    <t>45.32</t>
  </si>
  <si>
    <t>064-0001330</t>
  </si>
  <si>
    <t>Техническое обслуживание пожарной сигнализации на ПС ЦЭС</t>
  </si>
  <si>
    <t>064-0001324</t>
  </si>
  <si>
    <t>Огнезащитное покрытие электрических кабелей на ПС ЦЭС</t>
  </si>
  <si>
    <t>Огнезащитное покрытие электрических кабелей</t>
  </si>
  <si>
    <t>га</t>
  </si>
  <si>
    <t>064-0001302</t>
  </si>
  <si>
    <t>32.30.9</t>
  </si>
  <si>
    <t>Работы по техническому обслуживанию оборудования отображения видеоинформации</t>
  </si>
  <si>
    <t>Техническое обслуживание оборудования видеосистемы</t>
  </si>
  <si>
    <t>064-0001303</t>
  </si>
  <si>
    <t>Техническое обслуживание и поверка газосигнализаторов на ПС ЦЭС</t>
  </si>
  <si>
    <t>Работы</t>
  </si>
  <si>
    <t>064-0001299</t>
  </si>
  <si>
    <t>ТО систем приточно-вытяжной вентиляции зданий: ПС ЦЭС</t>
  </si>
  <si>
    <t>064-0001292</t>
  </si>
  <si>
    <t>Техническое освидетельствование ПС 35-220 кВ: ПС ЦЭС</t>
  </si>
  <si>
    <t>064-0001298</t>
  </si>
  <si>
    <t>ТО автоматических регуляторов ДГР: ПС ЦЭС</t>
  </si>
  <si>
    <t>064-0001283</t>
  </si>
  <si>
    <t>Сервисное обслуживание элегазового оборудования отечественного производства на ПС ЦЭС</t>
  </si>
  <si>
    <t>064-0001275</t>
  </si>
  <si>
    <t>Прочистка канализации и откачка маслосборников на ПС ЦЭС (рамочное соглашение)</t>
  </si>
  <si>
    <t>Обслуживание очистных сооружений</t>
  </si>
  <si>
    <t>020105140702</t>
  </si>
  <si>
    <t>064-0001282</t>
  </si>
  <si>
    <t>Вывоз и утилизация снега с ПС ЦЭС (рамочное соглашение)</t>
  </si>
  <si>
    <t>Уборка территории</t>
  </si>
  <si>
    <t>064-0001280</t>
  </si>
  <si>
    <t>Вывоз мусора с ПС ЦЭС (рамочное соглашение)</t>
  </si>
  <si>
    <t>064-0001288</t>
  </si>
  <si>
    <t>Техническое обслуживание зданий, инженерных сетей ЦЭС (рамочное соглашение)</t>
  </si>
  <si>
    <t>Эксплуатация</t>
  </si>
  <si>
    <t>064-0001279</t>
  </si>
  <si>
    <t>Уборка помещений Административных зданий ЦЭС</t>
  </si>
  <si>
    <t>064-0001277</t>
  </si>
  <si>
    <t>Содержание территорий и сооружений ПС ОВЭС ЗАО, ЮЗАО, СЗАО, ЦАО, ЮАО, ЮВАО, СВАО, ВАО, САО,Зеленоградский АО</t>
  </si>
  <si>
    <t>064-0001278</t>
  </si>
  <si>
    <t>Уборка помещений и содержание фасадов  ПС ОВЭС ЗАО, ЮЗАО, СЗАО, ЦАО, ЮАО, ЮВАО, СВАО, ВАО, САО,Зеленоградский АО</t>
  </si>
  <si>
    <t>064-0001305</t>
  </si>
  <si>
    <t>Промывка гравийной засыпки маслоприемника: ПС ЦЭС</t>
  </si>
  <si>
    <t>064-0001319</t>
  </si>
  <si>
    <t>73.3</t>
  </si>
  <si>
    <t>Утверждение границ санитарно-защитных зон для 17 подстанций ЦЭС</t>
  </si>
  <si>
    <t>064-0001274</t>
  </si>
  <si>
    <t>74.20.15</t>
  </si>
  <si>
    <t>Разработка, пересмотр и согласование в контролирующих органах проектной и разрешительной документации в области охраны окружающей среды</t>
  </si>
  <si>
    <t>064-0001322</t>
  </si>
  <si>
    <t>Эксплуатация медных кабелей связи, ЛКС, ОВ</t>
  </si>
  <si>
    <t>064-0001315</t>
  </si>
  <si>
    <t>Предоставление услуг связи (655 телефонных номеров для АТС ЦЭС, 2 канала Е1)</t>
  </si>
  <si>
    <t>064-0001314</t>
  </si>
  <si>
    <t>Услуги по эксплутация ЛКС</t>
  </si>
  <si>
    <t>Услуги эксплуатации ЛКС</t>
  </si>
  <si>
    <t>064-0001304</t>
  </si>
  <si>
    <t>Предоставление услуг по размещению кабеля  связи в тоннелях Метрополитена</t>
  </si>
  <si>
    <t>064-0001308</t>
  </si>
  <si>
    <t>Услуги по размещению кабелей связи в ЛКС МГТС</t>
  </si>
  <si>
    <t>064-0001313</t>
  </si>
  <si>
    <t>Услуги по эксплуатации коллекторов</t>
  </si>
  <si>
    <t>064-0001291</t>
  </si>
  <si>
    <t>Антикоррозийное покрытие опор ВЛ 35-220 кВ</t>
  </si>
  <si>
    <t>Антикоррозийное покрытие опор 35-220 кВ</t>
  </si>
  <si>
    <t>0201020101</t>
  </si>
  <si>
    <t>064-0001285</t>
  </si>
  <si>
    <t>74.70.3</t>
  </si>
  <si>
    <t>Обслуживание биотуалетов на ПС ЦЭС</t>
  </si>
  <si>
    <t>064-0001287</t>
  </si>
  <si>
    <t>Обслуживание кондиционеров на ПС и Административных зданиях ЦЭС</t>
  </si>
  <si>
    <t>Техническое обслуживание  кондиционеров</t>
  </si>
  <si>
    <t>Прочие услуги</t>
  </si>
  <si>
    <t>064-0001333</t>
  </si>
  <si>
    <t>Испытание наружных пожарных лестниц на ПС №№ 6, 32, 48, 91, 111, 112, 299, 369, 396, 484, 549, 692, 790.</t>
  </si>
  <si>
    <t>Испыт-е наружных пожарных лестниц на зд-ях подст-й</t>
  </si>
  <si>
    <t>064-0001316</t>
  </si>
  <si>
    <t>Услуги по предоставлению междугородной и международной связи по телефонам, предоставленным ОАО МУСЭ</t>
  </si>
  <si>
    <t>064-0001320</t>
  </si>
  <si>
    <t>Эксплуатация ЛКС ОАО "ОЭК" для размещения кабелей связи ЦЭС</t>
  </si>
  <si>
    <t>064-0001321</t>
  </si>
  <si>
    <t>Обеспечение руководителей и автомобилей радиотелефонами</t>
  </si>
  <si>
    <t>064-0001318</t>
  </si>
  <si>
    <t>Предоставление телефонных номеров</t>
  </si>
  <si>
    <t>064-0001300</t>
  </si>
  <si>
    <t>Выполнение работ по дератизации зданий, сооружений и прилегающих территорий: ПС ЦЭС</t>
  </si>
  <si>
    <t>064-0001290</t>
  </si>
  <si>
    <t>Обслуживание тепловых пунктов</t>
  </si>
  <si>
    <t>064-0001337</t>
  </si>
  <si>
    <t>Аренда нежилых помещений (г.Москва, Старокаширское ш., д.4-А, стр.3)</t>
  </si>
  <si>
    <t>0201051101</t>
  </si>
  <si>
    <t>064-0001339</t>
  </si>
  <si>
    <t>Аренда нежилого имущества, по адресу: г.Москва, 2-й Кожуховский проезд, д.29, корп.2, стр.2</t>
  </si>
  <si>
    <t>064-0001327</t>
  </si>
  <si>
    <t>74.30.1</t>
  </si>
  <si>
    <t>Проведение хроматографических анализов газов растворённых в трансформаторном масле</t>
  </si>
  <si>
    <t>064-0001328</t>
  </si>
  <si>
    <t>Выполнение полного физико-химического анализа трансформаторного масла из электрооборудования ПС ЦЭС</t>
  </si>
  <si>
    <t>Физико-химический анализ трансформаторного масла</t>
  </si>
  <si>
    <t>064-0001325</t>
  </si>
  <si>
    <t>Выполнение работ по техническому освидетельствованию силовых трансформаторов в 2014 году для нужд ЦЭС</t>
  </si>
  <si>
    <t>064-0001295</t>
  </si>
  <si>
    <t>45.25.6</t>
  </si>
  <si>
    <t>Аварийно-восстановительные и неотложные работы по зданиям и сооружениям (рамочное соглашение)</t>
  </si>
  <si>
    <t>064-0001297</t>
  </si>
  <si>
    <t>Ремонт зданий и сооружений на ПС ЦЭС</t>
  </si>
  <si>
    <t>064-0001332</t>
  </si>
  <si>
    <t>Ремонт трансформаторов, ДГР, ДГК и насосных пожаротушения на ПС ЦЭС</t>
  </si>
  <si>
    <t>Ремонт силовых трансформаторов</t>
  </si>
  <si>
    <t>064-0001340</t>
  </si>
  <si>
    <t>Неотложные и аварийно- восстановительные работы  на кабельных ЛЭП 0.4-10 кВ (рамочное соглашение)</t>
  </si>
  <si>
    <t>064-0001342</t>
  </si>
  <si>
    <t>29.23.9</t>
  </si>
  <si>
    <t>Капитальный ремонт внутреннего и наружного освещения, отопления и систем вентиляции на ПС ЦЭС</t>
  </si>
  <si>
    <t>Ремонт инженерных сетей</t>
  </si>
  <si>
    <t>064-0001341</t>
  </si>
  <si>
    <t>Капитальный ремонт систем переменного и постоянного тока с заменой отдельных элементов на ПС ЦЭС</t>
  </si>
  <si>
    <t>Ремонт систем оперативного тока</t>
  </si>
  <si>
    <t>064-0001343</t>
  </si>
  <si>
    <t>Неотложные и аварийно- восстановительные работы  по ремонту элегазового оборудования (рамочное соглашение)</t>
  </si>
  <si>
    <t>Ремонт РУ 35-220 кВ с заменой элементов</t>
  </si>
  <si>
    <t>064-0001344</t>
  </si>
  <si>
    <t>Ремонт ЗРУ 35-110-220 кВ на ПС ЦЭС</t>
  </si>
  <si>
    <t>Ремонт ЗРУ</t>
  </si>
  <si>
    <t>064-0001345</t>
  </si>
  <si>
    <t>Ремонт воздушных выключателей 35-220 кВ на ПС ЦЭС</t>
  </si>
  <si>
    <t>Ремонт воздушных выключателей 110-220 кВ</t>
  </si>
  <si>
    <t>064-0001346</t>
  </si>
  <si>
    <t>Ремонт компрессоров на ПС ЦЭС</t>
  </si>
  <si>
    <t>Ремонт компрессоров</t>
  </si>
  <si>
    <t>064-0001347</t>
  </si>
  <si>
    <t>Ремонт контура заземления на ПС ЦЭС</t>
  </si>
  <si>
    <t>064-0001348</t>
  </si>
  <si>
    <t>Ремонт системы автоматики ДГР на ПС ЦЭС</t>
  </si>
  <si>
    <t>Ремонт мелкого оборудования</t>
  </si>
  <si>
    <t>064-0001349</t>
  </si>
  <si>
    <t>Ремонт КРУЭ на ПС ЦЭС</t>
  </si>
  <si>
    <t>Ремонт КРУ</t>
  </si>
  <si>
    <t>064-0001336</t>
  </si>
  <si>
    <t>74.20.4</t>
  </si>
  <si>
    <t>Поверка средств измерений аккредитованным юридическим лицомили индивидуальным предпринимателем по 27, 28, 30, 31,32,34 -ому кодам видов измерений,принадлежащих Центральным электрическим сетям - филиалу ОАО "МОЭСК"</t>
  </si>
  <si>
    <t>0201020202</t>
  </si>
  <si>
    <t>Метрологическое обеспечение производства</t>
  </si>
  <si>
    <t>064-0001338</t>
  </si>
  <si>
    <t>Замена щитовых электроизмерительных приборов на цифровые на ПС ЦЭС</t>
  </si>
  <si>
    <t>0201050101</t>
  </si>
  <si>
    <t>Услуги связи (СлТиТ)</t>
  </si>
  <si>
    <t>064-0001309</t>
  </si>
  <si>
    <t>Ремонт систем гарантированного питания устройств телемеханики</t>
  </si>
  <si>
    <t>064-0001310</t>
  </si>
  <si>
    <t>Ремонт цепей и преобразователей телеизмерений</t>
  </si>
  <si>
    <t>064-0001351</t>
  </si>
  <si>
    <t>Капитальный ремонт кабельных линий связи и телефонной канализации для нужд ЦЭС в 2014 году</t>
  </si>
  <si>
    <t>Ремонт СДТУ</t>
  </si>
  <si>
    <t>29.22.9</t>
  </si>
  <si>
    <t>064-0001379</t>
  </si>
  <si>
    <t>50.20.2</t>
  </si>
  <si>
    <t>Техническое обслуживание автокранов</t>
  </si>
  <si>
    <t>064-0001378</t>
  </si>
  <si>
    <t>Техническое обслуживание автогидроподъёмников</t>
  </si>
  <si>
    <t>ГУП Москоллектор</t>
  </si>
  <si>
    <t>0201050102</t>
  </si>
  <si>
    <t>0201050103</t>
  </si>
  <si>
    <t>ИА/отдел ценных бумаг</t>
  </si>
  <si>
    <t>1К749</t>
  </si>
  <si>
    <t>Договор от 24.05.2013 №170-13</t>
  </si>
  <si>
    <t>Договор от 01.08.2011 №293-11</t>
  </si>
  <si>
    <t>Договор от 15.01.2007 №06-07</t>
  </si>
  <si>
    <t>Положение от 30.12.2011 п.11.1.3</t>
  </si>
  <si>
    <t>ЗАО "Регистраторское общество "СТАТУС"</t>
  </si>
  <si>
    <t>085-0004108</t>
  </si>
  <si>
    <t>МКС              (УОР)</t>
  </si>
  <si>
    <t>Благоустройство территории после ремонта КЛ: объекты МКС - филиала ОАО "МОЭСК"</t>
  </si>
  <si>
    <t>Восстановление дорожн.покрытия и блугоустр. терр-и</t>
  </si>
  <si>
    <t>02010201</t>
  </si>
  <si>
    <t>Приказ ОАО "МОЭСК" №848 от 22.08.2013; смета</t>
  </si>
  <si>
    <t>Выполнение работ по благоустройству мест разрытий после аварийных ремонтов КЛ в округах МКС</t>
  </si>
  <si>
    <t>соблюдение требований ТЗ</t>
  </si>
  <si>
    <t>085-0004111</t>
  </si>
  <si>
    <t>Работа по закладке труб методом ГНБ: объекты МКС - филиала ОАО "МОЭСК"</t>
  </si>
  <si>
    <t>Выполнение работ по закладке труб методом ГНБ</t>
  </si>
  <si>
    <t>085-0004115</t>
  </si>
  <si>
    <t>Выполнение неотложных ремонтно-восстановительных работ на КЛ 0.4-10 кВ для нужд МКС - филиала ОАО "МОЭСК"</t>
  </si>
  <si>
    <t>Ремонт КЛ 0.4-20 кВ</t>
  </si>
  <si>
    <t>Выполнение неотложных ремонтно-восстановительных работ (аварийных) на КЛ 0.4-10 кВ для нужд МКС - филиала ОАО "МОЭСК"</t>
  </si>
  <si>
    <t>085-0003576</t>
  </si>
  <si>
    <t>МКС (СТЭЭ)</t>
  </si>
  <si>
    <t>3115130        3115131</t>
  </si>
  <si>
    <t>ремонт силовых трансфоматоров 35-220кВ и 6-20кВ</t>
  </si>
  <si>
    <t>индекс-дефляторы</t>
  </si>
  <si>
    <t xml:space="preserve">ремонт силовых трансформаторов </t>
  </si>
  <si>
    <t>согласно ТЗ</t>
  </si>
  <si>
    <t>085-0003545</t>
  </si>
  <si>
    <t>МКС              (АВС-ЗС)</t>
  </si>
  <si>
    <t>40.13.3</t>
  </si>
  <si>
    <t>Ремонт строительной части кабельных тонелей (коллекторов), ремонт кабельных колодцев.</t>
  </si>
  <si>
    <t>ремонт коллекторов</t>
  </si>
  <si>
    <t>Требования указаны в тех. заданиях</t>
  </si>
  <si>
    <t>п.м.</t>
  </si>
  <si>
    <t xml:space="preserve">Город Москва столица Российской Федерации город федерального значения </t>
  </si>
  <si>
    <t>085-0003546</t>
  </si>
  <si>
    <t>ремонт зданий и сооружений</t>
  </si>
  <si>
    <t>085-0003547</t>
  </si>
  <si>
    <t>Ремонт строительной части ТП, РП.</t>
  </si>
  <si>
    <t>085-0003548</t>
  </si>
  <si>
    <t xml:space="preserve">Изготовление и установка (замена) метал. дверей ТП, РП </t>
  </si>
  <si>
    <t>085-0003549</t>
  </si>
  <si>
    <t xml:space="preserve">Ремонт мет. кровель ТП, РП с заменой несущих конструкций </t>
  </si>
  <si>
    <t>085-0003550</t>
  </si>
  <si>
    <t>45.44                             45.22</t>
  </si>
  <si>
    <t>Ремонт мягкой, металлической кровли зданий, ремонт и покраска фасадов  зданий с герметизацией межпанельных швов, с заменой окон и витражей  административно-производственных зданий.</t>
  </si>
  <si>
    <t>085-0003551</t>
  </si>
  <si>
    <t>45.4</t>
  </si>
  <si>
    <t>Внутренний ремонт помещений зданий</t>
  </si>
  <si>
    <t>085-0003552</t>
  </si>
  <si>
    <t>45.33</t>
  </si>
  <si>
    <t xml:space="preserve">Ремонт систем отопления, ХВС, ГВС, канализации и вентиляции зданий </t>
  </si>
  <si>
    <t>085-0003554</t>
  </si>
  <si>
    <t xml:space="preserve">Ремонт ситем ОПС </t>
  </si>
  <si>
    <t>ремонт пож. охр-й сигнализации и сис-мы видеонаблюдения</t>
  </si>
  <si>
    <t>085-0003555</t>
  </si>
  <si>
    <t>45.34</t>
  </si>
  <si>
    <t>Охранные мероприятия - ремонт ворот, дверей зданий, проходных, заборов, восстановление колючей проволоки ограждения территории районов и служб.</t>
  </si>
  <si>
    <t>ремонт ограждений</t>
  </si>
  <si>
    <t>085-0003556</t>
  </si>
  <si>
    <t>45.23</t>
  </si>
  <si>
    <t>Асфальтировка дорожных покрытий территорий районов и служб</t>
  </si>
  <si>
    <t>восстановление дорож. покрытия и благоустр. территории</t>
  </si>
  <si>
    <t>085-0003604</t>
  </si>
  <si>
    <t>МКС              (СК)</t>
  </si>
  <si>
    <t>Ремонт полок в коллекторах ГУП Москоллектор для КЛ Общества</t>
  </si>
  <si>
    <t>085-0003605</t>
  </si>
  <si>
    <t>Работы по покрытию ОЗС кабелей, проложенных в коллекторах и эксплуатируемых Обществом</t>
  </si>
  <si>
    <t>огнезащитное покрытие электрических кабелей</t>
  </si>
  <si>
    <t>085-0003557</t>
  </si>
  <si>
    <t>Техническое обслуживание инженерного оборудования коллекторов, подводных кабельных переходов и наладка электрооборудования в кабельных коллекторах- все округа на 2014г..</t>
  </si>
  <si>
    <t>ТО инженерного оборудования коллекторов, подводных кабельных переходов</t>
  </si>
  <si>
    <t>085-0003558</t>
  </si>
  <si>
    <t>Техническое обслуживание автоматики бойлеров и узлов учета потребляемого тепла зданий, техническое обслуживание  оборудования вент. систем в зданиях - все округа на 2014г.</t>
  </si>
  <si>
    <t>085-0003559</t>
  </si>
  <si>
    <t xml:space="preserve">Прочистка вентканалов, замена фильтров </t>
  </si>
  <si>
    <t>ТО систем приточно-вытяжной автоматики зданий</t>
  </si>
  <si>
    <t>085-0003560</t>
  </si>
  <si>
    <t>Промывка систем отопления зданий, подготовка зданий к отопительному сезону 2014-2015гг. - все округа</t>
  </si>
  <si>
    <t>техническое обслуживание инженерных систем</t>
  </si>
  <si>
    <t>085-0003561</t>
  </si>
  <si>
    <t>45.25</t>
  </si>
  <si>
    <t>Комплексное обследование и паспортизация строительной части ТП, РП</t>
  </si>
  <si>
    <t>085-0003567</t>
  </si>
  <si>
    <t>Комплексное обследование зданий</t>
  </si>
  <si>
    <t xml:space="preserve">обследование строительных конструкций зданий </t>
  </si>
  <si>
    <t>085-0003563</t>
  </si>
  <si>
    <t>Комплексное обследование кабельных коллекторов</t>
  </si>
  <si>
    <t>комплексное обследование  коллекторов</t>
  </si>
  <si>
    <t>085-0003566</t>
  </si>
  <si>
    <t>Комплексное обследование и паспортизация кабельных смотровых колодцев - все районы</t>
  </si>
  <si>
    <t>085-0003564</t>
  </si>
  <si>
    <t>Обслуживание оборудования управления доступом на 2014г.</t>
  </si>
  <si>
    <t>085-0003565</t>
  </si>
  <si>
    <t>Выполнение   работ по обслуживанию административно-производственных зданий</t>
  </si>
  <si>
    <t>085-0003568</t>
  </si>
  <si>
    <t>Техническое обслуживание инженерных систем помещений СДТУ</t>
  </si>
  <si>
    <t>МКС (УАТиСМ)</t>
  </si>
  <si>
    <t>смет расчет</t>
  </si>
  <si>
    <t>085-0003577</t>
  </si>
  <si>
    <t xml:space="preserve">ТО грузоподъемной техники (автокраны, краны-манипуляторы, автогидроподъемники)                          </t>
  </si>
  <si>
    <t>ТО грузоподъемной техники (автокраны, краны-манипуляторы, автогидроподъемники)</t>
  </si>
  <si>
    <t xml:space="preserve">32                              </t>
  </si>
  <si>
    <t>50.20.1</t>
  </si>
  <si>
    <t>085-0003588</t>
  </si>
  <si>
    <t xml:space="preserve"> Обслуживание масляных станций</t>
  </si>
  <si>
    <t>Обслуживание масляных станций</t>
  </si>
  <si>
    <t>33</t>
  </si>
  <si>
    <t>085-0003591</t>
  </si>
  <si>
    <t>ТО системы технологического управления сетью зарядных станций "МОЭСК-EV"</t>
  </si>
  <si>
    <t>20</t>
  </si>
  <si>
    <t>085-0003954</t>
  </si>
  <si>
    <t>МКС (ОПБ)</t>
  </si>
  <si>
    <t>Техническое обслуживание пассажирских и грузовых лифтов МКС-филиала ОАО "МОЭСК"</t>
  </si>
  <si>
    <t>локальная смета</t>
  </si>
  <si>
    <t>Техническое обслуживание лифтов</t>
  </si>
  <si>
    <t>да</t>
  </si>
  <si>
    <t>085-0004063</t>
  </si>
  <si>
    <t>МКС (СМ)</t>
  </si>
  <si>
    <t>74.20.42</t>
  </si>
  <si>
    <t>услуги по поверке и калибровке</t>
  </si>
  <si>
    <t>проведение работ (оказание услуг) по поверке (калибровке, аттестации испытательного оборудования) средств измерений</t>
  </si>
  <si>
    <t>500</t>
  </si>
  <si>
    <t>085-0004047</t>
  </si>
  <si>
    <t>МКС (СИИ)</t>
  </si>
  <si>
    <t xml:space="preserve">Техническое обслуживание электротехнических лабораторий производства холдинга «Seba КМТ» </t>
  </si>
  <si>
    <t>Техническое обслуживание электротехнических лабораторий</t>
  </si>
  <si>
    <t xml:space="preserve">Расчет стоимости </t>
  </si>
  <si>
    <t>в соответствии ТЗ</t>
  </si>
  <si>
    <t>72.20</t>
  </si>
  <si>
    <t>калькуляция</t>
  </si>
  <si>
    <t>Согласно ТЗ</t>
  </si>
  <si>
    <t>085-0004133</t>
  </si>
  <si>
    <t>Обслуживание, санация очистных сооружений автомоек и транспортировка отходов</t>
  </si>
  <si>
    <t>085-0002768</t>
  </si>
  <si>
    <t>МКС (ООТ)</t>
  </si>
  <si>
    <t>Поверка и ремонт приборов контроля воздушной среды в подземных сооружениях</t>
  </si>
  <si>
    <t>Выписка из прейскуранта</t>
  </si>
  <si>
    <t>ООО "ГАЗОМАТ"</t>
  </si>
  <si>
    <t>085-0002774</t>
  </si>
  <si>
    <t xml:space="preserve">Приобретение лечебно-профилактического спецпитания (молоко) </t>
  </si>
  <si>
    <t>Калькуляция</t>
  </si>
  <si>
    <t>литр</t>
  </si>
  <si>
    <t>085-0004303</t>
  </si>
  <si>
    <t>Приобретение питьевой бутилированной воды, в том числе в период работы в условиях повышенных температур</t>
  </si>
  <si>
    <t>085-0002776</t>
  </si>
  <si>
    <t>Стирка и химчистка спецодежды</t>
  </si>
  <si>
    <t>Проведение производственного контроля на рабочих местах</t>
  </si>
  <si>
    <t>Сметный расчет</t>
  </si>
  <si>
    <t>Проведение Аттестации рабочих мест</t>
  </si>
  <si>
    <t>рабочих мест</t>
  </si>
  <si>
    <t>085-0004114</t>
  </si>
  <si>
    <t>Оборудование сушилок в подразделениях</t>
  </si>
  <si>
    <t>085-0004116</t>
  </si>
  <si>
    <t>Проведение очистки и дезинфекции систем вентиляции и кондиционирования</t>
  </si>
  <si>
    <t xml:space="preserve">Техническое обслуживание сплит-систем кондиционирования воздуха </t>
  </si>
  <si>
    <t>Локальная смета</t>
  </si>
  <si>
    <t>085-0004105</t>
  </si>
  <si>
    <t>МКС (ОРОб)</t>
  </si>
  <si>
    <t>Техническое обслуживание охранной сигнализации (Услуги по автоматическому контролю за состоянием КТС охраны, организации реагирования мобильными нарядами полиции на "тревожные сообщения", услуги по техническому обслуживанию КТС)</t>
  </si>
  <si>
    <t>085-0003544</t>
  </si>
  <si>
    <t>МКС (УСП)</t>
  </si>
  <si>
    <t>92.3</t>
  </si>
  <si>
    <t>Услуги по проведению праздничных и торжественных мероприятий (праздничное мероприятие посвященное Дню энергетика)</t>
  </si>
  <si>
    <t>Проведение праздничных мероприятий</t>
  </si>
  <si>
    <t>020107070503</t>
  </si>
  <si>
    <t>Услугт по организации проведению праздничного мероприятия посвященное Дню энергетика</t>
  </si>
  <si>
    <t>Штука условная</t>
  </si>
  <si>
    <t>085-0004074</t>
  </si>
  <si>
    <t>МКС (ПТС)</t>
  </si>
  <si>
    <t>64.11.14</t>
  </si>
  <si>
    <t>Подписка на периодические издания</t>
  </si>
  <si>
    <t>085-0003571</t>
  </si>
  <si>
    <t>МКС (ОООС)</t>
  </si>
  <si>
    <t>разработка природоохранной документации</t>
  </si>
  <si>
    <t>услуг по разработка природоохраной документации</t>
  </si>
  <si>
    <t xml:space="preserve">1. Обязательное наличие собственной аккредитованной лаборатории.
2. Обязательное наличие квалифицированных собственных специалистов.  
3. Опыт работы по разработке разрешительной природоохранной документации не менее 5 (пяти) лет.
</t>
  </si>
  <si>
    <t>085-0003573</t>
  </si>
  <si>
    <t>90.00.1</t>
  </si>
  <si>
    <t>Прием, транспортирование и очистка поверхностного стока (ГУП "Мосводосток")</t>
  </si>
  <si>
    <t>Прием, транспортирование и очистка поверхностного стока</t>
  </si>
  <si>
    <t>0201020201</t>
  </si>
  <si>
    <t>1. Наличие водоотводящий системы поверхностно-ливневых стоков</t>
  </si>
  <si>
    <t>085-0003572</t>
  </si>
  <si>
    <t>Вывоз ТБО и смета с территорий районов и служб</t>
  </si>
  <si>
    <t xml:space="preserve">Услуги по вывоз ТБО и смета с территорий районов и служб МКС
</t>
  </si>
  <si>
    <t xml:space="preserve">1. Обязательное наличие Лицензии Федеральной службы по надзору в сфере природопользования по Центральному Федеральному округу на осуществление деятельности по обезвреживанию и размещению отходов I-IV класса опасности.
2. Обязательное наличие собственного специализированного автотранспорта.
3.Иметь техническую возможность одновременно вывозить отходы не менее чем с 8 площадок в контейнерах объемом по 0,8 куб.м., находящихся в разных административных округах г. Москвы
4.  Обязательное наличие собственных контейнеров и бункеров для установки  на 29 площадках, находящихся в разных административных округах г. Москвы.
5. Обязательное наличие пропуска  для  автотранспорта в центр г. Москвы
</t>
  </si>
  <si>
    <t>085-0003574</t>
  </si>
  <si>
    <t xml:space="preserve">90.00.2   </t>
  </si>
  <si>
    <t>Прием и размещение отходов производства и потребления 4 и 5 классов опасности на полигоне</t>
  </si>
  <si>
    <t xml:space="preserve">Услуги по прием и размещение отходов производства и потребления 4 и 5 классов опасности на полигоне
</t>
  </si>
  <si>
    <t>ОАО "Полигон Тимохово"</t>
  </si>
  <si>
    <t xml:space="preserve">1. Обязательное наличие Лицензии Федеральной службы по надзору в сфере природопользования по Центральному Федеральному округу на осуществление деятельности по обезвреживанию и размещению отходов I-IV класса опасности.
2. Обязательное наличие в лицензии полигона отходов IV-V класса опасности, соответствующих отходам, указанных в разрешительной документации МКС.
</t>
  </si>
  <si>
    <t>т</t>
  </si>
  <si>
    <t>085-0004087</t>
  </si>
  <si>
    <t>90.00</t>
  </si>
  <si>
    <t>Услуги по вывозу снега с территорий подразделений.</t>
  </si>
  <si>
    <t>Услуги по вывозу снега с территорий подразделений МКС.</t>
  </si>
  <si>
    <t xml:space="preserve">1. Иметь техническую возможность одновременно  осуществлять погрузку и вывоз снега с территорий 10 подразделений МКС, собственными средствами механизации.
2.  Обязательное наличие собственных бункеров  8-25 куб. м. 
3.Иметь возможностью одновременно установить бункера не менее чем на в 8 подразделениях, находящихся в разных административных округах г. Москвы.
4. Обязательное наличие пропуска  для  автотранспорта в центр г. Москвы.
</t>
  </si>
  <si>
    <t>085-0004180</t>
  </si>
  <si>
    <t>МКС (ОХО)</t>
  </si>
  <si>
    <t>74.70</t>
  </si>
  <si>
    <t>Уборка помещений ; уборка территорий (производственных помещений и территорий МКС)</t>
  </si>
  <si>
    <t xml:space="preserve">Услуги по уборке зданий прочие
</t>
  </si>
  <si>
    <t>г.Москва</t>
  </si>
  <si>
    <t>085-0004169</t>
  </si>
  <si>
    <t>52.62</t>
  </si>
  <si>
    <t>Приобретение проездных билетов для сотрудников МКС</t>
  </si>
  <si>
    <t>02010510</t>
  </si>
  <si>
    <t>085-0004295</t>
  </si>
  <si>
    <t>МКС              (СКТ)</t>
  </si>
  <si>
    <t>74.20.31, 74.20.34, 72.10, 72.20, 72.30, 72.40.</t>
  </si>
  <si>
    <t>Восстановление бумажных планов объектов МКС - филиала ОАО «МОЭСК» (М 1:500) в электронном виде.</t>
  </si>
  <si>
    <t>разработка технической документации</t>
  </si>
  <si>
    <t xml:space="preserve">Лицензия на осуществление работ, связанных с использованием сведений, составляющих государственную тайну.
Лицензия на осуществление работ, относящихся к картографической деятельности 
Лицензия на осуществление геодезической деятельности.
Обладание необходимыми профессиональными знаниями и опытом.
Ресурсные возможности (материально-технические, трудовые).
</t>
  </si>
  <si>
    <t>085-0004298</t>
  </si>
  <si>
    <t>085-0004299</t>
  </si>
  <si>
    <t>085-0004300</t>
  </si>
  <si>
    <t>085-0004301</t>
  </si>
  <si>
    <t>085-0004302</t>
  </si>
  <si>
    <t>Обновление (актуализация) планов объектов МКС – филиал ОАО «МОЭСК» в электронном виде</t>
  </si>
  <si>
    <t>085-0004103</t>
  </si>
  <si>
    <t>МКС (ОШС)</t>
  </si>
  <si>
    <t>64.20.7, 72.10</t>
  </si>
  <si>
    <t>Мониторинг и управление оборудованием широкополосной сети передачи данных: МКС</t>
  </si>
  <si>
    <t>085-0004064</t>
  </si>
  <si>
    <t>64.20.7</t>
  </si>
  <si>
    <t>Поддержка работоспособности и контроль эксплуатационных параметров ВОЛС: МКС</t>
  </si>
  <si>
    <t>Открытое акционерное общество «Центральный телеграф».</t>
  </si>
  <si>
    <t>085-0003968</t>
  </si>
  <si>
    <t>Аренда канала передачи данных : г. Москва ул. Садовническая д.36 - ул. Краснобогатырская д.2</t>
  </si>
  <si>
    <t>Аренда каналов связи</t>
  </si>
  <si>
    <t>порт</t>
  </si>
  <si>
    <t>085-0004282</t>
  </si>
  <si>
    <t>085-0004275</t>
  </si>
  <si>
    <t>64.20.12</t>
  </si>
  <si>
    <t>Оказание услуг радиотелефонной связи: МКС</t>
  </si>
  <si>
    <t>085-0004240</t>
  </si>
  <si>
    <t>6420020, 6420030</t>
  </si>
  <si>
    <t>Предоставление телефонных номеров: МКС</t>
  </si>
  <si>
    <t>085-0004257</t>
  </si>
  <si>
    <t>Предоставление телефонных номеров: г. Москва Семеновская наб д.2/1; ул. Б.Переяславская д.12, ул. Международная д.17; ул.Садовническая д.13; ул. Б. Тульская д.4/32; Казанский пер. д.3</t>
  </si>
  <si>
    <t>Открытое акционерное общество «Московская городская телефонная сеть».</t>
  </si>
  <si>
    <t>085-0004287</t>
  </si>
  <si>
    <t>Предоставление каналов телефонной связи: МКС (предоставление прямых проводов ОАО МГТС для нужд телемеханики)</t>
  </si>
  <si>
    <t>085-0004261</t>
  </si>
  <si>
    <t>МКС (ОСДТУ)</t>
  </si>
  <si>
    <t>Предоставление услуг сотовой связи: МКС</t>
  </si>
  <si>
    <t>085-0004293</t>
  </si>
  <si>
    <t>Услуги предоставления каналов связи: г. Москва Хорошевское шоссе кв.58Г</t>
  </si>
  <si>
    <t>085-0004292</t>
  </si>
  <si>
    <t>Аренда кабельных сооружений: МКС</t>
  </si>
  <si>
    <t>Аренда кабельной инфраструктуры, размещенной в ЛКС , в которой находятся кабель МКС. Пролонгация на 2014г. договора № 1.1.10/316 от 15.05.2009г с ОАО «Центральный телеграф». Расчет стоимости без НДС: длина кабеля 247,4 км, стоимость1 км 2,38 руб./месяц, соответственно общая стоимость в месяц 588 812,00 руб. и 7 065 744,00  руб. в год соответственно.</t>
  </si>
  <si>
    <t>085-0002735</t>
  </si>
  <si>
    <t>МКС (АВС-ЗС)</t>
  </si>
  <si>
    <t>40.30.2</t>
  </si>
  <si>
    <t>Покупка тепловой энергии для собственных хозяйственных нужд районов, служб МКС - филиала ОАО "МОЭСК":4, 5, 8, 11,16,17, 20, 21, 23  р-ны, УКС г. Зеленограда, СРСЭО.</t>
  </si>
  <si>
    <t xml:space="preserve">ОАО "МОЭК"  филиал № 11 "Горэнергосбыт"  </t>
  </si>
  <si>
    <t>Услуги по передаче теплолвой энергии ОАО "МОЭК" на 2014 год</t>
  </si>
  <si>
    <t>Качество передаваемой тепловой энергии должно соответствовать требованиям, установленными государственными стандартами</t>
  </si>
  <si>
    <t>085-0002732</t>
  </si>
  <si>
    <t>Покупка тепловой энергии для собственных хозяйственных нужд районов, служб МКС - филиала ОАО "МОЭСК": 1(Каз.), 1 (Мар.), 2, 3, 7,12, 13, 14,15, 19 р-ны, АВС-1, 1 а/к, 2 а/к, 3 а/к, 4 а/к, СДТУ, Сад. 13, Сад. 36, СУС.</t>
  </si>
  <si>
    <t>Услуги по передаче тепловой энергии ОАО "Мосэнерго" на 2014 год</t>
  </si>
  <si>
    <t>085-0002733</t>
  </si>
  <si>
    <t>41.00.2</t>
  </si>
  <si>
    <t>Потребление воды и сброс сточных вод в городскую канализациюрайонами,службами МКС-филиала ОАО "МОЭСК": 1(Каз.),1(Мар.),2,8,11,12,13,14,15.16,17,19,20,21,23 р-ны,УКС г.Зеленограда,АВС-1,СРСЭО,1 а/к, 2 а/к, 3 а/к, 4 а/к,Сад.13,сад.36</t>
  </si>
  <si>
    <t>Управление "Мосводосбыт" - филиал ОАО "Мосводоканал"</t>
  </si>
  <si>
    <t>Услуги по передаче электрической энергии ОАО "Мосводоканал"на 2014 год</t>
  </si>
  <si>
    <t>Качество передаваемой воды должно соответствовать требованиям, установленными государственными стандартами</t>
  </si>
  <si>
    <t>085-0004124</t>
  </si>
  <si>
    <t>МКС (ОНиЗ)</t>
  </si>
  <si>
    <t>854124</t>
  </si>
  <si>
    <t>Аренда нежилых помещений (Москва, ул. Бахрушина, д.21, стр.4)</t>
  </si>
  <si>
    <t>ООО "СтройТорг"</t>
  </si>
  <si>
    <t>Аренда офисных помещений (Москва, ул. Бахрушина, д.21, стр.4)</t>
  </si>
  <si>
    <t xml:space="preserve">отдельно стоящее здание, минимальная ставка арендной платы, конструкция здания и площадь должны позволить разместить специализированное оборудование, предназначенное для обучения специалистов </t>
  </si>
  <si>
    <t>854,10</t>
  </si>
  <si>
    <t>Размещение учебно-инновационного центра ОАО "МОЭСК"</t>
  </si>
  <si>
    <t>085-0004125</t>
  </si>
  <si>
    <t>854125</t>
  </si>
  <si>
    <t>Аренда офисных помещений (Москва, ул. Садовническая, д. 32, стр.1)</t>
  </si>
  <si>
    <t>ООО "НедвижимостьДМ"</t>
  </si>
  <si>
    <t xml:space="preserve"> минимальная ставка арендной платы, близкое расположение к центаральному (основному) зданию Филиала.</t>
  </si>
  <si>
    <t>1548,50</t>
  </si>
  <si>
    <t>Размещение служб МКС - филиала ОАО "МОЭСК"</t>
  </si>
  <si>
    <t>085-0004128</t>
  </si>
  <si>
    <t>854128</t>
  </si>
  <si>
    <t>Аренда нежилых помещений (Москва, ул. Вилиса Лациса, д.11, корп. 1)</t>
  </si>
  <si>
    <t>ДГИ г. Москвы</t>
  </si>
  <si>
    <t>Аренда офисных помещений (Москва, ул. Вилиса Лациса, д.11, корп. 1)</t>
  </si>
  <si>
    <t>отдельно стоящее здание (для размещения дипетчерских пунктов УКС Московских кабельных сетей и районов), минимальная ставка арендной платы, размещение арендуемых зданий в определенных округах г. Москвы с целью удобства обслуживания района и оперативного устранения аварий.</t>
  </si>
  <si>
    <t>1740,70</t>
  </si>
  <si>
    <t>Размещение 8 района СЗАО МКС- филиала ОАО "МОЭСК"</t>
  </si>
  <si>
    <t>085-0004129</t>
  </si>
  <si>
    <t>854129</t>
  </si>
  <si>
    <t>Аренда нежилых  помещений (Москва, ул. Переяславская, д. 12, стр.1)</t>
  </si>
  <si>
    <t>Аренда офисных  помещений (Москва, ул. Переяславская, д. 12, стр.1)</t>
  </si>
  <si>
    <t>868,20</t>
  </si>
  <si>
    <t>Размещение 5 района СВАО МКС - филиала- ОАО "МОЭСК"</t>
  </si>
  <si>
    <t>085-0004130</t>
  </si>
  <si>
    <t>854130</t>
  </si>
  <si>
    <t>Аренда нежилых помещений (Москва, Бережковская наб., д.20-Е )</t>
  </si>
  <si>
    <t>ООО "СЕРВИС-ПЛАСТИК"</t>
  </si>
  <si>
    <t>2783,80</t>
  </si>
  <si>
    <t>Размещение служб 25 района УКС ЗАО МКС - филиала ОАО "МОЭСК"</t>
  </si>
  <si>
    <t>085-0004134</t>
  </si>
  <si>
    <t>854134</t>
  </si>
  <si>
    <t>Аренда нежилых помещений (Москва, ул. Краснобогатырская, д.2, стр.2, 3,15, вл.6 )</t>
  </si>
  <si>
    <t>ООО "Меркурий"</t>
  </si>
  <si>
    <t>отдельно стоящее здание (для размещения дипетчерских пунктов УКС Московских кабельных сетей и районов), минимальная ставка арендной платы, размещение арендуемых зданий/помещений в определенных округах г. Москвы с целью удобства обслуживания района и оперативного устранения аварий.</t>
  </si>
  <si>
    <t>2712</t>
  </si>
  <si>
    <t>Размещение 18 района УКС ВО МКС - филиала ОАО "МОЭСК"</t>
  </si>
  <si>
    <t>085-0004135</t>
  </si>
  <si>
    <t>854135</t>
  </si>
  <si>
    <t>Аренда нежилых помещений (Москва, пер. Васнецова, д. 4, стр.2)</t>
  </si>
  <si>
    <t>ООО  "Дом на Васнецова"</t>
  </si>
  <si>
    <t>Аренда офисных помещений (Москва, пер. Васнецова, д. 4, стр.2)</t>
  </si>
  <si>
    <t>1259,20</t>
  </si>
  <si>
    <t>Размещение 6 района УКС ЦАО МКС - филиала ОАО "МОЭСК"</t>
  </si>
  <si>
    <t>085-0004136</t>
  </si>
  <si>
    <t>854136</t>
  </si>
  <si>
    <t>Аренда нежилых помещений (Москва, ул. Отрадная, д. 2 Б, стр. 3)</t>
  </si>
  <si>
    <t xml:space="preserve">ОАО "МОТЕК-Ц" </t>
  </si>
  <si>
    <t>Аренда офисных помещений (Москва, ул. Отрадная, д. 2 Б, стр. 3)</t>
  </si>
  <si>
    <t>1261,10</t>
  </si>
  <si>
    <t>Размещение УКС СВО и 9 района МКС - филиала ОАО "МОЭСК"</t>
  </si>
  <si>
    <t>085-0004142</t>
  </si>
  <si>
    <t>854142</t>
  </si>
  <si>
    <t>Аренда  офисных помещений (Москва, ул. Б. Тульская, д.43)</t>
  </si>
  <si>
    <t>ЗАО "Ф энд Си Трейдинг"</t>
  </si>
  <si>
    <t>минимальная ставка арендной платы</t>
  </si>
  <si>
    <t>1201,20</t>
  </si>
  <si>
    <t>Размещение ЦОК МКС - филиала ОАО "МОЭСК"</t>
  </si>
  <si>
    <t>085-0004146</t>
  </si>
  <si>
    <t>854146</t>
  </si>
  <si>
    <t>Аренда автомобильной базы (Москва, 2-й Грайвороновский проезд, д. 8, стр.2)</t>
  </si>
  <si>
    <t>ОАО "МКСМ"</t>
  </si>
  <si>
    <t>3870,20</t>
  </si>
  <si>
    <t>Размещение автобазы МКС - филиала ОАО "МОЭСК"</t>
  </si>
  <si>
    <t>085-0004149</t>
  </si>
  <si>
    <t>854149</t>
  </si>
  <si>
    <t>Аренда нежилых помещений (Москва, ул. Рочдельская, д. 24, стр.1)</t>
  </si>
  <si>
    <t>Аренда  офисных помещений (Москва, ул. Рочдельская, д. 24, стр.1)</t>
  </si>
  <si>
    <t>2280,20</t>
  </si>
  <si>
    <t>Размещение 2 района ЦАО МКС - филиала ОАО "МОЭСК"</t>
  </si>
  <si>
    <t>085-0004296</t>
  </si>
  <si>
    <t>МКС (СКТ)</t>
  </si>
  <si>
    <t>74.20, 74.30,73.10</t>
  </si>
  <si>
    <t>ГУП "Мосгоргеотрест"</t>
  </si>
  <si>
    <t>Изготовление топографических планов масштаба М 1:500</t>
  </si>
  <si>
    <t>Условные знаки для топографических планов масштаба 1:500 (правила начертания), М., 1979 (предназначены для применения при производстве работ на территории г.Москвы и лесопаркового защитного пояса);</t>
  </si>
  <si>
    <t>085-0004297</t>
  </si>
  <si>
    <t>062-0005946</t>
  </si>
  <si>
    <t>ИА/УИО</t>
  </si>
  <si>
    <t>Аренда нежилых помещений (Москва, Дербеневская наб,д.7, стр.22.)</t>
  </si>
  <si>
    <t>ОАО "МСНФ"</t>
  </si>
  <si>
    <t>1 241,20</t>
  </si>
  <si>
    <t>МОСКВА</t>
  </si>
  <si>
    <t>062-0005947</t>
  </si>
  <si>
    <t xml:space="preserve">Аренда нежилых помещений (Москва, Дербеневский пер., д.5,помещение 208) </t>
  </si>
  <si>
    <t>ООО "эверест Эссет Менеджмент"</t>
  </si>
  <si>
    <t>062-0005948</t>
  </si>
  <si>
    <t>Аренда нежилых помещений (Москва, Дербеневский пер., д.5,помещение 204)</t>
  </si>
  <si>
    <t>062-0005950</t>
  </si>
  <si>
    <t>Аренда машиномест (г.Москва, Дербеневская наб., д.7, стр. 3 и 14)</t>
  </si>
  <si>
    <t>062-0005951</t>
  </si>
  <si>
    <t>Аренда нежилых помещений (г.Москва, Дербеневская наб., д.7, стр. 3 и 14)</t>
  </si>
  <si>
    <t>6 826,04</t>
  </si>
  <si>
    <t>062-0005952</t>
  </si>
  <si>
    <t>Субаренда нежилых помещений (Москва, Дербеневская наб., д. 7, стр.14)</t>
  </si>
  <si>
    <t xml:space="preserve">ООО "Интеравто-центр" </t>
  </si>
  <si>
    <t>062-0005953</t>
  </si>
  <si>
    <t>Аренда машиномест (г.Москва, Дербеневская наб., д.7, стр. 22)</t>
  </si>
  <si>
    <t>062-0005954</t>
  </si>
  <si>
    <t>Субаренда нежилых помещений по адресу: Москва, Дербеневская наб., д. 7, стр.14,  3 этаж для сотрудников департамента комплаенс-контроля</t>
  </si>
  <si>
    <t>062-0005955</t>
  </si>
  <si>
    <t>Аренда нежилых помещений (Москва, Ул.А.Солженицына., д.7)</t>
  </si>
  <si>
    <t xml:space="preserve">ООО "Орс-капитал" </t>
  </si>
  <si>
    <t>2 427,80</t>
  </si>
  <si>
    <t>062-0005957</t>
  </si>
  <si>
    <t>Субаренда нежилых помещений (Москва, Дербеневский пер ,д.5.)</t>
  </si>
  <si>
    <t>ОАО "Энергоцентр".</t>
  </si>
  <si>
    <t>062-0005958</t>
  </si>
  <si>
    <t>Аренда нежилых помещений (г.Москва, Дербеневская наб., д.7, стр. 22 (для логистов))</t>
  </si>
  <si>
    <t>062-0005960</t>
  </si>
  <si>
    <t>Аренда нежилых помещений (Москва, Павелецкая наб.,д.8,стр.6. для нужд Исполнительного аппарата.)</t>
  </si>
  <si>
    <t xml:space="preserve">ООО "Аристея" </t>
  </si>
  <si>
    <t>062-0005965</t>
  </si>
  <si>
    <t>Услуги по предоставлению  доступа 11 ед.автотр. ср-в на территорию по адресу Дербеневская наб.д7</t>
  </si>
  <si>
    <t>Учлуги по предоставлению  доступа 11 ед.автотр. ср-в на территорию по адресу Дербеневская наб.д7</t>
  </si>
  <si>
    <t>062-0005967</t>
  </si>
  <si>
    <t>Субаренда нежилых помещений по адресу: Москва, Дербеневская наб., д. 7, стр.14, этаж-чердак  для сотрудников ИА</t>
  </si>
  <si>
    <t>062-0005969</t>
  </si>
  <si>
    <t>Аренда нежилых помещений (г.Москва, Дербеневская наб., д.7, стр. 14)</t>
  </si>
  <si>
    <t>062-0005975</t>
  </si>
  <si>
    <t>Аренда нежилых помещений  для филиала Новая Москва (г.Троицк)</t>
  </si>
  <si>
    <t xml:space="preserve">ООО "АХУН" </t>
  </si>
  <si>
    <t>2 400,00</t>
  </si>
  <si>
    <t>г.Троицк</t>
  </si>
  <si>
    <t>062-0005961</t>
  </si>
  <si>
    <t xml:space="preserve">Аренда электросетевого имущества, входящее в состав электроподстанции 220/10 кВ «Подушкино» </t>
  </si>
  <si>
    <t>Одинцово</t>
  </si>
  <si>
    <t>085-0004290</t>
  </si>
  <si>
    <t>45.1
45.2
45.3
74.2</t>
  </si>
  <si>
    <t>4560531
7421029
4560521
4560522
4560611</t>
  </si>
  <si>
    <t>Рамочное соглашение на оказание услуг по аренде коллекторов ГУП "Москоллектор" при строительстве объектов для нужд МКС</t>
  </si>
  <si>
    <t>02020201</t>
  </si>
  <si>
    <t>Услуги по аренде коллекторов ГУП "Москоллектор" при строительстве объектов для нужд МКС</t>
  </si>
  <si>
    <t>Согласно технического задания</t>
  </si>
  <si>
    <t xml:space="preserve">Тысяча рублей       </t>
  </si>
  <si>
    <t>Рамочник</t>
  </si>
  <si>
    <t>062-0006082</t>
  </si>
  <si>
    <t>74.2</t>
  </si>
  <si>
    <t>4560531
7421029</t>
  </si>
  <si>
    <t>Рамочное соглашение на выполнение инженерго-экологических, -геологических, - геодезических работ ГУП "Мосгоргеотрест"</t>
  </si>
  <si>
    <t>Выполнение инженерго-экологических, -геологических, - геодезических работ ГУП "Мосгоргеотрест"</t>
  </si>
  <si>
    <r>
      <t xml:space="preserve">Расчет в соответствии с методикой 10% снижения стоимости от уровня цен 2010 года  </t>
    </r>
    <r>
      <rPr>
        <b/>
        <sz val="14"/>
        <rFont val="Times New Roman"/>
        <family val="1"/>
        <charset val="204"/>
      </rPr>
      <t>(заполняется для МРС/РСК)</t>
    </r>
  </si>
  <si>
    <t>Код объекта в инвестиционной программе (SAP)</t>
  </si>
  <si>
    <t>064-0001352</t>
  </si>
  <si>
    <t>45.1
45.2
45.3</t>
  </si>
  <si>
    <t>4560521
4560522
4560611
4530850
4560523</t>
  </si>
  <si>
    <t>Выполнение СМР, ПНР, оборудование по титулу "Реконструкция ПС №335 "Чистая" яч.№№26, 35, ПС №500 "Некрасовка" яч.№№27, 49, в т.ч. ПИР, г. Москва, ул. Вольская, д.30"</t>
  </si>
  <si>
    <t>СМР, ПНР, оборудование</t>
  </si>
  <si>
    <t>RAB</t>
  </si>
  <si>
    <t>Услуги подряда (собственные)</t>
  </si>
  <si>
    <t>Письмо МЭР №8281-АК/ДОЗи от 28.04.2012</t>
  </si>
  <si>
    <t xml:space="preserve">Закрытый запрос цен по результатам открытых конкурентных переговоров </t>
  </si>
  <si>
    <t>Выполнение СМР, ПНР, оборудование</t>
  </si>
  <si>
    <t>I-121651</t>
  </si>
  <si>
    <t>Реконструкция ПС №335 "Чистая" яч.№№26, 35, ПС №500 "Некрасовка" яч.№№27, 49, в т.ч. ПИР, г. Москва, ул. Вольская, д.30</t>
  </si>
  <si>
    <t>Не утверждена</t>
  </si>
  <si>
    <t>064-0001353</t>
  </si>
  <si>
    <t>I-129756</t>
  </si>
  <si>
    <t>Модернизация комплексов регистрации аварийных процессов на ПС ЦЭС - филиала ОАО МОЭСК</t>
  </si>
  <si>
    <t>064-0001354</t>
  </si>
  <si>
    <t>I-129761</t>
  </si>
  <si>
    <t>Оборудование клапанной дуговой защитой ячеек КРУ 10кВ на ПС ЦЭС - филиала ОАО МОЭСК</t>
  </si>
  <si>
    <t>ССР</t>
  </si>
  <si>
    <t>064-0001356</t>
  </si>
  <si>
    <t xml:space="preserve">Выполнение СМР, ПНР, оборудование по титулу "Реконструкция комплексов телемеханики на ПС Карачарово" </t>
  </si>
  <si>
    <t>2014-2016</t>
  </si>
  <si>
    <t>I-129780</t>
  </si>
  <si>
    <t>Реконструкция комплексов телемеханики на ПС Карачарово</t>
  </si>
  <si>
    <t>Приказ №1233 от 26.07.2013</t>
  </si>
  <si>
    <t>Выполнение ПИР, авторский надзор</t>
  </si>
  <si>
    <t>Сооружение заходов ВЛ 220 кВ "ЦАГИ-Руднево" и ВЛ 220 кВ "Ногинск-Руднево" на ПС кВ "Каскадная"</t>
  </si>
  <si>
    <t>45.1
45.2
45.3
45.4</t>
  </si>
  <si>
    <t>2014-2018</t>
  </si>
  <si>
    <t>064-0001362</t>
  </si>
  <si>
    <t xml:space="preserve">Выполнение СМР, ПНР, оборудование по титулу "Перевод каналов телемеханики от городской части Южной ОЗ на ЦУС ОАО «МОЭСК»" </t>
  </si>
  <si>
    <t>I-128282</t>
  </si>
  <si>
    <t xml:space="preserve">Перевод каналов телемеханики от городской части Южной ОЗ на ЦУС ОАО «МОЭСК» </t>
  </si>
  <si>
    <t>064-0001363</t>
  </si>
  <si>
    <t>I-129714</t>
  </si>
  <si>
    <t>Развитие цифровой производственно  технологической сети связи Центральные ЭС для обеспечения каналами диспетчерской телефонной связи и передачи технологической информации с целью повышения  (сохранения) уровня наблюдаемости и управляемости энергосистемы. Строительство ВОЛС  на участках: ПС Баскаково – ПС Косино – ПС Восточная</t>
  </si>
  <si>
    <t>4560521
4560522
4560611</t>
  </si>
  <si>
    <t>СМР</t>
  </si>
  <si>
    <t>Выполнение СМР</t>
  </si>
  <si>
    <t>064-0001369</t>
  </si>
  <si>
    <t>Выполнение СМР, ПНР, оборудование по титулу "Модернизация автоматики частотной разгрузки на ПС ЦЭС - филиала ОАО МОЭСК"</t>
  </si>
  <si>
    <t>I-129741</t>
  </si>
  <si>
    <t>Модернизация автоматики частотной разгрузки на ПС ЦЭС - филиала ОАО МОЭСК</t>
  </si>
  <si>
    <t>064-0001375</t>
  </si>
  <si>
    <t>I-110221</t>
  </si>
  <si>
    <t>Реконструкция ПС 110 кВ "Самарская"</t>
  </si>
  <si>
    <t>085-0004158</t>
  </si>
  <si>
    <t>Выполнение СМР, ПНР, материалы по титулу: Реконструкция 4РКЛ 10кВ ТП-19236 - ТП-25886, ТП-22828 - ТП-25886, в т.ч. ПИР: г.Москва, Анадырский пр., Югорский пр.</t>
  </si>
  <si>
    <t>I-124608</t>
  </si>
  <si>
    <t>Реконструкция 4РКЛ 10кВ ТП-19236 - ТП-25886, ТП-22828 - ТП-25886, в т.ч. ПИР: г.Москва, Анадырский пр., Югорский пр.</t>
  </si>
  <si>
    <t>не утверждена</t>
  </si>
  <si>
    <t>085-0004166</t>
  </si>
  <si>
    <t>Выполнение СМР, ПНР, материалы, оборудование по титулу: Реконструкция силовой части РП 176, в т.ч. ПИР</t>
  </si>
  <si>
    <t>I-104754</t>
  </si>
  <si>
    <t>Реконструкция силовой части РП 176, в т.ч. ПИР</t>
  </si>
  <si>
    <t>085-0004159</t>
  </si>
  <si>
    <t>Выполнение СМР, ПНР, материалы по титулу: Строительство КЛ-0,4 кВ от ТП-25529 до границ участка заявителя, в т.ч. ПИР: г.Москва, ул.Б.Татарская, д.13, с.5</t>
  </si>
  <si>
    <t>авансы от ТП</t>
  </si>
  <si>
    <t>I-124524</t>
  </si>
  <si>
    <t>Строительство КЛ-0,4 кВ от ТП-25529 до границ участка заявителя, в т.ч. ПИР: г.Москва, ул.Б.Татарская, д.13, с.5</t>
  </si>
  <si>
    <t>085-0004187</t>
  </si>
  <si>
    <t>Выполнение СМР, ПНР, материалы, оборудование по титулу: Телемеханизация нетелемеханизиованных РП</t>
  </si>
  <si>
    <t>I-111487</t>
  </si>
  <si>
    <t>Телемеханизация нетелемеханизиованных РП</t>
  </si>
  <si>
    <t>085-0004165</t>
  </si>
  <si>
    <t>Выполнение СМР, ПНР, материалы, оборудование по титулу: Реконструкция ВЛ 0,4кВ от ТП-21323, в т.ч. ПИР: г.Москва, дер. Ново-Никольское, Варшавское ш., д.210</t>
  </si>
  <si>
    <t>I-124587</t>
  </si>
  <si>
    <t>Реконструкция ВЛ 0,4кВ от ТП-21323, в т.ч. ПИР: г.Москва, дер. Ново-Никольское, Варшавское ш., д.210</t>
  </si>
  <si>
    <t>085-0004164</t>
  </si>
  <si>
    <t>Выполнение СМР, ПНР, материалы, оборудование по титулу: Реконструкция 6 КЛ РТП17499 с.1 - вв.56039, РТП17499 с.2 – вв.56040, РТП17499 с.1 - вв.71686, РТП17499 с.2 – 71686, РТП17499 с.1 – вв.38641, РТП17499 с.2 – вв.38642, в т.ч. ПИР: г.Москва, Звездный б-р д.44</t>
  </si>
  <si>
    <t>I-127166</t>
  </si>
  <si>
    <t>Реконструкция 6 КЛ РТП17499 с.1 - вв.56039, РТП17499 с.2 – вв.56040, РТП17499 с.1 - вв.71686, РТП17499 с.2 – 71686, РТП17499 с.1 – вв.38641, РТП17499 с.2 – вв.38642, в т.ч. ПИР: г.Москва, Звездный б-р д.44</t>
  </si>
  <si>
    <t>085-0004163</t>
  </si>
  <si>
    <t>Выполнение СМР, ПНР, материалы, оборудование по титулу: Реконструкция КЛ 0,4 кВ ТП16607Б-вв.898, в т.ч. ПИР: г.Москва, ул. Садово-Самотёчная, д. 24/27</t>
  </si>
  <si>
    <t>I-127174</t>
  </si>
  <si>
    <t>Реконструкция КЛ ТП16607Б-вв.898, в т.ч. ПИР: г.Москва, ул. Садово-Самотёчная, д. 24-27</t>
  </si>
  <si>
    <t>085-0004160</t>
  </si>
  <si>
    <t>Выполнение СМР, ПНР, материалы по титулу: Выполнение СМР, ПНР, материалы по титулу: Реконструкция 2 РКЛ 10кВ ТП12982А,Б - ТП14648А,Б, в т.ч. ПИР: г.Москва, ул. Пулковская, д.3</t>
  </si>
  <si>
    <t>Выполнение СМР, ПНР, материалы</t>
  </si>
  <si>
    <t>I-127194</t>
  </si>
  <si>
    <t>Реконструкция 2 РКЛ 10кВ ТП12982А,Б - ТП14648А,Б, в т.ч. ПИР: г.Москва, ул. Пулковская, д.3</t>
  </si>
  <si>
    <t>085-0004161</t>
  </si>
  <si>
    <t>Выполнение СМР, ПНР, материалы, оборудование по титулу: Строительство нов. ТП взамен ТП-3364 по проекту "БКТП-2х1000" с тр-ми 2x630 кВА, в т.ч. ПИР: г.Москва, ул. Сайкина, д.11/2, стр.2</t>
  </si>
  <si>
    <t>I-126396</t>
  </si>
  <si>
    <t>Реконструкция ТП-3364 по тип. проекту ТП-2Н с заменой тр-ов 2x630в т.ч. ПИР: г.Москва</t>
  </si>
  <si>
    <t>085-0004162</t>
  </si>
  <si>
    <t>Выполнение СМР, ПНР, материалы по титулу: Реконструкция 8ПКЛ 10кВ РТП-18076 - ТЭЦ-26, РТП-18073 - ТЭЦ-26, РТП-18077 - ТЭЦ-26, РТП-19064 - ТЭЦ-26, в т.ч. ПИР: г.Москва, переход под Курской ж/д  в районе МКАД 32км</t>
  </si>
  <si>
    <t>I-124606</t>
  </si>
  <si>
    <t>Реконструкция 8ПКЛ 10кВ РТП-18076 - ТЭЦ-26, РТП-18073 - ТЭЦ-26, РТП-18077 - ТЭЦ-26, РТП-19064 - ТЭЦ-26, в т.ч. ПИР: г.Москва, переход под Курской ж/д в районе МКАД 32км</t>
  </si>
  <si>
    <t>085-0004172</t>
  </si>
  <si>
    <t>Выполнение СМР, материалы, оборудование по титулу: Реконструкция систем приточно-вытяжной вентиляции ТМЦ 16 района по адресу: г.Москва, ул. Веселая, д.10</t>
  </si>
  <si>
    <t>I-120914</t>
  </si>
  <si>
    <t>Реконструкция систем приточно-вытяжной вентиляции ТМЦ 16 района по адресу: г.Москва, ул. Веселая, д.10</t>
  </si>
  <si>
    <t>085-0004174</t>
  </si>
  <si>
    <t>Выполнение СМР, материалы, оборудование по титулу: Реконструкция систем приточно-вытяжной вентиляции СЭЗиС по адресу: г.Москва, ул. Дорожная, д.13а</t>
  </si>
  <si>
    <t>I-120915</t>
  </si>
  <si>
    <t>Реконструкция систем приточно-вытяжной вентиляции СЭЗиС по адресу: г.Москва, ул. Дорожная, д.13а</t>
  </si>
  <si>
    <t>085-0004167</t>
  </si>
  <si>
    <t>Выполнение СМР, ПНР, материалы по титулу: Реконструкция КЛ-0,4 кВ ТП-1587 А,Б (ТП-11894 А,Б) - вв.20969, в т.ч. ПИР: г.Москва, Мрузовский пер., д.1, стр.4</t>
  </si>
  <si>
    <t>I-127226</t>
  </si>
  <si>
    <t>Строительство КЛ 0,4 кВ ТП1587А,Б (ТП11894А,Б) - вв20969 по адресу: г. Москва, Мрузовский пер., д.1, стр.4</t>
  </si>
  <si>
    <t>085-0004168</t>
  </si>
  <si>
    <t>Выполнение СМР, ПНР, материалы по титулу: Реконструкция КЛ-6 кВ ТП-1070 А - РП-4420 (с.2), ТП-460 А - ТП-1070 А, в т.ч. ПИР: г.Москва, ул. Ст. Басманная, д.17, Гороховский пер., д.4</t>
  </si>
  <si>
    <t>I-127234</t>
  </si>
  <si>
    <t>Реконструкция участков КЛ 6 кВ ТП 1070А - РП 4420 (с.2), ТП 460А - РП 1070А по адресу: г. Москва, ул. Ст. Басманная, д.17, Гороховский пер., д.4</t>
  </si>
  <si>
    <t>085-0004170</t>
  </si>
  <si>
    <t>Выполнение СМР, ПНР, материалы по титулу: Реконструкция КЛ-6 кВ ТП-12366 А,Б - ТП-13201 А,Б, ТП-12366 А,Б - ТП-13202 А,Б, в т.ч. ПИР: г.Москва, ул. Ф.Энгельса, д.3/5</t>
  </si>
  <si>
    <t>I-127236</t>
  </si>
  <si>
    <t>Реконструкция участков КЛ 10 кВ ТП 12366А,Б - ТП 13201А,Б, ТП 12366А,Б - ТП 13201А,Б по адресу: г. Москва, ул. Ф. Энгельса, д. 3/5</t>
  </si>
  <si>
    <t>085-0004171</t>
  </si>
  <si>
    <t>Выполнение СМР, ПНР, материалы по титулу: Реконструкция КЛ-10 кВ от ТП-197 Б - ТП-804 Б, в т.ч. ПИР: г.Москва, Б.Ватин пер., д.5</t>
  </si>
  <si>
    <t>I-127163</t>
  </si>
  <si>
    <t>Реконструкция КЛ 6 кВ от ТП197, в т.ч. ПИР: г.Москва, Б.Ватин пер. д.5</t>
  </si>
  <si>
    <t>085-0004176</t>
  </si>
  <si>
    <t>Выполнение СМР, ПНР, материалы, оборудование по титулу: Реконструкция ТП-20451 по инд. Проекту с тр-ми 2x1250 кВА, в т.ч. ПИР: г.Москва, Зеленоград, Сосновая аллея, д.3</t>
  </si>
  <si>
    <t>I-126508</t>
  </si>
  <si>
    <t>Реконструкция ТП-20451 по тип. проекту ТСЗ с заменой тр-ов 2x1250в т.ч. ПИР: г.Москва</t>
  </si>
  <si>
    <t>085-0004177</t>
  </si>
  <si>
    <t>Выполнение СМР, ПНР, материалы по титулу: Реконструкция (демонтаж) ТП-13554, реконструкция КЛ-0,4 кВ ТП-27776 до вв.61497, 61498, 54904, 54905, 59567, 59268, 95965, 59566, 59292, 59293, 61090, 61091, 59571, 59572, 55387, в т.ч. ПИР: г.Москва, ул. Ереванская, д.24, к.1</t>
  </si>
  <si>
    <t>I-126496</t>
  </si>
  <si>
    <t>Реконструкция ТП-13554 по тип. проекту БКТПн с заменой тр-ов 2x1000в т.ч. ПИР: г.Москва</t>
  </si>
  <si>
    <t>085-0004178</t>
  </si>
  <si>
    <t>Выполнение СМР, ПНР, материалы, оборудование по титулу: Строительство нов. ТП взамен ТП-25757 по проекту "2БКТП-630" с тр-ми 2x630 кВА, 2КЛ-0,4 кВ от нов. ТП до вв.104333, 104334, в т.ч. ПИР: г.Москва, ул. Менжинского, д.10</t>
  </si>
  <si>
    <t>I-119433</t>
  </si>
  <si>
    <t>085-0004181</t>
  </si>
  <si>
    <t>Выполнение СМР, ПНР, материалы, оборудование по титулу: Строительство нов. ТП взамен ТП-11491 по проекту "2БКТП-1000" с тр-ми 2x1000 кВА, КЛ-0,4 кВ от ТП-11491В - вв.7194, от ТП-14711 до вв.23620, вв.6819, вв.23620 - вв.6819, в т.ч. ПИР: г.Москва, ул. Новопесчаная, д.7, стр.2</t>
  </si>
  <si>
    <t>I-126491</t>
  </si>
  <si>
    <t>Реконструкция ТП-11491 по тип. проекту ТП-1Н с заменой тр-ов 2x1000в т.ч. ПИР: г.Москва</t>
  </si>
  <si>
    <t>085-0004182</t>
  </si>
  <si>
    <t>Выполнение СМР, ПНР, материалы, оборудование по титулу: Реконструкция ТП-10964 с тр-ми 2x1000 кВА, КЛ-0,4 кВ от ТП-10956 до ТП-10964, вв.87973, вв.24231, вв.24238, вв.24245, от ТП-10964 а,Б - вв.24255, в т.ч. ПИР: г.Москва, Ленинградский пр., д.75</t>
  </si>
  <si>
    <t>I-126488</t>
  </si>
  <si>
    <t>Реконструкция ТП-10956 по тип. проекту ТК-400 с заменой тр-ов 2x1000в т.ч. ПИР: г.Москва</t>
  </si>
  <si>
    <t>085-0004183</t>
  </si>
  <si>
    <t>Выполнение СМР, ПНР, материалы, оборудование по титулу: Строительство нов. ТП взамен ТП-4083 по проекту "2БКТП-1000" с тр-ми 2х1000 кВА, в т.ч. ПИР: г.Москва, ул. Дербеневская, д.14, к.2</t>
  </si>
  <si>
    <t>I-126438</t>
  </si>
  <si>
    <t>Реконструкция ТП-4083 по тип. проекту ТП-1Н с заменой тр-ов 2x1000в т.ч. ПИР: г.Москва</t>
  </si>
  <si>
    <t>085-0004186</t>
  </si>
  <si>
    <t>Выполнение СМР, ПНР, материалы, оборудование по титулу: Реконструкция РТП-21105 замена 20 ячеек КСО-298 М на ячейки КСО-298 MSM, в т.ч. ПИР: г.Москва, ул. Крылатская, д.17</t>
  </si>
  <si>
    <t>I-127353</t>
  </si>
  <si>
    <t>Реконструкция ТП-21105 замена ячеек КСО-298М на ячейки КСО-298MSM, в т.ч. ПИР: г. Москва, ул. Крылатская, д.17</t>
  </si>
  <si>
    <t>085-0004188</t>
  </si>
  <si>
    <t>Выполнение СМР, ПНР, материалы, оборудование по титулу: Реконструкция РТП-21102 замена 20 ячеек КСО-298 М на ячейки КСО-298 MSM, в т.ч. ПИР: г.Москва, ул. Крылатская, д.17</t>
  </si>
  <si>
    <t>I-127354</t>
  </si>
  <si>
    <t>Реконструкция ТП-21102 замена ячеек КСО-298М на ячейки КСО-298MSM, в т.ч. ПИР: г. Москва, ул. Крылатская, д.17</t>
  </si>
  <si>
    <t>085-0004190</t>
  </si>
  <si>
    <t>Выполнение СМР, ПНР, материалы, оборудование по титулу: Строительство РП 10кВ на 22 яч., ПКЛ от РТП-27033 до яч. 508, 611 ПС 378, 2КЛ РП-27033 - РП-27032, в т.ч. ПИР: г.Москва, Трубная пл., д.1</t>
  </si>
  <si>
    <t>I-126951</t>
  </si>
  <si>
    <t>Прокладка ПКЛ от РТП-27033 до ПС 378 по адресу: г.Москва, Трубная пл., д.1</t>
  </si>
  <si>
    <t>085-0004191</t>
  </si>
  <si>
    <t>Выполнение СМР, ПНР, материалы по титулу: Реконструкция участков КЛ 6-10 кВ ПС 396α,β - РП 544 (с.1,2), ПС 396α,β - РП 1605 (с.1,2), ПС 396 - РП 10137, ПС 396 - РП 11038, ПС 396α,β – РП 12246 (с.1,2) по адресу: г. Москва, Елизаветинский пер., д.3А</t>
  </si>
  <si>
    <t>I-127228</t>
  </si>
  <si>
    <t>Реконструкция участков КЛ 6-10 кВ ПС 396α,β - РП 544 (с.1,2), ПС 396α,β - РП 1605 (с.1,2), ПС 396 - РП 10137, ПС 396 - РП 11038, ПС 396α,β – РП 12246 (с.1,2) по адресу: г. Москва, Елизаветинский пер., д.3А</t>
  </si>
  <si>
    <t>085-0004192</t>
  </si>
  <si>
    <t>Выполнение СМР, ПНР, материалы по титулу: Реконструкция 2ПКЛ 6кВ ПС-112 - РП-742 α,β, в т.ч. ПИР: г.Москва, ул. М.Московская</t>
  </si>
  <si>
    <t>I-124597</t>
  </si>
  <si>
    <t>Реконструкция 2ПКЛ 6кВ ПС-112 - РП-742 α,β, в т.ч. ПИР: г.Москва, ул. М.Московская</t>
  </si>
  <si>
    <t>085-0004196</t>
  </si>
  <si>
    <t>Выполнение СМР, ПНР, материалы по титулу: Реконструкция КЛ 10кВ РП 14134 с.1 - ПС-806 β, в т.ч.ПИР: г.Москва, Алтуфьевское ш., д.24 Б, стр.1 - Сигнальный пр-д, д.8</t>
  </si>
  <si>
    <t>I-124611</t>
  </si>
  <si>
    <t>Реконструкция КЛ 10кВ РП 14134 с.1 - ПС-806 β, в т.ч.ПИР: г.Москва, Алтуфьевское ш., д.24 Б, стр.1 - Сигнальный пр-д, д.8</t>
  </si>
  <si>
    <t>085-0004198</t>
  </si>
  <si>
    <t>Выполнение СМР, ПНР, материалы по титулу: Реконструкция КЛ 10кВ РТП-19094 - ТЭЦ-8 (участок от РТП-19094 до врезки в коллектор "Талалихинский"), в т.ч. ПИР: г.Москва, ул. Б.Андроньевская, Волгоградский пр.</t>
  </si>
  <si>
    <t>I-124623</t>
  </si>
  <si>
    <t>Реконструкция КЛ 10кВ РТП-19094 - ТЭЦ-8 (участок от РТП-19094 до врезки в коллектор "Талалихинский"), в т.ч. ПИР: г.Москва, ул. Б.Андроньевская, Волгоградский пр.</t>
  </si>
  <si>
    <t>085-0004199</t>
  </si>
  <si>
    <t>Выполнение СМР, ПНР, материалы по титулу: Реконструкция КЛ ТЭЦ-16 до РП-881, РТП-16105, РП-20059, РТП-20177, ТП-16104, РП-2004, РТП-1786, РТП-12168; РТП-16105 - ТП-22913 ,ТП-24457; РП-10128 - ТП-20765, ПС-798 - РП-12199, РП-16105,в т.ч.ПИР: г.Москва, ул.Куусинена, д.4а, д.7</t>
  </si>
  <si>
    <t>I-124644</t>
  </si>
  <si>
    <t>Реконструкция КЛ ТЭЦ-16 до РП-881, РТП-16105, РП-20059, РТП-20177, ТП-16104, РП-2004, РТП-1786, РТП-12168; РТП-16105 - ТП-22913 ,ТП-24457; РП-10128 - ТП-20765, ПС-798 - РП-12199, РП-16105,в т.ч.ПИР: г.Москва, ул.Куусинена, д.4а, д.7</t>
  </si>
  <si>
    <t>085-0004201</t>
  </si>
  <si>
    <t>Выполнение СМР, ПНР, материалы по титулу: Реконструкция КЛ 6-10кВ РП-3115 - ПС-343, РП-20010 - ПС-386, в т.ч. ПИР: г.Москва, Краснохолмская наб., ул. Симоновский вал</t>
  </si>
  <si>
    <t>I-124624</t>
  </si>
  <si>
    <t>Реконструкция КЛ 6-10кВ РП-3115 - ПС-343, РП-20010 - ПС-386, в т.ч. ПИР: г.Москва, Краснохолмская наб., ул. Симоновский вал</t>
  </si>
  <si>
    <t>085-0004202</t>
  </si>
  <si>
    <t>Выполнение СМР, ПНР, материалы по титулу: Реконструкция 2КЛ 10 кВ РТП-10098 - ПС-606, в т.ч. ПИР: г.Москва, ул. Шеногина, д.4</t>
  </si>
  <si>
    <t>I-124594</t>
  </si>
  <si>
    <t>Реконструкция 2КЛ 10 кВ РТП-10098 - ПС-606, в т.ч. ПИР: г.Москва, ул. Шеногина, д.4</t>
  </si>
  <si>
    <t>085-0004203</t>
  </si>
  <si>
    <t>Выполнение СМР, ПНР, материалы по титулу: Реконструкция КЛ 10кВ  РТП -15116 с.2 - ПС-793, РТП-15116 с.1 - ПС-810, в т.ч. ПИР: г.Москва, ул. Усиевича, д.20</t>
  </si>
  <si>
    <t>I-124593</t>
  </si>
  <si>
    <t>Реконструкция КЛ 10кВ РТП-15116 с.2 - ПС-793, РТП-15116 с.1 - ПС-810, в т.ч. ПИР: г.Москва, ул. Усиевича, д.20</t>
  </si>
  <si>
    <t>085-0004204</t>
  </si>
  <si>
    <t>Выполнение СМР, ПНР, материалы, оборудование по титулу: Реконструкция ТП-20881 по проекту "БКТП-2х1000" с тр-ми 2x1000в т.ч. ПИР: г.Москва, Волгоградский пр, 41</t>
  </si>
  <si>
    <t>I-126400</t>
  </si>
  <si>
    <t>Реконструкция ТП-20881 по тип. проекту БКТПН с заменой тр-ов 2x1000в т.ч. ПИР: г.Москва</t>
  </si>
  <si>
    <t>085-0004206</t>
  </si>
  <si>
    <t>Выполнение СМР, ПНР, материалы по титулу: Реконструкция 2 КЛ 10кВ РП11071(с1,с2) - ТП12161А,Б, в т.ч. ПИР: г.Москва, Зеленоград, Сосновая аллея</t>
  </si>
  <si>
    <t>I-127223</t>
  </si>
  <si>
    <t>Реконструкция 2 КЛ 10кВ РП11071(с1,с2) - ТП12161А,Б, в т.ч. ПИР: г.Москва, Зеленоград, Сосновая аллея</t>
  </si>
  <si>
    <t>085-0004207</t>
  </si>
  <si>
    <t>Выполнение СМР, ПНР, материалы по титулу: Реконструкция КЛ 10кВ  РТП-15029 с.2 - ПС-760 α, в т.ч. ПИР, г.Москва, ул. Рокотова, д.8, к.2, стр.3 - ул. Голубинская, д.10</t>
  </si>
  <si>
    <t>I-124604</t>
  </si>
  <si>
    <t>Реконструкция КЛ 10кВ РТП-15029 с.2 - ПС-760 α, в т.ч. ПИР, г.Москва, ул. Рокотова, д.8, к.2, стр.3 - ул. Голубинская, д.10</t>
  </si>
  <si>
    <t>085-0004209</t>
  </si>
  <si>
    <t>I-131372</t>
  </si>
  <si>
    <t>Развитие сети г.Люберцы, Красная горка</t>
  </si>
  <si>
    <t>085-0004214</t>
  </si>
  <si>
    <t>Выполнение СМР, ПНР, материалы, оборудование по титулу: Строительство РП9,СП18,СП19;2хПКЛ-20кВ от ПС Сити до РП9;6хРКЛ-20кВ м/у РП9,СП18,СП19,СП10,РП4;11хТП с уст.тр.2х1600кВА;4хРКЛ-20кВ м/у нов.ТП и СП18,СП19;132хКЛ-0,4кВ от нов.ТП до ГРЩ Заявит. по адресу:г.Москва,Краснопресненская наб.,уч.12</t>
  </si>
  <si>
    <t>I-135533</t>
  </si>
  <si>
    <t>Строительство РП9,СП18,СП19;2хПКЛ-20кВ от ПС Сити до РП9;6хРКЛ-20кВ м/у РП9,СП18,СП19,СП10,РП4;11хТП с уст.тр.2х1600кВА;4хРКЛ-20кВ м/у нов.ТП и СП18,СП19;132хКЛ-0,4кВ от нов.ТП до ГРЩ Заявит. по адресу:г.Москва,Краснопресненская наб.,уч.12</t>
  </si>
  <si>
    <t>085-0004213</t>
  </si>
  <si>
    <t>Выполнение СМР, ПНР, материалы по титулу: Реконструкция КЛ 10 кВ ТП-19787 - ТП-11833, ТП-17880 - ТП-11834, РТП-12204 - РП-19120, КЛ 6 кВ ТП-690 - РП-1000 с.1, в т.ч. ПИР: г.Москва, Карамышевскому мосту над каналом Карамышевское Спрямление</t>
  </si>
  <si>
    <t>I-127210</t>
  </si>
  <si>
    <t>Реконструкция КЛ РТП 12204 - РП 19120, в т.ч. ПИР: г.Москва, Карамышевскому мосту над каналом Карамышевское Спрямление</t>
  </si>
  <si>
    <t>085-0004215</t>
  </si>
  <si>
    <t>Выполнение СМР, ПНР, материалы, оборудование по титулу: Реконструкция ТП-18774 с уст. тр-ров 2х630 кВА взамен сущ. 2х400 кВА, строительство КЛ-0,4 кВ от ТП-18774 до границ участка заявителя, в т.ч.ПИР: г.Москва, ул.Ясногорская, д.2</t>
  </si>
  <si>
    <t>Реконструкция ТП-18774 с уст. тр-ров 2х630 кВА взамен сущ. 2х400 кВА, строительство КЛ-0,4 кВ от ТП-18774 до границ участка заявителя, в т.ч.ПИР: г.Москва, ул.Ясногорская, д.2</t>
  </si>
  <si>
    <t>085-0004216</t>
  </si>
  <si>
    <t>Выполнение СМР, ПНР, материалы, оборудование по титулу: Реконструкция РП-16010 с оборудованием ячеек устройствами РЗА, в т.ч. ПИР: г.Москва, ул.Вагоноремонтная, вл.25</t>
  </si>
  <si>
    <t>I-129435</t>
  </si>
  <si>
    <t>Реконструкция РП-16010 с оборудованием ячеек устройствами РЗА, в т.ч. ПИР: г.Москва, ул.Вагоноремонтная, вл.25</t>
  </si>
  <si>
    <t>085-0004217</t>
  </si>
  <si>
    <t>Выполнение СМР, ПНР, материалы по титулу: Строительство КЛ-0,4 кВ от ТП-16314 А, Б  до границ участка заявителя, в т.ч. ПИР: г.Москва, Ленинградский пр-т, д.30, с.3</t>
  </si>
  <si>
    <t>плата за ТП</t>
  </si>
  <si>
    <t>I-129428</t>
  </si>
  <si>
    <t>Строительство КЛ-0,4 кВ от ТП-16314 А, Б  до границ участка заявителя, в т.ч. ПИР: г.Москва, Ленинградский пр-т, д.30, с.3</t>
  </si>
  <si>
    <t>085-0004218</t>
  </si>
  <si>
    <t>Выполнение СМР, ПНР, материалы по титулу: Строительство 2КЛ-0,4 кВ от ТП 16701 до ВРЩ заявителя, в т.ч. ПИР: Москва, Ленинградское ш, дом 134</t>
  </si>
  <si>
    <t>I-129481</t>
  </si>
  <si>
    <t>Строительство 2КЛ-0,4 кВ от ТП 16701 до ВРЩ заявителя, в т.ч. ПИР: Москва, Ленинградское ш, дом 134</t>
  </si>
  <si>
    <t>085-0004219</t>
  </si>
  <si>
    <t>Выполнение СМР, ПНР, материалы по титулу: Строительство КЛ-0,4 кВ от ТП-1107 Б  до границ участка заявителя, в т.ч. ПИР: г.Москва, Мукомольный пр-д, д.2, с.1</t>
  </si>
  <si>
    <t>I-129421</t>
  </si>
  <si>
    <t>Строительство КЛ-0,4 кВ от ТП-1107 Б  до границ участка заявителя, в т.ч. ПИР: г.Москва, Мукомольный пр-д, д.2, с.1</t>
  </si>
  <si>
    <t>085-0004221</t>
  </si>
  <si>
    <t>Выполнение СМР, ПНР, материалы по титулу: Реконструкция КЛ 0,4кВ от ТП-14831 А до вв. 68282, в т.ч. ПИР: г.Москва, Днепропетровская ул., д. 5, к.5</t>
  </si>
  <si>
    <t>I-120894</t>
  </si>
  <si>
    <t>Реконструкция КЛ 0,4кВ от ТП-14831 А до вв. 68282, в т.ч. ПИР: г.Москва, Днепропетровская ул., д. 5, к.5</t>
  </si>
  <si>
    <t>085-0004222</t>
  </si>
  <si>
    <t>Выполнение СМР, ПНР, материалы по титулу: Реконструкция КЛ 0,4 кВ ТП-16295 Б – вв. 82863, в т.ч.ПИР: г.Москва, ул. Белозерская, д. 23</t>
  </si>
  <si>
    <t>I-121000</t>
  </si>
  <si>
    <t>Реконструкция КЛ 0,4 кВ ТП-16295 Б – вв. 82863, в т.ч.ПИР: г.Москва, ул. Белозерская, д. 23</t>
  </si>
  <si>
    <t>085-0004223</t>
  </si>
  <si>
    <t>Выполнение СМР, ПНР, материалы по титулу: Реконструкция КЛ 0,4 кВ ТП-15694 А, Б – вв. 86195, в т.ч.ПИР: г.Москва, ул. Мурановская, д. 9</t>
  </si>
  <si>
    <t>I-121002</t>
  </si>
  <si>
    <t>Реконструкция КЛ 0,4 кВ ТП-15694 А, Б – вв. 86195, в т.ч.ПИР: г.Москва, ул. Мурановская, д. 9</t>
  </si>
  <si>
    <t>085-0004224</t>
  </si>
  <si>
    <t>Выполнение СМР, ПНР, материалы, оборудование по титулу: Реконструкция ТП-10753 по тип. проекту ТК - 400 с заменой тр-ов 2x1000в т.ч. ПИР: г.Москва</t>
  </si>
  <si>
    <t>I-126485</t>
  </si>
  <si>
    <t>Реконструкция ТП-10753 по тип. проекту ТК - 400 с заменой тр-ов 2x1000в т.ч. ПИР: г.Москва</t>
  </si>
  <si>
    <t>085-0004225</t>
  </si>
  <si>
    <t>Выполнение СМР, ПНР, материалы, оборудование по титулу: Реконструкция ТП-24556 по тип. проекту ТК-400 с заменой тр-ов 2x1000в т.ч. ПИР: г.Москва</t>
  </si>
  <si>
    <t>I-126493</t>
  </si>
  <si>
    <t>Реконструкция ТП-24556 по тип. проекту ТК-400 с заменой тр-ов 2x1000в т.ч. ПИР: г.Москва</t>
  </si>
  <si>
    <t>085-0004226</t>
  </si>
  <si>
    <t>Выполнение СМР, материалы, оборудование по титулу: Оборудование систем приточно-вытяжной вентиляции в помещении производственного здания (строение 2) автоколонны №1 УАТиСМ, в т.ч. ПИР: г.Москва, 2-й Грайвороновский пр., д.6, стр.1</t>
  </si>
  <si>
    <t>I-126948</t>
  </si>
  <si>
    <t>Установка приточно-вытяжной вентиляцией помещений производственного здания (строение 2) автоколонны №1</t>
  </si>
  <si>
    <t>085-0004227</t>
  </si>
  <si>
    <t>Выполнение СМР, ПНР, материалы, оборудование по титулу: Строительство новой ТП взамен ТП-17436, в т.ч. ПИР: Головинское шоссе, д.1А, стр.1</t>
  </si>
  <si>
    <t>I-122965</t>
  </si>
  <si>
    <t>Строительство новой ТП взамен ТП-17436, в т.ч. ПИР: Головинское шоссе, д.1А, стр.1</t>
  </si>
  <si>
    <t>085-0004228</t>
  </si>
  <si>
    <t>Выполнение СМР, ПНР, материалы по титулу: Прокладка 2КЛ 0,4кВ от ТП20705 до вв.61330 по 3-му Балтийскому пер., д.6</t>
  </si>
  <si>
    <t>I-116178</t>
  </si>
  <si>
    <t>Прокладка 2КЛ 0,4кВ от ТП20705 до вв.61330 по 3-му Балтийскому пер., д.6</t>
  </si>
  <si>
    <t>085-0004230</t>
  </si>
  <si>
    <t>Выполнение СМР, ПНР, материалы по титулу: Прокладка КЛ 0,4кВ для перевода ж/домов с 3-категории на 2-ю категорию электроснабжения по адресу: ул. Плющева, дом 9, корпус 1 (вв 63369)</t>
  </si>
  <si>
    <t>I-116465</t>
  </si>
  <si>
    <t>Прокладка КЛ 0,4кВ для перевода ж/домов с 3-категории на 2-ю категорию электроснабжения по адресу: ул. Плющева, дом 9, корпус 1 (вв 63369)</t>
  </si>
  <si>
    <t>085-0004231</t>
  </si>
  <si>
    <t>Выполнение СМР, ПНР, материалы по титулу: Реконструкция КЛ 0,4 кВ направлением ТП 12496 до вв.104702 по адресу: г. Москва, Каширский пр., д.1, к. 1 (подъезд 5)</t>
  </si>
  <si>
    <t>I-119850</t>
  </si>
  <si>
    <t>Реконструкция КЛ 0,4 кВ направлением ТП 12496 до вв.104702 по адресу: г. Москва, Каширский пр., д.1, к. 1 (подъезд 5)</t>
  </si>
  <si>
    <t>085-0004232</t>
  </si>
  <si>
    <t>Выполнение СМР, ПНР, материалы по титулу: Строительство КЛ-0,4 кВ от ТП-25772 А - вв.424, в т.ч. ПИР, по адресу: г.Москва, ул.Садовая-Самотечная, д.14</t>
  </si>
  <si>
    <t>I-135797</t>
  </si>
  <si>
    <t>Строительство КЛ-0,4 кВ от ТП-25772 А - вв.424, в т.ч. ПИР, по адресу: г.Москва, ул.Садовая-Самотечная, д.14</t>
  </si>
  <si>
    <t>085-0004234</t>
  </si>
  <si>
    <t>Выполнение СМР, ПНР, материалы, оборудование по титулу: Реконструкция МТП 26550 (замена тр-ра и на КТП), в т.ч. ПИР: г. Москва, Новосходненское ш., д.124</t>
  </si>
  <si>
    <t>I-124880</t>
  </si>
  <si>
    <t>Реконструкция МТП 26550 (замена тр-ра и на КТП), в т.ч. ПИР: г. Москва, Новосходненское ш., д.124</t>
  </si>
  <si>
    <t>085-0004235</t>
  </si>
  <si>
    <t>Выполнение СМР, ПНР, материалы, оборудование по титулу: Реконструкция электрощитовой с заменой ВРУ 0,4кВ, в т.ч. ПИР: г.Москва, ул. Садовническая, д.13</t>
  </si>
  <si>
    <t>I-125219</t>
  </si>
  <si>
    <t>Реконструкция электрощитовой с заменой ВРУ 0,4кВ, в т.ч. ПИР: г.Москва, ул. Садовническая, д.13</t>
  </si>
  <si>
    <t>085-0004236</t>
  </si>
  <si>
    <t>Выполнение СМР, ПНР, материалы, оборудование по титулу: Реконструкция электрощитовой с заменой ВРУ 0,4кВ, в т.ч. ПИР: г.Москва, ул. Садовническая, д.36</t>
  </si>
  <si>
    <t>I-125220</t>
  </si>
  <si>
    <t>Реконструкция электрощитовой с заменой ВРУ 0,4кВ, в т.ч. ПИР: г.Москва, ул. Садовническая, д.36</t>
  </si>
  <si>
    <t>085-0004237</t>
  </si>
  <si>
    <t>Выполнение СМР, ПНР, материалы по титулу: Реконструкция КЛ 0,4кВ ТП18732А,Б-вв.72938, строительство нов. КЛ 0,4кВ ТП18732А,Б-вв.72939А, в т.ч. ПИР: г.Москва, ул. Цандера д.7</t>
  </si>
  <si>
    <t>I-127164</t>
  </si>
  <si>
    <t>Реконструкция КЛ 0,4кВ ТП18732А,Б-вв.72938, строительство нов. КЛ 0,4кВ ТП18732А,Б-вв.72939А, в т.ч. ПИР: г.Москва, ул. Цандера д.7</t>
  </si>
  <si>
    <t>085-0004238</t>
  </si>
  <si>
    <t>Выполнение СМР, ПНР, материалы по титулу: Реконструкция 2КЛ 0,4кВ ТП12856 – вв.45368А,Б, 2 КЛ 0,4кВ ТП12856-вв.45368А,Б-вв.45369А,Б (шлейф) лик-я КЛ 0,4 от ТП12856 луч А до вв.45368 (1,2) вв.45369 (1,2 – шлейф), в т.ч. ПИР: г.Москва, ул. Б.Марфинская д.62, ул. М.Ботаническая д.3</t>
  </si>
  <si>
    <t>I-127165</t>
  </si>
  <si>
    <t>Реконструкция 2КЛ 0,4кВ ТП12856 – вв.45368А,Б, 2 КЛ 0,4кВ ТП12856-вв.45368А,Б-вв.45369А,Б (шлейф) лик-я КЛ 0,4 от ТП12856 луч А до вв.45368 (1,2) вв.45369 (1,2 – шлейф), в т.ч. ПИР: г.Москва, ул. Б.Марфинская д.62, ул. М.Ботаническая д.3</t>
  </si>
  <si>
    <t>085-0004239</t>
  </si>
  <si>
    <t>Выполнение СМР, ПНР, материалы по титулу: Реконструкция уч-ка 4 КЛ РП2519(с.1,с.2)-ПС46α,β ТП3844А,Б-ТП1896А,Б, в т.ч. ПИР: г.Москва, ул. Шереметьевская, д.85</t>
  </si>
  <si>
    <t>I-127169</t>
  </si>
  <si>
    <t>Реконструкция уч-ка 4 КЛ РП2519(с.1,с.2)-ПС46α,β ТП3844А,Б-ТП1896А,Б, в т.ч. ПИР: г.Москва, ул. Шереметьевская, д.85</t>
  </si>
  <si>
    <t>085-0004241</t>
  </si>
  <si>
    <t>Выполнение СМР, ПНР, материалы по титулу: Реконструкция КЛ 10кВ ПС 112-РП 12937, 2-х КЛ 10 кВ РП12937 – РП 11017, рек-ция РП 11017 по типу АВН-1, рек-ция 2-х КЛ 11017- ТП 13219, рек-ция ТП 13219 по типу АВН-1, в т.ч. ПИР: г.Москва, ул. Годовикова</t>
  </si>
  <si>
    <t>I-127173</t>
  </si>
  <si>
    <t>Реконструкция КЛ 10кВ ПС 112-РП 12937, 2-х КЛ 10 кВ РП12937 – РП 11017, рек-ция РП 11017 по типу АВН-1, рек-ция 2-х КЛ 11017- ТП 13219, рек-ция ТП 13219 по типу АВН-1, в т.ч. ПИР: г.Москва</t>
  </si>
  <si>
    <t>085-0004242</t>
  </si>
  <si>
    <t>Выполнение СМР, ПНР, материалы по титулу: Реконструкция КЛ 0,4 кВ ТП16923А,Б-вв.10250А,Б, в т.ч. ПИР: г.Москва, ул. Б.Дмитровка, д.24</t>
  </si>
  <si>
    <t>I-127176</t>
  </si>
  <si>
    <t>Реконструкция КЛ 0,4 кВ ТП16923А,Б-вв.10250А,Б, в т.ч. ПИР: г.Москва, ул. Б.Дмитровка, д.24</t>
  </si>
  <si>
    <t>085-0004243</t>
  </si>
  <si>
    <t>Выполнение СМР, ПНР, материалы по титулу: Реконструкция КЛ РП16026-РП19026, в т.ч. ПИР: г.Москва, Уланский пер., ул.Сретенка д.28/1</t>
  </si>
  <si>
    <t>I-127179</t>
  </si>
  <si>
    <t>Реконструкция КЛ РП16026-РП19026, в т.ч. ПИР: г.Москва, Уманский пер., ул.Сретенка д.28/1</t>
  </si>
  <si>
    <t>085-0004244</t>
  </si>
  <si>
    <t>Выполнение СМР, ПНР, материалы по титулу: Реконструкция КЛ 0,4 кВ ТП 16281 А – вв. 81008 – вв. 81009, в т.ч. ПИР: г.Москва, ул. Декабристов, д. 35</t>
  </si>
  <si>
    <t>I-127182</t>
  </si>
  <si>
    <t>Реконструкция КЛ 0,4 кВ ТП 16281 А – вв. 81008 – вв. 81009, в т.ч. ПИР: г.Москва, ул. Декабристов, д. 35</t>
  </si>
  <si>
    <t>085-0004245</t>
  </si>
  <si>
    <t>Выполнение СМР, ПНР, материалы по титулу: Реконструкция КЛ 0,4 кВ ТП 20953А – вв. 64854, ТП 20953 Б – вв. 64855, в т.ч. ПИР: г.Москва, Путевой пр-д, д. 26а</t>
  </si>
  <si>
    <t>I-127183</t>
  </si>
  <si>
    <t>Реконструкция КЛ 0,4 кВ ТП 20953А – вв. 64854, ТП 20953 Б – вв. 64855, в т.ч. ПИР: г.Москва, Путевой пр-д, д. 26а</t>
  </si>
  <si>
    <t>085-0004246</t>
  </si>
  <si>
    <t>Выполнение СМР, ПНР, материалы по титулу: Реконструкция 3 КЛ 0,4 кВ ТП 20956 А – вв. 72546 – вв. 72544, вв. 72544 – вв. 73766, ТП 20956 Б – вв. 72545 – вв. 73767, в т.ч. ПИР: г.Москва, пр-д Черского, д. 21а, д. 17</t>
  </si>
  <si>
    <t>I-127187</t>
  </si>
  <si>
    <t>Реконструкция 3 КЛ 0,4 кВ ТП 20956 А – вв. 72546 – вв. 72544, вв. 72544 – вв. 73766, ТП 20956 Б – вв. 72545 – вв. 73767, в т.ч. ПИР: г.Москва, пр-д Черского, д. 21а, д. 17</t>
  </si>
  <si>
    <t>085-0004247</t>
  </si>
  <si>
    <t>Выполнение СМР, ПНР, материалы по титулу: Реконструкция 4 КЛ 0,4 кВ ТП 20957 А – вв. 54712, вв. 54244, вв. 57029; ТП 20957 Б – вв. 54712, вв. 54245, вв. 57030, в т.ч. ПИР: г.Москва, Путевой пр-д, д. 12</t>
  </si>
  <si>
    <t>I-127188</t>
  </si>
  <si>
    <t>Реконструкция 4 КЛ 0,4 кВ ТП 20957 А – вв. 54712, вв. 54244, вв. 57029; ТП 20957 Б – вв. 54712, вв. 54245, вв. 57030, в т.ч. ПИР: г.Москва, Путевой пр-д, д. 12</t>
  </si>
  <si>
    <t>085-0004248</t>
  </si>
  <si>
    <t>Выполнение СМР, ПНР, материалы по титулу: Реконструкция КЛ 0,4 кВ ТП 16900А,Б-вв86826, ТП 16900А,Б-вв86748, в т.ч. ПИР: г.Москва, ул. Костромская, д. 20</t>
  </si>
  <si>
    <t>I-127190</t>
  </si>
  <si>
    <t>Реконструкция КЛ 0,4 кВ ТП 16900А,Б-вв86826, ТП 16900А,Б-вв86748, в т.ч. ПИР: г.Москва, ул. Костромская, д. 20</t>
  </si>
  <si>
    <t>085-0004249</t>
  </si>
  <si>
    <t>Выполнение СМР, ПНР, материалы по титулу: Реконструкция уч-ка ПКЛ ТЭЦ 16-РП3822, в т.ч. ПИР: г.Москва, Хорошевское ш., вл.100</t>
  </si>
  <si>
    <t>I-127192</t>
  </si>
  <si>
    <t>Реконструкция уч-ка ПКЛ ТЭЦ 16-РП3822, в т.ч. ПИР: г.Москва, Хорошевское ш., вл.100</t>
  </si>
  <si>
    <t>085-0004250</t>
  </si>
  <si>
    <t>Выполнение СМР, ПНР, материалы по титулу: Реконструкция КЛ 0,4 кВ ТП 2172 – вв.2184, в т.ч. ПИР: г.Москва, ул. 2-я Боевская, д.6</t>
  </si>
  <si>
    <t>I-127195</t>
  </si>
  <si>
    <t>Реконструкция КЛ 0,4 кВ ТП 2172 – вв.2184, в т.ч. ПИР: г.Москва, ул. 2-я Боевская, д.6</t>
  </si>
  <si>
    <t>085-0004251</t>
  </si>
  <si>
    <t>Выполнение СМР, ПНР, материалы по титулу: Реконструкция КЛ 0,4 кВ ТП 18712 - вв.16005, в т.ч. ПИР: г.Москва, ул.Короленко, д.2</t>
  </si>
  <si>
    <t>I-127198</t>
  </si>
  <si>
    <t>Реконструкция КЛ 0,4 кВ ТП 18712 - вв.16005, в т.ч. ПИР: г.Москва, ул.Короленко, д.2</t>
  </si>
  <si>
    <t>085-0004252</t>
  </si>
  <si>
    <t>Выполнение СМР, ПНР, материалы по титулу: Реконструкция КЛ 10 кВ РП 11035 - ПС179, в т.ч. ПИР: г.Москва, ул.Б.Семеновская, д.38</t>
  </si>
  <si>
    <t>I-127202</t>
  </si>
  <si>
    <t>Реконструкция КЛ 10 кВ РП 11035 - ПС179, в т.ч. ПИР: г.Москва, ул.Б.Семеновская, д.38</t>
  </si>
  <si>
    <t>085-0004253</t>
  </si>
  <si>
    <t>Выполнение СМР, ПНР, материалы по титулу: Реконструкция участка ПКЛ ПС 212 - РП14087с.1, в т.ч. ПИР: г.Москва</t>
  </si>
  <si>
    <t>I-127203</t>
  </si>
  <si>
    <t>Реконструкция участка ПКЛ ПС 212 - РП14087с.1, в т.ч. ПИР: г.Москва</t>
  </si>
  <si>
    <t>085-0004255</t>
  </si>
  <si>
    <t>Выполнение СМР, ПНР, материалы по титулу: Реконструкция ПКЛ ТЭЦ 11 - РТП 11152α, в т.ч. ПИР: г.Москва</t>
  </si>
  <si>
    <t>I-127205</t>
  </si>
  <si>
    <t>Реконструкция ПКЛ ТЭЦ 11 - РТП 11152α, в т.ч. ПИР: г.Москва</t>
  </si>
  <si>
    <t>085-0004256</t>
  </si>
  <si>
    <t>Выполнение СМР, ПНР, материалы по титулу: Реконструкция КЛ 0,4 кВ ТП 15254 - вв77278,77277, в т.ч. ПИР: г.Москва, ул. Теплый Стан д.15 к.2</t>
  </si>
  <si>
    <t>I-127209</t>
  </si>
  <si>
    <t>Реконструкция КЛ 0,4 кВ ТП 15254 - вв77278,77277, в т.ч. ПИР: г.Москва, ул. Теплый Стан д.15 к.2</t>
  </si>
  <si>
    <t>085-0004258</t>
  </si>
  <si>
    <t>Выполнение СМР, ПНР, материалы по титулу: Реконструкция КЛ ТП10465 - вв.45584,45585, в т.ч. ПИР: г.Москва, ул. Живописная д.5 к.4</t>
  </si>
  <si>
    <t>I-127211</t>
  </si>
  <si>
    <t>Реконструкция КЛ ТП10465 - вв.45584,45585, в т.ч. ПИР: г.Москва, ул. Живописная д.5 к.4</t>
  </si>
  <si>
    <t>085-0004259</t>
  </si>
  <si>
    <t>Выполнение СМР, ПНР, материалы по титулу: Реконструкция 4 КЛ 10кВ ТП23600А,Б - ТП1848А,Б, замена тр-в с 6 на 10 кВ мощностью 630кВа, в т.ч. ПИР: г.Москва, ул. Двинцев, д.4</t>
  </si>
  <si>
    <t>I-127214</t>
  </si>
  <si>
    <t>Реконструкция 4 КЛ 10кВ ТП23600А,Б - ТП1848А,Б, замена тр-в с 6 на 10 кВ мощностью 630кВа, в т.ч. ПИР: г.Москва, ул. Двинцев, д.4</t>
  </si>
  <si>
    <t>085-0004260</t>
  </si>
  <si>
    <t>Выполнение СМР, ПНР, материалы по титулу: Реконструкция участка КЛ 10кВ РТП15155(1) - ПС796α, в т.ч. ПИР: г.Москва, ул. Василия Петушкова, д.7, д.25</t>
  </si>
  <si>
    <t>I-127216</t>
  </si>
  <si>
    <t>Реконструкция участка КЛ 10кВ РТП15155(1) - ПС796α, в т.ч. ПИР: г.Москва, ул. Василия Петушкова, д.7, д.25</t>
  </si>
  <si>
    <t>085-0004262</t>
  </si>
  <si>
    <t>Выполнение СМР, ПНР, материалы по титулу: Реконструкция КЛ ТП27292А - вв.104807, в т.ч. ПИР: г.Москва, ул. Дубининская, д.55, к.5</t>
  </si>
  <si>
    <t>I-127218</t>
  </si>
  <si>
    <t>Реконструкция КЛ ТП27292А - вв.104807, в т.ч. ПИР: г.Москва, ул. Дубининская, д.55, к.5</t>
  </si>
  <si>
    <t>085-0004263</t>
  </si>
  <si>
    <t>Выполнение СМР, ПНР, материалы по титулу: Реконструкция участка КЛ 10кВ ТП19724А,Б - ТП25483А,Б, в т.ч. ПИР: г.Москва, Борисовские пруды, д.16, к.1</t>
  </si>
  <si>
    <t>I-127219</t>
  </si>
  <si>
    <t>Реконструкция участка КЛ 10кВ ТП19724А,Б - ТП25483А,Б, в т.ч. ПИР: г.Москва, Борисовские пруды, д.16, к.1</t>
  </si>
  <si>
    <t>085-0004264</t>
  </si>
  <si>
    <t>Выполнение СМР, ПНР, материалы по титулу: Реконструкция участка КЛ 10кВ РТП15123-ПС785α,β, РТП17171-ПС785α,β, РТП15129-ПС785α,β, РТП15039-ПС785α,β, РТП15128-ПС785α,β, РТП15127-ПС785α,β, ТП19770А,Б-вв.101764, в т.ч. ПИР: г.Москва, ул. Ореховый б-р, напротив д.55</t>
  </si>
  <si>
    <t>I-127220</t>
  </si>
  <si>
    <t>Реконструкция участка КЛ 10кВ РТП15123-ПС785α,β, РТП17171-ПС785α,β, РТП15129-ПС785α,β, РТП15039-ПС785α,β, РТП15128-ПС785α,β, РТП15127-ПС785α,β, ТП19770А,Б-вв.101764, в т.ч. ПИР: г.Москва, ул. Ореховый б-р, напротив д.55</t>
  </si>
  <si>
    <t>085-0004265</t>
  </si>
  <si>
    <t>Выполнение СМР, ПНР, материалы по титулу: Реконструкция участка 4 КЛ до т.Б ТП11565А,Б - ТП10939А,Б, ТП11565А,Б - ТП23178А,Б, в т.ч. ПИР: г.Москва, ул. Станционная, д.16а</t>
  </si>
  <si>
    <t>I-127221</t>
  </si>
  <si>
    <t>Реконструкция участка 4 КЛ до т.Б ТП11565А,Б - ТП10939А,Б, ТП11565А,Б - ТП23178А,Б, в т.ч. ПИР: г.Москва, ул. Станционная, д.16а</t>
  </si>
  <si>
    <t>085-0004266</t>
  </si>
  <si>
    <t>Выполнение СМР, ПНР, материалы по титулу: Реконструкция участка 2 КЛ ТП3016А,Б - ТП3018А,Б, в т.ч. ПИР: г.Москва, ул. Годовикова, д.6-8</t>
  </si>
  <si>
    <t>I-127222</t>
  </si>
  <si>
    <t>Реконструкция участка 2 КЛ ТП3016А,Б - ТП3018А,Б, в т.ч. ПИР: г.Москва, ул. Годовикова, д.6-8</t>
  </si>
  <si>
    <t>085-0004267</t>
  </si>
  <si>
    <t>Выполнение СМР, ПНР, материалы по титулу: Реконструкция участка ПКЛ 10кВ ТЭЦ11-РТП10017, РП10014-ТП10664Б, ТЭЦ11-РП10126, ТЭЦ11Б-РП12235 по адресу: г. Москва, ул. Пруд Ключики, д. 12А</t>
  </si>
  <si>
    <t>I-127224</t>
  </si>
  <si>
    <t>Реконструкция участка ПКЛ 10кВ ТЭЦ11-РТП10017, РП10014-ТП10664Б, ТЭЦ11-РП10126, ТЭЦ11Б-РП12235 по адресу: г. Москва, ул. Пруд Ключики, д. 12А</t>
  </si>
  <si>
    <t>085-0004268</t>
  </si>
  <si>
    <t>Выполнение СМР, ПНР, материалы по титулу: Реконструкция КЛ Р15143(1) - ПС111б, РП 15143(2) - ПС111в, в т.ч. ПИР: г.Москва, Строительный пр-д,д.14, д.9</t>
  </si>
  <si>
    <t>I-127239</t>
  </si>
  <si>
    <t>Реконструкция КЛ Р15143(1) - ПС111б, РП 15143(2) - ПС111в, в т.ч. ПИР: г.Москва, Строительный пр-д,д.14, д.9</t>
  </si>
  <si>
    <t>085-0004269</t>
  </si>
  <si>
    <t>Выполнение СМР, ПНР, материалы по титулу: Реконструкция КЛ 10кВ РП 16080-ПС 267, в т.ч. ПИР: г.Москва, Загородное ш., д.13</t>
  </si>
  <si>
    <t>I-127242</t>
  </si>
  <si>
    <t>Реконструкция КЛ 10кВ РП 16080-ПС 267, в т.ч. ПИР: г.Москва, Загородное ш., д.13</t>
  </si>
  <si>
    <t>085-0004270</t>
  </si>
  <si>
    <t>Выполнение СМР, ПНР, материалы по титулу: Реконструкция КЛ 10кВ РТП 11166 с.1-ПС 630α, в т.ч. ПИР: г.Москва, Электролитный пр-д., д.4</t>
  </si>
  <si>
    <t>I-127448</t>
  </si>
  <si>
    <t>Реконструкция КЛ 10кВ РТП 11166 с.1-ПС 630α, в т.ч. ПИР: г.Москва, Электролитный пр-д., д.4</t>
  </si>
  <si>
    <t>085-0004271</t>
  </si>
  <si>
    <t>Выполнение СМР, ПНР, материалы по титулу: Реконструкция ВЛ 6кВ ТП4707 по адресу: г. Москва, ул. Жулебинская, д.13, стр.7</t>
  </si>
  <si>
    <t>I-127246</t>
  </si>
  <si>
    <t>Реконструкция ВЛ 6кВ ТП4707 по адресу: г. Москва, ул. Жулебинская, д.13, стр.7</t>
  </si>
  <si>
    <t>085-0004273</t>
  </si>
  <si>
    <t>Выполнение СМР, ПНР, материалы по титулу: Реконструкция ВЛ 0,4кВ ТП22726 по адресу: г. Москва, ул.Козлова-ул.Тюльпанная</t>
  </si>
  <si>
    <t>I-127248</t>
  </si>
  <si>
    <t>Реконструкция ВЛ 0,4кВ ТП22726 по адресу: г. Москва, ул.Козлова-ул.Тюльпанная</t>
  </si>
  <si>
    <t>085-0004272</t>
  </si>
  <si>
    <t>Выполнение СМР, ПНР, материалы по титулу: Реконструкция ВЛ 0,4 кВ ТП24670-пос.Бутово по адресу: г. Москва, ул. Краснолиманская, д. 8</t>
  </si>
  <si>
    <t>I-127249</t>
  </si>
  <si>
    <t>Реконструкция ВЛ 0,4 кВ ТП24670-пос.Бутово по адресу: г. Москва, ул. Краснолиманская, д. 8</t>
  </si>
  <si>
    <t>085-0004274</t>
  </si>
  <si>
    <t>Выполнение СМР, ПНР, материалы по титулу: Реконструкция ВЛ 0,4 кВ МТП 23853 по адресу: г. Москва, ул.Юровская, д. 1-39; ул. Юровская, д.55; ул. Юровская, д.28-57.</t>
  </si>
  <si>
    <t>I-127444</t>
  </si>
  <si>
    <t>Реконструкция ВЛ 0,4 кВ МТП 23853 по адресу: г. Москва, ул.Юровская, д. 1-39; ул. Юровская, д.55; ул. Юровская, д.28-57.</t>
  </si>
  <si>
    <t>085-0004276</t>
  </si>
  <si>
    <t>Выполнение СМР, ПНР, материалы, оборудование по титулу: Строительство нов. ТП взамен ТП 394 по проекту "2БКТП-630" с тр-ми 2x630 кВА, в т.ч. ПИР: г.Москва, пер. Обуха, д.3</t>
  </si>
  <si>
    <t>I-127462</t>
  </si>
  <si>
    <t>Строительство нов. ТП взамен ТП 394 по проекту "2БКТП-630" с тр-ми 2x630 кВА, в т.ч. ПИР: г.Москва, пер. Обуха, д.3</t>
  </si>
  <si>
    <t>085-0004277</t>
  </si>
  <si>
    <t>Выполнение СМР, ПНР, материалы, оборудование по титулу: Реконструкция ТП 19636 по индивидуальному проекту по схеме "2БКТП-630", в т.ч. ПИР: г. Москва, ул. Воронцовская, д.18</t>
  </si>
  <si>
    <t>I-127463</t>
  </si>
  <si>
    <t>Реконструкция ТП 19636 по индивидуальному проекту по схеме "2БКТП-630", в т.ч. ПИР: г. Москва, ул. Воронцовская, д.18</t>
  </si>
  <si>
    <t>085-0004278</t>
  </si>
  <si>
    <t>Выполнение СМР, ПНР, материалы, оборудование по титулу: Реконструкция ТП 196 по проекту "2КТП-630", в т.ч. ПИР: г. Москва, Покровский бульвар, д.3</t>
  </si>
  <si>
    <t>I-127464</t>
  </si>
  <si>
    <t>Реконструкция ТП 196 по проекту "2КТП-630", в т.ч. ПИР: г. Москва, Покровский бульвар, д.3</t>
  </si>
  <si>
    <t>085-0004279</t>
  </si>
  <si>
    <t>Выполнение СМР, ПНР, материалы по титулу: Реконструкция 2КЛ 0,4 кВ ТП10921А-вв66757 и ТП10921Б-вв66758, в т.ч. ПИР: г. Москва, ул. Солянка, дом 12, стр.1</t>
  </si>
  <si>
    <t>I-127465</t>
  </si>
  <si>
    <t>Реконструкция 2КЛ 0,4 кВ ТП10921А-вв66757 и ТП10921Б-вв66758, в т.ч. ПИР: г. Москва, ул. Солянка, дом 12, стр.1</t>
  </si>
  <si>
    <t>085-0004280</t>
  </si>
  <si>
    <t>Выполнение СМР, ПНР, материалы по титулу: Реконструкция КЛ 0,4 кВ РТП 654-вв99108, в т.ч. ПИР: г.Москва, Б.Афанасьевский пер., д.6 стр.2</t>
  </si>
  <si>
    <t>I-127466</t>
  </si>
  <si>
    <t>Реконструкция КЛ 0,4 кВ РТП 654-вв99108, в т.ч. ПИР: г.Москва, Б.Афанасьевский пер., д.6 стр.2</t>
  </si>
  <si>
    <t>085-0004281</t>
  </si>
  <si>
    <t>Выполнение СМР, ПНР, материалы, оборудование по титулу: Строительство нового ТП  взамен ТП 17417 по типовому проекту "2БКТП-6З0", в. т.ч. ПИР: г. Москва, Мамоновский переулок, д. 4 стр. 2</t>
  </si>
  <si>
    <t>I-127467</t>
  </si>
  <si>
    <t>Строительство нового ТП  взамен ТП 17417 по типовому проекту "2БКТП-6З0", в. т.ч. ПИР: г. Москва, Мамоновский переулок, д. 4 стр. 2</t>
  </si>
  <si>
    <t>085-0004285</t>
  </si>
  <si>
    <t>Выполнение СМР, ПНР, материалы по титулу: Строительство КЛ-10 кВ связи РТП-5422(с2) - РП-5429(с2), в.т.ч. ПИР, по адресу: г.Москва, Волоколамский проезд, д.87, стр.1</t>
  </si>
  <si>
    <t>I-135798</t>
  </si>
  <si>
    <t>Строительство КЛ-10 кВ связи РТП-5422(с2) - РП-5429(с2), в.т.ч. ПИР, по адресу: г.Москва, Волоколамский проезд, д.87, стр.1</t>
  </si>
  <si>
    <t>085-0004286</t>
  </si>
  <si>
    <t>Выполнение СМР, ПНР, материалы по титулу: Реконструкция КЛ 6 кВ ПС 111- РП5422 (2), в т.ч. ПИР: г.Москва, Цветочный п-к, д.1 - Волоколамское ш., д.87</t>
  </si>
  <si>
    <t>I-127245</t>
  </si>
  <si>
    <t>Реконструкция КЛ 6 кВ ПС 111- РП5422 (2), в т.ч. ПИР: г.Москва, Цветочный п-к, д.1 - Волоколамское ш., д.87</t>
  </si>
  <si>
    <t>085-0004283</t>
  </si>
  <si>
    <t>I-128288</t>
  </si>
  <si>
    <t>Электроснабжение жилого комплекса в т.ч. ПИР: г.Москва, Ленинская слобода, 11</t>
  </si>
  <si>
    <t>085-0004288</t>
  </si>
  <si>
    <t>Выполнение СМР, ПНР, материалы, оборудование по титулу: Развитие системы мониторинга технологической сети связи МКС</t>
  </si>
  <si>
    <t>I-123708</t>
  </si>
  <si>
    <t>Развитие системы мониторинга технологической сети связи МКС</t>
  </si>
  <si>
    <t>085-0004289</t>
  </si>
  <si>
    <t>Выполнение ПИР, авторский надзор по титулу: Стр-во Здание объединенного щита управления г.Москва</t>
  </si>
  <si>
    <t xml:space="preserve">ПИР, авторский надзор </t>
  </si>
  <si>
    <t>I-104813</t>
  </si>
  <si>
    <t>Стр-во Здание объединенного щита управления г.Москва</t>
  </si>
  <si>
    <t>085-0004284</t>
  </si>
  <si>
    <t>Выполнение СМР, ПНР, материалы, оборудование по титулу: Строит-во нов.РП,2хТП с уст.тр.2х1000кВА,2хПКЛ-10кВ от ПС Таганская до нов.РП,2КЛ-10кВ от нов.РП до КЛ напр.РП12279-РП19089, 6КЛ от нов.РП с зах. в 2хТП, 2КЛ-0,4кВ от ТП до ВРЩ нов.РП, в.т.ч.ПИР, по адресу: г.Москва, бульв. Энтузиастов, д.2</t>
  </si>
  <si>
    <t>I-136618</t>
  </si>
  <si>
    <t>Строит-во нов.РП,2хТП с уст.тр.2х1000кВА,2хПКЛ-10кВ от ПС Таганская до нов.РП,2КЛ-10кВ от нов.РП до КЛ напр.РП12279-РП19089, 6КЛ от нов.РП с зах. в 2хТП, 2КЛ-0,4кВ от ТП до ВРЩ нов.РП, в.т.ч.ПИР, по адресу: г.Москва, бульв. Энтузиастов, д.2</t>
  </si>
  <si>
    <t>038-0000487</t>
  </si>
  <si>
    <t>Выполнение ПИР, авторский надзор по титулу: Реконструкция КВЛ 220 кВ "ТЭЦ-23 - Елоховская 1, 2"</t>
  </si>
  <si>
    <t>ПИР, авторский надзор</t>
  </si>
  <si>
    <t>ориентировочный расчет стоимости</t>
  </si>
  <si>
    <t>I-137913</t>
  </si>
  <si>
    <t>Реконструкция КВЛ 220 кВ "ТЭЦ-23 - Елоховская 1, 2"</t>
  </si>
  <si>
    <t>СМР, ПНР, оборудование, материалы</t>
  </si>
  <si>
    <t>Выполнение СМР, ПНР, оборудование, материалы</t>
  </si>
  <si>
    <t>038-0000481</t>
  </si>
  <si>
    <t>I-102959</t>
  </si>
  <si>
    <t xml:space="preserve">Реконструкция КЛ 110 кВ "Елоховская-Лефортово 1, 2" </t>
  </si>
  <si>
    <t>038-0000483</t>
  </si>
  <si>
    <t>I-100092</t>
  </si>
  <si>
    <t>Строительство "КЛ 220 кВ Сити-2 - Белорусская № 1, № 2"</t>
  </si>
  <si>
    <t>038-0000484</t>
  </si>
  <si>
    <t>I-111263</t>
  </si>
  <si>
    <t>Реконструкция кабельного участка КВЛ 110 кВ «Бескудниково – Красные Горки»</t>
  </si>
  <si>
    <t>038-0000486</t>
  </si>
  <si>
    <t>I-102962</t>
  </si>
  <si>
    <t>Реконструкция кабельных участков КВЛ 220 кВ "Бутырки - Владыкино" от ПС Владыкино до ПП 206 и от ПС Бутырки до ПП 205</t>
  </si>
  <si>
    <t>038-0000523</t>
  </si>
  <si>
    <t>I-111265</t>
  </si>
  <si>
    <t xml:space="preserve">Реконструкция КВЛ 110 кВ Кожухово-Южная от ПП 37 до ПП 35 </t>
  </si>
  <si>
    <t>038-0000526</t>
  </si>
  <si>
    <t>I-102949</t>
  </si>
  <si>
    <t xml:space="preserve">Реконструкция "КЛ 110 кВ Динамо - Гражданская № 1, № 2" </t>
  </si>
  <si>
    <t>038-0000524</t>
  </si>
  <si>
    <t>I-100095</t>
  </si>
  <si>
    <t>Реконструкция с увеличением пропускной способности КВЛ 110 кВ "Косино-Выхино 1,2"</t>
  </si>
  <si>
    <t>038-0000527</t>
  </si>
  <si>
    <t>I-100072</t>
  </si>
  <si>
    <t>082-0005133</t>
  </si>
  <si>
    <t>Выполнение ПИР, авторский надзор по Рек-ция ПС "Северово"</t>
  </si>
  <si>
    <t>ЮЭС 2017</t>
  </si>
  <si>
    <t>Рек-ция ПС "Северово"</t>
  </si>
  <si>
    <t>082-0005136</t>
  </si>
  <si>
    <t>Выполнение ПИР, авторский надзор по Реконструкция транзита 110 кВ Чоботы-Теплый Стан-Марьино-Лесная с увеличением пропускной способности</t>
  </si>
  <si>
    <t>Новая Москва</t>
  </si>
  <si>
    <t>ЮЭС 15</t>
  </si>
  <si>
    <t>Реконструкция транзита 110 кВ Чоботы-Теплый Стан-Марьино-Лесная с увеличением пропускной способности</t>
  </si>
  <si>
    <t>Общий</t>
  </si>
  <si>
    <t>пул</t>
  </si>
  <si>
    <t>I-124659</t>
  </si>
  <si>
    <t>ПС № 491  "Прудная" 110/10 кВ</t>
  </si>
  <si>
    <t>I-124686</t>
  </si>
  <si>
    <t>ПС 220 кВ №  "Лесная"</t>
  </si>
  <si>
    <t>082-0005162</t>
  </si>
  <si>
    <t>Выполнение  СМР, ПНР, оборудование, материалы по Реконструкция системы диспетчерской связи Южных ЭС</t>
  </si>
  <si>
    <t>I-137520</t>
  </si>
  <si>
    <t>Реконструкция системы диспетчерской связи Южных ЭС</t>
  </si>
  <si>
    <t>082-0005165</t>
  </si>
  <si>
    <t>Выполнение  СМР, ПНР, оборудование, материалы по ПС-320 "Н.Домодедово", г. Домодедово</t>
  </si>
  <si>
    <t>I-112811</t>
  </si>
  <si>
    <t>ПС-320 "Н.Домодедово", г. Домодедово</t>
  </si>
  <si>
    <t>I-106974</t>
  </si>
  <si>
    <t>Реконструкция ВЛ 110 кВ "Серпухов - Заповедник", "Заповедник-Пущино", "Стрелецкая-Пущино", "Кашира-Стрелецкая 1,2" с образованием вторых цепей</t>
  </si>
  <si>
    <t>082-0005169</t>
  </si>
  <si>
    <t>082-0005170</t>
  </si>
  <si>
    <t>Выполнение  СМР, ПНР, оборудование, материалы по Реконструкция ВЛ-10 кВ ф.5  ПС №605 "Бронницы", в т.ч. ПИР, МО, Раменский р-н, д. Нижнее Велино (насел. местность)</t>
  </si>
  <si>
    <t>I-129008</t>
  </si>
  <si>
    <t>Реконструкция ВЛ-10 кВ ф.5  ПС №605 "Бронницы", в т.ч. ПИР, МО, Раменский р-н, д. Нижнее Велино (насел. местность)</t>
  </si>
  <si>
    <t>082-0005171</t>
  </si>
  <si>
    <t>Выполнение  СМР, ПНР, оборудование, материалы по Реконструкция ВЛ-10 кВ ф. Подмокловский с ТП-207 ПС №447 "Пущино", в т.ч. ПИР, МО, Серпуховский р-н., д.Подмоклово (насел. местность)</t>
  </si>
  <si>
    <t>I-129079</t>
  </si>
  <si>
    <t>Реконструкция ВЛ-10 кВ ф. Подмокловский с ТП-207 ПС №447 "Пущино", в т.ч. ПИР, МО, Серпуховский р-н., д.Подмоклово (насел. местность)</t>
  </si>
  <si>
    <t>082-0005172</t>
  </si>
  <si>
    <t>Выполнение  СМР, ПНР, оборудование, материалы по Реконструкция ВЛ-10 кВ фид.9,10 с ПС-708 «Санаторная» (разукрупнение), Домодедовский р-н</t>
  </si>
  <si>
    <t>I-120983</t>
  </si>
  <si>
    <t>Реконструкция ВЛ-10 кВ фид.9,10 с ПС-708 «Санаторная» (разукрупнение), Домодедовский р-н</t>
  </si>
  <si>
    <t>082-0005173</t>
  </si>
  <si>
    <t>Выполнение  СМР, ПНР, оборудование, материалы по Реконструкция ВЛ-10 кВ фид.13 с ПС-708 «Санаторная». Строительство КЛ-10 кВ от РП-16 до фид.4 с ПС-708 «Санаторная» (разукрупнение), Домодедовский р-н</t>
  </si>
  <si>
    <t>I-120984</t>
  </si>
  <si>
    <t>Реконструкция ВЛ-10 кВ фид.13 с ПС-708 «Санаторная». Строительство КЛ-10 кВ от РП-16 до фид.4 с ПС-708 «Санаторная» (разукрупнение), Домодедовский р-н</t>
  </si>
  <si>
    <t>082-0005174</t>
  </si>
  <si>
    <t>Выполнение  СМР, ПНР, оборудование, материалы по Реконструкция ВЛ-10 кВ фид.12 с ПС-491 «Прудная». Строительство ВЛЗ-10 кВ от ПС-491 «Прудная» до РП-2 «Вельяминово» (разукрупнение), Московский р-н.</t>
  </si>
  <si>
    <t>I-120985</t>
  </si>
  <si>
    <t>Реконструкция ВЛ-10 кВ фид.12 с ПС-491 «Прудная». Строительство ВЛЗ-10 кВ от ПС-491 «Прудная» до РП-2 «Вельяминово» (разукрупнение), Московский р-н.</t>
  </si>
  <si>
    <t>082-0005175</t>
  </si>
  <si>
    <t>Выполнение  СМР, ПНР, оборудование, материалы по Реконструкция ВЛ-10 кВ фид.4, фид.5 с ПС-605 «Бронницы" (разукрупнение), Раменский р-н</t>
  </si>
  <si>
    <t>I-120986</t>
  </si>
  <si>
    <t>Реконструкция ВЛ-10 кВ фид.4, фид.5 с ПС-605 «Бронницы" (разукрупнение), Раменский р-н</t>
  </si>
  <si>
    <t>082-0005176</t>
  </si>
  <si>
    <t>Выполнение  СМР, ПНР, оборудование, материалы по Реконструкция ВЛ-10 кВ фид.1 с ПС-383 «Бронницы-Тяговая, яч.13 с 
ЦРП-1. Строительство ЛЭП-10 кВ от ПС-764 «Загорново» до ЗТП-196 МТФ «Рыбаки». Реконструкция ЗТП-196. Установка 2-х ССП» (разукрупнение), Раменский р-н</t>
  </si>
  <si>
    <t>I-120987</t>
  </si>
  <si>
    <t>Реконструкция ВЛ-10 кВ фид.1 с ПС-383 «Бронницы-Тяговая, яч.13 с 
ЦРП-1. Строительство ЛЭП-10 кВ от ПС-764 «Загорново» до ЗТП-196 МТФ «Рыбаки». Реконструкция ЗТП-196. Установка 2-х ССП» (разукрупнение), Раменский р-н</t>
  </si>
  <si>
    <t>082-0005177</t>
  </si>
  <si>
    <t>Выполнение  СМР, ПНР, оборудование, материалы по Реконструкция ВЛ-10 кВ фид.23, фид.35 с ПС-529 «Сидорово» (разукрупнение), Стуупинский р-н</t>
  </si>
  <si>
    <t>I-120988</t>
  </si>
  <si>
    <t>Реконструкция ВЛ-10 кВ фид.23, фид.35 с ПС-529 «Сидорово» (разукрупнение), Стуупинский р-н</t>
  </si>
  <si>
    <t>082-0005178</t>
  </si>
  <si>
    <t>Выполнение  СМР, ПНР, оборудование, материалы по Реконструкция ВЛ-10 кВ фид.6 с ПС-385 «Ефремово». Строительство ЛЭП-10 кВ от ПС-382 «Венюково» до ЛР-223 ф.6 с ПС-385 «Ефремово». Установка ССП» (разукрупнение) (ЧРЭС)</t>
  </si>
  <si>
    <t>I-120989</t>
  </si>
  <si>
    <t>Реконструкция ВЛ-10 кВ фид.6 с ПС-385 «Ефремово». Строительство ЛЭП-10 кВ от ПС-382 «Венюково» до ЛР-223 ф.6 с ПС-385 «Ефремово». Установка ССП» (разукрупнение) (ЧРЭС)</t>
  </si>
  <si>
    <t>084-0002475</t>
  </si>
  <si>
    <t>амортизация</t>
  </si>
  <si>
    <t>Выполнение  СМР, ПНР, оборудование, материалы</t>
  </si>
  <si>
    <t>I-124592</t>
  </si>
  <si>
    <t>ВЛ Кудиново – Минеральная</t>
  </si>
  <si>
    <t>084-0002476</t>
  </si>
  <si>
    <t>I-116193</t>
  </si>
  <si>
    <t>Реконструкция ВЛ 110 кВ "Пески - Фабричная"</t>
  </si>
  <si>
    <t>084-0002480</t>
  </si>
  <si>
    <t>I-116199</t>
  </si>
  <si>
    <t>Реконструкция ПС № 565 "Митяево"</t>
  </si>
  <si>
    <t>084-0002481</t>
  </si>
  <si>
    <t>I-117060</t>
  </si>
  <si>
    <t>Реконструкция ПС 110 кВ №414 Кудиново</t>
  </si>
  <si>
    <t>084-0002482</t>
  </si>
  <si>
    <t>I-117047</t>
  </si>
  <si>
    <t>ПС 110/10 кВ № 678 "Ларино"</t>
  </si>
  <si>
    <t>I-116338</t>
  </si>
  <si>
    <t>Реконструкция ПС № 34 "Васютино"</t>
  </si>
  <si>
    <t>084-0002485</t>
  </si>
  <si>
    <t>4560531
7421029
7421059
4560521
4560522
4560611
4530850
4560523</t>
  </si>
  <si>
    <t>I-127256</t>
  </si>
  <si>
    <t>Реконструкция ВЛ-10 кВ фид.15 с ПС-365 "Полбино" д. Полбино Егорьевского района</t>
  </si>
  <si>
    <t>084-0002486</t>
  </si>
  <si>
    <t>I-127257</t>
  </si>
  <si>
    <t>Реконструкция ВЛ-10 кВ фид.41 с ПС-136 "Трофимово" д. Левино Егорьевского района</t>
  </si>
  <si>
    <t>084-0002487</t>
  </si>
  <si>
    <t>I-127258</t>
  </si>
  <si>
    <t>Реконструкция ВЛ-10 кВ фид. №761-10 ПС-761 г. Воскресенск Воскресенского района</t>
  </si>
  <si>
    <t>084-0002488</t>
  </si>
  <si>
    <t>I-127259</t>
  </si>
  <si>
    <t>Реконструкция ВЛ-10 кВ фид. №761-25 ПС-761 г. Воскресенск Воскресенского района</t>
  </si>
  <si>
    <t>084-0002489</t>
  </si>
  <si>
    <t>I-127260</t>
  </si>
  <si>
    <t>Реконструкция ВЛ-6кВ ф.9 ПС-62 г. Зарайск Зарайского района</t>
  </si>
  <si>
    <t>084-0002490</t>
  </si>
  <si>
    <t>I-127261</t>
  </si>
  <si>
    <t>Реконструкция ВЛ-6 кВ ф.13 ПС-62 г. Зарайск Зарайского района</t>
  </si>
  <si>
    <t>084-0002491</t>
  </si>
  <si>
    <t>ВЭС-15</t>
  </si>
  <si>
    <t>Реконструкция 10 кВ ф. 565-09 ПС-565, Воскресенский район</t>
  </si>
  <si>
    <t>084-0002492</t>
  </si>
  <si>
    <t>ВЭС-16</t>
  </si>
  <si>
    <t>Реконструкция 10 кВ ф. 1 РРЭС ПС-383 Воскресенский район</t>
  </si>
  <si>
    <t>084-0002493</t>
  </si>
  <si>
    <t>ВЭС-17</t>
  </si>
  <si>
    <t>Реконструкция 10 кВ ф. 715-02 ПС 715, Воскресенский район</t>
  </si>
  <si>
    <t>084-0002494</t>
  </si>
  <si>
    <t>ВЭС-18</t>
  </si>
  <si>
    <t>Реконструкция 10 кВ ф. Совхоз ПС 168, Воскресенский район</t>
  </si>
  <si>
    <t>084-0002495</t>
  </si>
  <si>
    <t>ВЭС-19</t>
  </si>
  <si>
    <t>Реконструкция линии электропередачи воздушной  напряжением 10 кВ (ВЛ-10 кВ фид. N 1 с ПС-365 Полбино) Егорьевский район</t>
  </si>
  <si>
    <t>084-0002496</t>
  </si>
  <si>
    <t>ВЭС-20</t>
  </si>
  <si>
    <t>Реконструкция линии электропередачи воздушной  напряжением 10 кВ (ВЛ-10 кВ фид. N 41 с ПС-136 Трофимово) Егорьевский район</t>
  </si>
  <si>
    <t>084-0002497</t>
  </si>
  <si>
    <t>ВЭС-25</t>
  </si>
  <si>
    <t>Коломенский РЭС с. Парфентьево, Коломенского района, реконструкция ВЛ-0,4кВ от КТП-28, установка дополнительной КТП</t>
  </si>
  <si>
    <t>084-0002498</t>
  </si>
  <si>
    <t>I-127227</t>
  </si>
  <si>
    <t>Реконструкция ЗТП-354, МО, Шатурский р-н, д. Дерзковская</t>
  </si>
  <si>
    <t>084-0002499</t>
  </si>
  <si>
    <t>I-127229</t>
  </si>
  <si>
    <t xml:space="preserve">Реконструкция ЗТП-148, МО, Коломенский р-н, с. Малое Карасево </t>
  </si>
  <si>
    <t>084-0002500</t>
  </si>
  <si>
    <t>I-127455</t>
  </si>
  <si>
    <t>Реконструкция ТП-37 (замена тр-ра 250 кВА на тр-ор 400 кВА) ПС № 73 "Озеры", в т.ч. ПИР, М.О., Озерский р-н, с. Белые Колодези</t>
  </si>
  <si>
    <t>084-0002501</t>
  </si>
  <si>
    <t>I-127436</t>
  </si>
  <si>
    <t>Реконструкция МТП-317 (замена тр-ра на тр-ор 250 кВА) ПС № 81 "Крушина", в т.ч. ПИР, М.О., Шатурский р-н, д. Пожога</t>
  </si>
  <si>
    <t>084-0002502</t>
  </si>
  <si>
    <t>I-126179</t>
  </si>
  <si>
    <t>Строительство ВЛ 10 кВ и РП 10 кВ для резервирования фидера №3 с ПС № 168 "Фаустово-аб."</t>
  </si>
  <si>
    <t>084-0002503</t>
  </si>
  <si>
    <t>I-126358</t>
  </si>
  <si>
    <t>Новое включение устройств ОМП на ПС ВЭС: ПС № 306 "Дроздово", ПС № 601 "Дружба", ПС № 26 "Монино", ПС № 819 "Мишеронь", ПС 678 "Ларино", ПС № 822 "Гуслица", ПС № 270 "Дулево", ПС № 415 "Ликино", ПС № 258 " Демихово", ПС № 177 "Орехово", ПС № 102 "Шиферная", ПС № 298 "Третьяково".</t>
  </si>
  <si>
    <t>084-0002504</t>
  </si>
  <si>
    <t>I-126512</t>
  </si>
  <si>
    <t>Модернизация автоматики АРНТ на ПС ВЭС:ПС № 206 "Фрязино", ПС № 270 "Дулево", ПС № 258 "Демихово", ПС № 650 "Фряново", ПС № 767 "Зуево", ПС № 89 "Авсюнино", ПС № 155 "Радовицы", ПС № 822 Гуслица", ПС № 62 "Зарайск", ПС № 456 "Маслово", ПС № 768 "Гавриловская", ПС № 611 "Городна".</t>
  </si>
  <si>
    <t>084-0002506</t>
  </si>
  <si>
    <t>I-126525</t>
  </si>
  <si>
    <t>Модернизация защит ДФЗ ВЛ-110 кВ на ПС ВЭС:ПС № 415 "Ликино", ПС № 270 "Дулево", ПС № 206 "Фрязино", ПС № 212 "Восточная", ПС № 155 "Радовицы", ПС № 79 "Ловцы", ПС № 51 "Егорьевск", ПС № 153 "Рубин", ПС № 73 "Озеры", ПС № 154 "Суворово", ПС № 703 "Туменская", ПС № 736 "Бакунино", ПС № 608 "Карьер".</t>
  </si>
  <si>
    <t>084-0002507</t>
  </si>
  <si>
    <t>I-126526</t>
  </si>
  <si>
    <t>Модернизация резервных защит ВЛ-110 кВ на ПС ВЭС:ПС 415 "Ликино", ПС № 26 "Монино", ПС № 356 "Павлово", ПС № 678 "Ларино", ПС № 154 "Суворово", ПС № 51 "Егорьевск"</t>
  </si>
  <si>
    <t>084-0002508</t>
  </si>
  <si>
    <t>I-126527</t>
  </si>
  <si>
    <t>Модернизация максимальных токовых защит фидеров на ПС ВЭС:ПС № 767 "Зуево", ПС № 242 "Булгаково", ПС № 153 "Рубин", ПС №827 "Городок", ПС № 79 "Ловцы", ПС № 611 "Городна", ПС № 678 "Ларино", ПС 703 "Туменская".</t>
  </si>
  <si>
    <t>084-0002509</t>
  </si>
  <si>
    <t>I-126530</t>
  </si>
  <si>
    <t>Модернизация автоматики частотной разгрузки на ПС ВЭС:ПС № 75 "Коломна" ПС № 131 "Акрихин", ПС № 696 "Прогресс", ПС № 532 "Буньково", ПС № 641 "Гранит", ПС № 78 "Дивная",  ПС 681 "Алмазово", ПС № 742 "Орбита", ПС № 827 "Городок"</t>
  </si>
  <si>
    <t>084-0002516</t>
  </si>
  <si>
    <t>I-126534</t>
  </si>
  <si>
    <t>Строительство ВОЛС на участке ПС "Пески" -  ПС "Чанки" -ПС "Коломна"- ПС "Голутвин" с установкой мультиплексоров</t>
  </si>
  <si>
    <t>I-126535</t>
  </si>
  <si>
    <t>Установка узлов технологической сети передачи данных на ПС ВЭС (15 ПС)</t>
  </si>
  <si>
    <t>081-0003275</t>
  </si>
  <si>
    <t>I-116525</t>
  </si>
  <si>
    <t>ВЛ-110 кВ "Майские 1, 2"</t>
  </si>
  <si>
    <t>081-0003278</t>
  </si>
  <si>
    <t>Выполнение СМР, ПНР, оборудование по ПС № 71 "Поварово"</t>
  </si>
  <si>
    <t>I-111088</t>
  </si>
  <si>
    <t>ПС № 71 "Поварово"</t>
  </si>
  <si>
    <t>081-0003279</t>
  </si>
  <si>
    <t>I-111083</t>
  </si>
  <si>
    <t>ПС № 255 "Костино"</t>
  </si>
  <si>
    <t>081-0003321</t>
  </si>
  <si>
    <t>Выполнение СМР, ПНР, оборудование по Реконструкция ВЛ 6-10 кВ. Замена неизолированного провода на СИП 3 и расширение просеки ВЛ-10 кВ ф.6 ПС465, в т.ч. ПИР, МО, Дмитровский р-н.</t>
  </si>
  <si>
    <t>I-112312-02-01</t>
  </si>
  <si>
    <t>Реконструкция ВЛ 6-10 кВ. Замена неизолированного провода на СИП 3 и расширение просеки ВЛ-10 кВ ф.6 ПС465, в т.ч. ПИР, МО, Дмитровский р-н.</t>
  </si>
  <si>
    <t>081-0003322</t>
  </si>
  <si>
    <t>Выполнение СМР, ПНР, оборудование по Реконструкция ВЛ 6-10 кВ. Замена неизолированного провода на СИП 3 и расширение просеки ВЛ-6 кВ ф. РП-59-ТП-312 в т.ч. ПИР, МО, Клинский р-н.</t>
  </si>
  <si>
    <t>I-112312-02-02</t>
  </si>
  <si>
    <t>Реконструкция ВЛ 6-10 кВ. Замена неизолированного провода на СИП 3 и расширение просеки ВЛ-6 кВ ф. РП-59-ТП-312 в т.ч. ПИР, МО, Клинский р-н.</t>
  </si>
  <si>
    <t>081-0003324</t>
  </si>
  <si>
    <t>Выполнение СМР, ПНР, оборудование по Реконструкция ВЛ 6-10кВ. Замена неизолированного провода на СИП-3  и расширение просеки на ВЛ 10 кВ ф.Дзержинский, в т.ч. ПИР, МО, Солнечногорский  р-н.</t>
  </si>
  <si>
    <t>I-112312-02-03</t>
  </si>
  <si>
    <t>Реконструкция ВЛ 6-10кВ. Замена неизолированного провода на СИП-3  и расширение просеки на ВЛ 10 кВ ф.Дзержинский, в т.ч. ПИР, МО, Солнечногорский  р-н.</t>
  </si>
  <si>
    <t>081-0003326</t>
  </si>
  <si>
    <t>Выполнение СМР, ПНР, оборудование по Реконструкция ВЛ 6-10 кВ. Замена неизолированного провода на СИП 3 и расширение просеки ВЛ-6 кВ ф.Гончары в т.ч. ПИР, МО,Солнечногорский р-н.</t>
  </si>
  <si>
    <t>I-112312-02-05</t>
  </si>
  <si>
    <t>Реконструкция ВЛ 6-10 кВ. Замена неизолированного провода на СИП 3 и расширение просеки ВЛ-6 кВ ф.Гончары в т.ч. ПИР, МО,Солнечногорский р-н.</t>
  </si>
  <si>
    <t>081-0003327</t>
  </si>
  <si>
    <t>Выполнение СМР, ПНР, оборудование по Реконструкция ВЛ 6-10 кВ. Замена неизолированного провода на СИП 3 и расширение просеки ВЛ 10 кВ лин.555 от РП 262 и продолжение л.525, в т.ч. ПИР, МО, Дмитровский р-н.</t>
  </si>
  <si>
    <t>I-112312-02-06</t>
  </si>
  <si>
    <t>Реконструкция ВЛ 6-10 кВ. Замена неизолированного провода на СИП 3 и расширение просеки ВЛ 10 кВ лин.555 от РП 262 и продолжение л.525, в т.ч. ПИР, МО, Дмитровский р-н.</t>
  </si>
  <si>
    <t>081-0003328</t>
  </si>
  <si>
    <t>Выполнение СМР, ПНР, оборудование по Реконструкция ВЛ 6-10 кВ. Замена неизолированного провода на СИП 3 и расширение просеки ВЛ-10 кВ ф.9 ПС600, в т.ч. ПИР, МО, Дмитровский р-н.</t>
  </si>
  <si>
    <t>I-112312-02-07</t>
  </si>
  <si>
    <t>Реконструкция ВЛ 6-10 кВ. Замена неизолированного провода на СИП 3 и расширение просеки ВЛ-10 кВ ф.9 ПС600, в т.ч. ПИР, МО, Дмитровский р-н.</t>
  </si>
  <si>
    <t>081-0003329</t>
  </si>
  <si>
    <t>Выполнение СМР, ПНР, оборудование по Реконструкция ВЛ 6-10 кВ. Замена неизолированного провода на СИП 3 и расширение просеки ВЛ-6 кВ ф.4 шл.6, в т.ч. ПИР, МО, Мытищинский р-н.</t>
  </si>
  <si>
    <t>I-112312-02-08</t>
  </si>
  <si>
    <t>Реконструкция ВЛ 6-10 кВ. Замена неизолированного провода на СИП 3 и расширение просеки ВЛ-6 кВ ф.4 шл.6, в т.ч. ПИР, МО, Мытищинский р-н.</t>
  </si>
  <si>
    <t>081-0003330</t>
  </si>
  <si>
    <t>Выполнение СМР, ПНР, оборудование по Реконструкция ВЛ 6-10 кВ. Замена неизолированного провода на СИП 3 и расширение просеки ВЛ-6 кВ л.652, в т.ч. ПИР, МО, Мытищинский р-н.</t>
  </si>
  <si>
    <t>I-112312-02-09</t>
  </si>
  <si>
    <t>Реконструкция ВЛ 6-10 кВ. Замена неизолированного провода на СИП 3 и расширение просеки ВЛ-6 кВ л.652, в т.ч. ПИР, МО, Мытищинский р-н.</t>
  </si>
  <si>
    <t>081-0003331</t>
  </si>
  <si>
    <t>Выполнение СМР, ПНР, оборудование по Реконструкция ВЛ 6-10 кВ. Замена неизолированного провода на СИП 3 и расширение просеки ВЛ-6 кВл.546, в т.ч. ПИР, МО, Мытищинский р-н.</t>
  </si>
  <si>
    <t>I-112312-02-10</t>
  </si>
  <si>
    <t>Реконструкция ВЛ 6-10 кВ. Замена неизолированного провода на СИП 3 и расширение просеки ВЛ-6 кВл.546, в т.ч. ПИР, МО, Мытищинский р-н.</t>
  </si>
  <si>
    <t>081-0003332</t>
  </si>
  <si>
    <t>Выполнение СМР, ПНР, оборудование по Реконструкция ВЛ 6-10 кВ. Замена неизолированного провода на СИП 3 и расширение просеки ВЛ-6 кВ л.532, в т.ч. ПИР, МО, Мытищинский р-н.</t>
  </si>
  <si>
    <t>I-112312-02-11</t>
  </si>
  <si>
    <t>Реконструкция ВЛ 6-10 кВ. Замена неизолированного провода на СИП 3 и расширение просеки ВЛ-6 кВ л.532, в т.ч. ПИР, МО, Мытищинский р-н.</t>
  </si>
  <si>
    <t>081-0003333</t>
  </si>
  <si>
    <t>Выполнение СМР, ПНР, оборудование по Реконструкция ВЛ 6-10 кВ. Замена неизолированного провода на СИП 3 и расширение просеки ВЛ-6 кВ л.536, в т.ч. ПИР, МО, Мытищинский р-н.</t>
  </si>
  <si>
    <t>I-112312-02-12</t>
  </si>
  <si>
    <t>Реконструкция ВЛ 6-10 кВ. Замена неизолированного провода на СИП 3 и расширение просеки ВЛ-6 кВ л.536, в т.ч. ПИР, МО, Мытищинский р-н.</t>
  </si>
  <si>
    <t>081-0003335</t>
  </si>
  <si>
    <t>Выполнение СМР, ПНР, оборудование по Реконструкция ВЛ 6-10 кВ. Замена неизолированного провода на СИП 3 и расширение просеки ВЛ-6 кв. Фид.74, в т.ч. ПИР, МО, Сергиево-Посадский р-н.</t>
  </si>
  <si>
    <t>I-112312-02-13</t>
  </si>
  <si>
    <t>Реконструкция ВЛ 6-10 кВ. Замена неизолированного провода на СИП 3 и расширение просеки ВЛ-6 кв. Фид.74, в т.ч. ПИР, МО, Сергиево-Посадский р-н.</t>
  </si>
  <si>
    <t>081-0003336</t>
  </si>
  <si>
    <t>Выполнение СМР, ПНР, оборудование по Реконструкция ВЛ 6-10 кВ. Замена неизолированного провода на СИП 3 и расширение просеки ВЛ-6кв. Фид.75, в т.ч. ПИР, МО, Сергиево-Посадский р-н.</t>
  </si>
  <si>
    <t>I-112312-02-14</t>
  </si>
  <si>
    <t>Реконструкция ВЛ 6-10 кВ. Замена неизолированного провода на СИП 3 и расширение просеки ВЛ-6кв. Фид.75, в т.ч. ПИР, МО, Сергиево-Посадский р-н.</t>
  </si>
  <si>
    <t>081-0003337</t>
  </si>
  <si>
    <t>Выполнение СМР, ПНР, оборудование по Реконструкция ВЛ 6-10 кВ. Замена неизолированного провода на СИП 3 и расширение просеки ВЛ-10кв. Лин.509, в т.ч. ПИР, МО, Сергиево-Посадский р-н.</t>
  </si>
  <si>
    <t>I-112312-02-15</t>
  </si>
  <si>
    <t>Реконструкция ВЛ 6-10 кВ. Замена неизолированного провода на СИП 3 и расширение просеки ВЛ-10кв. Лин.509, в т.ч. ПИР, МО, Сергиево-Посадский р-н.</t>
  </si>
  <si>
    <t>081-0003338</t>
  </si>
  <si>
    <t>Выполнение СМР, ПНР, оборудование по Реконструкция ВЛ 6-10 кВ. Замена неизолированного провода на СИП 3 и расширение просеки ВЛ-6кв. Фид.422, в т.ч. ПИР, МО, Сергиево-Посадский р-н.</t>
  </si>
  <si>
    <t>I-112312-02-16</t>
  </si>
  <si>
    <t>Реконструкция ВЛ 6-10 кВ. Замена неизолированного провода на СИП 3 и расширение просеки ВЛ-6кв. Фид.422, в т.ч. ПИР, МО, Сергиево-Посадский р-н.</t>
  </si>
  <si>
    <t>081-0003339</t>
  </si>
  <si>
    <t>Выполнение СМР, ПНР, оборудование по Реконструкция ВЛ 6-10 кВ. Замена неизолированного провода на СИП 3 и расширение просеки ВЛ-10кв. Лин.580, в т.ч. ПИР, МО, Сергиево-Посадский р-н.</t>
  </si>
  <si>
    <t>I-112312-02-17</t>
  </si>
  <si>
    <t>Реконструкция ВЛ 6-10 кВ. Замена неизолированного провода на СИП 3 и расширение просеки ВЛ-10кв. Лин.580, в т.ч. ПИР, МО, Сергиево-Посадский р-н.</t>
  </si>
  <si>
    <t>081-0003340</t>
  </si>
  <si>
    <t>Выполнение СМР, ПНР, оборудование по Реконструкция ВЛ 6-10 кВ. Замена неизолированного провода на СИП 3 и расширение просеки ВЛ-10кв. Лин.706, в т.ч. ПИР, МО, Сергиево-Посадский р-н.</t>
  </si>
  <si>
    <t>I-112312-02-18</t>
  </si>
  <si>
    <t>Реконструкция ВЛ 6-10 кВ. Замена неизолированного провода на СИП 3 и расширение просеки ВЛ-10кв. Лин.706, в т.ч. ПИР, МО, Сергиево-Посадский р-н.</t>
  </si>
  <si>
    <t>081-0003341</t>
  </si>
  <si>
    <t>Выполнение СМР, ПНР, оборудование по Реконструкция ВЛ 6-10 кВ. Замена неизолированного провода на СИП 3 и расширение просеки ВЛ-10 кв. Фид.95, в т.ч. ПИР, МО, Сергиево-Посадский р-н.</t>
  </si>
  <si>
    <t>I-112312-02-19</t>
  </si>
  <si>
    <t>Реконструкция ВЛ 6-10 кВ. Замена неизолированного провода на СИП 3 и расширение просеки ВЛ-10 кв. Фид.95, в т.ч. ПИР, МО, Сергиево-Посадский р-н.</t>
  </si>
  <si>
    <t>081-0003343</t>
  </si>
  <si>
    <t>Выполнение СМР, ПНР, оборудование по Реконструкция ВЛ 6-10 кВ. Замена неизолированного провода на СИП 3 и расширение просеки л.519 РП-128, в т.ч. ПИР, МО, Сергиево-Посадский р-н.</t>
  </si>
  <si>
    <t>I-112312-02-20</t>
  </si>
  <si>
    <t>Реконструкция ВЛ 6-10 кВ. Замена неизолированного провода на СИП 3 и расширение просеки л.519 РП-128, в т.ч. ПИР, МО, Сергиево-Посадский р-н.</t>
  </si>
  <si>
    <t>081-0003344</t>
  </si>
  <si>
    <t>Выполнение СМР, ПНР, оборудование по Реконструкция ВЛ 6-10 кВ. Замена неизолированного провода на СИП 3 и расширение просеки ВЛ-6 кВ ф.6 ПС127,пролет 1-47, ответвл от ЛР 555оп 1- оп№23 КТП 506,ответвл от ЛР 550 оп 1- оп 8 к ЛР 595 в т.ч. ПИР, МО, Дмитровский р-н.</t>
  </si>
  <si>
    <t>I-112312-02-21</t>
  </si>
  <si>
    <t>Реконструкция ВЛ 6-10 кВ. Замена неизолированного провода на СИП 3 и расширение просеки ВЛ-6 кВ ф.6 ПС127,пролет 1-47, ответвл от ЛР 555оп 1- оп№23 КТП 506,ответвл от ЛР 550 оп 1- оп 8 к ЛР 595 в т.ч. ПИР, МО, Дмитровский р-н.</t>
  </si>
  <si>
    <t>081-0003345</t>
  </si>
  <si>
    <t>Выполнение СМР, ПНР, оборудование по Строительство РП - 10 кВ, ПКЛ-10 кВ от КРУ - 10 кВ ПС №145 Нахабино до нового РП - 10 кВ, установка яч. РП-10 кВ, в т.ч. ПИР, МО, Красногорский р-н, около р.п. Нахабино</t>
  </si>
  <si>
    <t>Авансы от ТП</t>
  </si>
  <si>
    <t>I-123366</t>
  </si>
  <si>
    <t>Строительство РП - 10 кВ, ПКЛ-10 кВ от КРУ - 10 кВ ПС №145 Нахабино до нового РП - 10 кВ, установка яч. РП-10 кВ, в т.ч. ПИР, МО, Красногорский р-н, около р.п. Нахабино</t>
  </si>
  <si>
    <t>081-0003347</t>
  </si>
  <si>
    <t>Строительство РП "СтройЭкология", уст. яч. в РУ - 10 кВ РП-10 кВ "д. Поздняково", КЛ-10 кВ от РУ - 10 кВ РП 10 кВ "д. Поздняково" до нового РП "СтройЭкология", в т.ч. ПИР, МО, Красногорский р-н, вблизи р.п. Нахабино</t>
  </si>
  <si>
    <t>I-123247</t>
  </si>
  <si>
    <t>081-0003348</t>
  </si>
  <si>
    <t>Выполнение СМР, ПНР, оборудование по Строительство РП-10 КВ, 2 ПКЛ-10 кВ от нового РП-10 кВ до ПС Жостово, в т.ч. ПИР, Московская область, Мытищинский район, д. Красная горка</t>
  </si>
  <si>
    <t>I-114692</t>
  </si>
  <si>
    <t>Строительство РП-10 КВ, 2 ПКЛ-10 кВ от нового РП-10 кВ до ПС Жостово, в т.ч. ПИР, Московская область, Мытищинский район, д. Красная горка</t>
  </si>
  <si>
    <t>081-0003349</t>
  </si>
  <si>
    <t>Выполнение СМР, ПНР, оборудование по Стрительство РТП-10 кВ, КВЛ-10 кВ до проектируемой РТП-10 кВ, монтаж КРН в точках ответвления от ф.5,7 ПС № 160 "Перемилово", наладка 2-х ячееек, в т.ч. ПИР, МО, г. Дмитров</t>
  </si>
  <si>
    <t>I-114693</t>
  </si>
  <si>
    <t>Стрительство РТП-10 кВ, КВЛ-10 кВ до проектируемой РТП-10 кВ, монтаж КРН в точках ответвления от ф.5,7 ПС № 160 "Перемилово", наладка 2-х ячееек, в т.ч. ПИР, МО, г. Дмитров</t>
  </si>
  <si>
    <t>081-0003350</t>
  </si>
  <si>
    <t>Выполнение СМР, ПНР по Строительство КЛ-10кВ от яч.11 ПС № 829 "Время" , в т.ч. ПИР, МО, Солнечногорский р-н, п. Ржавки</t>
  </si>
  <si>
    <t>СМР, ПНР</t>
  </si>
  <si>
    <t>Выполнение СМР, ПНР</t>
  </si>
  <si>
    <t>I-117710</t>
  </si>
  <si>
    <t>Строительство КЛ-10кВ от яч.11 ПС № 829 "Время" , в т.ч. ПИР, МО, Солнечногорский р-н, п. Ржавки</t>
  </si>
  <si>
    <t>081-0003351</t>
  </si>
  <si>
    <t>Выполнение СМР, ПНР, оборудование по Строительство КЛ-10кВ от ПС № 28 "Ангелово", в т.ч. ПИР, Красногорский р-н, в р-не д. Сабурово.</t>
  </si>
  <si>
    <t>I-117712</t>
  </si>
  <si>
    <t>Строительство КЛ-10кВ от ПС № 28 "Ангелово", в т.ч. ПИР, Красногорский р-н, в р-не д. Сабурово.</t>
  </si>
  <si>
    <t>081-0003352</t>
  </si>
  <si>
    <t>Строительство ТП-10 кВ, КЛ-10 кВ от нового ТП до ф. "Курилово", ПС №329 Осиновка, в т.ч. ПИР. МО, Солнечногорский р-н, д. Мелечкино</t>
  </si>
  <si>
    <t>I-123244</t>
  </si>
  <si>
    <t>081-0003354</t>
  </si>
  <si>
    <t>Выполнение СМР, ПНР по Строительство ВЛИ-0,38 кВ от КТП-146, ПС №442 "Юркино", в т.ч. ПИР, МО, Талдомский р-н, с. Великий Двор</t>
  </si>
  <si>
    <t>I-125614</t>
  </si>
  <si>
    <t>Строительство ВЛИ-0,38 кВ от КТП-146, ПС №442 "Юркино", в т.ч. ПИР, МО, Талдомский р-н, с. Великий Двор</t>
  </si>
  <si>
    <t>081-0003355</t>
  </si>
  <si>
    <t>Выполнение СМР, ПНР, оборудование по Строительство РП-10 кВ, КЛ-10 кВ, установка 4 яч., ПС №169 Константиново, в т.ч. ПИР, МО, Дмитровский р-н., г/п Дмитров, д. Ивашево, ул. Слободская, д.43</t>
  </si>
  <si>
    <t>I-126445</t>
  </si>
  <si>
    <t>Строительство РП-10 кВ, КЛ-10 кВ, установка 4 яч., ПС №169 Константиново, в т.ч. ПИР, МО, Дмитровский р-н., г/п Дмитров, д. Ивашево, ул. Слободская, д.43</t>
  </si>
  <si>
    <t>081-0003356</t>
  </si>
  <si>
    <t>Выполнение СМР, ПНР по Строительство КЛ-10кВ от ТП-10/0,4кВ ООО "Полярное", ПС №829 "Время", в т.ч. ПИР, МО, Солнечногорский р-н, д. Елино, ул. Летняя стр.1</t>
  </si>
  <si>
    <t>I-126949</t>
  </si>
  <si>
    <t>Строительство КЛ-10кВ от ТП-10/0,4кВ ООО "Полярное", ПС №829 "Время", в т.ч. ПИР, МО, Солнечногорский р-н, д. Елино, ул. Летняя стр.1</t>
  </si>
  <si>
    <t>081-0003357</t>
  </si>
  <si>
    <t>Выполнение СМР, ПНР, оборудование по Строительство БТ, РП-10/6 кВ, установка ячейки в сек.3 ПС №829 "Время",  ПКЛ-10кВ , в т.ч. ПИР, МО, Солнечногорский р-н, д. Владычино</t>
  </si>
  <si>
    <t>I-125473</t>
  </si>
  <si>
    <t>Строительство БТ, РП-10/6 кВ, установка ячейки в сек.3 ПС №829 "Время",  ПКЛ-10кВ , в т.ч. ПИР, МО, Солнечногорский р-н, д. Владычино</t>
  </si>
  <si>
    <t>081-0003358</t>
  </si>
  <si>
    <t>I-134685</t>
  </si>
  <si>
    <t xml:space="preserve">СтроительствоРП-10 кВ, 2ПКЛ-10 кВ, установка ячеек в РУ-10 кВ РП-10 кВ, в т. ч. ПИР, Московская область, Солнечногорский р-н, с.п.Кутузовское, д.Подолино
</t>
  </si>
  <si>
    <t>I-133220</t>
  </si>
  <si>
    <t>Строительство ячеек КСО-298, 2-х КЛ-10 кВ к ф.444407 и ф. 444220 ПС №444 "Бутаково", в т.ч. ПИР, МО, г. Химки, ул. Ленинградская, вл.24</t>
  </si>
  <si>
    <t>081-0003360</t>
  </si>
  <si>
    <t>Выполнение СМР, ПНР, оборудование по Строительство ЗРУ-6 кВ (15 яч.), в т.ч. ПИР, МО, г.о.Химки, Нагорное шоссе, д.6</t>
  </si>
  <si>
    <t>I-135741</t>
  </si>
  <si>
    <t>Строительство ЗРУ-6 кВ (15 яч.), в т.ч. ПИР, МО, г.о.Химки, Нагорное шоссе, д.6</t>
  </si>
  <si>
    <t>081-0003361</t>
  </si>
  <si>
    <t xml:space="preserve">Выполнение СМР, ПНР, оборудование по Установка 2 яч. в РУ-10 кВ ЦРП №22
(по одной ячейке на каждой секции), строительство ТП-10-кВ, ПКЛ-10 кВ,  в т.ч. ПИР, МО, г.Ивантеевка, ул.Железнодорожная, д.1, лит.Б
</t>
  </si>
  <si>
    <t>I-135743</t>
  </si>
  <si>
    <t xml:space="preserve">Установка 2 яч. в РУ-10 кВ ЦРП №22
(по одной ячейке на каждой секции), строительство ТП-10-кВ, ПКЛ-10 кВ,  в т.ч. ПИР, МО, г.Ивантеевка, ул.Железнодорожная, д.1, лит.Б
</t>
  </si>
  <si>
    <t>081-0003362</t>
  </si>
  <si>
    <t>Выполнение СМР, ПНР, оборудование по Установка 10 ячеек, ПС №71 Поварово, строительство РП-10 кВ, 2ПКЛ-10 кВ, в т.ч. ПИР, МО, Солнечногорский р-н., с.п. Пешковское, д. Жуково</t>
  </si>
  <si>
    <t>I-135744</t>
  </si>
  <si>
    <t>Установка 10 ячеек, ПС №71 Поварово, строительство РП-10 кВ, 2ПКЛ-10 кВ, в т.ч. ПИР, МО, Солнечногорский р-н., с.п. Пешковское, д. Жуково</t>
  </si>
  <si>
    <t>081-0003363</t>
  </si>
  <si>
    <t>Выполнение СМР, ПНР, оборудование по Установка 10 ячеек, ПС №837 Куркино, строительство РП-10 кВ, 2ПКЛ-10 кВ от РП-10 кВ до РУ-10 кВ ПС №837 Куркино, в т.ч. ПИР, МО, Красногорский район, вблизи д. Путилково</t>
  </si>
  <si>
    <t>I-135745</t>
  </si>
  <si>
    <t>Установка 10 ячеек, ПС №837 Куркино, строительство РП-10 кВ, 2ПКЛ-10 кВ от РП-10 кВ до РУ-10 кВ ПС №837 Куркино, в т.ч. ПИР, МО, Красногорский район, вблизи д. Путилково</t>
  </si>
  <si>
    <t>I-135663</t>
  </si>
  <si>
    <t>Реконструкция КРН-746, ВКЛ-10 кВ от КРН-746 до ТП-292, в т.ч.ПИР, МО, Одинцовский р-н, п.Ликино, п.Жаворонки</t>
  </si>
  <si>
    <t>083-0003974</t>
  </si>
  <si>
    <t>Выполнение СМР, ПНР, оборудование и  материалы  по титулу: Реконструкция КРН-746, ВКЛ-10 кВ от КРН-746 до ТП-292, в т.ч.ПИР, МО, Одинцовский р-н, п.Ликино, п.Жаворонки</t>
  </si>
  <si>
    <t>I-111361</t>
  </si>
  <si>
    <t>083-0003977</t>
  </si>
  <si>
    <t>I-118317</t>
  </si>
  <si>
    <t xml:space="preserve">Реконструкция ПС 110/35 кВ № 189 "Успенская"
</t>
  </si>
  <si>
    <t>083-0003980</t>
  </si>
  <si>
    <t>Выполнение  ПИР,авторский надзор (строительство заходов ВЛ 110 кВ «Грибово-Сычи» с образованием новых ВЛ 110 кВ «Грибово-Панфиловская» и «Панфиловская-Сычи») по титулу: ПС "Панфиловская" 110\35\10</t>
  </si>
  <si>
    <t>I-101467</t>
  </si>
  <si>
    <t>ПС "Панфиловская" 110\35\10</t>
  </si>
  <si>
    <t>I-133440</t>
  </si>
  <si>
    <t>Реконструкция ПС "Первомайская", замена ячеек КРУН 10 кВ, в т.ч. ПИР, МО, Наро-Фоминский р-н</t>
  </si>
  <si>
    <t>083-0004024</t>
  </si>
  <si>
    <t>Выполнение СМР, ПНР, оборудование и  материалы по титулу: Строительство двухсекционного РП-10 кВ «Нотис» с установкой ячеек КСО-298, в т.ч.ПИР,МО,Наро-Фоминский р-н,с.п.Первомайское,п.Первомайское</t>
  </si>
  <si>
    <t>I-125221</t>
  </si>
  <si>
    <t>Строительство двухсекционного РП-10 кВ «Нотис» с установкой ячеек КСО-298, в т.ч.ПИР,МО,Наро-Фоминский р-н,с.п.Первомайское,п.Первомайское</t>
  </si>
  <si>
    <t>083-0004025</t>
  </si>
  <si>
    <t>Выполнение СМР, ПНР, оборудование и  материалы по титулу: Строительство РП-10 кВ "Агрострой"с установкой ячеек в РУ-10 кВ,ПКЛ-10 кВ от ячеек №306 и №807 в РУ-10 кВ ПС-25 "Встреча" до сооружаемого РП-10 кВ,в т.ч.ПИР, МО,Наро-Фоминский р-н., с.п. Превомайское,вблизи д.Ивановское, уч.1/1</t>
  </si>
  <si>
    <t>I-125500</t>
  </si>
  <si>
    <t>Строительство РП-10 кВ "Агрострой"с установкой ячеек в РУ-10 кВ,ПКЛ-10 кВ от ячеек №306 и №807 в РУ-10 кВ ПС-25 "Встреча" до сооружаемого РП-10 кВ,в т.ч.ПИР, МО,Наро-Фоминский р-н., с.п. Превомайское,вблизи д.Ивановское, уч.1/1</t>
  </si>
  <si>
    <t>083-0004029</t>
  </si>
  <si>
    <t>I-105778</t>
  </si>
  <si>
    <t xml:space="preserve">Реконструкция  ПС № 316 110/35 кВ  "Дарьино" </t>
  </si>
  <si>
    <t>083-0004030</t>
  </si>
  <si>
    <t>I-118321</t>
  </si>
  <si>
    <t>Строительство РП-19, Можайский РЭС (7 ячеек с ВВ, 1 ячейка секционная с ВВ, 2 ячейки с ТН).</t>
  </si>
  <si>
    <t>I-111330</t>
  </si>
  <si>
    <t>ПС № 802 "Духанино"</t>
  </si>
  <si>
    <t>083-0004046</t>
  </si>
  <si>
    <t>I-108740</t>
  </si>
  <si>
    <t>Электроснабжение диспетчерских пунктов ОДГ ЗЭС</t>
  </si>
  <si>
    <t>083-0004071</t>
  </si>
  <si>
    <t>Выполнение работ, включая ПИР, авторский надзор, СМР, ПНР (замена на СИП) по титулу: Реконструкция сети 10 кВ с установкой КТПП 10 кВ 630 кВА и строительство ВЛ 10 кВ, д. Демидково Рузский РЭС</t>
  </si>
  <si>
    <t>I-118143</t>
  </si>
  <si>
    <t>Реконструкция сети 10 кВ с установкой КТПП 10 кВ 630 кВА и строительство ВЛ 10 кВ, д. Демидково Рузский РЭС</t>
  </si>
  <si>
    <t>083-0004111</t>
  </si>
  <si>
    <t>Выполнение работ, включая ПИР, авторский надзор, СМР, ПНР (замена на СИП) по титулу: Реконструкция ВЛ-0,4 кВ ф.2 от МТП-325 ПС-193 "Троицкая", в т.ч. ПИР, МО, Наро-Фоминский р-н, Первомайское с.п., д.Поповка</t>
  </si>
  <si>
    <t>I-133570</t>
  </si>
  <si>
    <t>Реконструкция ВЛ-0,4 кВ ф.2 от МТП-325 ПС-193 "Троицкая", в т.ч. ПИР, МО, Наро-Фоминский р-н, Первомайское с.п., д.Поповка</t>
  </si>
  <si>
    <t>083-0004124</t>
  </si>
  <si>
    <t>Выполнение работ, включая ПИР, авторский надзор, СМР, ПНР (замена на СИП) по титулу: Реконструкция ВЛ-0,4 кВ ф.1 от КТП-88 ПС-575 "Селятино", в т.ч. ПИР, МО, Наро-Фоминский р-н, Ново-Федоровское с.п., д.Зверево</t>
  </si>
  <si>
    <t>I-133490</t>
  </si>
  <si>
    <t>Реконструкция ВЛ-0,4 кВ ф.1 от КТП-88 ПС-575 "Селятино", в т.ч. ПИР, МО, Наро-Фоминский р-н, Ново-Федоровское с.п., д.Зверево</t>
  </si>
  <si>
    <t>083-0004122</t>
  </si>
  <si>
    <t>Выполнение работ, включая ПИР, авторский надзор, СМР, ПНР (замена на СИП) по титулу: Реконструкция ВЛ-0,4 кВ ф.2 от КТП-88 ПС-575 "Селятино", в т.ч. ПИР, МО, Наро-Фоминский р-н, Ново-Федоровское с.п., д.Зверево</t>
  </si>
  <si>
    <t>I-133491</t>
  </si>
  <si>
    <t>Реконструкция ВЛ-0,4 кВ ф.2 от КТП-88 ПС-575 "Селятино", в т.ч. ПИР, МО, Наро-Фоминский р-н, Ново-Федоровское с.п., д.Зверево</t>
  </si>
  <si>
    <t>083-0004114</t>
  </si>
  <si>
    <t>Выполнение работ, включая ПИР, авторский надзор, СМР, ПНР (замена на СИП) по титулу: Реконструкция ВЛ-0,4 кВ ф.1 от МТП-91 ПС-575 "Селятино", в т.ч. ПИР, МО, Наро-Фоминский р-н, Ново-Федоровское с.п., д.Пахорка</t>
  </si>
  <si>
    <t>I-133492</t>
  </si>
  <si>
    <t>Реконструкция ВЛ-0,4 кВ ф.1 от МТП-91 ПС-575 "Селятино", в т.ч. ПИР, МО, Наро-Фоминский р-н, Ново-Федоровское с.п., д.Пахорка</t>
  </si>
  <si>
    <t>Выполнение работ, включая ПИР, авторский надзор, СМР, ПНР (замена на СИП) по титулу: Реконструкция ВЛ-0,4 кВ ф.1 от КТП-92 ПС-575 "Селятино", в т.ч. ПИР, МО, Наро-Фоминский р-н, Ново-Федоровское с.п., д.Ожигово</t>
  </si>
  <si>
    <t>I-133493</t>
  </si>
  <si>
    <t>Реконструкция ВЛ-0,4 кВ ф.1 от КТП-92 ПС-575 "Селятино", в т.ч. ПИР, МО, Наро-Фоминский р-н, Ново-Федоровское с.п., д.Ожигово</t>
  </si>
  <si>
    <t>083-0004112</t>
  </si>
  <si>
    <t>Выполнение работ, включая ПИР, авторский надзор, СМР, ПНР (замена на СИП) по титулу: Реконструкция ВЛ-0,4 кВ ф.2 от КТП-92 ПС-575 "Селятино", в т.ч. ПИР, МО, Наро-Фоминский р-н, Ново-Федоровское с.п., д.Ожигово</t>
  </si>
  <si>
    <t>I-133494</t>
  </si>
  <si>
    <t>Реконструкция ВЛ-0,4 кВ ф.2 от КТП-92 ПС-575 "Селятино", в т.ч. ПИР, МО, Наро-Фоминский р-н, Ново-Федоровское с.п., д.Ожигово</t>
  </si>
  <si>
    <t>083-0004110</t>
  </si>
  <si>
    <t>Выполнение работ, включая ПИР, авторский надзор, СМР, ПНР (замена на СИП) по титулу: Реконструкция ВЛ-0,4 кВ ф.3 от КТП-92 ПС-575 "Селятино", в т.ч. ПИР, МО, Наро-Фоминский р-н, Ново-Федоровское с.п., д.Ожигово</t>
  </si>
  <si>
    <t>I-133495</t>
  </si>
  <si>
    <t>Реконструкция ВЛ-0,4 кВ ф.3 от КТП-92 ПС-575 "Селятино", в т.ч. ПИР, МО, Наро-Фоминский р-н, Ново-Федоровское с.п., д.Ожигово</t>
  </si>
  <si>
    <t>083-0004108</t>
  </si>
  <si>
    <t>Выполнение работ, включая ПИР, авторский надзор, СМР, ПНР (замена на СИП) по титулу: Реконструкция ВЛ-0,4 кВ ф.4 от КТП-92 ПС-575 "Селятино", в т.ч. ПИР, МО, Наро-Фоминский р-н, Ново-Федоровское с.п., д.Ожигово</t>
  </si>
  <si>
    <t>I-133496</t>
  </si>
  <si>
    <t>Реконструкция ВЛ-0,4 кВ ф.4 от КТП-92 ПС-575 "Селятино", в т.ч. ПИР, МО, Наро-Фоминский р-н, Ново-Федоровское с.п., д.Ожигово</t>
  </si>
  <si>
    <t>083-0004101</t>
  </si>
  <si>
    <t>Выполнение работ, включая ПИР, авторский надзор, СМР, ПНР (замена на СИП) по титулу: Реконструкция ВЛ-0,4 кВ ф.5 от КТП-92 ПС-575 "Селятино", в т.ч. ПИР, МО, Наро-Фоминский р-н, Ново-Федоровское с.п., д.Ожигово</t>
  </si>
  <si>
    <t>I-133497</t>
  </si>
  <si>
    <t>Реконструкция ВЛ-0,4 кВ ф.5 от КТП-92 ПС-575 "Селятино", в т.ч. ПИР, МО, Наро-Фоминский р-н, Ново-Федоровское с.п., д.Ожигово</t>
  </si>
  <si>
    <t>083-0004096</t>
  </si>
  <si>
    <t>Выполнение работ, включая ПИР, авторский надзор, СМР, ПНР (замена на СИП) по титулу: Реконструкция ВЛ-0,4 кВ ф.1 от МТП-94 ПС-371 "Кузнецово", в т.ч. ПИР, МО, Наро-Фоминский р-н, Ново-Федоровское с.п., п.Рассудово</t>
  </si>
  <si>
    <t>I-133498</t>
  </si>
  <si>
    <t>Реконструкция ВЛ-0,4 кВ ф.1 от МТП-94 ПС-371 "Кузнецово", в т.ч. ПИР, МО, Наро-Фоминский р-н, Ново-Федоровское с.п., п.Рассудово</t>
  </si>
  <si>
    <t>Выполнение работ, включая ПИР, авторский надзор, СМР, ПНР (замена на СИП) по титулу: Реконструкция ВЛ-0,4 кВ ф.2 от МТП-94 ПС-371 "Кузнецово", в т.ч. ПИР, МО, Наро-Фоминский р-н, Ново-Федоровское с.п., п.Рассудово</t>
  </si>
  <si>
    <t>I-133499</t>
  </si>
  <si>
    <t>Реконструкция ВЛ-0,4 кВ ф.2 от МТП-94 ПС-371 "Кузнецово", в т.ч. ПИР, МО, Наро-Фоминский р-н, Ново-Федоровское с.п., п.Рассудово</t>
  </si>
  <si>
    <t>083-0004092</t>
  </si>
  <si>
    <t>Выполнение работ, включая ПИР, авторский надзор, СМР, ПНР (замена на СИП) по титулу: Реконструкция ВЛ-0,4 кВ ф.3 от МТП-94 ПС-371 "Кузнецово", в т.ч. ПИР, МО, Наро-Фоминский р-н, Ново-Федоровское с.п., п.Рассудово</t>
  </si>
  <si>
    <t>I-133500</t>
  </si>
  <si>
    <t>Реконструкция ВЛ-0,4 кВ ф.3 от МТП-94 ПС-371 "Кузнецово", в т.ч. ПИР, МО, Наро-Фоминский р-н, Ново-Федоровское с.п., п.Рассудово</t>
  </si>
  <si>
    <t>083-0004090</t>
  </si>
  <si>
    <t>Выполнение работ, включая ПИР, авторский надзор, СМР, ПНР (замена на СИП) по титулу: Реконструкция ВЛ-0,4 кВ ф.1 от КТП-95 ПС-371 "Кузнецово", в т.ч. ПИР, МО, Наро-Фоминский р-н, Ново-Федоровское с.п., п.Рассудово</t>
  </si>
  <si>
    <t>I-133501</t>
  </si>
  <si>
    <t>Реконструкция ВЛ-0,4 кВ ф.1 от КТП-95 ПС-371 "Кузнецово", в т.ч. ПИР, МО, Наро-Фоминский р-н, Ново-Федоровское с.п., п.Рассудово</t>
  </si>
  <si>
    <t>083-0004088</t>
  </si>
  <si>
    <t>Выполнение работ, включая ПИР, авторский надзор, СМР, ПНР (замена на СИП) по титулу: Реконструкция ВЛ-0,4 кВ ф.1 от КТП-96 ПС-371 "Кузнецово", в т.ч. ПИР, МО, Наро-Фоминский р-н, Ново-Федоровское с.п., к/с Госбанк,Рассудовец, Пахра, Опыт, Аремкус</t>
  </si>
  <si>
    <t>I-133503</t>
  </si>
  <si>
    <t>Реконструкция ВЛ-0,4 кВ ф.1 от КТП-96 ПС-371 "Кузнецово", в т.ч. ПИР, МО, Наро-Фоминский р-н, Ново-Федоровское с.п., к/с Госбанк,Рассудовец, Пахра, Опыт, Аремкус</t>
  </si>
  <si>
    <t>083-0004087</t>
  </si>
  <si>
    <t>Выполнение работ, включая ПИР, авторский надзор, СМР, ПНР (замена на СИП) по титулу: Реконструкция ВЛ-0,4 кВ ф.2 от КТП-96 ПС-371 "Кузнецово", в т.ч. ПИР, МО, Наро-Фоминский р-н, Ново-Федоровское с.п., к/с Госбанк,Рассудовец, Пахра, Опыт, Аремкус</t>
  </si>
  <si>
    <t>I-133504</t>
  </si>
  <si>
    <t>Реконструкция ВЛ-0,4 кВ ф.2 от КТП-96 ПС-371 "Кузнецово", в т.ч. ПИР, МО, Наро-Фоминский р-н, Ново-Федоровское с.п., к/с Госбанк,Рассудовец, Пахра, Опыт, Аремкус</t>
  </si>
  <si>
    <t>083-0004086</t>
  </si>
  <si>
    <t>Выполнение работ, включая ПИР, авторский надзор, СМР, ПНР (замена на СИП) по титулу: Реконструкция ВЛ-0,4 кВ ф.4 от КТП-96 ПС-371 "Кузнецово", в т.ч. ПИР, МО, Наро-Фоминский р-н, Ново-Федоровское с.п., к/с Госбанк,Рассудовец, Пахра, Опыт, Аремкус</t>
  </si>
  <si>
    <t>I-133505</t>
  </si>
  <si>
    <t>Реконструкция ВЛ-0,4 кВ ф.4 от КТП-96 ПС-371 "Кузнецово", в т.ч. ПИР, МО, Наро-Фоминский р-н, Ново-Федоровское с.п., к/с Госбанк,Рассудовец, Пахра, Опыт, Аремкус</t>
  </si>
  <si>
    <t>083-0004085</t>
  </si>
  <si>
    <t>Выполнение работ, включая ПИР, авторский надзор, СМР, ПНР (замена на СИП) по титулу: Реконструкция ВЛ-0,4 кВ ф.1 от КТП-97 ПС-371 "Кузнецово", в т.ч. ПИР, МО, Наро-Фоминский р-н, Ново-Федоровское с.п., п.Рассудово</t>
  </si>
  <si>
    <t>I-133507</t>
  </si>
  <si>
    <t>Реконструкция ВЛ-0,4 кВ ф.1 от КТП-97 ПС-371 "Кузнецово", в т.ч. ПИР, МО, Наро-Фоминский р-н, Ново-Федоровское с.п., п.Рассудово</t>
  </si>
  <si>
    <t>083-0004084</t>
  </si>
  <si>
    <t>Выполнение работ, включая ПИР, авторский надзор, СМР, ПНР (замена на СИП) по титулу: Реконструкция ВЛ-0,4 кВ ф.2 от КТП-97 ПС-371 "Кузнецово", в т.ч. ПИР, МО, Наро-Фоминский р-н, Ново-Федоровское с.п., п.Рассудово</t>
  </si>
  <si>
    <t>I-133508</t>
  </si>
  <si>
    <t>Реконструкция ВЛ-0,4 кВ ф.2 от КТП-97 ПС-371 "Кузнецово", в т.ч. ПИР, МО, Наро-Фоминский р-н, Ново-Федоровское с.п., п.Рассудово</t>
  </si>
  <si>
    <t>083-0004083</t>
  </si>
  <si>
    <t>Выполнение работ, включая ПИР, авторский надзор, СМР, ПНР (замена на СИП) по титулу: Реконструкция ВЛ-0,4 кВ ф.3 от КТП-97 ПС-371 "Кузнецово", в т.ч. ПИР, МО, Наро-Фоминский р-н, Ново-Федоровское с.п., п.Рассудово</t>
  </si>
  <si>
    <t>I-133509</t>
  </si>
  <si>
    <t>Реконструкция ВЛ-0,4 кВ ф.3 от КТП-97 ПС-371 "Кузнецово", в т.ч. ПИР, МО, Наро-Фоминский р-н, Ново-Федоровское с.п., п.Рассудово</t>
  </si>
  <si>
    <t>083-0004082</t>
  </si>
  <si>
    <t>Выполнение работ, включая ПИР, авторский надзор, СМР, ПНР (замена на СИП) по титулу: Реконструкция ВЛ-0,4 кВ ф.Деревня от КТП-101 ПС-371 "Кузнецово", в т.ч. ПИР, МО, Наро-Фоминский р-н, Ново-Федоровское с.п., д.Руднево</t>
  </si>
  <si>
    <t>I-133510</t>
  </si>
  <si>
    <t>Реконструкция ВЛ-0,4 кВ ф.Деревня от КТП-101 ПС-371 "Кузнецово", в т.ч. ПИР, МО, Наро-Фоминский р-н, Ново-Федоровское с.п., д.Руднево</t>
  </si>
  <si>
    <t>083-0004081</t>
  </si>
  <si>
    <t>Выполнение работ, включая ПИР, авторский надзор, СМР, ПНР (замена на СИП) по титулу: Реконструкция ВЛ-0,4 кВ ф.1 от КТП-101 ПС-371 "Кузнецово", в т.ч. ПИР, МО, Наро-Фоминский р-н, Ново-Федоровское с.п., д.Руднево</t>
  </si>
  <si>
    <t>I-133511</t>
  </si>
  <si>
    <t>Реконструкция ВЛ-0,4 кВ ф.1 от КТП-101 ПС-371 "Кузнецово", в т.ч. ПИР, МО, Наро-Фоминский р-н, Ново-Федоровское с.п., д.Руднево</t>
  </si>
  <si>
    <t>083-0004080</t>
  </si>
  <si>
    <t>Выполнение работ, включая ПИР, авторский надзор, СМР, ПНР (замена на СИП) по титулу: Реконструкция ВЛ-0,4 кВ ф.2 от КТП-101 ПС-371 "Кузнецово", в т.ч. ПИР, МО, Наро-Фоминский р-н, Ново-Федоровское с.п., д.Руднево</t>
  </si>
  <si>
    <t>I-133512</t>
  </si>
  <si>
    <t>Реконструкция ВЛ-0,4 кВ ф.2 от КТП-101 ПС-371 "Кузнецово", в т.ч. ПИР, МО, Наро-Фоминский р-н, Ново-Федоровское с.п., д.Руднево</t>
  </si>
  <si>
    <t>083-0004079</t>
  </si>
  <si>
    <t>Выполнение работ, включая ПИР, авторский надзор, СМР, ПНР (замена на СИП) по титулу: Реконструкция ВЛ-0,4 кВ ф.2 от КТП-300 ПС-193 "Троицкая", в т.ч. ПИР, МО, Наро-Фоминский р-н, Первомайское с.п., д.Пучково</t>
  </si>
  <si>
    <t>I-133549</t>
  </si>
  <si>
    <t>Реконструкция ВЛ-0,4 кВ ф.2 от КТП-300 ПС-193 "Троицкая", в т.ч. ПИР, МО, Наро-Фоминский р-н, Первомайское с.п., д.Пучково</t>
  </si>
  <si>
    <t>083-0004077</t>
  </si>
  <si>
    <t>Выполнение работ, включая ПИР, авторский надзор, СМР, ПНР (замена на СИП) по титулу: Реконструкция ВЛ-0,4 кВ ф.4 от КТП-101 ПС-371 "Кузнецово", в т.ч. ПИР, МО, Наро-Фоминский р-н, Ново-Федоровское с.п., д.Руднево</t>
  </si>
  <si>
    <t>I-133514</t>
  </si>
  <si>
    <t>Реконструкция ВЛ-0,4 кВ ф.4 от КТП-101 ПС-371 "Кузнецово", в т.ч. ПИР, МО, Наро-Фоминский р-н, Ново-Федоровское с.п., д.Руднево</t>
  </si>
  <si>
    <t>083-0004076</t>
  </si>
  <si>
    <t>Выполнение работ, включая ПИР, авторский надзор, СМР, ПНР (замена на СИП) по титулу: Реконструкция ВЛ-0,4 кВ ф.1 от МТП-112 ПС-371 "Кузнецово", в т.ч. ПИР, МО, Наро-Фоминский р-н, Ново-Федоровское с.п., д.Новиково</t>
  </si>
  <si>
    <t>I-133515</t>
  </si>
  <si>
    <t>Реконструкция ВЛ-0,4 кВ ф.1 от МТП-112 ПС-371 "Кузнецово", в т.ч. ПИР, МО, Наро-Фоминский р-н, Ново-Федоровское с.п., д.Новиково</t>
  </si>
  <si>
    <t>083-0004075</t>
  </si>
  <si>
    <t>Выполнение работ, включая ПИР, авторский надзор, СМР, ПНР (замена на СИП) по титулу: Реконструкция ВЛ-0,4 кВ ф.2 от МТП-112 ПС-371 "Кузнецово", в т.ч. ПИР, МО, Наро-Фоминский р-н, Ново-Федоровское с.п., д.Новиково</t>
  </si>
  <si>
    <t>I-133516</t>
  </si>
  <si>
    <t>Реконструкция ВЛ-0,4 кВ ф.2 от МТП-112 ПС-371 "Кузнецово", в т.ч. ПИР, МО, Наро-Фоминский р-н, Ново-Федоровское с.п., д.Новиково</t>
  </si>
  <si>
    <t>083-0004074</t>
  </si>
  <si>
    <t>Выполнение работ, включая ПИР, авторский надзор, СМР, ПНР (замена на СИП) по титулу: Реконструкция ВЛ-0,4 кВ ф.Деревня от МТП-118 ПС-371 "Кузнецово", в т.ч. ПИР, МО, Наро-Фоминский р-н, Ново-Федоровское с.п., д.Хмырово</t>
  </si>
  <si>
    <t>I-133517</t>
  </si>
  <si>
    <t>Реконструкция ВЛ-0,4 кВ ф.Деревня от МТП-118 ПС-371 "Кузнецово", в т.ч. ПИР, МО, Наро-Фоминский р-н, Ново-Федоровское с.п., д.Хмырово</t>
  </si>
  <si>
    <t>083-0004073</t>
  </si>
  <si>
    <t>Выполнение работ, включая ПИР, авторский надзор, СМР, ПНР (замена на СИП) по титулу: Реконструкция ВЛ-0,4 кВ ф.Деревня от МТП-119 ПС-371 "Кузнецово", в т.ч. ПИР, МО, Наро-Фоминский р-н, Ново-Федоровское с.п., д.Голохвастово</t>
  </si>
  <si>
    <t>I-133518</t>
  </si>
  <si>
    <t>Реконструкция ВЛ-0,4 кВ ф.Деревня от МТП-119 ПС-371 "Кузнецово", в т.ч. ПИР, МО, Наро-Фоминский р-н, Ново-Федоровское с.п., д.Голохвастово</t>
  </si>
  <si>
    <t>083-0004072</t>
  </si>
  <si>
    <t>Выполнение работ, включая ПИР, авторский надзор, СМР, ПНР (замена на СИП) по титулу: Реконструкция ВЛ-0,4 кВ ф.Деревня от КТП-113 ПС-371 "Кузнецово", в т.ч. ПИР, МО, Наро-Фоминский р-н, Ново-Федоровское с.п., д.Федоровское</t>
  </si>
  <si>
    <t>I-133519</t>
  </si>
  <si>
    <t>Реконструкция ВЛ-0,4 кВ ф.Деревня от КТП-113 ПС-371 "Кузнецово", в т.ч. ПИР, МО, Наро-Фоминский р-н, Ново-Федоровское с.п., д.Федоровское</t>
  </si>
  <si>
    <t>083-0004067</t>
  </si>
  <si>
    <t>Выполнение работ, включая ПИР, авторский надзор, СМР, ПНР (замена на СИП) по титулу: Реконструкция ВЛ-0,4 кВ ф.Деревня от КТП-115 ПС-673 "Встреча", в т.ч. ПИР, МО, Наро-Фоминский р-н, Ново-Федоровское с.п., д.Крекшино</t>
  </si>
  <si>
    <t>I-133522</t>
  </si>
  <si>
    <t>Реконструкция ВЛ-0,4 кВ ф.Деревня от КТП-115 ПС-673 "Встреча", в т.ч. ПИР, МО, Наро-Фоминский р-н, Ново-Федоровское с.п., д.Крекшино</t>
  </si>
  <si>
    <t>083-0004066</t>
  </si>
  <si>
    <t>Выполнение работ, включая ПИР, авторский надзор, СМР, ПНР (замена на СИП) по титулу: Реконструкция ВЛ-0,4 кВ ф.1 от КТП-116 ПС-371 "Кузнецово", в т.ч. ПИР, МО, Наро-Фоминский р-н, Ново-Федоровское с.п., д.Белоусово</t>
  </si>
  <si>
    <t>I-133523</t>
  </si>
  <si>
    <t>Реконструкция ВЛ-0,4 кВ ф.1 от КТП-116 ПС-371 "Кузнецово", в т.ч. ПИР, МО, Наро-Фоминский р-н, Ново-Федоровское с.п., д.Белоусово</t>
  </si>
  <si>
    <t>083-0004065</t>
  </si>
  <si>
    <t xml:space="preserve">Выполнение работ, включая ПИР, авторский надзор, СМР, ПНР (замена на СИП) по титулу: Реконструкция ВЛ-0,4 кВ ф.Деревня от КТП-117 ПС-371 "Кузнецово", в т.ч. ПИР, МО, Наро-Фоминский р-н, Ново-Федоровское с.п., д.Хутора Гуляевы </t>
  </si>
  <si>
    <t>I-133524</t>
  </si>
  <si>
    <t xml:space="preserve">Реконструкция ВЛ-0,4 кВ ф.Деревня от КТП-117 ПС-371 "Кузнецово", в т.ч. ПИР, МО, Наро-Фоминский р-н, Ново-Федоровское с.п., д.Хутора Гуляевы </t>
  </si>
  <si>
    <t>083-0004064</t>
  </si>
  <si>
    <t>Выполнение работ, включая ПИР, авторский надзор, СМР, ПНР (замена на СИП) по титулу: Реконструкция ВЛ-0,4 кВ ф.1 от КТП-149 ПС-371 "Кузнецово", в т.ч. ПИР, МО, Наро-Фоминский р-н, Ново-Федоровское с.п., д.Ожигово</t>
  </si>
  <si>
    <t>I-133526</t>
  </si>
  <si>
    <t>Реконструкция ВЛ-0,4 кВ ф.1 от КТП-149 ПС-371 "Кузнецово", в т.ч. ПИР, МО, Наро-Фоминский р-н, Ново-Федоровское с.п., д.Ожигово</t>
  </si>
  <si>
    <t>083-0004063</t>
  </si>
  <si>
    <t>Выполнение работ, включая ПИР, авторский надзор, СМР, ПНР (замена на СИП) по титулу: Реконструкция ВЛ-0,4 кВ ф.2 от КТП-149 ПС-371 "Кузнецово", в т.ч. ПИР, МО, Наро-Фоминский р-н, Ново-Федоровское с.п., д.Ожигово</t>
  </si>
  <si>
    <t>I-133527</t>
  </si>
  <si>
    <t>Реконструкция ВЛ-0,4 кВ ф.2 от КТП-149 ПС-371 "Кузнецово", в т.ч. ПИР, МО, Наро-Фоминский р-н, Ново-Федоровское с.п., д.Ожигово</t>
  </si>
  <si>
    <t>083-0004062</t>
  </si>
  <si>
    <t>Выполнение работ, включая ПИР, авторский надзор, СМР, ПНР (замена на СИП) по титулу: Реконструкция ВЛ-0,4 кВ ф.Яковлевское от ТП-174 ПС-371 "Кузнецово", в т.ч. ПИР, МО, Наро-Фоминский р-н, Ново-Федоровское с.п., п.Яковлевское</t>
  </si>
  <si>
    <t>I-133529</t>
  </si>
  <si>
    <t>Реконструкция ВЛ-0,4 кВ ф.Яковлевское от ТП-174 ПС-371 "Кузнецово", в т.ч. ПИР, МО, Наро-Фоминский р-н, Ново-Федоровское с.п., п.Яковлевское</t>
  </si>
  <si>
    <t>083-0004061</t>
  </si>
  <si>
    <t>Выполнение работ, включая ПИР, авторский надзор, СМР, ПНР (замена на СИП) по титулу: Реконструкция ВЛ-0,4 кВ ф.Лесничество от ТП-174 ПС-371 "Кузнецово", в т.ч. ПИР, МО, Наро-Фоминский р-н, Ново-Федоровское с.п., п.Яковлевское</t>
  </si>
  <si>
    <t>I-133530</t>
  </si>
  <si>
    <t>Реконструкция ВЛ-0,4 кВ ф.Лесничество от ТП-174 ПС-371 "Кузнецово", в т.ч. ПИР, МО, Наро-Фоминский р-н, Ново-Федоровское с.п., п.Яковлевское</t>
  </si>
  <si>
    <t>083-0004060</t>
  </si>
  <si>
    <t>Выполнение работ, включая ПИР, авторский надзор, СМР, ПНР (замена на СИП) по титулу: Реконструкция ВЛ-0,4 кВ ф.Водозабор от ЗТП-193 ПС-25 "Встреча", в т.ч. ПИР, МО, Наро-Фоминский р-н, Марушкинское с.п., п.Крёкшино</t>
  </si>
  <si>
    <t>I-133531</t>
  </si>
  <si>
    <t>Реконструкция ВЛ-0,4 кВ ф.Водозабор от ЗТП-193 ПС-25 "Встреча", в т.ч. ПИР, МО, Наро-Фоминский р-н, Марушкинское с.п., п.Крёкшино</t>
  </si>
  <si>
    <t>083-0004059</t>
  </si>
  <si>
    <t xml:space="preserve">Выполнение работ, включая ПИР, авторский надзор, СМР, ПНР (замена на СИП) по титулу: Реконструкция ВЛ-0,4 кВ ф.Деревня от КТП-217 ПС-124 "Кокошкино", в т.ч. ПИР, МО, Наро-Фоминский р-н, Марушкинское с.п., х.Брехово </t>
  </si>
  <si>
    <t>I-133535</t>
  </si>
  <si>
    <t xml:space="preserve">Реконструкция ВЛ-0,4 кВ ф.Деревня от КТП-217 ПС-124 "Кокошкино", в т.ч. ПИР, МО, Наро-Фоминский р-н, Марушкинское с.п., х.Брехово </t>
  </si>
  <si>
    <t>083-0004058</t>
  </si>
  <si>
    <t xml:space="preserve">Выполнение работ, включая ПИР, авторский надзор, СМР, ПНР (замена на СИП) по титулу: Реконструкция ВЛ-0,4 кВ ф.Деревня от КТП-226 ПС-811 "Первомайская", в т.ч. ПИР, МО, Наро-Фоминский р-н, Первомайское с.п., д.Бараново  </t>
  </si>
  <si>
    <t>I-133536</t>
  </si>
  <si>
    <t xml:space="preserve">Реконструкция ВЛ-0,4 кВ ф.Деревня от КТП-226 ПС-811 "Первомайская", в т.ч. ПИР, МО, Наро-Фоминский р-н, Первомайское с.п., д.Бараново  </t>
  </si>
  <si>
    <t>083-0004057</t>
  </si>
  <si>
    <t xml:space="preserve">Выполнение работ, включая ПИР, авторский надзор, СМР, ПНР (замена на СИП) по титулу: Реконструкция ВЛ-0,4 кВ ф.1 от КТП-228 ПС-673 "Бараново", в т.ч. ПИР, МО, Наро-Фоминский р-н, Первомайское с.п., д.Настасьино  </t>
  </si>
  <si>
    <t>I-133537</t>
  </si>
  <si>
    <t xml:space="preserve">Реконструкция ВЛ-0,4 кВ ф.1 от КТП-228 ПС-673 "Бараново", в т.ч. ПИР, МО, Наро-Фоминский р-н, Первомайское с.п., д.Настасьино  </t>
  </si>
  <si>
    <t>083-0004056</t>
  </si>
  <si>
    <t xml:space="preserve">Выполнение работ, включая ПИР, авторский надзор, СМР, ПНР (замена на СИП) по титулу: Реконструкция ВЛ-0,4 кВ ф.Деревня от КТП-241 ПС-673 "Бараново", в т.ч. ПИР, МО, Наро-Фоминский р-н, Первомайское с.п., д.Анино  </t>
  </si>
  <si>
    <t>I-133538</t>
  </si>
  <si>
    <t xml:space="preserve">Реконструкция ВЛ-0,4 кВ ф.Деревня от КТП-241 ПС-673 "Бараново", в т.ч. ПИР, МО, Наро-Фоминский р-н, Первомайское с.п., д.Анино  </t>
  </si>
  <si>
    <t>083-0004055</t>
  </si>
  <si>
    <t>Выполнение работ, включая ПИР, авторский надзор, СМР, ПНР (замена на СИП) по титулу: Реконструкция ВЛ-0,4 кВ ф.1 от КТП-250 ПС-813 "Полёт", в т.ч. ПИР, МО, Наро-Фоминский р-н, Марушкинское с.п., д.Б.Свинорье</t>
  </si>
  <si>
    <t>I-133539</t>
  </si>
  <si>
    <t>Реконструкция ВЛ-0,4 кВ ф.1 от КТП-250 ПС-813 "Полёт", в т.ч. ПИР, МО, Наро-Фоминский р-н, Марушкинское с.п., д.Б.Свинорье</t>
  </si>
  <si>
    <t>083-0004054</t>
  </si>
  <si>
    <t>Выполнение работ, включая ПИР, авторский надзор, СМР, ПНР (замена на СИП) по титулу: Реконструкция ВЛ-0,4 кВ ф.2 от КТП-250 ПС-813 "Полёт", в т.ч. ПИР, МО, Наро-Фоминский р-н, Марушкинское с.п., д.Б.Свинорье</t>
  </si>
  <si>
    <t>I-133540</t>
  </si>
  <si>
    <t>Реконструкция ВЛ-0,4 кВ ф.2 от КТП-250 ПС-813 "Полёт", в т.ч. ПИР, МО, Наро-Фоминский р-н, Марушкинское с.п., д.Б.Свинорье</t>
  </si>
  <si>
    <t>083-0004053</t>
  </si>
  <si>
    <t>Выполнение работ, включая ПИР, авторский надзор, СМР, ПНР (замена на СИП) по титулу: Реконструкция ВЛ-0,4 кВ ф.1 от КТП-257 ПС-673 "Бараново", в т.ч. ПИР, МО, Наро-Фоминский р-н, Марушкинское с.п., д.Соколово</t>
  </si>
  <si>
    <t>I-133542</t>
  </si>
  <si>
    <t>Реконструкция ВЛ-0,4 кВ ф.1 от КТП-257 ПС-673 "Бараново", в т.ч. ПИР, МО, Наро-Фоминский р-н, Марушкинское с.п., д.Соколово</t>
  </si>
  <si>
    <t>083-0004051</t>
  </si>
  <si>
    <t>Выполнение работ, включая ПИР, авторский надзор, СМР, ПНР (замена на СИП) по титулу: Реконструкция ВЛ-0,4 кВ ф.2 от КТП-257 ПС-673 "Бараново", в т.ч. ПИР, МО, Наро-Фоминский р-н, Марушкинское с.п., д.Соколово</t>
  </si>
  <si>
    <t>I-133543</t>
  </si>
  <si>
    <t>Реконструкция ВЛ-0,4 кВ ф.2 от КТП-257 ПС-673 "Бараново", в т.ч. ПИР, МО, Наро-Фоминский р-н, Марушкинское с.п., д.Соколово</t>
  </si>
  <si>
    <t>083-0004050</t>
  </si>
  <si>
    <t xml:space="preserve">Выполнение работ, включая ПИР, авторский надзор, СМР, ПНР (замена на СИП) по титулу: Реконструкция ВЛ-0,4 кВ ф.1 от КТП-258 ПС-673 "Бараново", в т.ч. ПИР, МО, Наро-Фоминский р-н, Марушкинское с.п., д.Покровское </t>
  </si>
  <si>
    <t>I-133544</t>
  </si>
  <si>
    <t xml:space="preserve">Реконструкция ВЛ-0,4 кВ ф.1 от КТП-258 ПС-673 "Бараново", в т.ч. ПИР, МО, Наро-Фоминский р-н, Марушкинское с.п., д.Покровское </t>
  </si>
  <si>
    <t>083-0004049</t>
  </si>
  <si>
    <t>Выполнение работ, включая ПИР, авторский надзор, СМР, ПНР (замена на СИП) по титулу: Реконструкция ВЛ-0,4 кВ ф.1 от КТП-293 ПС-673 "Бараново", в т.ч. ПИР, МО, Наро-Фоминский р-н, Первомайское с.п., д.Ивановское</t>
  </si>
  <si>
    <t>I-133546</t>
  </si>
  <si>
    <t>Реконструкция ВЛ-0,4 кВ ф.1 от КТП-293 ПС-673 "Бараново", в т.ч. ПИР, МО, Наро-Фоминский р-н, Первомайское с.п., д.Ивановское</t>
  </si>
  <si>
    <t>083-0004047</t>
  </si>
  <si>
    <t>Выполнение работ, включая ПИР, авторский надзор, СМР, ПНР (замена на СИП) по титулу: Реконструкция ВЛ-0,4 кВ ф.2 от КТП-293 ПС-673 "Бараново", в т.ч. ПИР, МО, Наро-Фоминский р-н, Первомайское с.п., д.Ивановское</t>
  </si>
  <si>
    <t>I-133547</t>
  </si>
  <si>
    <t>Реконструкция ВЛ-0,4 кВ ф.2 от КТП-293 ПС-673 "Бараново", в т.ч. ПИР, МО, Наро-Фоминский р-н, Первомайское с.п., д.Ивановское</t>
  </si>
  <si>
    <t>083-0004045</t>
  </si>
  <si>
    <t>Выполнение работ, включая ПИР, авторский надзор, СМР, ПНР (замена на СИП) по титулу: Реконструкция ВЛ-0,4 кВ ф.1 от КТП-300 ПС-193 "Троицкая" , в т.ч. ПИР, МО, Наро-Фоминский р-н, Первомайское с.п., д.Пучково</t>
  </si>
  <si>
    <t>I-133548</t>
  </si>
  <si>
    <t>Реконструкция ВЛ-0,4 кВ ф.1 от КТП-300 ПС-193 "Троицкая" , в т.ч. ПИР, МО, Наро-Фоминский р-н, Первомайское с.п., д.Пучково</t>
  </si>
  <si>
    <t>083-0004044</t>
  </si>
  <si>
    <t>Выполнение работ, включая ПИР, авторский надзор, СМР, ПНР (замена на СИП) по титулу: Реконструкция ВЛ-0,4 кВ ф.3 от КТП-101 ПС-371 "Кузнецово", в т.ч. ПИР, МО, Наро-Фоминский р-н, Ново-Федоровское с.п., д.Руднево</t>
  </si>
  <si>
    <t>I-133513</t>
  </si>
  <si>
    <t>Реконструкция ВЛ-0,4 кВ ф.3 от КТП-101 ПС-371 "Кузнецово", в т.ч. ПИР, МО, Наро-Фоминский р-н, Ново-Федоровское с.п., д.Руднево</t>
  </si>
  <si>
    <t>083-0004043</t>
  </si>
  <si>
    <t>Выполнение работ, включая ПИР, авторский надзор, СМР, ПНР (замена на СИП) по титулу: Реконструкция ВЛ-0,4 кВ ф.Деревня от КТП-301 ПС-673 "Бараново", в т.ч. ПИР, МО, Наро-Фоминский р-н, Первомайское с.п., д.Пятовское</t>
  </si>
  <si>
    <t>I-133551</t>
  </si>
  <si>
    <t>Реконструкция ВЛ-0,4 кВ ф.Деревня от КТП-301 ПС-673 "Бараново", в т.ч. ПИР, МО, Наро-Фоминский р-н, Первомайское с.п., д.Пятовское</t>
  </si>
  <si>
    <t>083-0004042</t>
  </si>
  <si>
    <t>Выполнение работ, включая ПИР, авторский надзор, СМР, ПНР (замена на СИП) по титулу: Реконструкция ВЛ-0,4 кВ ф.1 от КТП-303 ПС-193 "Троицкая", в т.ч. ПИР, МО, Наро-Фоминский р-н, Первомайское с.п., д.Ботаково</t>
  </si>
  <si>
    <t>I-133552</t>
  </si>
  <si>
    <t>Реконструкция ВЛ-0,4 кВ ф.1 от КТП-303 ПС-193 "Троицкая", в т.ч. ПИР, МО, Наро-Фоминский р-н, Первомайское с.п., д.Ботаково</t>
  </si>
  <si>
    <t>083-0004040</t>
  </si>
  <si>
    <t>Выполнение работ, включая ПИР, авторский надзор, СМР, ПНР (замена на СИП) по титулу: Реконструкция ВЛ-0,4 кВ ф.2 от КТП-303 ПС-193 "Троицкая", в т.ч. ПИР, МО, Наро-Фоминский р-н, Первомайское с.п., д.Ботаково</t>
  </si>
  <si>
    <t>I-133553</t>
  </si>
  <si>
    <t>Реконструкция ВЛ-0,4 кВ ф.2 от КТП-303 ПС-193 "Троицкая", в т.ч. ПИР, МО, Наро-Фоминский р-н, Первомайское с.п., д.Ботаково</t>
  </si>
  <si>
    <t>083-0004039</t>
  </si>
  <si>
    <t xml:space="preserve">Выполнение работ, включая ПИР, авторский надзор, СМР, ПНР (замена на СИП) по титулу: Реконструкция ВЛ-0,4 кВ ф.Деревня от КТП-305 ПС-193 "Троицкая", в т.ч. ПИР, МО, Наро-Фоминский р-н, Первомайское с.п., д.Жуковка </t>
  </si>
  <si>
    <t>I-133554</t>
  </si>
  <si>
    <t xml:space="preserve">Реконструкция ВЛ-0,4 кВ ф.Деревня от КТП-305 ПС-193 "Троицкая", в т.ч. ПИР, МО, Наро-Фоминский р-н, Первомайское с.п., д.Жуковка </t>
  </si>
  <si>
    <t>083-0004038</t>
  </si>
  <si>
    <t>Выполнение работ, включая ПИР, авторский надзор, СМР, ПНР (замена на СИП) по титулу: Реконструкция ВЛ-0,4 кВ ф.1 от КТП-306 ПС-193 "Троицкая", в т.ч. ПИР, МО, Наро-Фоминский р-н, Первомайское с.п., д.Хатминки</t>
  </si>
  <si>
    <t>I-133555</t>
  </si>
  <si>
    <t>Реконструкция ВЛ-0,4 кВ ф.1 от КТП-306 ПС-193 "Троицкая", в т.ч. ПИР, МО, Наро-Фоминский р-н, Первомайское с.п., д.Хатминки</t>
  </si>
  <si>
    <t>083-0004036</t>
  </si>
  <si>
    <t>Выполнение работ, включая ПИР, авторский надзор, СМР, ПНР (замена на СИП) по титулу: Реконструкция ВЛ-0,4 кВ ф.1 от КТП-307 ПС-193 "Троицкая", в т.ч. ПИР, МО, Наро-Фоминский р-н, Первомайское с.п., д.Клоково</t>
  </si>
  <si>
    <t>I-133556</t>
  </si>
  <si>
    <t>Реконструкция ВЛ-0,4 кВ ф.1 от КТП-307 ПС-193 "Троицкая", в т.ч. ПИР, МО, Наро-Фоминский р-н, Первомайское с.п., д.Клоково</t>
  </si>
  <si>
    <t>083-0004035</t>
  </si>
  <si>
    <t>Выполнение работ, включая ПИР, авторский надзор, СМР, ПНР (замена на СИП) по титулу: Реконструкция ВЛ-0,4 кВ ф.2 от КТП-307 ПС-193 "Троицкая", в т.ч. ПИР, МО, Наро-Фоминский р-н, Первомайское с.п., д.Клоково</t>
  </si>
  <si>
    <t>I-133557</t>
  </si>
  <si>
    <t>Реконструкция ВЛ-0,4 кВ ф.2 от КТП-307 ПС-193 "Троицкая", в т.ч. ПИР, МО, Наро-Фоминский р-н, Первомайское с.п., д.Клоково</t>
  </si>
  <si>
    <t>083-0004034</t>
  </si>
  <si>
    <t>Выполнение работ, включая ПИР, авторский надзор, СМР, ПНР (замена на СИП) по титулу: Реконструкция ВЛ-0,4 кВ ф.3 от КТП-307 ПС-193 "Троицкая", в т.ч. ПИР, МО, Наро-Фоминский р-н, Первомайское с.п., д.Клоково</t>
  </si>
  <si>
    <t>I-133558</t>
  </si>
  <si>
    <t>Реконструкция ВЛ-0,4 кВ ф.3 от КТП-307 ПС-193 "Троицкая", в т.ч. ПИР, МО, Наро-Фоминский р-н, Первомайское с.п., д.Клоково</t>
  </si>
  <si>
    <t>083-0004033</t>
  </si>
  <si>
    <t xml:space="preserve">Выполнение работ, включая ПИР, авторский надзор, СМР, ПНР (замена на СИП) по титулу: Реконструкция ВЛ-0,4 кВ ф.д.Рожново от КТП-309 ПС-193 "Троицкая", в т.ч. ПИР, МО, Наро-Фоминский р-н, Первомайское с.п., д.Рожново  </t>
  </si>
  <si>
    <t>I-133560</t>
  </si>
  <si>
    <t xml:space="preserve">Реконструкция ВЛ-0,4 кВ ф.д.Рожново от КТП-309 ПС-193 "Троицкая", в т.ч. ПИР, МО, Наро-Фоминский р-н, Первомайское с.п., д.Рожново  </t>
  </si>
  <si>
    <t>083-0004032</t>
  </si>
  <si>
    <t>Выполнение работ, включая ПИР, авторский надзор, СМР, ПНР (замена на СИП) по титулу: Реконструкция ВЛ-0,4 кВ ф.д.Уварово от КТП-309 ПС-193 "Троицкая", в т.ч. ПИР, МО, Наро-Фоминский р-н, Первомайское с.п., д.Уварово</t>
  </si>
  <si>
    <t>I-133561</t>
  </si>
  <si>
    <t>Реконструкция ВЛ-0,4 кВ ф.д.Уварово от КТП-309 ПС-193 "Троицкая", в т.ч. ПИР, МО, Наро-Фоминский р-н, Первомайское с.п., д.Уварово</t>
  </si>
  <si>
    <t>083-0004022</t>
  </si>
  <si>
    <t>Выполнение работ, включая ПИР, авторский надзор, СМР, ПНР (замена на СИП) по титулу: Реконструкция ВЛ-0,4 кВ ф.2 от КТП-311 ПС-811 "Первомайская", в т.ч. ПИР, МО, Наро-Фоминский р-н, Первомайское с.п., д.Каменка</t>
  </si>
  <si>
    <t>I-133562</t>
  </si>
  <si>
    <t>Реконструкция ВЛ-0,4 кВ ф.2 от КТП-311 ПС-811 "Первомайская", в т.ч. ПИР, МО, Наро-Фоминский р-н, Первомайское с.п., д.Каменка</t>
  </si>
  <si>
    <t>083-0004021</t>
  </si>
  <si>
    <t>Выполнение работ, включая ПИР, авторский надзор, СМР, ПНР (замена на СИП) по титулу: Реконструкция ВЛ-0,4 кВ ф.1 от КТП-313 ПС-673 "Бараново", в т.ч. ПИР, МО, Наро-Фоминский р-н, Первомайское с.п., д.Рогозинино</t>
  </si>
  <si>
    <t>I-133563</t>
  </si>
  <si>
    <t>Реконструкция ВЛ-0,4 кВ ф.1 от КТП-313 ПС-673 "Бараново", в т.ч. ПИР, МО, Наро-Фоминский р-н, Первомайское с.п., д.Рогозинино</t>
  </si>
  <si>
    <t>083-0004020</t>
  </si>
  <si>
    <t>Выполнение работ, включая ПИР, авторский надзор, СМР, ПНР (замена на СИП) по титулу: Реконструкция ВЛ-0,4 кВ ф.1 от КТП-314 ПС-193 "Троицкая", в т.ч. ПИР, МО, Наро-Фоминский р-н, Первомайское с.п., д.Верховье</t>
  </si>
  <si>
    <t>I-133565</t>
  </si>
  <si>
    <t>Реконструкция ВЛ-0,4 кВ ф.1 от КТП-314 ПС-193 "Троицкая", в т.ч. ПИР, МО, Наро-Фоминский р-н, Первомайское с.п., д.Верховье</t>
  </si>
  <si>
    <t>083-0004019</t>
  </si>
  <si>
    <t>Выполнение работ, включая ПИР, авторский надзор, СМР, ПНР (замена на СИП) по титулу: Реконструкция ВЛ-0,4 кВ ф.Деревня от МТП-315 ПС-673 "Бараново", в т.ч. ПИР, МО, Наро-Фоминский р-н, Первомайское с.п., д.Марфино</t>
  </si>
  <si>
    <t>I-133566</t>
  </si>
  <si>
    <t>Реконструкция ВЛ-0,4 кВ ф.Деревня от МТП-315 ПС-673 "Бараново", в т.ч. ПИР, МО, Наро-Фоминский р-н, Первомайское с.п., д.Марфино</t>
  </si>
  <si>
    <t>083-0004018</t>
  </si>
  <si>
    <t>Выполнение работ, включая ПИР, авторский надзор, СМР, ПНР (замена на СИП) по титулу: Реконструкция ВЛ-0,4 кВ ф.1 от КТП-321 ПС-193 "Троицкая", в т.ч. ПИР, МО, Наро-Фоминский р-н, Первомайское с.п., д.Поповка</t>
  </si>
  <si>
    <t>I-133567</t>
  </si>
  <si>
    <t>Реконструкция ВЛ-0,4 кВ ф.1 от КТП-321 ПС-193 "Троицкая", в т.ч. ПИР, МО, Наро-Фоминский р-н, Первомайское с.п., д.Поповка</t>
  </si>
  <si>
    <t>083-0004017</t>
  </si>
  <si>
    <t>Выполнение работ, включая ПИР, авторский надзор, СМР, ПНР (замена на СИП) по титулу: Реконструкция ВЛ-0,4 кВ ф.2 от КТП-321 ПС-193 "Троицкая", в т.ч. ПИР, МО, Наро-Фоминский р-н, Первомайское с.п., д.Поповка</t>
  </si>
  <si>
    <t>I-133568</t>
  </si>
  <si>
    <t>Реконструкция ВЛ-0,4 кВ ф.2 от КТП-321 ПС-193 "Троицкая", в т.ч. ПИР, МО, Наро-Фоминский р-н, Первомайское с.п., д.Поповка</t>
  </si>
  <si>
    <t>083-0004016</t>
  </si>
  <si>
    <t>Выполнение работ, включая ПИР, авторский надзор, СМР, ПНР (замена на СИП) по титулу: Реконструкция ВЛ-0,4 кВ ф.3 от КТП-321 ПС-193 "Троицкая", в т.ч. ПИР, МО, Наро-Фоминский р-н, Первомайское с.п., д.Поповка</t>
  </si>
  <si>
    <t>I-133569</t>
  </si>
  <si>
    <t>Реконструкция ВЛ-0,4 кВ ф.3 от КТП-321 ПС-193 "Троицкая", в т.ч. ПИР, МО, Наро-Фоминский р-н, Первомайское с.п., д.Поповка</t>
  </si>
  <si>
    <t>083-0004015</t>
  </si>
  <si>
    <t>Выполнение работ, включая ПИР, авторский надзор, СМР, ПНР (замена на СИП) по титулу: Реконструкция ВЛ-0,4 кВ ф.2 от КТП-95 ПС-371 "Кузнецово", в т.ч. ПИР, МО, Наро-Фоминский р-н, Ново-Федоровское с.п., п.Рассудово</t>
  </si>
  <si>
    <t>I-133502</t>
  </si>
  <si>
    <t>Реконструкция ВЛ-0,4 кВ ф.2 от КТП-95 ПС-371 "Кузнецово", в т.ч. ПИР, МО, Наро-Фоминский р-н, Ново-Федоровское с.п., п.Рассудово</t>
  </si>
  <si>
    <t>083-0004014</t>
  </si>
  <si>
    <t>Выполнение работ, включая ПИР, авторский надзор, СМР, ПНР (замена на СИП) по титулу: Реконструкция ВЛ-0,4 кВ ф.3 от МТП-325 ПС-193 "Троицкая", в т.ч. ПИР, МО, Наро-Фоминский р-н, Первомайское с.п., д.Поповка</t>
  </si>
  <si>
    <t>I-133571</t>
  </si>
  <si>
    <t>Реконструкция ВЛ-0,4 кВ ф.3 от МТП-325 ПС-193 "Троицкая", в т.ч. ПИР, МО, Наро-Фоминский р-н, Первомайское с.п., д.Поповка</t>
  </si>
  <si>
    <t>083-0004013</t>
  </si>
  <si>
    <t>Выполнение работ, включая ПИР, авторский надзор, СМР, ПНР (замена на СИП) по титулу: Реконструкция ВЛ-0,4 кВ ф.1 от КТП-319 ПС-193 "Троицкая", в т.ч. ПИР, МО, Наро-Фоминский р-н, Первомайское с.п., д.Ширяево</t>
  </si>
  <si>
    <t>I-133572</t>
  </si>
  <si>
    <t>Реконструкция ВЛ-0,4 кВ ф.1 от КТП-319 ПС-193 "Троицкая", в т.ч. ПИР, МО, Наро-Фоминский р-н, Первомайское с.п., д.Ширяево</t>
  </si>
  <si>
    <t>083-0004011</t>
  </si>
  <si>
    <t>Выполнение работ, включая ПИР, авторский надзор, СМР, ПНР (замена на СИП) по титулу: Реконструкция ВЛ-0,4 кВ ф.2 от КТП-319 ПС-193 "Троицкая", в т.ч. ПИР, МО, Наро-Фоминский р-н, Первомайское с.п., д.Ширяево</t>
  </si>
  <si>
    <t>I-133573</t>
  </si>
  <si>
    <t>Реконструкция ВЛ-0,4 кВ ф.2 от КТП-319 ПС-193 "Троицкая", в т.ч. ПИР, МО, Наро-Фоминский р-н, Первомайское с.п., д.Ширяево</t>
  </si>
  <si>
    <t>083-0004009</t>
  </si>
  <si>
    <t>Выполнение работ, включая ПИР, авторский надзор, СМР, ПНР (замена на СИП) по титулу: Реконструкция ВЛ-0,4 кВ ф.3 от КТП-319 ПС-193 "Троицкая", в т.ч. ПИР, МО, Наро-Фоминский р-н, Первомайское с.п., д.Ширяево</t>
  </si>
  <si>
    <t>I-133574</t>
  </si>
  <si>
    <t>Реконструкция ВЛ-0,4 кВ ф.3 от КТП-319 ПС-193 "Троицкая", в т.ч. ПИР, МО, Наро-Фоминский р-н, Первомайское с.п., д.Ширяево</t>
  </si>
  <si>
    <t>083-0004008</t>
  </si>
  <si>
    <t>Выполнение работ, включая ПИР, авторский надзор, СМР, ПНР (замена на СИП) по титулу: Реконструкция ВЛ-0,4 кВ ф.Деревня от КТП-330 ПС-811 "Первомайская", в т.ч. ПИР, МО, Наро-Фоминский р-н, Первомайское с.п., д.Кукшево</t>
  </si>
  <si>
    <t>I-133575</t>
  </si>
  <si>
    <t>Реконструкция ВЛ-0,4 кВ ф.Деревня от КТП-330 ПС-811 "Первомайская", в т.ч. ПИР, МО, Наро-Фоминский р-н, Первомайское с.п., д.Кукшево</t>
  </si>
  <si>
    <t>083-0004007</t>
  </si>
  <si>
    <t>Выполнение работ, включая ПИР, авторский надзор, СМР, ПНР (замена на СИП) по титулу: Реконструкция ВЛ-0,4 кВ ф.1 от КТП-506 ПС-575 "Селятино", в т.ч. ПИР, МО, Наро-Фоминский р-н, Ново-Федоровское с.п., п.Рассудово</t>
  </si>
  <si>
    <t>I-133577</t>
  </si>
  <si>
    <t>Реконструкция ВЛ-0,4 кВ ф.1 от КТП-506 ПС-575 "Селятино", в т.ч. ПИР, МО, Наро-Фоминский р-н, Ново-Федоровское с.п., п.Рассудово</t>
  </si>
  <si>
    <t>083-0004005</t>
  </si>
  <si>
    <t>Выполнение работ, включая ПИР, авторский надзор, СМР, ПНР (замена на СИП) по титулу: Реконструкция ВЛ-0,4 кВ ф.2 от КТП-506 ПС-575 "Селятино", в т.ч. ПИР, МО, Наро-Фоминский р-н, Ново-Федоровское с.п,, п.Рассудово</t>
  </si>
  <si>
    <t>I-133578</t>
  </si>
  <si>
    <t>Реконструкция ВЛ-0,4 кВ ф.2 от КТП-506 ПС-575 "Селятино", в т.ч. ПИР, МО, Наро-Фоминский р-н, Ново-Федоровское с.п,, п.Рассудово</t>
  </si>
  <si>
    <t>083-0004004</t>
  </si>
  <si>
    <t>Выполнение работ, включая ПИР, авторский надзор, СМР, ПНР (замена на СИП) по титулу: Реконструкция ВЛ-0,4 кВ ф.3 от КТП-506 ПС-575 "Селятино", в т.ч. ПИР, МО, Наро-Фоминский р-н, Первомайское с.п., д.Бараново</t>
  </si>
  <si>
    <t>I-133579</t>
  </si>
  <si>
    <t>Реконструкция ВЛ-0,4 кВ ф.3 от КТП-506 ПС-575 "Селятино", в т.ч. ПИР, МО, Наро-Фоминский р-н, Первомайское с.п., д.Бараново</t>
  </si>
  <si>
    <t>083-0004003</t>
  </si>
  <si>
    <t>Выполнение работ, включая ПИР, авторский надзор, СМР, ПНР (замена на СИП) по титулу: Реконструкция ВЛ-0,4 кВ ф.1 от КТП-517 ПС-811 "Первомайская", в т.ч. ПИР, МО, Наро-Фоминский р-н, Первомайское с.п., д.Бараново</t>
  </si>
  <si>
    <t>I-133580</t>
  </si>
  <si>
    <t>Реконструкция ВЛ-0,4 кВ ф.1 от КТП-517 ПС-811 "Первомайская", в т.ч. ПИР, МО, Наро-Фоминский р-н, Первомайское с.п., д.Бараново</t>
  </si>
  <si>
    <t>083-0004002</t>
  </si>
  <si>
    <t>Выполнение работ, включая ПИР, авторский надзор, СМР, ПНР (замена на СИП) по титулу: Реконструкция ВЛ-0,4 кВ ф.2 от КТП-571 ПС-811 "Первомайская", в т.ч. ПИР, МО, Наро-Фоминский р-н, Первомайское с.п., д.Бараново</t>
  </si>
  <si>
    <t>I-133581</t>
  </si>
  <si>
    <t>Реконструкция ВЛ-0,4 кВ ф.2 от КТП-571 ПС-811 "Первомайская", в т.ч. ПИР, МО, Наро-Фоминский р-н, Первомайское с.п., д.Бараново</t>
  </si>
  <si>
    <t>083-0004001</t>
  </si>
  <si>
    <t>Выполнение работ, включая ПИР, авторский надзор, СМР, ПНР (замена на СИП) по титулу: Реконструкция ВЛ-0,4 кВ ф.3 от КТП-571 ПС-811 "Первомайская", в т.ч. ПИР, МО, Наро-Фоминский р-н, Первомайское с.п., д.Бараново</t>
  </si>
  <si>
    <t>I-133582</t>
  </si>
  <si>
    <t>Реконструкция ВЛ-0,4 кВ ф.3 от КТП-571 ПС-811 "Первомайская", в т.ч. ПИР, МО, Наро-Фоминский р-н, Первомайское с.п., д.Бараново</t>
  </si>
  <si>
    <t>083-0004000</t>
  </si>
  <si>
    <t>Выполнение работ, включая ПИР, авторский надзор, СМР, ПНР (замена на СИП) по титулу: Реконструкция ВЛ-0,4 кВ ф.1 от КТП-604 ПС-673 "Бараново", в т.ч. ПИР, МО, Наро-Фоминский р-н, Первомайское с.п., д.Б.Свинорье</t>
  </si>
  <si>
    <t>I-133583</t>
  </si>
  <si>
    <t>Реконструкция ВЛ-0,4 кВ ф.1 от КТП-604 ПС-673 "Бараново", в т.ч. ПИР, МО, Наро-Фоминский р-н, Первомайское с.п., д.Б.Свинорье</t>
  </si>
  <si>
    <t>083-0003999</t>
  </si>
  <si>
    <t>Выполнение работ, включая ПИР, авторский надзор, СМР, ПНР (замена на СИП) по титулу: Реконструкция ВЛ-0,4 кВ ф.2 от КТП-604 ПС-673 "Бараново", в т.ч. ПИР, МО, Наро-Фоминский р-н, Марушкинское с.п., д.Б.Свинорье</t>
  </si>
  <si>
    <t>I-133584</t>
  </si>
  <si>
    <t>Реконструкция ВЛ-0,4 кВ ф.2 от КТП-604 ПС-673 "Бараново", в т.ч. ПИР, МО, Наро-Фоминский р-н, Марушкинское с.п., д.Б.Свинорье</t>
  </si>
  <si>
    <t>083-0003998</t>
  </si>
  <si>
    <t>Выполнение работ, включая ПИР, авторский надзор, СМР, ПНР (замена на СИП) по титулу: Реконструкция ВЛ-0,4 кВ ф.1 от КТП-719 ПС-673 "Бараново", в т.ч. ПИР, МО, Наро-Фоминский р-н, Первомайское с.п., д.Горчаково</t>
  </si>
  <si>
    <t>I-133585</t>
  </si>
  <si>
    <t>Реконструкция ВЛ-0,4 кВ ф.1 от КТП-719 ПС-673 "Бараново", в т.ч. ПИР, МО, Наро-Фоминский р-н, Первомайское с.п., д.Горчаково</t>
  </si>
  <si>
    <t>083-0003997</t>
  </si>
  <si>
    <t>Выполнение работ, включая ПИР, авторский надзор, СМР, ПНР (замена на СИП) по титулу: Реконструкция ВЛ-0,4 кВ ф.2 от КТП-723 ПС-673 "Бараново", в т.ч. ПИР, МО, Наро-Фоминский р-н, Марушкинское с.п., д.Соколово</t>
  </si>
  <si>
    <t>I-133586</t>
  </si>
  <si>
    <t>Реконструкция ВЛ-0,4 кВ ф.2 от КТП-723 ПС-673 "Бараново", в т.ч. ПИР, МО, Наро-Фоминский р-н, Марушкинское с.п., д.Соколово</t>
  </si>
  <si>
    <t>083-0003996</t>
  </si>
  <si>
    <t>Выполнение работ, включая ПИР, авторский надзор, СМР, ПНР (замена на СИП) по титулу: Реконструкция ВЛ-0,4 кВ ф.1 от КТП-857 ПС-193 "Троицкая", в т.ч. ПИР, МО, Наро-Фоминский р-н, Первомайское с.п., д.Конюшково</t>
  </si>
  <si>
    <t>I-133589</t>
  </si>
  <si>
    <t>Реконструкция ВЛ-0,4 кВ ф.1 от КТП-857 ПС-193 "Троицкая", в т.ч. ПИР, МО, Наро-Фоминский р-н, Первомайское с.п., д.Конюшково</t>
  </si>
  <si>
    <t>083-0003995</t>
  </si>
  <si>
    <t>Выполнение работ, включая ПИР, авторский надзор, СМР, ПНР (замена на СИП) по титулу: Реконструкция ВЛ-0,4 кВ ф.1 от КТП-900 ПС-193 "Троицкая", в т.ч. ПИР, МО, Наро-Фоминский р-н, Первомайское с.п., д.Пучково</t>
  </si>
  <si>
    <t>I-133592</t>
  </si>
  <si>
    <t>Реконструкция ВЛ-0,4 кВ ф.1 от КТП-900 ПС-193 "Троицкая", в т.ч. ПИР, МО, Наро-Фоминский р-н, Первомайское с.п., д.Пучково</t>
  </si>
  <si>
    <t>083-0003993</t>
  </si>
  <si>
    <t>Выполнение работ, включая ПИР, авторский надзор, СМР, ПНР (замена на СИП) по титулу: Реконструкция ВЛ-0,4 кВ ф.2 от КТП-900 ПС-193 "Троицкая", в т.ч. ПИР, МО, Наро-Фоминский р-н, Первомайское с.п., д.Пучково</t>
  </si>
  <si>
    <t>I-133593</t>
  </si>
  <si>
    <t>Реконструкция ВЛ-0,4 кВ ф.2 от КТП-900 ПС-193 "Троицкая", в т.ч. ПИР, МО, Наро-Фоминский р-н, Первомайское с.п., д.Пучково</t>
  </si>
  <si>
    <t>083-0003992</t>
  </si>
  <si>
    <t>Выполнение работ, включая ПИР, авторский надзор, СМР, ПНР (замена на СИП) по титулу: Реконструкция ВЛ-0,4 кВ ф.ф.Деревня от КТП-1230 ПС-813 "Полёт", в т.ч. ПИР, МО, Наро-Фоминский р-н, Первомайское с.п., д. Б. Свинорье</t>
  </si>
  <si>
    <t>I-133595</t>
  </si>
  <si>
    <t>Реконструкция ВЛ-0,4 кВ ф.ф.Деревня от КТП-1230 ПС-813 "Полёт", в т.ч. ПИР, МО, Наро-Фоминский р-н, Первомайское с.п., д. Б. Свинорье</t>
  </si>
  <si>
    <t>083-0003990</t>
  </si>
  <si>
    <t>Выполнение работ, включая ПИР, авторский надзор, СМР, ПНР (замена на СИП) по титулу: Реконструкция ВЛ-0,4 кВ ф.1 от КТП-1428 ПС-193 "Троицкая", в т.ч. ПИР, МО, Наро-Фоминский р-н, Первомайское с.п., д.Пучково</t>
  </si>
  <si>
    <t>I-133597</t>
  </si>
  <si>
    <t>Реконструкция ВЛ-0,4 кВ ф.1 от КТП-1428 ПС-193 "Троицкая", в т.ч. ПИР, МО, Наро-Фоминский р-н, Первомайское с.п., д.Пучково</t>
  </si>
  <si>
    <t>083-0003989</t>
  </si>
  <si>
    <t>Выполнение работ, включая ПИР, авторский надзор, СМР, ПНР (замена на СИП) по титулу: Реконструкция ВЛ-0,4 кВ ф.2 от МТП-1471 ПС-673 "Бараново", в т.ч. ПИР, МО, Наро-Фоминский р-н, Первомайское с.п., д.Кривошеино</t>
  </si>
  <si>
    <t>I-133598</t>
  </si>
  <si>
    <t>Реконструкция ВЛ-0,4 кВ ф.2 от МТП-1471 ПС-673 "Бараново", в т.ч. ПИР, МО, Наро-Фоминский р-н, Первомайское с.п., д.Кривошеино</t>
  </si>
  <si>
    <t>062-0006070</t>
  </si>
  <si>
    <t>Выполнение СМР, ПНР по титулу "Реконструкция ПС 220 кВ "Пресня"(2ПК)"</t>
  </si>
  <si>
    <t>I-111883</t>
  </si>
  <si>
    <t>Реконструкция ПС 220 кВ "Пресня"</t>
  </si>
  <si>
    <t>062-0006064</t>
  </si>
  <si>
    <t>Выполнение СМР, ПНР по титулу "Ограничение токов короткого замыкания (ОТКЗ) в районе электрической сети ПС-220 кВ №305 "Новобратцево"</t>
  </si>
  <si>
    <t>I-110093</t>
  </si>
  <si>
    <t>Ограничение токов короткого замыкания (ОТКЗ) в районе электрической сети ПС-220 кВ №305 "Новобратцево"</t>
  </si>
  <si>
    <t>062-0006074</t>
  </si>
  <si>
    <t>Право заключения рамочных соглашений на выполнение проектно-изыскательских работ и авторского надзора  по объектам ВЛ 35 кВ и выше для нужд филиалов ОАО «МОЭСК» (рамочник)</t>
  </si>
  <si>
    <t>ПИР</t>
  </si>
  <si>
    <t>Прибыль от присоединения/аморт/заемные средства</t>
  </si>
  <si>
    <t>45/46</t>
  </si>
  <si>
    <t>Москва/Новая Москва/Московская область</t>
  </si>
  <si>
    <t>не требуется</t>
  </si>
  <si>
    <t>062-0006075</t>
  </si>
  <si>
    <t>Право заключения рамочных соглашений на выполнение проектно-изыскательских работ и авторского надзора по объектам КЛ 35 кВ и выше для нужд филиалов ОАО «МОЭСК»  (рамочник)</t>
  </si>
  <si>
    <t>062-0006076</t>
  </si>
  <si>
    <t>Право заключения рамочных соглашений на выполнение проектно-изыскательских работ по объектам нового строительства и комплексной реконструкций ПС 35кВ и выше для нужд филиалов  ОАО «МОЭСК»  (рамочник)</t>
  </si>
  <si>
    <t>062-0006077</t>
  </si>
  <si>
    <t>Право заключения рамочных соглашений на выполнение проектно-изыскательских работ по объектам не комплексных реконструкций ПС 35кВ и выше для нужд филиалов ОАО «МОЭСК»  (рамочник)</t>
  </si>
  <si>
    <t>062-0006078</t>
  </si>
  <si>
    <t>Право заключения рамочных соглашений на выполнение проектно-изыскательских, строительно-монтажных и пуско-наладочных работ, поставки оборудования по объектам распределительных сетей ВЛ, КЛ 0,4/6/10 кВ для нужд ОАО «МОЭСК»  (рамочник)</t>
  </si>
  <si>
    <t>ПИР, СМР, ПНР, оборудование</t>
  </si>
  <si>
    <t>062-0006079</t>
  </si>
  <si>
    <t>Право заключения рамочных соглашений на выполнение проектно-изыскательских, строительно-монтажных и пуско-наладочных работ, поставки оборудования по объектам распределительных сетей ВЛ, КЛ 0,4/6/10 кВ для нужд МКС- филиала ОАО «МОЭСК»  (рамочник)</t>
  </si>
  <si>
    <t>Теплоэнергия</t>
  </si>
  <si>
    <t>1. "Новое строительство и расширение электросетевых объектов"</t>
  </si>
  <si>
    <t>1. Итого по "Новое строительство и расширение электросетевых объектов"</t>
  </si>
  <si>
    <t>2. "Реконструкция и техническое перевооружение  электросетевых объектов"</t>
  </si>
  <si>
    <t>2. Итого по "Реконструкция и техническое перевооружение  электросетевых объектов"</t>
  </si>
  <si>
    <t>НИОКР</t>
  </si>
  <si>
    <t>Услуги оценщиков</t>
  </si>
  <si>
    <t>Прочие закупки</t>
  </si>
  <si>
    <t>Кроме того</t>
  </si>
  <si>
    <t>Условно-постоянные закупки</t>
  </si>
  <si>
    <t>085-0003599</t>
  </si>
  <si>
    <t>МКС (СК)</t>
  </si>
  <si>
    <t>услуги по эксплуатации коллекторов ГУП Москоллектор (для кабелей,находящихся на балансе Общества)</t>
  </si>
  <si>
    <t>085-0003600</t>
  </si>
  <si>
    <t xml:space="preserve">40.10.2          </t>
  </si>
  <si>
    <t>ГБУ Гормост</t>
  </si>
  <si>
    <t>085-0003601</t>
  </si>
  <si>
    <t>услуги по эксплуатации коллектора Глубокий Дренаж ГБУ Гормост (для кабелей,находящихся на балансе Общества)</t>
  </si>
  <si>
    <t>085-0003602</t>
  </si>
  <si>
    <t>услуги по эксплуатации конструкций мостовых сооружений ГБУ Гормост (для кабелей,находящихся на балансе Общества)</t>
  </si>
  <si>
    <t>085-0003603</t>
  </si>
  <si>
    <t>услуги по техническому обслуживанию КЛ, временно проложенных в Московском метрополитене</t>
  </si>
  <si>
    <t>ГУП Московский метрополитен</t>
  </si>
  <si>
    <t>Служба доходов и контроля ГУП "МОСГОРТРАНС"</t>
  </si>
  <si>
    <t>Приобретение проездных билетов для сотрудников МКС-филиала ОАО "МОЭСК"</t>
  </si>
  <si>
    <t>085-0004155</t>
  </si>
  <si>
    <t>МКС(-)</t>
  </si>
  <si>
    <t>Покупка электроэнергии на хозяйственные нужды у ОАО "Мосэнергосбыт"</t>
  </si>
  <si>
    <t>ОАО "Мосэнергосбыт"</t>
  </si>
  <si>
    <t>Покупка электроэнергии</t>
  </si>
  <si>
    <t>кВт/час</t>
  </si>
  <si>
    <t>МКС  (УОР)</t>
  </si>
  <si>
    <t>МКС (УОР)</t>
  </si>
  <si>
    <t>Ремонт силовых трансформаторов 6-20 кВ</t>
  </si>
  <si>
    <t>37.20</t>
  </si>
  <si>
    <t>Обслуживание очистных сооружений: УАТиСМ 1 автоколонна, 2-й Грайвороновский пр-д, 6; УАТиСМ 2 автоколонна, Харьковский пр-д, 4, к.1; УАТиСМ 3 автоколонна, Ильменский пр-д, 7; УАТиСМ 4 автоколонна, Садовническая ул., 26; СРСЭО, г. Москва, ул. Голубинская, д. 10, корп. 1 (Обслуживание, санация очистных сооружений автомоек и транспортировка отходов)</t>
  </si>
  <si>
    <t>70.32</t>
  </si>
  <si>
    <t>55.52</t>
  </si>
  <si>
    <t xml:space="preserve">74.30.9   </t>
  </si>
  <si>
    <t xml:space="preserve">52.72.2   </t>
  </si>
  <si>
    <t xml:space="preserve"> шт</t>
  </si>
  <si>
    <t>3. "Энергоремонтное (ремонтное) производство,  техническое обслуживание"</t>
  </si>
  <si>
    <t>3. Итого по "Энергоремонтное (ремонтное) производство,  техническое обслуживание"</t>
  </si>
  <si>
    <t>4. "ИТ-закупки"</t>
  </si>
  <si>
    <t>4. Итого по "ИТ-закупки"</t>
  </si>
  <si>
    <t>5. "НИОКР"</t>
  </si>
  <si>
    <t>5. Итого по "НИОКР"</t>
  </si>
  <si>
    <t>6. "Консультационные услуги"</t>
  </si>
  <si>
    <t>6. Итого по "Консультационные услуги"</t>
  </si>
  <si>
    <t>7. Услуги оценщиков</t>
  </si>
  <si>
    <t>7. Итого по "Услуги оценщиков"</t>
  </si>
  <si>
    <t>8. Прочие закупки</t>
  </si>
  <si>
    <t>8. Итого по "Прочие закупки"</t>
  </si>
  <si>
    <t>084-0002562</t>
  </si>
  <si>
    <t>ВЭС/сл.ЛЭП</t>
  </si>
  <si>
    <t>Аварийно-восстановительные  работы  на ВЛ: (ВЛ 35-220кВ в 2014-2015гг)</t>
  </si>
  <si>
    <t xml:space="preserve">Аварийно-восстановительные работы на ВЛ </t>
  </si>
  <si>
    <t>Неотложные и аварийно-восстановительные работы по ремонту ВЛ 35-220кВ в 2014-2015гг</t>
  </si>
  <si>
    <t>В соотв. с ТЗ</t>
  </si>
  <si>
    <t>46204                           46206                    46212                 46216                46222                   46230                  46239                 46242                 46243                46245                46257                  46259</t>
  </si>
  <si>
    <t>Балашихинский район     Воскресенский район     Егорьевский район         Зарайский район           Коломенский район            Луховийкий район            Ногинский район          Озерский район               Орехово-Зуевский район           Павлово-Посадский район               Шатурский район               Щелковский район</t>
  </si>
  <si>
    <t>084-0002563</t>
  </si>
  <si>
    <t>ВЭС/сл.ПС</t>
  </si>
  <si>
    <t>Аварийно-восстановительные  работы  на ПС: (ПС 35-220кВ в 2014-2015гг)</t>
  </si>
  <si>
    <t xml:space="preserve">Аварийно-восстановительные работы на ПС </t>
  </si>
  <si>
    <t>Неотложные и аварийно-восстановительные работы по ремонту оборудования  ПС 35-220кВ в 2014-2015гг</t>
  </si>
  <si>
    <t>084-0002564</t>
  </si>
  <si>
    <t>ВЭС/сл.РС</t>
  </si>
  <si>
    <t>Аварийно-восстановительные  работы  на ВЛ: (ВЛ 0,4- 10кВ в 2014-2015гг)</t>
  </si>
  <si>
    <t>Неотложные и аварийно-восстановительные работы по ремонту ВЛ 0,4-10кВ в 2014-2015гг</t>
  </si>
  <si>
    <t>084-0002565</t>
  </si>
  <si>
    <t>Ремонт ВЛ 35-220 кВ:( с заменой дефектных опор)</t>
  </si>
  <si>
    <t>Ремонт ВЛ 35-110кВ с заменой дефектных опор.</t>
  </si>
  <si>
    <t>084-0002566</t>
  </si>
  <si>
    <t>Расчистка трасс ВЛ 35-220 кВ от ДКР с утилизацией</t>
  </si>
  <si>
    <t>0201020106</t>
  </si>
  <si>
    <t>Расчистка трассы ВЛ 35-220 кВ от ДКР  и угрожающих деревьев</t>
  </si>
  <si>
    <t>084-0002567</t>
  </si>
  <si>
    <t>ВЭС/сл.ПС,сл.РС</t>
  </si>
  <si>
    <t>Ремонт трансформаторов 35-220 кВ;                ремонт трансформаторов 6-20 кВ</t>
  </si>
  <si>
    <t xml:space="preserve">Ремонт силовых трансформаторов 6-220кВ,и синхронного компенсатора, </t>
  </si>
  <si>
    <t>60/27/1</t>
  </si>
  <si>
    <t>084-0002569</t>
  </si>
  <si>
    <t>Ремонт трансформаторов 35-220 кВ (ремонт переключающих устройств (ПУ) РПН силовых трансформаторов 35-220 кВ)</t>
  </si>
  <si>
    <t xml:space="preserve">Ремонт РПН силовых трансформаторов </t>
  </si>
  <si>
    <t>084-0002570</t>
  </si>
  <si>
    <t>Ремонт акумуляторных батарей</t>
  </si>
  <si>
    <t>Ремонт аккумуляторных батарей</t>
  </si>
  <si>
    <t>084-0002571</t>
  </si>
  <si>
    <t>Ремонт систем постоянного тока</t>
  </si>
  <si>
    <t>Ремонт систем оперативного постоянного тока</t>
  </si>
  <si>
    <t>084-0002572</t>
  </si>
  <si>
    <t>Ремонт систем переменного тока (ремонт щитов собственных нужд)</t>
  </si>
  <si>
    <t xml:space="preserve">Ремонт шитов собственных нужд  ПС 35-220кВ </t>
  </si>
  <si>
    <t>084-0002573</t>
  </si>
  <si>
    <t>Ремонт заземляющих устройств ПС 35-220кВ с последующей диагностикой</t>
  </si>
  <si>
    <t>084-0002574</t>
  </si>
  <si>
    <t>Ремонт ВЛ 0,4-10 кВ</t>
  </si>
  <si>
    <t xml:space="preserve">Ремонт ВЛ 6 – 10 кВ с установкой РЛК и УПУ </t>
  </si>
  <si>
    <t>084-0002575</t>
  </si>
  <si>
    <t>Расчистка  трасс ВЛ 6-10 кВ от ДКР с утилизацией</t>
  </si>
  <si>
    <t xml:space="preserve">Расчистка просек ВЛ 6-10кВ от ДКР </t>
  </si>
  <si>
    <t>084-0002576</t>
  </si>
  <si>
    <t>Ремонт кабельных линий 0,4-20 кВ</t>
  </si>
  <si>
    <t xml:space="preserve">Ремонт кабельных участков ЛЭП 6 – 10 кВ </t>
  </si>
  <si>
    <t>084-0002577</t>
  </si>
  <si>
    <t>ВЭС/сл.РЗА</t>
  </si>
  <si>
    <t xml:space="preserve"> Ремонт РЗА</t>
  </si>
  <si>
    <t xml:space="preserve"> Ремонт устройств РЗА</t>
  </si>
  <si>
    <t>084-0002578</t>
  </si>
  <si>
    <t>ВЭС/СДТУ</t>
  </si>
  <si>
    <t>Ремонт кабельных линий связи; ремонт высокочастотного оборудования телемеханики и связи.</t>
  </si>
  <si>
    <t xml:space="preserve">Ремонт кабельных линий и апаратуры связи </t>
  </si>
  <si>
    <t>7/7</t>
  </si>
  <si>
    <t>084-0002579</t>
  </si>
  <si>
    <t>ВЭС/СЭЗиС</t>
  </si>
  <si>
    <t>084-0002580</t>
  </si>
  <si>
    <t>084-0002581</t>
  </si>
  <si>
    <t>ВЭС/сл.А/тр.и СМ</t>
  </si>
  <si>
    <t>084-0002584</t>
  </si>
  <si>
    <t>Ремонт  грузоподъемных машин и механизмов</t>
  </si>
  <si>
    <t>084-0002585</t>
  </si>
  <si>
    <t>Ремонт автоподъемников, автовышек</t>
  </si>
  <si>
    <t>084-0002586</t>
  </si>
  <si>
    <t>Ремонт автотранспорта и спец.техники (Ремонт бурильных машин)</t>
  </si>
  <si>
    <t>Ремонт бурильных машин</t>
  </si>
  <si>
    <t>084-0002587</t>
  </si>
  <si>
    <t xml:space="preserve">Аварийно-восстановительные работы на КЛ </t>
  </si>
  <si>
    <t>Неотложные и аварийно-восстановительные работы по ремонту КЛ 0,4-10кВ в 2014-2015гг</t>
  </si>
  <si>
    <t>084-0002589</t>
  </si>
  <si>
    <t>Техническое освидетельствование силовых трансформаторов 35-220кВ: ПС 47 Т-1;ПС №333 Т-1, Т-2, Т-4; ПС №363 Т-2 (5 единиц)</t>
  </si>
  <si>
    <t>Техническое освидетельствование силовых трансформаторов 35-220кВ</t>
  </si>
  <si>
    <t xml:space="preserve">Техническое обследование силовых трансформторов </t>
  </si>
  <si>
    <t>46230                  46239                                 46259</t>
  </si>
  <si>
    <t>Луховийкий район            Ногинский район                              Щелковский район</t>
  </si>
  <si>
    <t>084-0002590</t>
  </si>
  <si>
    <t>Техническое освидетельствование ПС 35-220кВ (электрооборудования на ПС ВЭС)</t>
  </si>
  <si>
    <t>Техническое освидетельствование ПС 35-220кВ</t>
  </si>
  <si>
    <t xml:space="preserve">Техническое освидетельствование электрооборудования ПС </t>
  </si>
  <si>
    <t>084-0002591</t>
  </si>
  <si>
    <t>Сервисное обслуживание элегазового оборудования (Технческое обслуживание и повышение надежности отдельно стоящего элегазового оборудования и КРУЭ 220кВ,110кВ на ПС 35-220кВ)</t>
  </si>
  <si>
    <t>Технческое обслуживание и повышение надежности отдельно стоящего элегазового оборудования и КРУЭ 220кВ,110кВ на ПС 35-220кВ</t>
  </si>
  <si>
    <t>084-0002593</t>
  </si>
  <si>
    <t>Техническое обслуживание аккумуляторных батарей ПС:   Балашихинский РЭС, Щелковский РЭС, Орехово-Зуевский РЭС</t>
  </si>
  <si>
    <t>Техническое обслуживание аккумуляторных батарей и зарядных устройств к ним</t>
  </si>
  <si>
    <t>Техническое обслуживание аккумуляторных батарей</t>
  </si>
  <si>
    <t>46204                                           46243                                46259</t>
  </si>
  <si>
    <t>Балашихинский район                                 Орехово-Зуевский район                         Щелковский район</t>
  </si>
  <si>
    <t>084-0002601</t>
  </si>
  <si>
    <t>Техническое освидетельствование                   ВЛ 35-220кВ</t>
  </si>
  <si>
    <t>084-0002603</t>
  </si>
  <si>
    <t>Техническое обслуживание зарядных устройств аккумуляторных батарей (Техническое обслуживание ВАЗП)</t>
  </si>
  <si>
    <t>Техническое обслуживание ВАЗП</t>
  </si>
  <si>
    <t>084-0002604</t>
  </si>
  <si>
    <t xml:space="preserve">Физико-химический анализ трансформаторного масла </t>
  </si>
  <si>
    <t>Проведение хроматографического анализа масла</t>
  </si>
  <si>
    <t>084-0002605</t>
  </si>
  <si>
    <t>Комплексная диагностика заземляющих устройств с учетом ЭМС на ПС:62,97,89,136,29,113,694,761,744,819,1,340</t>
  </si>
  <si>
    <t xml:space="preserve">Комплексная диагностика заземляющих устройств с учетом ЭМС </t>
  </si>
  <si>
    <t>Обследование заземляющих устройств ПС с учетом ЭМС</t>
  </si>
  <si>
    <t xml:space="preserve">46206                    46212                 46216                46222                   46230                  46239                                46243                46245                46257         </t>
  </si>
  <si>
    <t xml:space="preserve">    Воскресенский район     Егорьевский район         Зарайский район           Коломенский район            Луховийкий район            Ногинский район                         Орехово-Зуевский район           Павлово-Посадский район               Шатурский район               </t>
  </si>
  <si>
    <t>084-0002607</t>
  </si>
  <si>
    <t>Техническое освидетельствование оборудования распредсетей (ТП, РП и др.); Техническое освидетельствование ВЛ 0,4-20 кВ; Освидетельствование кабельных линий</t>
  </si>
  <si>
    <t>Техническое освидетельствование оборудования РС 6-10кВ</t>
  </si>
  <si>
    <t>084-0002608</t>
  </si>
  <si>
    <t>Определение технического состояния строительных конструкций зданий и сооружений; разработка технической документации  (техническое  обследование  и паспортизация зданий и сооружений ВЭС )</t>
  </si>
  <si>
    <t>Определение технического состояния строительных конструкций зданий и сооружений; разработка технической документации</t>
  </si>
  <si>
    <t>Техническое  обследование  зданий и сооружений. Паспортизация зданий и сооружений</t>
  </si>
  <si>
    <t>084-0002609</t>
  </si>
  <si>
    <t>Техническое обслуживание инженерных сетей (систем теплоснабжения, холодного и горячего водоснабжения, канализации, обслуживание электроприемников на объектах ВЭС)</t>
  </si>
  <si>
    <t>Техническое обслуживание инженерных сетей</t>
  </si>
  <si>
    <t>Техническое  обслуживвание инженерных сетей (систем теплоснабжения, холодного и горячего водоснабжения, канализации, обслуживание электроприемников, на объектах ВЭС  - филиала ОАО "МОЭСК" в 2014г.</t>
  </si>
  <si>
    <t>084-0002611</t>
  </si>
  <si>
    <t>084-0002545</t>
  </si>
  <si>
    <t>ВЭС СЭЗиС</t>
  </si>
  <si>
    <t>Уборка помещений ; уборка территорий (производственных помещений и территорий ВЭС)</t>
  </si>
  <si>
    <t>46.6</t>
  </si>
  <si>
    <t>084-0002546</t>
  </si>
  <si>
    <t xml:space="preserve">74.70.3   </t>
  </si>
  <si>
    <t>8513101          8513102</t>
  </si>
  <si>
    <t>Дератизация и дезинфекция (производственных помещений и территорий ВЭС)</t>
  </si>
  <si>
    <t xml:space="preserve">Виды санитарно-профилактических услуг прочие, не включенные в другие группировки, Проведение санитарно-химических и санитарно-бактериологических исследований
</t>
  </si>
  <si>
    <t>46.7</t>
  </si>
  <si>
    <t>084-0002534</t>
  </si>
  <si>
    <t>ВЭС/
АСТУ</t>
  </si>
  <si>
    <t>40.10.5;
40.10.4;
33.20.7;
31.20;
30.02;
72.50;
74.20.12</t>
  </si>
  <si>
    <t xml:space="preserve">Сбор, обработка, передача и отображение телеинформации о состоянии и режимах работы   оборудования  подстанций,  определение  и устранение  неисправностей,  возникающих   в процессе  эксплуатации </t>
  </si>
  <si>
    <t>тыс.руб</t>
  </si>
  <si>
    <t>Ведомость
 объёма
 работ</t>
  </si>
  <si>
    <t>46  239</t>
  </si>
  <si>
    <t>Ногинский р-н</t>
  </si>
  <si>
    <t>084-0002537</t>
  </si>
  <si>
    <r>
      <t xml:space="preserve">Техническое обслуживание систем  телемеханики </t>
    </r>
    <r>
      <rPr>
        <b/>
        <sz val="14"/>
        <rFont val="Times New Roman"/>
        <family val="1"/>
        <charset val="204"/>
      </rPr>
      <t>МКТ-3</t>
    </r>
  </si>
  <si>
    <t xml:space="preserve">на 26 пс: 1-Большой Двор, 26-Монино, 34-Васютино, 43-Истомкино, 74-Непецино, 84-Глухово, 120-Храпуново, 131-Акрихин, 153-Рубин, 172-Тимохово, 199-Дубки, 242-Булгаково, 297-Затишье, 306-Дроздово, 356-Павлово, 414-Кудиново, 430-Лопатино, 456-Маслово, 579-Черноголовка, 602-Боровое, 640-Агат, 650-Юдино, 652-Шульгино, 678-Ларино, 788-Мишино, 827-Городок. </t>
  </si>
  <si>
    <t>084-0002538</t>
  </si>
  <si>
    <t>Теническое обслуживание АСУТП</t>
  </si>
  <si>
    <t>Техническоеобслуживание АСУТП на базе решений «Siemens»</t>
  </si>
  <si>
    <t>084-0002517</t>
  </si>
  <si>
    <t>ВЭС СЭЗИС</t>
  </si>
  <si>
    <t xml:space="preserve">40.30.2   </t>
  </si>
  <si>
    <t>Коммунальные услуги : Егорьевского РЭС</t>
  </si>
  <si>
    <t xml:space="preserve">Егорьевские инженерные сети МУП КХ </t>
  </si>
  <si>
    <t>233                   113</t>
  </si>
  <si>
    <t>Гкал                       м3</t>
  </si>
  <si>
    <t>999,69  1993,10</t>
  </si>
  <si>
    <t>46 212.3</t>
  </si>
  <si>
    <t>084-0002518</t>
  </si>
  <si>
    <t>Коммунальные услуги : Коломенского РЭС</t>
  </si>
  <si>
    <t xml:space="preserve">ОАО "Коломенский завод" </t>
  </si>
  <si>
    <t>46222.7</t>
  </si>
  <si>
    <t>084-0002519</t>
  </si>
  <si>
    <t>Коммунальные услуги :  Ногинского РЭС</t>
  </si>
  <si>
    <t>ОАО "Ногинские коммунальные системы"</t>
  </si>
  <si>
    <t>46239.2</t>
  </si>
  <si>
    <t>084-0002520</t>
  </si>
  <si>
    <t>Коммунальные услуги :  ШатурскогоРЭС</t>
  </si>
  <si>
    <t xml:space="preserve">ОАО ""Э.Он.Россия" филиал "Шатурская ГРЭС" </t>
  </si>
  <si>
    <t>2239,6 7679,40</t>
  </si>
  <si>
    <t>46257.0</t>
  </si>
  <si>
    <t>084-0002522</t>
  </si>
  <si>
    <t>Коммунальные услуги: Коломенского РЭС (отопление, водоснабжение, канализация)</t>
  </si>
  <si>
    <t>МУП "Тепло Коломны"</t>
  </si>
  <si>
    <t>084-0002523</t>
  </si>
  <si>
    <t>Коммунальные услуги :Воскренского РЭС</t>
  </si>
  <si>
    <t>ЗАО "Воскресенские тепловые сети"</t>
  </si>
  <si>
    <t>354,87  368,69</t>
  </si>
  <si>
    <t>46206.8</t>
  </si>
  <si>
    <t>Воскресенск</t>
  </si>
  <si>
    <t>084-0002524</t>
  </si>
  <si>
    <t>Коммунальные услуги :Озерского РЭС</t>
  </si>
  <si>
    <t xml:space="preserve">Водоканал Московской области ОАО  </t>
  </si>
  <si>
    <t>46242.4</t>
  </si>
  <si>
    <t>084-0002521</t>
  </si>
  <si>
    <t xml:space="preserve">40.12     </t>
  </si>
  <si>
    <t>Коммунальные услуги : Балашихинского ,Щелковского,Ногинского,Павлово-Посадского,Шатурского,Орехово-Зуевского,Коломенского РЭС</t>
  </si>
  <si>
    <t xml:space="preserve">ОАО "Мосэнергосбыт" </t>
  </si>
  <si>
    <t>Эл. энергия на хоз. нужды</t>
  </si>
  <si>
    <t>46.5</t>
  </si>
  <si>
    <t>084-0002535</t>
  </si>
  <si>
    <t>ВЭС СлМ</t>
  </si>
  <si>
    <t>Поверка и калибровка средств измерений (ВЭС)</t>
  </si>
  <si>
    <t>Поверка и калибровка средств измерений</t>
  </si>
  <si>
    <t>ШТ</t>
  </si>
  <si>
    <t>Московская Область</t>
  </si>
  <si>
    <t>084-0002536</t>
  </si>
  <si>
    <t>Замена щитовых электроизмерительных приборов на ПС ВЭС (услуги по замене щитовых приборов на электронные)</t>
  </si>
  <si>
    <t>ВЭС/ОРО</t>
  </si>
  <si>
    <t> 45.21, 70185581</t>
  </si>
  <si>
    <t>оказание услуг</t>
  </si>
  <si>
    <t xml:space="preserve"> чел/ч</t>
  </si>
  <si>
    <t>аренда нежилого 
помещения</t>
  </si>
  <si>
    <t>Кв. м</t>
  </si>
  <si>
    <t>842533</t>
  </si>
  <si>
    <t>084-0002551</t>
  </si>
  <si>
    <t>ВЭС/ слСДТУ</t>
  </si>
  <si>
    <t>40.10.2          40.10.3</t>
  </si>
  <si>
    <t>Аренда каналов связи (цифровых каналов связи для передачи телемеханики от подстанций до соответствующих ДП ВЭС филиала ОАО "МОЭСК")</t>
  </si>
  <si>
    <t>Аренда цифровых каналов связи для передачи телемеханики от подстанций до соответствующих ДП ВЭС филиала ОАО "МОЭСК".Закупка обусловлено  необходимостью организации каналов диспетчерской телефонной связи (7 каналов на сумму 45,50 т.р.), каналов передачи те</t>
  </si>
  <si>
    <t xml:space="preserve">1. Обязательное наличие Лицензии Федеральной службы по надзору в сфере связи на предоставление «Услуги связи по предоставлению каналов связи».
2. Обязательное наличие сервисного центра и круглосуточной дежурной службы по оперативному устранению аварийных ситуаций при неисправностях каналов связи.
3. Обязательное наличие квалифицированных специалистов имеющих опыт работы не менее 3 (трех) лет по измерениям, регулировке и настройке параметров аналоговых и цифровых систем передачи.
4. Наличие «последней мили» цифровых каналов связи исполнителя. 
</t>
  </si>
  <si>
    <t>Штука</t>
  </si>
  <si>
    <t>Ногинский</t>
  </si>
  <si>
    <t>084-0002553</t>
  </si>
  <si>
    <t>Аренда каналов связи : ВЭС филиала ОАО "МОЭСК" (передачи данных АИИС КУЭ, КРАП ОМП и диспетчерской телефонной связи )</t>
  </si>
  <si>
    <t>Приказ МОЭСК от 19.02.10 №97</t>
  </si>
  <si>
    <t xml:space="preserve">Аренда каналов передачи данных АИИС КУЭ, КРАП ОМП и диспетчерской телефонной связи для ВЭС филиала ОАО "МОЭСК".Закупка обусловлена тем, что для нужд ВЭС ОАО «МОЭСК»  организованы каналы передачи данных АИИС КУЭ, КРАП, ОМП и диспетчерской телефонной связи </t>
  </si>
  <si>
    <t>084-0002555</t>
  </si>
  <si>
    <t>Аренда каналов связи (ВЭС)</t>
  </si>
  <si>
    <t>Приказ МОЭСК от 19.02.10 №96</t>
  </si>
  <si>
    <t>Аренда каналов связи организации каналов связи</t>
  </si>
  <si>
    <t>084-0002557</t>
  </si>
  <si>
    <t>Аренда каналов связи: (цифровых каналов Е1 (G.703) для организации диспетчерской телефонной связи телемеханики от ПС до ДП ВЭС филиала ОАО "МОЭСК" (101 канал)</t>
  </si>
  <si>
    <t>Аренда цифровых каналов Е1 (G.703) для организации диспетчерской телефонной связи телемеханики от ПС до ДП ВЭС филиала ОАО "МОЭСК" (101 канал),в рамках передачи диспетчерского управления ПС Щелковской и Балашихинской РЭС организованы каналы передачи телеи</t>
  </si>
  <si>
    <t>084-0002558</t>
  </si>
  <si>
    <t>Аренда каналов связи ( каналов связи для организации диспетчерской телефонной связи и передачи телеинформации от ПС до ДП Ногинской операционной зоны  ВЭС )</t>
  </si>
  <si>
    <t>Аренда каналов связи для организации диспетчерской телефонной связи и передачи телеинформации от ПС до ДП Ногинской операционной зоны  ВЭС,</t>
  </si>
  <si>
    <t>084-0002559</t>
  </si>
  <si>
    <t>Услуги  связи (предоставление резервных цифровых каналов ПД до РЭС )</t>
  </si>
  <si>
    <t>Услуги предоставление резервных цифровых каналов ПД до РЭС</t>
  </si>
  <si>
    <t>084-0002560</t>
  </si>
  <si>
    <t>Аренда каналов связи ( резеревных каналов от Ногинской, Шатурской, Коломенской операционной зоны до ЦУС)</t>
  </si>
  <si>
    <t xml:space="preserve">В целях выполнения требований Технических условий ОАО «СО ЕЭС» филиал Московское РДУ №Р36-в-III-19-3477 от 13.08.2012 г. на присоединение основных и резервных каналов диспетчерской телефонной связи и передачи телеинформации,    Соглашения № СДУ-9/2010 о технологическом взаимодействии между ОАО «СО ЕЭС» и ОАО «МОЭСК» в целях обеспечения надежности функционирования ЕЭС России от 01.02.2011 г.  и   п.3.1 п.п. 2 Акта расследования причин прекращения обновления телеинформации с ДП Коломенской операционной зоны ВЭС на Диспетчерский центр филиала ОАО «СО ЕЭС» Московское РДУ, произошедшего 12.06.2013 г.  организавать резервные каналы Е1 и Eth. от ДП Коломенской операционной зоны до М10, где есть точка входа ОАО «МОЭСК». </t>
  </si>
  <si>
    <t>Аренда резеревных каналов от Ногинской, Шатурской, Каломенской операционной зоны до ЦУС</t>
  </si>
  <si>
    <t>084-0002552</t>
  </si>
  <si>
    <t>ВЭС/слСДТУ</t>
  </si>
  <si>
    <t>Аренда  нежилых помещений : ПС филиала ОАО «ФСК ЕЭС»- Московское ПМЭС(  место для размещение телекоммуникационного оборудования ВЭС)</t>
  </si>
  <si>
    <t>20105010201</t>
  </si>
  <si>
    <t>Филиал ОАО "ФСК ЕЭС" Московское МПМЭС</t>
  </si>
  <si>
    <t>Аренда места для размещения телекоммуникационного оборудования.Закупка обусловлена необходимостью функционирования телекоммуникационного оборудования, принадлежащего ОАО «МОЭСК», установленного на подстанциях филиала ОАО «ФСК ЕЭС»- Московское ПМЭС</t>
  </si>
  <si>
    <t xml:space="preserve">1.Соблюдение климатических условий. 2.Обеспечение гарантированного электроснабжения. 3.Обеспечить защиту от неснкционированного доступа. </t>
  </si>
  <si>
    <t>084-0002554</t>
  </si>
  <si>
    <t>Аренда кабельных сооружений : "ТК №36" Горьковское шоссе (аренда места в телефонной канализации</t>
  </si>
  <si>
    <t>Аренда места в телефонной канализации "ТК № 36(Горьковское шоссе).Закупка обусловлена необходимостью функционирования телекоммуникационного оборудования,</t>
  </si>
  <si>
    <t>Возможность допуска в ЛКС для производства работ по пракладке, ремонту, реконструкции, эксплуатации, демонтажу и т.п. кабелей связи в соответствии с нормативными документами.Предоставление  свободных каналов, расположенных в середине блока по вертикали и у края по горизонтали для прокладки оптических кабелей в кабельной канализации.
Предоставление  трасс кабельной канализации с наименьшим числом 
пересечений с уличными проездами, дорогами и рельсовыми путями</t>
  </si>
  <si>
    <t>084-0002556</t>
  </si>
  <si>
    <t>Аренда кабельных сооружений: "г.Балашиха,г.Реутов (аренда места в телефонной канализации)</t>
  </si>
  <si>
    <t>Аренда места в телефонной  кабельной канализации г.Балашиха,г. Реутов</t>
  </si>
  <si>
    <t>084-0002561</t>
  </si>
  <si>
    <t>Аренда  нежилых помещений : места в кабельной телефонной канализации в г. Балашиха</t>
  </si>
  <si>
    <t>Аренда места в кабельной телефонной канализации в г. Балашиха</t>
  </si>
  <si>
    <t>084-0002540</t>
  </si>
  <si>
    <t>ВЭС СООС</t>
  </si>
  <si>
    <t>Разработка технической документации (Продление и корректировка разрешительной документации на 2014г. Для нужд ВЭС</t>
  </si>
  <si>
    <t>индекс дефлятор</t>
  </si>
  <si>
    <t>выполнение работ по продлению и корректировке разрешительной документации</t>
  </si>
  <si>
    <t>М.О. Ногинск.</t>
  </si>
  <si>
    <r>
      <t>Техническое обслуживание систем  телемеханики "</t>
    </r>
    <r>
      <rPr>
        <b/>
        <sz val="14"/>
        <rFont val="Times New Roman"/>
        <family val="1"/>
        <charset val="204"/>
      </rPr>
      <t>Деконт"</t>
    </r>
    <r>
      <rPr>
        <sz val="14"/>
        <rFont val="Times New Roman"/>
        <family val="1"/>
        <charset val="204"/>
      </rPr>
      <t>, на 8 пс : 380-Захарово, 5- Балашиха, 730-Гребнево, 83-Райки, 641-Гранит, 22-Кучино, 696-Прогресс, 115-Чкаловская</t>
    </r>
  </si>
  <si>
    <t>Техническое обслуживание АСУТП на базе решений  "Siemens" подстанции №157 "Горенки"</t>
  </si>
  <si>
    <r>
      <t>Техническоеобслуживание систем телемеханики "</t>
    </r>
    <r>
      <rPr>
        <b/>
        <sz val="14"/>
        <rFont val="Times New Roman"/>
        <family val="1"/>
        <charset val="204"/>
      </rPr>
      <t>Деконт"</t>
    </r>
  </si>
  <si>
    <r>
      <t xml:space="preserve">Техническое обслуживание систем  телемеханики </t>
    </r>
    <r>
      <rPr>
        <b/>
        <sz val="14"/>
        <rFont val="Times New Roman"/>
        <family val="1"/>
        <charset val="204"/>
      </rPr>
      <t xml:space="preserve">МКТ-3 </t>
    </r>
  </si>
  <si>
    <t>ГУП «Московский метрополитен»</t>
  </si>
  <si>
    <t xml:space="preserve">ОАО «Московская городская телефонная сеть»  </t>
  </si>
  <si>
    <t>ГУП «Москоллектор»</t>
  </si>
  <si>
    <t>ОАО "Объединенная энергетическая компания"</t>
  </si>
  <si>
    <t>ОАО "Абонентская сеть выделенных телефонов"</t>
  </si>
  <si>
    <t>ЦЭС/Отдел недвижимости и землепользования</t>
  </si>
  <si>
    <t>ОАО "Завод РЭТО"</t>
  </si>
  <si>
    <t>ООО "Энерго-12"</t>
  </si>
  <si>
    <t>Ранее заключенный договор</t>
  </si>
  <si>
    <t xml:space="preserve">67.12.2, 65.23.1, 66.02, 66.02.01, 67.1, 67.13, 67.2, 74.8, 74.84., </t>
  </si>
  <si>
    <t>31.62.9, 33.20.9, 33.3, 33.50.9, 36.63.7, 50.10, 50.20, 50.30, 50.50, 51.44.4, 51.47.37, 51.56.5, 51.65.3, 51.65.5, 52.44.6, 52.48.31,</t>
  </si>
  <si>
    <t>45.11</t>
  </si>
  <si>
    <t>51.15</t>
  </si>
  <si>
    <t>062-0006084</t>
  </si>
  <si>
    <t>062-0006090</t>
  </si>
  <si>
    <t>062-0006073</t>
  </si>
  <si>
    <t>062-0006086</t>
  </si>
  <si>
    <t>062-0006087</t>
  </si>
  <si>
    <t>062-0006088</t>
  </si>
  <si>
    <t>062-0006072</t>
  </si>
  <si>
    <t>062-0006095</t>
  </si>
  <si>
    <t>062-0006094</t>
  </si>
  <si>
    <t>062-0006093</t>
  </si>
  <si>
    <t>062-0006092</t>
  </si>
  <si>
    <t>062-0006091</t>
  </si>
  <si>
    <t>ИА/ОАиСМ</t>
  </si>
  <si>
    <t>Транспортное обслуживание (перевозка сотрудников филиала ОАО "МОЭСК" "Энергоучет")</t>
  </si>
  <si>
    <t xml:space="preserve">Услуги </t>
  </si>
  <si>
    <t>71.2</t>
  </si>
  <si>
    <t>60.24.1</t>
  </si>
  <si>
    <t>Транспортное обслуживание (кусторезы для нужд филиалов ОАО "МОЭСК"</t>
  </si>
  <si>
    <t>Транспортное обслуживание (перевозка сотрудников ИА ОАО "МОЭСК")</t>
  </si>
  <si>
    <t>Транспортное обслуживание (перевозка сотрудников КС ОАО "МОЭСК")</t>
  </si>
  <si>
    <t>Транспортное обслуживание (перевозка сотрудников филиалов ОАО "МОЭСК")</t>
  </si>
  <si>
    <t>Транспортное обслуживание (перевозка сотрудников ОАО "МОЭСК" автобусами)</t>
  </si>
  <si>
    <t>Сопровождение системы мониторинга транспортных средств ОАО "МОЭСК"</t>
  </si>
  <si>
    <t>50.21</t>
  </si>
  <si>
    <t>50.20</t>
  </si>
  <si>
    <t>ТО и ТР автомобилей бизнескласса</t>
  </si>
  <si>
    <t>29.11.9</t>
  </si>
  <si>
    <t>ТО и ТР передвижных электростанций (ДГУ)</t>
  </si>
  <si>
    <t>ТО и ТР механизмов и тракторов</t>
  </si>
  <si>
    <t>ТО и ТР грузового автотранспорта импортного производства</t>
  </si>
  <si>
    <t>ТО и ТР автотранспорта отечественного производства</t>
  </si>
  <si>
    <t>ТО и ТР легкового автотранспорта импортного производства</t>
  </si>
  <si>
    <t>транспортное обслуживание</t>
  </si>
  <si>
    <t>сопровождение системы мониторинга</t>
  </si>
  <si>
    <t>ТО и ТР</t>
  </si>
  <si>
    <t>ед.</t>
  </si>
  <si>
    <t>чел. ч.</t>
  </si>
  <si>
    <t>М.О.</t>
  </si>
  <si>
    <t>ЦЭС/Служба эксплуатации зданий и сооружений</t>
  </si>
  <si>
    <t>ЦЭС/Сектор административно-хозяйственного обеспечения</t>
  </si>
  <si>
    <t>ЦЭС/Служба подстанций</t>
  </si>
  <si>
    <t>ЦЭС/Управление СЛЭП</t>
  </si>
  <si>
    <t>ЦЭС/Отдел охраны окружающей среды</t>
  </si>
  <si>
    <t>ЦЭС/Отдел промышленной безопасности</t>
  </si>
  <si>
    <t>ЦЭС/Служба изоляции, защиты от перенапряжения и испытаний высоковольтного оборудования</t>
  </si>
  <si>
    <t>ЦЭС/Служба телемеханики</t>
  </si>
  <si>
    <t>ЦЭС/Служба метрологии</t>
  </si>
  <si>
    <t>ЦЭС/Управление СДТУ</t>
  </si>
  <si>
    <t>ЦЭС/Управление САТиСМ</t>
  </si>
  <si>
    <t>Вывоз ТБО: Административное здание ВКС; РПБ ВКС</t>
  </si>
  <si>
    <t>064-0001380</t>
  </si>
  <si>
    <t>Ремонт пож., охр-й сигнализации и сис-мы видеонабл</t>
  </si>
  <si>
    <t>ЦЭС/Управление ИТ</t>
  </si>
  <si>
    <t>084-0002515</t>
  </si>
  <si>
    <t>083-0004093</t>
  </si>
  <si>
    <t>На основании договора предыдущего периода</t>
  </si>
  <si>
    <t>М/М.О.</t>
  </si>
  <si>
    <t>086-0000038</t>
  </si>
  <si>
    <t>ЭУ/ЦА</t>
  </si>
  <si>
    <t>Техническое обслуживание инженерных систем; уборка помещений; уборка территорий: административное здание филиала (ул. Шипиловская д. 13 к. 2)</t>
  </si>
  <si>
    <t>086-0000001</t>
  </si>
  <si>
    <t>Оказание услуг по снятию показаний приборов учета у потребителей по Московской области</t>
  </si>
  <si>
    <t>02010204</t>
  </si>
  <si>
    <t>Оказание услуг</t>
  </si>
  <si>
    <t xml:space="preserve">Административные округа      г Москвы 
</t>
  </si>
  <si>
    <t>086-0000002</t>
  </si>
  <si>
    <t xml:space="preserve">Районы Московской области </t>
  </si>
  <si>
    <t>086-0000003</t>
  </si>
  <si>
    <t>086-0000004</t>
  </si>
  <si>
    <t>ЭУ/Северное управление энергоучета</t>
  </si>
  <si>
    <t>086-0000005</t>
  </si>
  <si>
    <t>086-0000006</t>
  </si>
  <si>
    <t>086-0000007</t>
  </si>
  <si>
    <t>086-0000008</t>
  </si>
  <si>
    <t>086-0000009</t>
  </si>
  <si>
    <t>ЭУ/Московское управление энергоучета</t>
  </si>
  <si>
    <t>086-0000010</t>
  </si>
  <si>
    <t>086-0000011</t>
  </si>
  <si>
    <t>086-0000012</t>
  </si>
  <si>
    <t>086-0000013</t>
  </si>
  <si>
    <t>086-0000014</t>
  </si>
  <si>
    <t>086-0000015</t>
  </si>
  <si>
    <t>ЭУ/Западное управление энергоучета</t>
  </si>
  <si>
    <t>086-0000016</t>
  </si>
  <si>
    <t>086-0000018</t>
  </si>
  <si>
    <t>086-0000019</t>
  </si>
  <si>
    <t>086-0000020</t>
  </si>
  <si>
    <t>ЭУ/Восточное управление энергоучета</t>
  </si>
  <si>
    <t>086-0000021</t>
  </si>
  <si>
    <t>086-0000022</t>
  </si>
  <si>
    <t>086-0000023</t>
  </si>
  <si>
    <t>086-0000024</t>
  </si>
  <si>
    <t>086-0000025</t>
  </si>
  <si>
    <t>086-0000026</t>
  </si>
  <si>
    <t>086-0000027</t>
  </si>
  <si>
    <t>086-0000028</t>
  </si>
  <si>
    <t>086-0000029</t>
  </si>
  <si>
    <t>086-0000030</t>
  </si>
  <si>
    <t>086-0000031</t>
  </si>
  <si>
    <t xml:space="preserve"> ЗАО "Наше дело"</t>
  </si>
  <si>
    <t>086-0000032</t>
  </si>
  <si>
    <t>086-0000034</t>
  </si>
  <si>
    <t>086-0000035</t>
  </si>
  <si>
    <t>086-0000036</t>
  </si>
  <si>
    <t>086-0000037</t>
  </si>
  <si>
    <t>082-0005104</t>
  </si>
  <si>
    <t>ЮЭС/СПиП ТОиР</t>
  </si>
  <si>
    <t>40.10.4</t>
  </si>
  <si>
    <t>Антикорозийное покрытие опор ВЛ: ВЛ 6-220 кВ (ЮЭС)</t>
  </si>
  <si>
    <t>Антикоррозийное покрытие ВЛ</t>
  </si>
  <si>
    <t>тн.</t>
  </si>
  <si>
    <t>763.1 тн.</t>
  </si>
  <si>
    <t>082-0005105</t>
  </si>
  <si>
    <t>40.10.5</t>
  </si>
  <si>
    <t>Расчистка трасс ВЛ 0,4-220 кВ от ДКР с утилизацией (ЮЭС)</t>
  </si>
  <si>
    <t>Расчистка трасс ВЛ</t>
  </si>
  <si>
    <t>152.66га (13 линий)</t>
  </si>
  <si>
    <t>082-0005107</t>
  </si>
  <si>
    <t>40.10.6</t>
  </si>
  <si>
    <t>Ремонт ВЛ 35-220 кВ (ЮЭС)</t>
  </si>
  <si>
    <t>Ркмонт ВЛ</t>
  </si>
  <si>
    <t>3.6 км</t>
  </si>
  <si>
    <t>40.10.7</t>
  </si>
  <si>
    <t>Неотложные и аварийно-восстановительные работы по ремонту ВЛ 35-220 кВ в 2014-2015 г.г.(ЮЭС) (с целью заключения рамочного договора)</t>
  </si>
  <si>
    <t>082-0005106</t>
  </si>
  <si>
    <t>40.10.8</t>
  </si>
  <si>
    <t>Ремонт оборудования ОРУ 35-220 кВ: система компенсации емкостных токов 6-35 кВ (ЮЭС)</t>
  </si>
  <si>
    <t>Ремонт оборудования ОРУ</t>
  </si>
  <si>
    <t>8 ПС</t>
  </si>
  <si>
    <t>40.10.9</t>
  </si>
  <si>
    <t>Ремонт контура заземления ПС (ЮЭС)</t>
  </si>
  <si>
    <t>16 ПС</t>
  </si>
  <si>
    <t>082-0005108</t>
  </si>
  <si>
    <t>40.10.10</t>
  </si>
  <si>
    <t>Ремонт масляных выключателей 35-220 кВ, ремонт воздушных выключателей 35-220 кВ, масляных выключателей 6-10 кВ: ремонт МВ с заменой вводов (ЮЭС).</t>
  </si>
  <si>
    <t>Ремонт выключателей</t>
  </si>
  <si>
    <t>32 шт</t>
  </si>
  <si>
    <t>082-0005110</t>
  </si>
  <si>
    <t>40.10.11</t>
  </si>
  <si>
    <t>Ремонт систем пожаротушения (ЮЭС)</t>
  </si>
  <si>
    <t>Ремонт систем пожаротушения</t>
  </si>
  <si>
    <t xml:space="preserve"> 5 сист.</t>
  </si>
  <si>
    <t>082-0005111</t>
  </si>
  <si>
    <t>40.10.12</t>
  </si>
  <si>
    <t>Ремонт трансформаторов 6-20кВ, ремонт трансформаторов 35-220 кВ (ЮЭС)</t>
  </si>
  <si>
    <t>Ремонт трансформаторов</t>
  </si>
  <si>
    <t>150шт,17 шт</t>
  </si>
  <si>
    <t>082-0005112</t>
  </si>
  <si>
    <t>40.10.13</t>
  </si>
  <si>
    <t>Ремонт оборудования ОРУ 35-220 кВ: электромагнитная блокировка (ЮЭС), освещение ПС, система вентиляции ПС (ЮЭС)</t>
  </si>
  <si>
    <t>6 шт, 2ПС</t>
  </si>
  <si>
    <t>082-0005113</t>
  </si>
  <si>
    <t>40.10.14</t>
  </si>
  <si>
    <t>Ремонт оборудования ОРУ 35-220 кВ: ТТ и ТН,разъединители с заменой ОСИ  (ЮЭС)</t>
  </si>
  <si>
    <t>5 ПС</t>
  </si>
  <si>
    <t>082-0005114</t>
  </si>
  <si>
    <t>40.10.15</t>
  </si>
  <si>
    <t>Ремонт аккумуляторных батарей, ремонт систем переменного тока (ЮЭС)</t>
  </si>
  <si>
    <t xml:space="preserve">Ремонт аккумуляторных батарей </t>
  </si>
  <si>
    <t>40.10.16</t>
  </si>
  <si>
    <t>Неотложные и аварийно-восстановительные работы по ремонту электротехнического оборудования на ПС (для заключения рамочного договора)</t>
  </si>
  <si>
    <t>082-0005116</t>
  </si>
  <si>
    <t>40.10.17</t>
  </si>
  <si>
    <t>Неотложные и аварийно-восстановительные работы по ремонту силовых трансформаторов 6-220 кВ (для заключения рамочного договора)</t>
  </si>
  <si>
    <t>082-0005117</t>
  </si>
  <si>
    <t>40.10.18</t>
  </si>
  <si>
    <t>Ремонт ВЛ 0,4-10 кВ (ЮЭС)</t>
  </si>
  <si>
    <t>292.71 км</t>
  </si>
  <si>
    <t>082-0005118</t>
  </si>
  <si>
    <t>40.10.19</t>
  </si>
  <si>
    <t>Ремонт кабельных линий 0,4-35 кВ (ЮЭС)</t>
  </si>
  <si>
    <t>16.5 км</t>
  </si>
  <si>
    <t>40.10.20</t>
  </si>
  <si>
    <t>Неотложные и аварийно-восстановительные работы по ремонту ВЛ 0,4-10 кВ в 2014-2015 г.г. (ЮЭС) (с целью заключения рамочного договора)</t>
  </si>
  <si>
    <t>082-0005120</t>
  </si>
  <si>
    <t>40.10.21</t>
  </si>
  <si>
    <t>Ремонт кабельных линий связи (ЮЭС)</t>
  </si>
  <si>
    <t>Ремонт кабельных линий связи</t>
  </si>
  <si>
    <t>082-0005121</t>
  </si>
  <si>
    <t>40.10.22</t>
  </si>
  <si>
    <t>Ремонт высокочастотного оборудования телемеханики и связи: ВЧ посты (ЮЭС)</t>
  </si>
  <si>
    <t>Ремонт высокочастотного оборудования телемеханики и связи</t>
  </si>
  <si>
    <t>082-0005122</t>
  </si>
  <si>
    <t>40.10.23</t>
  </si>
  <si>
    <t>Ремонт пожарной сигнализации (ЮЭС)</t>
  </si>
  <si>
    <t>Ремонт пожарной сигнализации</t>
  </si>
  <si>
    <t>082-0005123</t>
  </si>
  <si>
    <t>Ремонт грузоподъемных машин и механизмов (ЮЭС)</t>
  </si>
  <si>
    <t>Ремонт грузоподъемных машин и механизмов</t>
  </si>
  <si>
    <t>082-0005125</t>
  </si>
  <si>
    <t>40.10.26</t>
  </si>
  <si>
    <t xml:space="preserve">Ремонт строительной части зданий: Ремонт электрокотельных ЮЭС, Центральный склад, База СЭЗиС, База ПРЭС ,                                                                                                                                                                        Центральный гараж, База СРЭС,База ДРЭС (ЮЭС) </t>
  </si>
  <si>
    <t>6 объектов</t>
  </si>
  <si>
    <t>082-0005126</t>
  </si>
  <si>
    <t>40.10.27</t>
  </si>
  <si>
    <t>Ремонт сооружений: Ремонт асфальтобетонного покрытия территорий (ЮЭС)</t>
  </si>
  <si>
    <t>3 объекта</t>
  </si>
  <si>
    <t>082-0005127</t>
  </si>
  <si>
    <t>40.10.28</t>
  </si>
  <si>
    <t xml:space="preserve">Ремонт строительной части ОРУ: маслоприемников; порталов; фундаментов оборудования, кабельных каналов (ЮЭС) </t>
  </si>
  <si>
    <t>Ремонт ОРУ 35-220 кВ</t>
  </si>
  <si>
    <t>7 объект</t>
  </si>
  <si>
    <t>082-0005128</t>
  </si>
  <si>
    <t>40.10.29</t>
  </si>
  <si>
    <t>Ремонт строительной части зданий: внутренний ремонт помещений АБК-2
(отопление, водопровод, полы, замена дверей), зданий ПС 35кВ, зданий гаражей, ЗТП, ТП,РП     ЛРЭС: ПС-776 здание ОПУ, ЗРУ-10кВ  ПС-684 здание ОПУ помещение АБ
ТРЭС: ПС-280 «Ежовка»,ПС-276 "Емцово"( здание ОПУ )
ЧРЭС:  СТРЭС: ПС-233 «Мартыново»,ПС-246 «Ляхово» ,
ПС-273 «Евдокимово» ,
РЭС: ПС-272 «Егоровка»,ПС-472 «Река» (здание ОПУ) 
ЛРЭС: ТП-4 , ТП-51).                                                                                         РРЭС:  ЗТП-202 , ЗТП-286 , ЗТП-296, ЗТП-307 ,  ЗТП-337              Ремонт кровли: ПС 35-220,  мягких кровель ЗТП, РП       ЛРЭС: ПС-69 «Котельники» здание ОПУ (370м2),  ПС 684 «Видное» здание ЗРУ-6кВ (210м2), здание ОПУ
(360м2)  РРЭС: ЗТП-296 , ЗТП-381 (013-991348)</t>
  </si>
  <si>
    <t>082-0005129</t>
  </si>
  <si>
    <t>40.10.30</t>
  </si>
  <si>
    <t>Неотложные ремонтные работы по зданиям и сооружениям (ЮЭС)</t>
  </si>
  <si>
    <t>082-0005131</t>
  </si>
  <si>
    <t>40.10.31</t>
  </si>
  <si>
    <t>Ремонт системы телемеханики ПС (ЮЭС)</t>
  </si>
  <si>
    <t>Ремонт систем телемеханики</t>
  </si>
  <si>
    <t>2 ПС</t>
  </si>
  <si>
    <t>082-0005181</t>
  </si>
  <si>
    <t>Техническое обслуживание аккумуляторных батарей, зарядных устройств аккумуляторных батарей,  оборудования системы оперативного постоянного тока ПС (ЮЭС)</t>
  </si>
  <si>
    <t>Техническое обслуживание аккумуляторных батарей ПС</t>
  </si>
  <si>
    <t>91 шт</t>
  </si>
  <si>
    <t>082-0005182</t>
  </si>
  <si>
    <t>Сервисное обслуживание элегазового оборудования (ЮЭС)</t>
  </si>
  <si>
    <t>85 шт</t>
  </si>
  <si>
    <t>082-0005183</t>
  </si>
  <si>
    <t>Техническое обслуживание приводов переключающих устройств РПН (ЮЭС)</t>
  </si>
  <si>
    <t>Техническое обслуживание приводов переключающих устройств РПН</t>
  </si>
  <si>
    <t>71  шт</t>
  </si>
  <si>
    <t>082-0005184</t>
  </si>
  <si>
    <t>Техническое обслуживание инженерных сетей: система вентиляции, техническое обслуживание собственных нужд ПС  (ЮЭС)</t>
  </si>
  <si>
    <t>13 шт</t>
  </si>
  <si>
    <t>082-0005185</t>
  </si>
  <si>
    <t>Техническое обслуживание БСК (ЮЭС)</t>
  </si>
  <si>
    <t>Техническое обслуживание БСК</t>
  </si>
  <si>
    <t>082-0005186</t>
  </si>
  <si>
    <t>Обработка средствами против растительности территории (ЮЭС)</t>
  </si>
  <si>
    <t>Обработка средствами против растительности территории</t>
  </si>
  <si>
    <t>111 ПС</t>
  </si>
  <si>
    <t>082-0005187</t>
  </si>
  <si>
    <t>Промывка гравийной засыпки маслоприемника: ПС 182, 617, 480, 175,605; Промывка системы охлаждения ПС   (ЮЭС)</t>
  </si>
  <si>
    <t>082-0005188</t>
  </si>
  <si>
    <t xml:space="preserve">Техническое обслуживание компрессоров воздушных выключателей на ПС 2  </t>
  </si>
  <si>
    <t>Техническое обслуживание компрессоров воздушных выключателей</t>
  </si>
  <si>
    <t>28 осмотров</t>
  </si>
  <si>
    <t>082-0005189</t>
  </si>
  <si>
    <t>Техническое освидетельствование силовых трансформаторов</t>
  </si>
  <si>
    <t>12 шт</t>
  </si>
  <si>
    <t>082-0005190</t>
  </si>
  <si>
    <t>Диагностика заземляющих устройств ПС</t>
  </si>
  <si>
    <t>10 шт</t>
  </si>
  <si>
    <t>082-0005191</t>
  </si>
  <si>
    <t>Хроматографический анализ газов, раствореных в трансформаторном масле электрооборудования</t>
  </si>
  <si>
    <t>550 анализов</t>
  </si>
  <si>
    <t>082-0005192</t>
  </si>
  <si>
    <t>Проведение  анализа электролита из работающих аккумуляторных батарей (ЮЭС)</t>
  </si>
  <si>
    <t>Проведение  анализа электролита из работающих аккумуляторных батарей</t>
  </si>
  <si>
    <t>450 анализов</t>
  </si>
  <si>
    <t>082-0005200</t>
  </si>
  <si>
    <t>Техническое освидетельствование ВЛ</t>
  </si>
  <si>
    <t>38 шт</t>
  </si>
  <si>
    <t>082-0005193</t>
  </si>
  <si>
    <t>Определение технического состояния строительных конструкций зданий и сооружений; разработка технической документации: паспортизация зданий и сооружений (ЮЭС)</t>
  </si>
  <si>
    <t>Определение технического состояния строительных конструкций зданий и сооружений</t>
  </si>
  <si>
    <t>082-0005195</t>
  </si>
  <si>
    <t>Техническое обслуживание видеосистемы на РДП (ЮЭС)</t>
  </si>
  <si>
    <t xml:space="preserve">Техническое обслуживание видеосистемы на РДП </t>
  </si>
  <si>
    <t>1 шт</t>
  </si>
  <si>
    <t>082-0005197</t>
  </si>
  <si>
    <t>Замена щитовых электроизмерительных приборов (ЮЭС)</t>
  </si>
  <si>
    <t>082-0005198</t>
  </si>
  <si>
    <t>Проверка и калибровка средств измерений (ЮЭС)</t>
  </si>
  <si>
    <t xml:space="preserve">Проверка и калибровка средств измерений </t>
  </si>
  <si>
    <t>082-0005196</t>
  </si>
  <si>
    <t>Техническое обслуживание пожарной сигнализации (ЮЭС)</t>
  </si>
  <si>
    <t>39 объектов</t>
  </si>
  <si>
    <t>082-0005194</t>
  </si>
  <si>
    <t>Эксплуатационные проверки устройств РЗА: в/в сети, распределительные сети (ЮЭС)</t>
  </si>
  <si>
    <t>Эксплуатационные проверки устройств РЗА</t>
  </si>
  <si>
    <t>310 шт</t>
  </si>
  <si>
    <t>ИА/УЭСИТ</t>
  </si>
  <si>
    <t>ИА/УАСУП</t>
  </si>
  <si>
    <t xml:space="preserve">796       </t>
  </si>
  <si>
    <t>062-0006069</t>
  </si>
  <si>
    <t>МКС/УАСУП</t>
  </si>
  <si>
    <t>083-0004168</t>
  </si>
  <si>
    <t>ЗЭС/СМиКПКЭ</t>
  </si>
  <si>
    <t xml:space="preserve">74.20.45  </t>
  </si>
  <si>
    <t>Проверка СИ, ТТ и ТН</t>
  </si>
  <si>
    <t>00263 Проверка измерительных ТТ и ТН</t>
  </si>
  <si>
    <t>Прейскурант ОРГРЭС</t>
  </si>
  <si>
    <t>083-0004169</t>
  </si>
  <si>
    <t>083-0004170</t>
  </si>
  <si>
    <t>ЗЭС/СИЗПИ</t>
  </si>
  <si>
    <t>74.3</t>
  </si>
  <si>
    <t>Хромотографический анализ газов, растворенных в трансформаторном масле</t>
  </si>
  <si>
    <t>00332 Хроматографический анализ газов, раствореных в трансформаторном масле</t>
  </si>
  <si>
    <t>Справочник Базовых цен  на работы по ремонту энергетического оборудования</t>
  </si>
  <si>
    <t>083-0004171</t>
  </si>
  <si>
    <t>00231 Техническое освидетельствование силовых трансформаторов 35-220 кВ</t>
  </si>
  <si>
    <t>Прейскурант ОРГРЭС, ВУЕР</t>
  </si>
  <si>
    <t>083-0004172</t>
  </si>
  <si>
    <t>ЗЭС/АСТУиТМ</t>
  </si>
  <si>
    <t>74.84</t>
  </si>
  <si>
    <t>Техническое обслуживание оборудования автоматизированных систем технологического управления технологическими процессами подстанций на базе решений АББ</t>
  </si>
  <si>
    <t>00218 Техническое обслуживание АСУТП</t>
  </si>
  <si>
    <t>Услуги связи (слТиТ)</t>
  </si>
  <si>
    <t>083-0004174</t>
  </si>
  <si>
    <r>
      <t>Техническое обслуживание оборудования автоматизированных систем технологического управления технологическими процессами подстанций на базе решений Siemens.</t>
    </r>
    <r>
      <rPr>
        <b/>
        <sz val="11"/>
        <rFont val="Times New Roman"/>
        <family val="1"/>
        <charset val="204"/>
      </rPr>
      <t xml:space="preserve"> </t>
    </r>
  </si>
  <si>
    <t>083-0004175</t>
  </si>
  <si>
    <t xml:space="preserve">Техническое обслуживание КП телемеханики на ПС     </t>
  </si>
  <si>
    <t>00200 Техническое обслуживание комплексов телемеханики</t>
  </si>
  <si>
    <t>083-0004176</t>
  </si>
  <si>
    <t>74.74</t>
  </si>
  <si>
    <t xml:space="preserve">ТО АСПД за состоянием и нагрузкой основного оборудования РП,ТП, линий 10(6) кВ, технического учета и контроля эл. эн. и мощности в РЭС ЗЭС. </t>
  </si>
  <si>
    <t>Справочник Базовых цен  на работы по ремонту энергетического оборудования, ФЕР-2000</t>
  </si>
  <si>
    <t>083-0004177</t>
  </si>
  <si>
    <t>ЗЭС/Служба ПС</t>
  </si>
  <si>
    <t xml:space="preserve">Огнезащита кабелей подстанций </t>
  </si>
  <si>
    <t>00253 Огнезащитное покрытие электрических кабелей</t>
  </si>
  <si>
    <t>083-0004180</t>
  </si>
  <si>
    <t>Обследование металлических порталов, фундаментов под электротехническим оборудованием ОРУ подстанций</t>
  </si>
  <si>
    <t>00261 Обследование металлических порталов, фундаментов под электротехническим оборудованием</t>
  </si>
  <si>
    <t>ВУЕР</t>
  </si>
  <si>
    <t>083-0004181</t>
  </si>
  <si>
    <t>Обследование щитов постоянного тока и собственных нужд с прогрузкой автоматов ПТ и СН на подстанциях</t>
  </si>
  <si>
    <t>00204 Техническое обслуживание оборудования системы оперативного постоянного тока</t>
  </si>
  <si>
    <t>083-0004182</t>
  </si>
  <si>
    <t>31.9.10</t>
  </si>
  <si>
    <t>00206 Сервисное обслуживание элегазового оборудования</t>
  </si>
  <si>
    <t>083-0004183</t>
  </si>
  <si>
    <t>Обслуживание аккумуляторных батарей ПС, сервисное обслуживание подзарядных агрегатов АБ (ВАЗП, РТАБ и др.)</t>
  </si>
  <si>
    <t>00203 Техническое обслуживание аккумуляторных батарей и зарядных устройств к ним</t>
  </si>
  <si>
    <t>083-0004185</t>
  </si>
  <si>
    <t>Техническое освидетельствование подстанций 14 шт</t>
  </si>
  <si>
    <t>00230 Техническое освидетельствование ПС 35-220 кВ</t>
  </si>
  <si>
    <t>ЗЭС/УОТББиМТП</t>
  </si>
  <si>
    <t>083-0004184</t>
  </si>
  <si>
    <t>ТО пожарной сигнализации</t>
  </si>
  <si>
    <t>00197 Техническое обслуживание пожарной сигнализации</t>
  </si>
  <si>
    <t>083-0004188</t>
  </si>
  <si>
    <t>64.2</t>
  </si>
  <si>
    <t>Огнезащита металических и деревянных конструкций подстанций</t>
  </si>
  <si>
    <t>00255 Огнезащитная обработка деревянных конструкций зданий и сооружений</t>
  </si>
  <si>
    <t>083-0004189</t>
  </si>
  <si>
    <t>ЗЭС/СЗиС</t>
  </si>
  <si>
    <t>Работы по регламентному содержанию территорий ПС и участков</t>
  </si>
  <si>
    <t>00247 Уборка территории</t>
  </si>
  <si>
    <t>ФЕР-2000, МТСН</t>
  </si>
  <si>
    <t>083-0004190</t>
  </si>
  <si>
    <t xml:space="preserve">Содержание и уборка помещений </t>
  </si>
  <si>
    <t>00248 Уборка помещений</t>
  </si>
  <si>
    <t>083-0004191</t>
  </si>
  <si>
    <t>Обследование и паспортизация зданий  и сооружений</t>
  </si>
  <si>
    <t>00046 Обследование строительных конструкций зданий и сооружений</t>
  </si>
  <si>
    <t xml:space="preserve">СПРАВОЧНИК БАЗОВЫХ ЦЕН
НА ОБМЕРНЫЕ РАБОТЫ И ОБСЛЕДОВАНИЯ ЗДАНИЙ И СООРУЖЕНИЙ 
</t>
  </si>
  <si>
    <t>083-0004192</t>
  </si>
  <si>
    <t>40.30.5</t>
  </si>
  <si>
    <t>Техническое обслуживание тепловых пунктов электрокотельных. Подготовка к ОЗП инженерных трасс (отопление)</t>
  </si>
  <si>
    <t>00324 Техническое обслуживание теплотехнического оборудования</t>
  </si>
  <si>
    <t>МТСН</t>
  </si>
  <si>
    <t>083-0004193</t>
  </si>
  <si>
    <t>ЗЭС/ООТ</t>
  </si>
  <si>
    <t>Мероприятия, направленные на снижение вредных факторов до регламентировнных уровней по результатам АРМ и ПК</t>
  </si>
  <si>
    <t>083-0004194</t>
  </si>
  <si>
    <t>Мероприятия по улучшению условий труда, оборудование санитарно- бытоых помещений</t>
  </si>
  <si>
    <t>083-0004195</t>
  </si>
  <si>
    <t xml:space="preserve">Мероприятия по улучшению условий труда, обслуживание кондиционеров </t>
  </si>
  <si>
    <t>00215 Техническое обслуживание  кондиционеров</t>
  </si>
  <si>
    <t>083-0004196</t>
  </si>
  <si>
    <t>ЗЭС/СЛЭП</t>
  </si>
  <si>
    <t>Техническое освидетельствование ВЛ 35-110 кВ</t>
  </si>
  <si>
    <t>00228 Техническое освидетельствование ВЛ-35-220 кВ</t>
  </si>
  <si>
    <t>километр</t>
  </si>
  <si>
    <t>083-0004197</t>
  </si>
  <si>
    <t>Замер наведенного напряжения на ВЛ 6-10 кВ</t>
  </si>
  <si>
    <t>00229 Техническое освидетельствование ВЛ 0,4-20 кВ</t>
  </si>
  <si>
    <t>083-0004198</t>
  </si>
  <si>
    <t>ЗЭС/СРС</t>
  </si>
  <si>
    <t>Техническое освидетельствование объектов РС</t>
  </si>
  <si>
    <t>083-0004199</t>
  </si>
  <si>
    <t>ЗЭС/ОРО</t>
  </si>
  <si>
    <t>Техническое обслуживание охранной сигнализации подстанции</t>
  </si>
  <si>
    <t>083-0004201</t>
  </si>
  <si>
    <t>Техническое обслуживание периметральной охранной сигнализации и систем видеонаблюдения</t>
  </si>
  <si>
    <t>083-0004202</t>
  </si>
  <si>
    <t>75.24.1</t>
  </si>
  <si>
    <t>Вневедомственная охрана с помощью тревожной кнопки</t>
  </si>
  <si>
    <t>Среднее ицены на охранные услуги</t>
  </si>
  <si>
    <t>083-0004211</t>
  </si>
  <si>
    <t>Обслуживание оборудования ИБП</t>
  </si>
  <si>
    <t>083-0003946</t>
  </si>
  <si>
    <t>ЗЭС/Служба планирования и подготовки ТО и Р</t>
  </si>
  <si>
    <t>Капитальный ремонт ВЛ -35кВ РМС Можайск и РМС Фили</t>
  </si>
  <si>
    <t>00104. Ремонт ВЛ-35кВ</t>
  </si>
  <si>
    <t>083-0003947</t>
  </si>
  <si>
    <t>Капитальный ремонт ВЛ -35кВ РМС Нара и РМС Новопетровск</t>
  </si>
  <si>
    <t>083-0003948</t>
  </si>
  <si>
    <t>Расчистка просек от ДКР на ВЛ 35–220 кВ</t>
  </si>
  <si>
    <t>00105. Расчистка трасс ВЛ 35-220 кВ</t>
  </si>
  <si>
    <t>083-0003949</t>
  </si>
  <si>
    <t>00132. Ремонт грузоподъемных машин и механизмов.</t>
  </si>
  <si>
    <t>083-0003950</t>
  </si>
  <si>
    <t>Ремонт КЛС для нужд Западных ЭС</t>
  </si>
  <si>
    <t>00125. Ремонт СДТУ</t>
  </si>
  <si>
    <t>083-0003951</t>
  </si>
  <si>
    <t>Капитальный ремонт ВЧ обработки на каналах ДФЗ, связи и ТМ</t>
  </si>
  <si>
    <t>083-0003952</t>
  </si>
  <si>
    <t>083-0003954</t>
  </si>
  <si>
    <t>Ремонт строительной части зданий и сооружений Волоколамского, Лотошинского, Шаховского РЭС ЗЭС</t>
  </si>
  <si>
    <t>00133. Ремонт зданий и сооружений.</t>
  </si>
  <si>
    <t>083-0003955</t>
  </si>
  <si>
    <t>083-0003957</t>
  </si>
  <si>
    <t>083-0003959</t>
  </si>
  <si>
    <t>Ремонт строительной части зданий ТП, РП, ЗТП, РТП Одинцовского, Истринского, Наро-Фоминского РЭС ЗЭС</t>
  </si>
  <si>
    <t>083-0003960</t>
  </si>
  <si>
    <t>Выполнение неотложных и аварийно-восстановительных работ по ремонту зданий и сооружений ЗЭС</t>
  </si>
  <si>
    <t>083-0003961</t>
  </si>
  <si>
    <t xml:space="preserve">Ремонт силовых масляных трансформаторов и трансформаторов 6-10кВ </t>
  </si>
  <si>
    <t>00110. Ремонт силовых трансформаторов 35-220кВ и 6-20кВ</t>
  </si>
  <si>
    <t>083-0003962</t>
  </si>
  <si>
    <t>Ремонт ОРУ-35 кВ на ПС № 292 "Крылово", ПС № 294 "Комарово", ПС № 192 "Володино", ПС № 165 "Судниково"</t>
  </si>
  <si>
    <t>00116. Ремонт РУ 35-220кВ с заменой элементов.</t>
  </si>
  <si>
    <t>083-0003963</t>
  </si>
  <si>
    <t>Ремонт наружного освещения ПС ЗЭС</t>
  </si>
  <si>
    <t>083-0003964</t>
  </si>
  <si>
    <t>Ремонт электромагнитной блокировки на ПС ЗЭС</t>
  </si>
  <si>
    <t>00170. Ремонт ОРУ 35-220 кВ.</t>
  </si>
  <si>
    <t>083-0003965</t>
  </si>
  <si>
    <t>Ремонт ВЛ 0,4-10кВ Одинцовского, Истринского, Наро-Фоминского РЭС</t>
  </si>
  <si>
    <t>00107. Ремонт ВЛ 6-20кВ</t>
  </si>
  <si>
    <t>083-0003966</t>
  </si>
  <si>
    <t>Ремонт ВЛ 0,4-10кВ Волоколамского, Лотошинского, Шаховского, Рузского, Можайского РЭС</t>
  </si>
  <si>
    <t>083-0003967</t>
  </si>
  <si>
    <t>Расчистка просек от ДКР на ВЛ 6–10 кВ</t>
  </si>
  <si>
    <t>00109. Расчистка трасс ВЛ 0,4-6-20 кВ</t>
  </si>
  <si>
    <t>083-0003968</t>
  </si>
  <si>
    <t>Ремонт КЛ 0,4-10кВ</t>
  </si>
  <si>
    <t>00122. Ремонт КЛ 0,4-20кВ</t>
  </si>
  <si>
    <t>083-0003969</t>
  </si>
  <si>
    <t>Уборка угрожающих деревьев на просеках ВЛ 6, 10, 35, 110, 220кВ</t>
  </si>
  <si>
    <t>Разработка нормативов допустимого воздействия на окружающую среду</t>
  </si>
  <si>
    <t>00081 Разработка нормативной документации</t>
  </si>
  <si>
    <t>проект ПДВ - 3шт; Технический отчет - 9шт</t>
  </si>
  <si>
    <t>083-0004187</t>
  </si>
  <si>
    <t>51.7</t>
  </si>
  <si>
    <t>Обеспечение бутилированной водой</t>
  </si>
  <si>
    <t>00285 Мероприяти по улучшению условий труда</t>
  </si>
  <si>
    <t>Предложения поставщиков</t>
  </si>
  <si>
    <t>50.20.3</t>
  </si>
  <si>
    <t>191 Техническое обслуживание автомобилей</t>
  </si>
  <si>
    <t>083-0004159</t>
  </si>
  <si>
    <t>Представление услуг связи</t>
  </si>
  <si>
    <t>ОАО МГТС</t>
  </si>
  <si>
    <t>083-0004161</t>
  </si>
  <si>
    <t>083-0004166</t>
  </si>
  <si>
    <t>Услуги предоставления цифрового канала</t>
  </si>
  <si>
    <t>ОАО Ростелеком(ц)</t>
  </si>
  <si>
    <t>083-0004158</t>
  </si>
  <si>
    <t>40.30</t>
  </si>
  <si>
    <t>Теплоэнергия на хозяйственно-бытовые нужды</t>
  </si>
  <si>
    <t>МУП Волоколамское ПТП РЖКХ</t>
  </si>
  <si>
    <t>в среднем 20 объектов</t>
  </si>
  <si>
    <t>083-0004157</t>
  </si>
  <si>
    <t>0.21</t>
  </si>
  <si>
    <t>ЗАО «Агрокомплекс Горки-2»</t>
  </si>
  <si>
    <t>083-0004156</t>
  </si>
  <si>
    <t>35.30.9</t>
  </si>
  <si>
    <t>ФГУП «121 АРЗ» Минобороны России</t>
  </si>
  <si>
    <t>083-0004155</t>
  </si>
  <si>
    <t>ОАО Мосэнерго</t>
  </si>
  <si>
    <t>083-0004154</t>
  </si>
  <si>
    <t>ООО «Наро-Фоминская тепло-энерго компания»</t>
  </si>
  <si>
    <t>083-0004153</t>
  </si>
  <si>
    <t>Вода на технические и хозяйственно-бытовые нужды</t>
  </si>
  <si>
    <t>МГУП Мосводоканал</t>
  </si>
  <si>
    <t>083-0004152</t>
  </si>
  <si>
    <t>40.20.2</t>
  </si>
  <si>
    <t>Поставка и транспортировка газа</t>
  </si>
  <si>
    <t>ООО Газпром Межрегион газ Москва</t>
  </si>
  <si>
    <t>083-0004167</t>
  </si>
  <si>
    <t>Электроэнергия на хозяйственно-бытовые нужды</t>
  </si>
  <si>
    <t xml:space="preserve">Киловатт </t>
  </si>
  <si>
    <t>Изготовление топографических планов масштаба М 1:500 (для составления и ведения исполнительной документации по трассам КЛ.) лот 1</t>
  </si>
  <si>
    <t>Изготовление топографических планов масштаба М 1:500 (для составления и ведения исполнительной документации по трассам КЛ.) лот2</t>
  </si>
  <si>
    <t>услуги по эксплуатации коллекторов Кремля (ГБУ Гормост) (для кабелей, находящихся на балансе Общества)</t>
  </si>
  <si>
    <t>Оказание образовательных услуг по обучению персонала ОАО "МОЭСК" по учебным программам высшего профессионального образования по очно-заочной форме</t>
  </si>
  <si>
    <t>1J6613</t>
  </si>
  <si>
    <t>02010517</t>
  </si>
  <si>
    <t>Страхование</t>
  </si>
  <si>
    <t>г. Москва ЮАО</t>
  </si>
  <si>
    <t>Услуги страхования (КАСКО)</t>
  </si>
  <si>
    <t>Услуги страхования (ОСАГО)</t>
  </si>
  <si>
    <t>Страхование ОПО. Обязательное страхование гражданской ответственности организаций, эксплуатирующих опасные производственные объекты</t>
  </si>
  <si>
    <t>Страхование D&amp;O, СС 50 млн. долларов</t>
  </si>
  <si>
    <t>Страхование от несчастных случаев</t>
  </si>
  <si>
    <t>Консультационные услуги (Услуги аварийного комиссара)</t>
  </si>
  <si>
    <t>Консультационные услуги (Оценка имущества ОАО "МОЭСК" для целей страхования)</t>
  </si>
  <si>
    <t>Добровольное страхование транспортных средств ОАО "МОЭСК"</t>
  </si>
  <si>
    <t>Обязательное страхование гражданской ответственности владельцев транспортных средств ОАО "МОЭСК"</t>
  </si>
  <si>
    <t>Обязательное страхование гражданской ответственности организаций, эксплуатирующих опасные производственные объекты</t>
  </si>
  <si>
    <t>D&amp;O, СС 50 млн. долларов</t>
  </si>
  <si>
    <t>Страхование от НС и болезней сотрудников ОАО "МОЭСК"</t>
  </si>
  <si>
    <t>062-0006038</t>
  </si>
  <si>
    <t>020107071002</t>
  </si>
  <si>
    <t>Консультационные услуги по подготовке документов по страховым событиям и представлению интересов ОАО "МОЭСК" перед страховщиком</t>
  </si>
  <si>
    <t>062-0006040</t>
  </si>
  <si>
    <t>Оценка имущества ОАО "МОЭСК" (здания, сооружения, ВК, КЛ, машины, оборудование) для целей страхования</t>
  </si>
  <si>
    <t>081-0003076</t>
  </si>
  <si>
    <t>СЭС/ООТиСП</t>
  </si>
  <si>
    <t>63.30.4</t>
  </si>
  <si>
    <t>Приобретение путевок для неработающих пенсионеров в санатории, дома отдыха, пансионаты и для детей работников в детские оздоровительные лагеря</t>
  </si>
  <si>
    <t>796</t>
  </si>
  <si>
    <t>062-0006029</t>
  </si>
  <si>
    <t>Аукцион</t>
  </si>
  <si>
    <t>084-0002539</t>
  </si>
  <si>
    <t>ИА/УКФ</t>
  </si>
  <si>
    <t>Предельная цена лота рассчитана исходя из стоимости имеющихся и планируемых к приобретению ТС, подлежащих страхованию по КАСКО, а так же годовой среднерыночной ставки по добровольному страхованию ТС 4,5%.</t>
  </si>
  <si>
    <t>Цена закупки рассчитана исходя из имеющихся и планируемых к приобретению транспортных средств; на основе законодательства об обязательном страховании ГО владельцев ТС.</t>
  </si>
  <si>
    <t>Расчет начальной (максимальной) цены контракта произведен на основании постановления правительства от 01.10.2011 г. №808 и списка ОПО ОАО "МОЭСК".</t>
  </si>
  <si>
    <t>Предельная цена установлена на основании мониторинга страховых компаний</t>
  </si>
  <si>
    <t>Предельная цена закупки указана на уровне предельной цены аналогичной закупки 2012 г. Расчёт по снижению на 10% от уровня цен 2010 г. не проводился, поскольку закупка не связана напрямую с реализацией услуг по передаче электроэнергии</t>
  </si>
  <si>
    <t>084-0002547</t>
  </si>
  <si>
    <t>ВЭС/СПБ</t>
  </si>
  <si>
    <t xml:space="preserve">Техническое обслуживание пожарной сигнализации; техническое обслуживание системы пожаротушения :ПС 35-220кВ и базах РЭС ( Проведение работ по техническому обслуживанию и планово-предупредительному ремонту систем противопожарной защиты зданий и сооружений </t>
  </si>
  <si>
    <t xml:space="preserve">Техническое обслуживание системы пожаротушения на ПС </t>
  </si>
  <si>
    <t>085-0004212</t>
  </si>
  <si>
    <t>Выполнение СМР, ПНР, материалы по титулу: Строительство 4КЛ-0,4 кВ от ТП 19446 до ВРУ №1, в т.ч. ПМИ: Москва, ул. Стартовая, влад.3</t>
  </si>
  <si>
    <t>I-129855</t>
  </si>
  <si>
    <t>Строительство 4КЛ-0,4 кВ от ТП 19446 до ВРУ №1, в т.ч. ПМИ: Москва, ул. Стартовая, влад.3</t>
  </si>
  <si>
    <t>085-0004220</t>
  </si>
  <si>
    <t>Выполнение СМР, ПНР, материалы по титулу: Строительство КЛ-0,4кВ от РТП-20135 до ВРЩ-0,4 кВ №1 заявителя, от РТП-20135 до ВРЩ-0,4 кВ № 2 заявителя, в т.ч.ПИР: г.Москва, Куркино, мкр.11, к.2</t>
  </si>
  <si>
    <t>I-134197</t>
  </si>
  <si>
    <t>Строительство КЛ-0,4кВ от РТП-20135 до ВРЩ-0,4 кВ №1 заявителя, от РТП-20135 до ВРЩ-0,4 кВ № 2 заявителя, в т.ч.ПИР: г.Москва, Куркино, мкр.11, к.2</t>
  </si>
  <si>
    <t>Предварительные и периодические медицинские осмотры персонала ОАО МОЭСК" в 2014 - 2015 гг.</t>
  </si>
  <si>
    <t>Медицинские услуги</t>
  </si>
  <si>
    <t>062-0006012</t>
  </si>
  <si>
    <t>ИА/Управление социальной политики</t>
  </si>
  <si>
    <t>Организация культурно-массовых мероприятий в ОАО "МОЭСК" в 2014 году</t>
  </si>
  <si>
    <t>Коллективный договор ОАО "МОЭСК" на 2013-2014гг.</t>
  </si>
  <si>
    <t>Оказание услуг по организации культурно-массовых мероприятий в ОАО "МОЭСК" в 2014 году</t>
  </si>
  <si>
    <t>Оказание услуг в соответствии с требованиямтехнического задания</t>
  </si>
  <si>
    <t>45 260</t>
  </si>
  <si>
    <t>Административные округа г. Москвы</t>
  </si>
  <si>
    <t xml:space="preserve">                  46 200                       46 400</t>
  </si>
  <si>
    <t>районы МО, города областного подчинения МО</t>
  </si>
  <si>
    <t xml:space="preserve">Положение
о порядке проведения регламентированных закупок товаров, работ, услуг для нужд ОАО «Московская объединенная электросетевая компания», от 30.12.2011г.,  п.11.8.1.с.
</t>
  </si>
  <si>
    <t>062-0006107</t>
  </si>
  <si>
    <t>062-0006106</t>
  </si>
  <si>
    <t>Для заключения рамочного соглашения на выполнение комплекса кадастровых работ по объектам недвижимости и земельным участкам под объектами электросетевого хозяйства ОАО "МОЭСК" по Москве и Московской области (ПС,ЗТП, КТП, ЛЭП). Определение границ охранных зон объектов электросетевого хозяйства, согласование их в органах Ростехнадзора и внесение сведений в ГКН.</t>
  </si>
  <si>
    <t>Комплекс кадастровых работ по объектам недвижимости и земельным участкам под объектами электросетевого хозяйства ОАО "МОЭСК" по Москве и Московской области (ПС,ЗТП, КТП, ЛЭП). Определение границ охранных зон объектов электросетевого хозяйства, согласование их в органах Ростехнадзора и внесение сведений в ГКН.</t>
  </si>
  <si>
    <t>Техническое освидетельствование ВЛ 0,4-220 кВ и ПС 35-220 кВ(ЮЭС)</t>
  </si>
  <si>
    <t>062-0005928</t>
  </si>
  <si>
    <t>Проведение ремонтных работ помещений по адресу: Дербеневская наб. д. 7, стр. 14, 22; 1-й Дербеневский пр. д. 5.</t>
  </si>
  <si>
    <t xml:space="preserve">Ремонт зданий и сооружений </t>
  </si>
  <si>
    <t>062-0005929</t>
  </si>
  <si>
    <t>Проведение ремонтных работ помещений учебного центра ОАО "МОЭСК" по адресу 2-ой Павелецкий пр. д. 3.</t>
  </si>
  <si>
    <t>062-0005927</t>
  </si>
  <si>
    <t>Выполнение неотложных работ по ремонту административных зданий, помещений для нужд ИА.</t>
  </si>
  <si>
    <t>062-0005959</t>
  </si>
  <si>
    <t>ИА/Служба охраны окружающей среды</t>
  </si>
  <si>
    <t>74.20.5</t>
  </si>
  <si>
    <t>Подготовка и передача заверенной в установленном порядке специализированной, детализированной по времени гидрометеорологической информации по г. Москве и Московской области</t>
  </si>
  <si>
    <t>Расчет стоимость услуг</t>
  </si>
  <si>
    <t>Акт Ростехнадзора</t>
  </si>
  <si>
    <t>АНО "Московское ГМБ"</t>
  </si>
  <si>
    <t>В соответствии с техническим заданием</t>
  </si>
  <si>
    <t>062-0005966</t>
  </si>
  <si>
    <t>Оказание услуг по проведению лабораторного производственного контроля сточных и дренажных вод, сбрасываемых с промплощадок филиалов ОАО "МОЭСК"</t>
  </si>
  <si>
    <t>062-0005971</t>
  </si>
  <si>
    <t>Оказание услг по проведению годовых натурных исследований загрязнения атмосферного воздуха и уровней шума для подтверждения санитарно-защитной зоны для объектов ЗЭС, СЭС</t>
  </si>
  <si>
    <t>062-0005997</t>
  </si>
  <si>
    <t>Оказание услуг по утверждению проектов санитарно-защитных зон для СЭС, ЮЭС</t>
  </si>
  <si>
    <t>082-0005109</t>
  </si>
  <si>
    <t>мониторинг цен, переговоры с банками</t>
  </si>
  <si>
    <t xml:space="preserve">Проценты по краткосрочным кредитам </t>
  </si>
  <si>
    <t>переговоры</t>
  </si>
  <si>
    <t>рубль</t>
  </si>
  <si>
    <t>организация еврооблигационного займа на сумму 500 млн. долл. США</t>
  </si>
  <si>
    <t xml:space="preserve"> консультационные услуги, связанные с организацией еврооблигационного займа</t>
  </si>
  <si>
    <t>Услуги "РОУД ШОУ"</t>
  </si>
  <si>
    <t xml:space="preserve"> привлечение заемных средств</t>
  </si>
  <si>
    <t>привлечение заемных средств</t>
  </si>
  <si>
    <t>предоставления банковской гарантии</t>
  </si>
  <si>
    <t>консультационные услуги по повышению кредитного рейтинга</t>
  </si>
  <si>
    <t>Москва, ЮАО</t>
  </si>
  <si>
    <t xml:space="preserve"> СМР, ПНР</t>
  </si>
  <si>
    <t>Выполнение  СМР, ПНР</t>
  </si>
  <si>
    <t>083-0004160</t>
  </si>
  <si>
    <t>ЗЭС/СДТУ</t>
  </si>
  <si>
    <t>00097 Услуги связи</t>
  </si>
  <si>
    <t>Тарифные планы</t>
  </si>
  <si>
    <t>083-0004162</t>
  </si>
  <si>
    <t>083-0004163</t>
  </si>
  <si>
    <t>Километр</t>
  </si>
  <si>
    <t>083-0004164</t>
  </si>
  <si>
    <t>083-0004165</t>
  </si>
  <si>
    <t xml:space="preserve">Техническое обслуживание оборудования автоматизированных систем технологического управления технологическими процессами подстанций на базе решений Siemens. </t>
  </si>
  <si>
    <t>Оказание услуг по разработке, согласованию и ведению природоохранной разрешительной документации</t>
  </si>
  <si>
    <t>083-0004309</t>
  </si>
  <si>
    <t>ЗЭС/Бухгалтерия</t>
  </si>
  <si>
    <t>72.40</t>
  </si>
  <si>
    <t>Архивные работы (создание электронного ахива)</t>
  </si>
  <si>
    <t>00329 Архивные работы</t>
  </si>
  <si>
    <t>Средние цены на архивные работы</t>
  </si>
  <si>
    <t>083-0004293</t>
  </si>
  <si>
    <t>ЗЭС/СООС</t>
  </si>
  <si>
    <t>ЗЭС/СОТ</t>
  </si>
  <si>
    <t>ЗЭС/САиСМ</t>
  </si>
  <si>
    <t>083-0004292</t>
  </si>
  <si>
    <t>Химводообработка грузового и легкового автотранспорта</t>
  </si>
  <si>
    <t>083-0004307</t>
  </si>
  <si>
    <t>Технпическое обслуживание вентиляционных систем Можайского, Одинцовского, Волоколамского РЭС и управления ЗЭС (САиСМ и лаборатория СИЗПИ)</t>
  </si>
  <si>
    <t>00049 ТО систем приточно-вытяжной вентиляции зданий</t>
  </si>
  <si>
    <t>Спрабочник базовых цен</t>
  </si>
  <si>
    <t>083-0004296</t>
  </si>
  <si>
    <t>Неотложные и аварийно-восстановительные работы по ремонту электротехнического оборудования ПС в 2014-2015г.</t>
  </si>
  <si>
    <t>00183. Аварийно-восстановительные работы на ПС</t>
  </si>
  <si>
    <t>083-0004297</t>
  </si>
  <si>
    <t>Выполнение неотложных и аварийно-восстановительных работ по ремонту КЛ 0,4-10кВ в 2014-2015г.</t>
  </si>
  <si>
    <t>ЗЭС/СЭЗиС</t>
  </si>
  <si>
    <t>ЗЭС/ОККЭ</t>
  </si>
  <si>
    <t>062-0006122</t>
  </si>
  <si>
    <t>ИА/СДТУ</t>
  </si>
  <si>
    <t>Предоставление услуг сотовой связи (ИА, ЦЭС, ЮЭС, СЭС, ВЭС, ЗЭС, ВКС, МКС, ЭУ)</t>
  </si>
  <si>
    <t>В соответствии с договором</t>
  </si>
  <si>
    <t>062-0006123</t>
  </si>
  <si>
    <t>062-0006124</t>
  </si>
  <si>
    <t>О предоставлении услуг центра обработки вызовов</t>
  </si>
  <si>
    <t>062-0006125</t>
  </si>
  <si>
    <t>Предоставление телекоммуникационных услуг (каналы связи 100 Мбит/с и 2048 Кбит/с г.Москва, ул. Н.Красносельская, д.6 - г.Москва, Дербеневской наб., д.7, стр. 22)</t>
  </si>
  <si>
    <t>Мбит</t>
  </si>
  <si>
    <t>062-0006126</t>
  </si>
  <si>
    <t>Предоставление услуг сотовой связи (ИА, ЮЭС, СЭС, ВЭС, ЗЭС)</t>
  </si>
  <si>
    <t>062-0006127</t>
  </si>
  <si>
    <t xml:space="preserve">Предоставление услуг сотовой связи </t>
  </si>
  <si>
    <t>062-0006128</t>
  </si>
  <si>
    <t>Предоставление каналов связи (каналы до РЭС, ПА, АИИС-КУЭ 1 очереди, АИИС-КУЭ 2 очереди, АИИС-КУЭ 3 очереди )</t>
  </si>
  <si>
    <t>062-0006130</t>
  </si>
  <si>
    <t>Предоставление каналов связи (84 основных и резервных канала 9,6 Кбит/с для АИИС КУЭ 3 оч. )</t>
  </si>
  <si>
    <t>062-0006131</t>
  </si>
  <si>
    <t>Предоставление каналов связи (58 каналов 9,6 Кбит/с для передачи информации с ПС)</t>
  </si>
  <si>
    <t>062-0006132</t>
  </si>
  <si>
    <t>Предоставление каналов связи (10 каналов 512кбит/с)</t>
  </si>
  <si>
    <t>062-0006133</t>
  </si>
  <si>
    <t>Предоставление каналов связи (48 основных каналов 9,6 Кбит/с для АИИС КУЭ 4 оч.)</t>
  </si>
  <si>
    <t>062-0006134</t>
  </si>
  <si>
    <t>Предоставление телефонных номеров (700 шт.); внутризоновая, м/г и м/н; предоставление канала связи (г.Москва, 2-й Паведлецкий пр-д, д.3, стр.1-2 - г.Москва, Дербеневская наб., д.7, стр.14)</t>
  </si>
  <si>
    <t>062-0006135</t>
  </si>
  <si>
    <t>Предоставление телефонных номеров (100 шт.); внутризоновая, м/г и м/н</t>
  </si>
  <si>
    <t>062-0006136</t>
  </si>
  <si>
    <t xml:space="preserve"> На предоставление каналов связи</t>
  </si>
  <si>
    <t>062-0006139</t>
  </si>
  <si>
    <t>Предоставление телефонных номеров (250 шт.); внутризоновая, м/г и м/н (ИА, ЮЭС, СЭС, ЗЭС, ВКС)</t>
  </si>
  <si>
    <t>062-0006140</t>
  </si>
  <si>
    <t>Предоставление телефонных номеров (26 шт.); внутризоновая, м/г и м/н; предоставление канала связи (Е1); предоставление интернета (для департамента коммерческого учета электроэнергии ИА г.Москва, Павелецкая наб., д.8, стр.6)</t>
  </si>
  <si>
    <t>062-0006141</t>
  </si>
  <si>
    <t>Предоставление каналов связи (Е1 и 100 Мбит/с для Департамента тех.присоединений г. Москва, 1-й Дербеневский пер., д.5)</t>
  </si>
  <si>
    <t>062-0006142</t>
  </si>
  <si>
    <t xml:space="preserve">Предоставление каналов связи (10 Мбит/с для Энергобаланса г. Москва, 1-й Дербеневский пер., д.5)           </t>
  </si>
  <si>
    <t>062-0006143</t>
  </si>
  <si>
    <t xml:space="preserve">Предоставление каналов связи и телефонных номеров  для обеспечения услугами связи филиала  ОАО «МОЭСК» - «Новая Москва» </t>
  </si>
  <si>
    <t>перспективный</t>
  </si>
  <si>
    <t>062-0006144</t>
  </si>
  <si>
    <t>Организация резервных каналов связи АИИС КУЭ</t>
  </si>
  <si>
    <t>062-0006145</t>
  </si>
  <si>
    <t>Техническое обслуживание волоконно-оптических линий связи ОАО "МОЭСК" (ЦЭС, ЮЭС, СЭС, ВЭС, ЗЭС, МКС)</t>
  </si>
  <si>
    <t>062-0006146</t>
  </si>
  <si>
    <t>Техническое обслуживание оборудования бесперебойного питания узлов связи ОАО "МОЭСК"</t>
  </si>
  <si>
    <t>062-0006147</t>
  </si>
  <si>
    <t>Техническое обслуживание оборудования Диспетчерских коммутаторов и АТС Coral, цифровых систем передачи (RAD, PCMX, Ротек, MП-n), установленного на объектах ОАО "МОЭСК" (ИА, ЦЭС, ЮЭС, СЭС, ВЭС, ЗЭС, ВКС)</t>
  </si>
  <si>
    <t>062-0006149</t>
  </si>
  <si>
    <t>Техническое обслуживание оборудования УКВ диспетчерской радиосвязи , установленного на объектах предприятий электрических сетей ОАО "МОЭСК" (ЦЭС, ЮЭС, СЭС, ВЭС, ЗЭС)</t>
  </si>
  <si>
    <t>062-0006150</t>
  </si>
  <si>
    <t>Техническое обслуживание оборудования цифровых систем коммутации УПАТС AVAYA, установленных на объектах ОАО "МОЭСК" (ИА, ЦЭС, ЮЭС, СЭС, ВЭС, ЗЭС, ВКС)</t>
  </si>
  <si>
    <t>062-0006151</t>
  </si>
  <si>
    <t>Техническое обслуживание оборудования цифровых систем передачи информации FOX-515</t>
  </si>
  <si>
    <t>Об оказании услуг по техническому обслуживанию оборудования цифровых систем передачи информации FOX-515</t>
  </si>
  <si>
    <t>062-0006152</t>
  </si>
  <si>
    <t>Техническое обслуживание оборудования системы оперативного оповещения «Avaya ANS»</t>
  </si>
  <si>
    <t>Об оказании услуг по техническому обслуживанию оборудования системы оперативного оповещения «Avaya ANS»</t>
  </si>
  <si>
    <t>062-0006153</t>
  </si>
  <si>
    <t>Техническое обслуживание оборудования и системы тактовой сетевой синхронизации (ТСС) ОАО "МОЭСК"  для нужд  ОАО «МОЭСК»</t>
  </si>
  <si>
    <t>062-0006154</t>
  </si>
  <si>
    <t>Техническое обслуживание оборудования корпоративной системы регистрации диспетчерских переговоров «ЭХО-плюс» установленного на объектах  ОАО «МОЭСК»</t>
  </si>
  <si>
    <t>Об оказании услуг по техническому обслуживанию оборудования корпоративной системы регистрации диспетчерских переговоров «ЭХО-плюс» установленного на объектах  ОАО «МОЭСК»</t>
  </si>
  <si>
    <t>062-0006155</t>
  </si>
  <si>
    <t>Об оказании услуг по техническому обслуживанию, мониторингу и управлению  оборудованием корпоративной сети передачи данных  ОАО «МОЭСК»</t>
  </si>
  <si>
    <t>062-0006156</t>
  </si>
  <si>
    <t>Техническое обслуживание оборудования транспортной сети SDH ОАО «МОЭСК»</t>
  </si>
  <si>
    <t>Об оказании услуг по техническому обслуживанию оборудования транспортной сети SDH ОАО «МОЭСК»</t>
  </si>
  <si>
    <t>062-0006157</t>
  </si>
  <si>
    <t>Техническое обслуживание, мониторинг и управление оборудованием систем селекторной и видеоконференцсвязи ОАО "МОЭСК" для нужд ОАО «МОЭСК»</t>
  </si>
  <si>
    <t>086-0000039</t>
  </si>
  <si>
    <t>ЭУ/СДТУ</t>
  </si>
  <si>
    <t xml:space="preserve">Предоставлению каналов связи и телефонных номеров для аппарата управления филиала ОАО "МОЭСК" - Энергоучет </t>
  </si>
  <si>
    <t>086-0000041</t>
  </si>
  <si>
    <t>Предоставление каналов связи и телефонных номеров для Московского управления  филиала ОАО "МОЭСК" -  Энергоучет</t>
  </si>
  <si>
    <t>086-0000040</t>
  </si>
  <si>
    <t>Предоставление каналов связи для территориальных подразделений филиала ОАО "МОЭСК" - Энергоучет</t>
  </si>
  <si>
    <t>п.11.1.3 «Предоставление услуги может выполнить только данный оператор/контрагент. Присутствия других операторов/контрагентов на этих объектах нет.»</t>
  </si>
  <si>
    <t>062-0006110</t>
  </si>
  <si>
    <t>ИА/Служба телемеханики</t>
  </si>
  <si>
    <t>Техническое обслуживание комплексов телемеханики РЭС</t>
  </si>
  <si>
    <t>00200  Техническое обслуживание комплексов телемеханики</t>
  </si>
  <si>
    <t>Сметный рачет</t>
  </si>
  <si>
    <t>Москва, Моск.обл.</t>
  </si>
  <si>
    <t>062-0006111</t>
  </si>
  <si>
    <t>Техническое обслуживание комплексов телемеханики МТК-3,Телеканал М/М2,Черный ящик,D20,Гранит,СМАРТ-КП,РТС</t>
  </si>
  <si>
    <t>062-0006112</t>
  </si>
  <si>
    <t>Техническое обслуживание устройств телемеханики ТМ-320</t>
  </si>
  <si>
    <t>062-0006113</t>
  </si>
  <si>
    <t>Техническое обслуживание устройств ТМ Decont</t>
  </si>
  <si>
    <t>062-0006114</t>
  </si>
  <si>
    <t>Техническое обслуживание устройств телемеханики СИРИУС,Моторола</t>
  </si>
  <si>
    <t>062-0006115</t>
  </si>
  <si>
    <t>Техническое обслуживание оборудования АСУ ТП ПС на базе решений Siemens</t>
  </si>
  <si>
    <t>062-0006116</t>
  </si>
  <si>
    <t>Техническое обслуживание комплексов телемеханики ITDS PLC</t>
  </si>
  <si>
    <t>062-0006117</t>
  </si>
  <si>
    <t>Техническое обслуживание АСДК за состоянием и нагрузкой основного оборудования РП,ТП линий 10(6) кВ,технического учета и контроля эл.эн.и мощности</t>
  </si>
  <si>
    <t>062-0006119</t>
  </si>
  <si>
    <t>Выполнение работ по техническому обслуживанию комплексов телемеханики в РЭС ЮЭС</t>
  </si>
  <si>
    <t>062-0006121</t>
  </si>
  <si>
    <t>Выполнение работ по техническому обслуживанию комплексов телемеханики  ПС ЮЭС</t>
  </si>
  <si>
    <t>062-0006168</t>
  </si>
  <si>
    <t>Выполнение работ  по техническому обслуживаию комплексов телемеханики Телеканал-М/М2,Черный ящик на ПС ЮЭС</t>
  </si>
  <si>
    <t>062-0006159</t>
  </si>
  <si>
    <t>Предоставление телефонных номеров (50 шт.); внутризоновая, м/г и м/н</t>
  </si>
  <si>
    <t>ОАО
«Центральный телеграф»</t>
  </si>
  <si>
    <t>062-0006160</t>
  </si>
  <si>
    <t>Предоставление каналов связи (39 каналов диспетчерской телефонной связи  и ТМ 64 кбит/с для ЮЭС, СЭС)</t>
  </si>
  <si>
    <t>ОАО
«Ростелеком»
(«Центр Телеком»)</t>
  </si>
  <si>
    <t>062-0006161</t>
  </si>
  <si>
    <t>Предоставление каналов связи (44 канала диспетчерской телефонной связи  и ТМ 64 кбит/с до 50 км для ВЭС)</t>
  </si>
  <si>
    <t>062-0006162</t>
  </si>
  <si>
    <t>Предоставление каналов связи (22 канала передачи данных до РЭС 2048 кбит/с )</t>
  </si>
  <si>
    <t>062-0006163</t>
  </si>
  <si>
    <t>Предоставление каналов связи (до ПЭС СЭС 2 канала: 10 Мбит/с Ethernet г. Дмитров, ул. Космонавтов; 2 Мбит/с G 703 ПС Игнатово; до ПЭС ВЭС 3 канала: 100 Мбит/с г. Ногинск; 2 Мбит/с Ethernet г. Ногинск; 2 Мбит/с G703 г. Коломна)</t>
  </si>
  <si>
    <t>062-0006164</t>
  </si>
  <si>
    <t>Предоставление телекоммуникационных услуг. Предоставление стойко-места на ММТ-10: Сущевский Вал, д. 26 (ИА)</t>
  </si>
  <si>
    <t>ОАО
«Ростелеком»-ММТ</t>
  </si>
  <si>
    <t>062-0006165</t>
  </si>
  <si>
    <t>Предоставление мест для размещения телекоммуникационного оборудования</t>
  </si>
  <si>
    <t>062-0006166</t>
  </si>
  <si>
    <t>Предоставление в аренду оптических волокон в кабеле (2 оптических волокна для СЭС: МО, г.Мытищи, ул.Медицинская, д.1 - г.Москва, ул.Н.Красносельская , д.6)</t>
  </si>
  <si>
    <t>ЗАО "УК "БТ энд Коммуникейшнз"</t>
  </si>
  <si>
    <t>Москва,
Московская обл.</t>
  </si>
  <si>
    <t>Положение
о порядке проведения регламентированных закупок товаров, работ, услуг для нужд ОАО «Московская объединенная электросетевая компания», от 30.12.2011г.,  п.11.1.3.</t>
  </si>
  <si>
    <t>Положение
о порядке проведения регламентированных закупок товаров, работ, услуг для нужд ОАО «Московская объединенная электросетевая компания», от 30.12.2011г.,  п.11.8.1.с.</t>
  </si>
  <si>
    <t>Эксплуатация медных кабелей связи, ЛКС, ОВ ОАО "Мосэнерго"</t>
  </si>
  <si>
    <t>Услуги по эксплутация ЛКС Филиал ОАО "ФСК ЕЭС" МЭС"</t>
  </si>
  <si>
    <t>Филиал ОАО "ФСК ЕЭС" МЭС"</t>
  </si>
  <si>
    <t>062-0006171</t>
  </si>
  <si>
    <t>ИА/АСТУ</t>
  </si>
  <si>
    <t>40.10</t>
  </si>
  <si>
    <t>Техническое обслуживание инженерных систем (г. Москва, 2-й Павелецкий пр-д, д.3 стр.2)</t>
  </si>
  <si>
    <t>062-0006172</t>
  </si>
  <si>
    <t>Техническое и сервисное обслуживание технических средмтв производства Cisco Systems в составе автоматизированной системы оперативно-технологического управления ОАО "МОЭСК"</t>
  </si>
  <si>
    <t>062-0006173</t>
  </si>
  <si>
    <t>Техническое и сервисное обслуживание серверного оборудования в составе автоматизированной системы оперативно-технологического управления ОАО "МОЭСК"</t>
  </si>
  <si>
    <t>062-0006174</t>
  </si>
  <si>
    <t xml:space="preserve">40.10
</t>
  </si>
  <si>
    <t>Техническое обслуживание оборудования сбора/передачи информации системы регистрации аварийных процессов</t>
  </si>
  <si>
    <t>062-0006175</t>
  </si>
  <si>
    <t>Техническое обслуживание оборудования системы сбора/передачи информации от устройств ОМП</t>
  </si>
  <si>
    <t>062-0006177</t>
  </si>
  <si>
    <t xml:space="preserve">Техническая поддержка и сопровождение информационного обеспечения автоматизированной системы оперативно-технологического управления ОАО "МОЭСК" </t>
  </si>
  <si>
    <t>ТТ-0,4кВ-6шт; ТТ-6-10кВ-906шт; ТН-6-10кВ 1-фаз-9шт; ТН-6-10кВ 3-фаз-66шт</t>
  </si>
  <si>
    <t>18 ПС (амперметры-376шт; амперметры 3-х фазные-20шт; киловольтметры 3-х фазные-13шт; киловольтметры-88шт; вольтметры-24шт; многофункциональные-50шт)</t>
  </si>
  <si>
    <t>6 подстанций</t>
  </si>
  <si>
    <t>1 подстанция</t>
  </si>
  <si>
    <t>"Телеканал М2" - 258шт; "Черный ящик" - 49шт; "Гранит" - 83шт</t>
  </si>
  <si>
    <t>72 объекта</t>
  </si>
  <si>
    <t>(ЩСН-6шт; ЩПТ-6шт) на 6 ПС</t>
  </si>
  <si>
    <t>АБ на 52 подстанции, 120 ВАЗП</t>
  </si>
  <si>
    <t>48 объектов</t>
  </si>
  <si>
    <t>107шт - ПС; 28 участков</t>
  </si>
  <si>
    <t>37 объектов</t>
  </si>
  <si>
    <t xml:space="preserve">10 объектов </t>
  </si>
  <si>
    <t>В зависимости от объёмов работ - около 15 объектов</t>
  </si>
  <si>
    <t>330,634 км (1738 опоры)</t>
  </si>
  <si>
    <t>143 участка ВЛ-6-10 кВ протяженностью - 44,78 км</t>
  </si>
  <si>
    <t>243,18км (ВЛ-6-10кВ - 19шт); 198,83км (ВЛ-0,4кВ - 115шт); 12,84км (КЛ-6-10кВ - 16шт); 3км (КЛ-0,4кВ - 1шт); 283шт (РП, ТП, ЗТП, КТП, МТП)</t>
  </si>
  <si>
    <t>25 объектов</t>
  </si>
  <si>
    <t>20 объектов</t>
  </si>
  <si>
    <t>56 объектов</t>
  </si>
  <si>
    <t>1 РЭС</t>
  </si>
  <si>
    <t>062-0006178</t>
  </si>
  <si>
    <t>062-0006179</t>
  </si>
  <si>
    <t>Сопровождение типовых справочников в области технического обслуживания и ремонтов оборудования</t>
  </si>
  <si>
    <t>062-0006180</t>
  </si>
  <si>
    <t>Разработка корпоративной информационной системы ОАО «МОЭСК» в части поддержки системы управления энергосбережением</t>
  </si>
  <si>
    <t>Рамочник без указания стоимости</t>
  </si>
  <si>
    <t>1.084</t>
  </si>
  <si>
    <t>1.051</t>
  </si>
  <si>
    <t>1.067</t>
  </si>
  <si>
    <t>1.053</t>
  </si>
  <si>
    <t>Казенное предприятие города Москвы «Межотраслевой производственно-технический центр».</t>
  </si>
  <si>
    <t>ЗАО "ГЛОБУС-ТЕЛЕКОМ"</t>
  </si>
  <si>
    <t>ОАО "МегаФон"</t>
  </si>
  <si>
    <t>ОАО "Московская Сотовая Связь"</t>
  </si>
  <si>
    <t>ОАО "Московский узел связи энергетики"</t>
  </si>
  <si>
    <t>ОАО "ВымпелКом"</t>
  </si>
  <si>
    <t>ОАО "Мобильные ТелеСистемы"</t>
  </si>
  <si>
    <t>ООО "Мегатон"</t>
  </si>
  <si>
    <t>ООО "ВиЛэнд"</t>
  </si>
  <si>
    <t>ОАО "АСВТ"</t>
  </si>
  <si>
    <t>2014-2024</t>
  </si>
  <si>
    <t>062-0006055</t>
  </si>
  <si>
    <t>Оказание услуг по проведению расчета нормативной числлености</t>
  </si>
  <si>
    <t>Консультационные услуги (УППиОР)</t>
  </si>
  <si>
    <t>Оказание услуг по оценке персонала (360 градусов)</t>
  </si>
  <si>
    <t>Оказание услуг по оценке персонала (Ассесмент центр)</t>
  </si>
  <si>
    <t>062-0006182</t>
  </si>
  <si>
    <t>062-0006183</t>
  </si>
  <si>
    <t>083-0004094</t>
  </si>
  <si>
    <t>Включает лот 081-0003137</t>
  </si>
  <si>
    <t>Включает лот 064-0001306, 064-0001307, 081-0003138</t>
  </si>
  <si>
    <t>сметный расчёт (ТСНБ -2001)</t>
  </si>
  <si>
    <t>сметный расчёт (Прейскурант ОРГРЭС)</t>
  </si>
  <si>
    <t>План условно-постоянных закупок ОАО "МОЭСК" на 2014 год</t>
  </si>
  <si>
    <t>Сметный расчёт</t>
  </si>
  <si>
    <t xml:space="preserve">Сметный расчёт </t>
  </si>
  <si>
    <t>062-0006211</t>
  </si>
  <si>
    <t>Предоставление комплекса услуг по обеспечению условий функционирования технических средств электросвязи (оборудования) ОАО "МОЭСК"</t>
  </si>
  <si>
    <t>ОАО "ММТС-9</t>
  </si>
  <si>
    <t>Техническое обслуживание оборудования диспетчерской радиосвязи , установленного на объектах предприятий электрических сетей ОАО "МОЭСК" (ЦЭС, ЮЭС, СЭС, ВЭС, ЗЭС)</t>
  </si>
  <si>
    <t>Техническое обслуживание , мониторинг и управление  оборудованием корпоративной сети передачи данных  ОАО «МОЭСК»</t>
  </si>
  <si>
    <t>Услуги предоставления каналов связи: г. Москва ул. Садовническая д.36 - ул. Отрадная д.2Б; пер. Васнецова д.4; Бережковская наб. д. 20Е; ул. Б.Тульская д.43.</t>
  </si>
  <si>
    <t>062-0006031</t>
  </si>
  <si>
    <t>062-0006033</t>
  </si>
  <si>
    <t>062-0006034</t>
  </si>
  <si>
    <t>062-0006035</t>
  </si>
  <si>
    <t>062-0005943</t>
  </si>
  <si>
    <t>На право заключения рамочных соглашений на оказание консультационных услуг по вопросам финансово-хозяйственной деятельности</t>
  </si>
  <si>
    <t>Оказание консультационных услуг по вопросам финансово-хозяйственной деятельности</t>
  </si>
  <si>
    <t>062-0006089</t>
  </si>
  <si>
    <t>ВКС 038-0000496 (1 454.4 т.р.)
МКС 085-0003580 (7 748.86 т.р.)</t>
  </si>
  <si>
    <t>МКС 085-0003579 (3 200 т.р.)
ЦЭС 064-0001377 (1 271.18 т.р.)</t>
  </si>
  <si>
    <t>062-0006369</t>
  </si>
  <si>
    <t>Предоставление в аренду оптических волокон в кабеле (для КСПД)</t>
  </si>
  <si>
    <t>ОАО "Энергокомплекс"</t>
  </si>
  <si>
    <r>
      <t>п.11.1.3 «</t>
    </r>
    <r>
      <rPr>
        <i/>
        <sz val="14"/>
        <rFont val="Times New Roman"/>
        <family val="1"/>
        <charset val="204"/>
      </rPr>
      <t>Предоставление услуги может выполнить только данный оператор/контрагент. Присутствия других операторов/контрагентов на этих объектах нет.»</t>
    </r>
  </si>
  <si>
    <t>Поставка оборудования и материалов</t>
  </si>
  <si>
    <t>Поставка оборудования и материалов.</t>
  </si>
  <si>
    <t>ИА/ОМТС</t>
  </si>
  <si>
    <t>Поставка оборудования</t>
  </si>
  <si>
    <t>Поставка ОПН 0,4-6-10-20 кВ (ЗНТ 062-0006050)</t>
  </si>
  <si>
    <t>062-0006050</t>
  </si>
  <si>
    <t>062-0006296</t>
  </si>
  <si>
    <t>062-0006341</t>
  </si>
  <si>
    <t>062-0006343</t>
  </si>
  <si>
    <t>062-0006352</t>
  </si>
  <si>
    <t>062-0006382</t>
  </si>
  <si>
    <t>062-0006395</t>
  </si>
  <si>
    <t>062-0006374</t>
  </si>
  <si>
    <t>062-0006372</t>
  </si>
  <si>
    <t>02010102</t>
  </si>
  <si>
    <t>Сырье и материалы</t>
  </si>
  <si>
    <t>Коммерческое предложение, Методика о 10% снижении</t>
  </si>
  <si>
    <t>ЗЭС/Отдел охраны труда и здоровья</t>
  </si>
  <si>
    <t>моэск/10/510 от 08.10.13</t>
  </si>
  <si>
    <t>Ремонт строительной части зданий и сооружений Рузского и Можайского РЭС ЗЭС</t>
  </si>
  <si>
    <t>Ремонт строительной части зданий и сооружений Одинцовского, Наро-Фоминского и Истринского РЭС ЗЭС</t>
  </si>
  <si>
    <t>062-0006421</t>
  </si>
  <si>
    <t>Ремонт кабельных линий 0,4-20 кВ (СЭС, ЗЭС, ЮЭС, ВЭС)</t>
  </si>
  <si>
    <t>Комплексное обследование строительных конструкций кабельных коллекторов</t>
  </si>
  <si>
    <t>ИПЦ</t>
  </si>
  <si>
    <t>Закупка на поставку периодических изданий для субъектов малого предприятия</t>
  </si>
  <si>
    <t>Оперативное реагирование и техническое обслуживание комплексов тревожной сигнализации на объектах Северных электрических сетей.</t>
  </si>
  <si>
    <t>062-0006406</t>
  </si>
  <si>
    <t>Поставка опор деревянных пропитанных для ВЛ-04-15 кВ (ЗНТ 062-0006296)</t>
  </si>
  <si>
    <t>Поставка самонесущего изолированного провода (СИП) на напряжение до 35 кВ. (ЗНТ 062-0006341)</t>
  </si>
  <si>
    <t>Поставка ОПН 35-110 кВ (ЗНТ 062-0006343)</t>
  </si>
  <si>
    <t>Поставка неизолированного провода (ЗНТ 062-0006352)</t>
  </si>
  <si>
    <t>Поставка ОПН 35-110 кВ (ЗНТ 062-0006382)</t>
  </si>
  <si>
    <t>Поставка ОПН 0,4-6-10-20 кВ (ЗНТ 062-0006395)</t>
  </si>
  <si>
    <t>Поставка кабельных муфт на напряжение до 35 кВ (ЗНТ 062-0006374)</t>
  </si>
  <si>
    <t>Поставка силового кабеля на напряжение 6-10 (20) кВ (ЗНТ 062-0006372)</t>
  </si>
  <si>
    <t>Поставка кабельных муфт для филиалов до 35 кВ включительно (ЗНТ 062-0006406)</t>
  </si>
  <si>
    <t>062-0006260</t>
  </si>
  <si>
    <t>Поставка металлоконструкций для монтажа разъединителей (ЗНТ 062-0006260)</t>
  </si>
  <si>
    <t>062-0006294</t>
  </si>
  <si>
    <t>Поставка трансформаторов тока до 20 кВ (ЗНТ 062-0006294)</t>
  </si>
  <si>
    <t>062-0006290</t>
  </si>
  <si>
    <t>Поставка вводов 35-220 кВ (ЗНТ 062-0006290)</t>
  </si>
  <si>
    <t>062-0006289</t>
  </si>
  <si>
    <t>Поставка опорных полимерных изоляторов на напряжение от 10 кВ до 220кВ (ЗНТ 062-0006289)</t>
  </si>
  <si>
    <t>062-0006365</t>
  </si>
  <si>
    <t>Поставка линейных стеклянных изоляторов на напряжение от 10 кВ до 220 кВ (2014г.) (ЗНТ 062-0006365)</t>
  </si>
  <si>
    <t>062-0006272</t>
  </si>
  <si>
    <t>Поставка выключателей 6-10,20 кВ (2014г.) (ЗНТ 062-0006272)</t>
  </si>
  <si>
    <t>062-0006257</t>
  </si>
  <si>
    <t>Поставка рубильников, переключателей, магнитных пускателей (ЗНТ 062-0006257)</t>
  </si>
  <si>
    <t>062-0006249</t>
  </si>
  <si>
    <t>Поставка реле (ЗНТ 062-0006249)</t>
  </si>
  <si>
    <t>062-0006247</t>
  </si>
  <si>
    <t>Поставка разъединителей на напряжение 6-35кВ (ЗНТ 062-0006247)</t>
  </si>
  <si>
    <t>062-0006378</t>
  </si>
  <si>
    <t>Поставка кабельных муфт на напряжение 110-500 кВ (ЗНТ 062-0006378)</t>
  </si>
  <si>
    <t>062-0006248</t>
  </si>
  <si>
    <t>Поставка автоматических выключателей (ЗНТ 062-0006248)</t>
  </si>
  <si>
    <t>062-0006323</t>
  </si>
  <si>
    <t>Поставка трансформаторов напряжения  6-20 кВ (ЗНТ 062-0006323)</t>
  </si>
  <si>
    <t>062-0006256</t>
  </si>
  <si>
    <t>Поставка н/в предохранителей (ЗНТ 062-0006256)</t>
  </si>
  <si>
    <t>062-0006259</t>
  </si>
  <si>
    <t>Поставка з/ч к трансформаторам (ЗНТ 062-0006259)</t>
  </si>
  <si>
    <t>062-0006400</t>
  </si>
  <si>
    <t>Поставка разрядников (ЗНТ 062-0006400)</t>
  </si>
  <si>
    <t>062-0006386</t>
  </si>
  <si>
    <t>Поставка арматуры к самонесущему изолированному проводу (СИП) на напряжение до 1000 В (2014г.) (ЗНТ 062-0006386)</t>
  </si>
  <si>
    <t>062-0006051</t>
  </si>
  <si>
    <t>062-0006317</t>
  </si>
  <si>
    <t>Поставка ВЧ связи (ЗНТ 062-0006051)</t>
  </si>
  <si>
    <t>Поставка КТП, МТП и металлоконструкций к МТП (ЗНТ 062-0006317)</t>
  </si>
  <si>
    <t>062-0006311</t>
  </si>
  <si>
    <t>Поставка приборов для измерения физических величин: температуры, давления, влажности (ЗНТ 062-0006311)</t>
  </si>
  <si>
    <t>062-0006340</t>
  </si>
  <si>
    <t>Поставка ГСМ 2014 г. (ЗНТ 062-0006340)</t>
  </si>
  <si>
    <t>062-0006414</t>
  </si>
  <si>
    <t>062-0006354</t>
  </si>
  <si>
    <t>Поставка кабеля оптического и кабеля связи (ЗНТ 062-0006354)</t>
  </si>
  <si>
    <t>062-0006346</t>
  </si>
  <si>
    <t>Поставка кабеля контрольного (ЗНТ 062-0006346)</t>
  </si>
  <si>
    <t>062-0006312</t>
  </si>
  <si>
    <t>Поставка контрольно-измерительных приборов (ЗНТ 062-0006312)</t>
  </si>
  <si>
    <t>062-0006303</t>
  </si>
  <si>
    <t>Поставка электроизмерительных приборов (ЗНТ 062-0006303)</t>
  </si>
  <si>
    <t>062-0006258</t>
  </si>
  <si>
    <t>Поставка шкафов, ящиков, панелей (ЗНТ 062-0006258)</t>
  </si>
  <si>
    <t>062-0006361</t>
  </si>
  <si>
    <t>Поставка провода изолированного (ЗНТ 062-0006361)</t>
  </si>
  <si>
    <t>062-0006379</t>
  </si>
  <si>
    <t>Поставка силового кабеля до 6 кВ (ЗНТ 062-0006379)</t>
  </si>
  <si>
    <t>062-0006413</t>
  </si>
  <si>
    <t>Поставка трансформаторов напряжения 35 кВ (ЗНТ 062-0006413)</t>
  </si>
  <si>
    <t>062-0006302</t>
  </si>
  <si>
    <t>Поставка электрощитовых приборов (ЗНТ 062-0006302)</t>
  </si>
  <si>
    <t>062-0006287</t>
  </si>
  <si>
    <t>Поставка патронов и предохранителей высоковольтных (ЗНТ 062-0006287)</t>
  </si>
  <si>
    <t>062-0006286</t>
  </si>
  <si>
    <t>Поставка запасных частей к выключателям (ЗНТ 062-0006286)</t>
  </si>
  <si>
    <t>062-0006325</t>
  </si>
  <si>
    <t>Поставка лакокрасочной продукции. (2014) (ЗНТ 062-0006325)</t>
  </si>
  <si>
    <t>062-0006267</t>
  </si>
  <si>
    <t>062-0006264</t>
  </si>
  <si>
    <t>Поставка сварочного оборудования и расходных материалов (ЗНТ 062-0006264)</t>
  </si>
  <si>
    <t>Поставка масла трансформаторного ГК (ЗНТ 062-0006267)</t>
  </si>
  <si>
    <t>062-0006261</t>
  </si>
  <si>
    <t>Поставка аккумуляторов (ЗНТ 062-0006261)</t>
  </si>
  <si>
    <t>062-0006268</t>
  </si>
  <si>
    <t>Поставка автошин (ЗНТ 062-0006268)</t>
  </si>
  <si>
    <t>062-0006265</t>
  </si>
  <si>
    <t>Поставка гаражного оборудования (ЗНТ 062-0006265)</t>
  </si>
  <si>
    <t>Справочно к лоту 062-0006421</t>
  </si>
  <si>
    <t>Справочно к лоту 038-0000529</t>
  </si>
  <si>
    <t>062-0006333</t>
  </si>
  <si>
    <t>Поставка светотехнической продукции. (2014) (ЗНТ 062-0006333)</t>
  </si>
  <si>
    <t>062-0006331</t>
  </si>
  <si>
    <t>Поставка РТИ. (2014) (ЗНТ 062-0006331)</t>
  </si>
  <si>
    <t>062-0006324</t>
  </si>
  <si>
    <t>Поставка растворителей. (2014) (ЗНТ 062-0006324)</t>
  </si>
  <si>
    <t>062-0006270</t>
  </si>
  <si>
    <t>Поставка масел и смазочных материалов (ЗНТ 062-0006270)</t>
  </si>
  <si>
    <t>062-0006269</t>
  </si>
  <si>
    <t>Поставка автозапчастей (ЗНТ 062-0006269)</t>
  </si>
  <si>
    <t>062-0006266</t>
  </si>
  <si>
    <t>Поставка специальных и технических жидкостей (ЗНТ 062-0006266)</t>
  </si>
  <si>
    <t>Оборудование и материалы</t>
  </si>
  <si>
    <t>062-0006263</t>
  </si>
  <si>
    <t>Поставка химической продукции, реактивов и лабораторных приборов (ЗНТ 062-0006263)</t>
  </si>
  <si>
    <t>062-0006054</t>
  </si>
  <si>
    <t>062-0006444</t>
  </si>
  <si>
    <t>90.02</t>
  </si>
  <si>
    <t>Оказание услуг по вывозу ТБО, смета и приравненных к ним производственных отходов с объектов МКС,ЦЭС, ВКС</t>
  </si>
  <si>
    <t>Справочно к лоту 062-0006444</t>
  </si>
  <si>
    <t>Химчистка, стирка, обеспыливание и ремонт спецодежды</t>
  </si>
  <si>
    <t>Обеспечение питьевой бутилированной водой персонала электросетей</t>
  </si>
  <si>
    <t>Определение технического состояния строительных конструкций зданий и сооружений  и паспортизацию зданий  и сооружений</t>
  </si>
  <si>
    <t xml:space="preserve">Капитальный ремонт диспетчерского мнемощита  РДП  Западной, РДП Волоколамской операционной зоны и АСУ ТП и ТМ на ПС ЗЭС </t>
  </si>
  <si>
    <t>Капитальный ремонт диспетчерского мнемощита  РДП  Западной и РДП Волоколасмской операционной зоны Капитальный ремонт АСУ ТП и ТМ на ПС ЗЭС</t>
  </si>
  <si>
    <t>Обработка территорий подстанций средствами против растительности  (ЮЭС)</t>
  </si>
  <si>
    <t>объединен с 081-0003104</t>
  </si>
  <si>
    <t>Ремонт оборудования ОИК Северной ОЗ: ПС 198 "Н.Подлипки" и Дмитровской ОЗ для Северных электрических сетей</t>
  </si>
  <si>
    <t>Ремонт оборудования ОИК Северной ОЗ: ПС 198 "Н.Подлипки" для Северных электрических сетей ,Ремонт оборудования ОИК Дмитровской ОЗ для Северных электрических сетей</t>
  </si>
  <si>
    <t>062-0006332</t>
  </si>
  <si>
    <t>Поставка светильников (ЗНТ 062-0006332)</t>
  </si>
  <si>
    <t>062-0006328</t>
  </si>
  <si>
    <t>Поставка пожарного оборудования и сигнализации (ЗНТ 062-0006328)</t>
  </si>
  <si>
    <t>062-0006292</t>
  </si>
  <si>
    <t>Поставка опорных и проходных изоляторов (ЗНТ 062-0006292)</t>
  </si>
  <si>
    <t>062-0006282</t>
  </si>
  <si>
    <t>Поставка припоев для нужд филиалов (ЗНТ 062-0006282)</t>
  </si>
  <si>
    <t>062-0006358</t>
  </si>
  <si>
    <t>Поставка расходных материалов-катриджей нужд филиалов (ЗНТ 062-0006358)</t>
  </si>
  <si>
    <t>ЭУ/ТОиР</t>
  </si>
  <si>
    <t>083-0004779</t>
  </si>
  <si>
    <t>Покраска опор ВЛ-35-220кВ на переходах через автомагистрали на 2014 год</t>
  </si>
  <si>
    <t>Поставка запасных частей к ячейкам КРУ (ЗНТ 062-0006054)</t>
  </si>
  <si>
    <t>Комплексная круглосуточная техническая подддержка, администрирование веб-ресурсов, круглосуточный контент-менеджмент корпоративных сайтов (русские и английские версии сайтов: www.moesk.ru, museum.ru  и интернет-магазина "Дополнительные услуги") и разаботка интерактивных сервисов для клиентов</t>
  </si>
  <si>
    <t>Издательско-полиграфические услуги в интересах ОАО "МОЭСК", выпуск региональной вкладки к газете  "Российские сети", изданий для потребителей</t>
  </si>
  <si>
    <t>062-0006504</t>
  </si>
  <si>
    <t>Услуги по информационному сопровождению проекта "МОЭСК-EV"</t>
  </si>
  <si>
    <t>062-0006503</t>
  </si>
  <si>
    <t>Услуги по созданию интерактивной диорамы с использованием технологии видеомэппинга</t>
  </si>
  <si>
    <t>Информационное сопровождению проекта "МОЭСК-EV"</t>
  </si>
  <si>
    <t>Создание интерактивной диорамы с использованием технологии видеомэппинга</t>
  </si>
  <si>
    <t>064-0001140</t>
  </si>
  <si>
    <t>Выполнение СМР по реконструкции ВЛ 220 кВ Бугры - ГТЭС "Коломенское"</t>
  </si>
  <si>
    <t>I-112326</t>
  </si>
  <si>
    <t>Реконструкция ВЛ 220 кВ Бугры - ГТЭС "Коломенское"</t>
  </si>
  <si>
    <t>064-0001143</t>
  </si>
  <si>
    <t>Выполнение СМР по реконструкции ВЛ 220 кВ ТЭЦ-23 - Трубино, ТЭЦ-23 - Руднево</t>
  </si>
  <si>
    <t>I-112376</t>
  </si>
  <si>
    <t>Реконструкция ВЛ 220 кВ ТЭЦ-23 - Трубино, ТЭЦ-23 - Руднево</t>
  </si>
  <si>
    <t>064-0001155</t>
  </si>
  <si>
    <t>Выполнение СМР по реконструкции ВЛ 110 кВ  "Очаково - Вернадская А, Б"</t>
  </si>
  <si>
    <t>I-112394</t>
  </si>
  <si>
    <t>Реконструкция ВЛ 110 кВ  "Очаково - Вернадская А, Б"</t>
  </si>
  <si>
    <t>064-0000759</t>
  </si>
  <si>
    <t>I-000120</t>
  </si>
  <si>
    <t>Реконструкция ВЛ 110 кВ "Очаково – Фили"</t>
  </si>
  <si>
    <t>064-0001001</t>
  </si>
  <si>
    <t>Выполнение СМР по реконструкции ВЛ 220 кВ ТЭЦ-26 - Чертаново 1, 2</t>
  </si>
  <si>
    <t>I-112377</t>
  </si>
  <si>
    <t>Реконструкция ВЛ 220 кВ ТЭЦ-26 - Чертаново 1, 2</t>
  </si>
  <si>
    <t>062-0006275</t>
  </si>
  <si>
    <t>Поставка канцтоваров для нужд филиалов ОАО "МОЭСК" (ЗНТ 062-0006275 )</t>
  </si>
  <si>
    <t>Поставка канцтоваров для нужд филиалов ОАО "МОЭСК"</t>
  </si>
  <si>
    <t>062-0006276</t>
  </si>
  <si>
    <t>Поставка хозтоваров для нужд филиалов ОАО "МОЭСК" (ЗНТ 062-0006276 )</t>
  </si>
  <si>
    <t>Поставка хозтоваров для нужд филиалов ОАО "МОЭСК"</t>
  </si>
  <si>
    <t>062-0006291</t>
  </si>
  <si>
    <t>Поставка Оборудования ЛЭП в 2014г (ЗНТ 062-0006291 )</t>
  </si>
  <si>
    <t>Поставка Оборудования ЛЭП в 2014г</t>
  </si>
  <si>
    <t>062-0006295</t>
  </si>
  <si>
    <t>Поставка стоек ж/б тип СВ и приставок ПТ в 2014г (ЗНТ 062-0006295 )</t>
  </si>
  <si>
    <t>Поставка стоек ж/б тип СВ и приставок ПТ в 2014г</t>
  </si>
  <si>
    <t>062-0006298</t>
  </si>
  <si>
    <t>Поставка строп в 2014г (ЗНТ 062-0006298 )</t>
  </si>
  <si>
    <t>Поставка строп в 2014г</t>
  </si>
  <si>
    <t>062-0006334</t>
  </si>
  <si>
    <t>Поставка кабельной арматуры до 35 кВ(2014) (ЗНТ 062-0006334 )</t>
  </si>
  <si>
    <t>Поставка кабельной арматуры до 35 кВ(2014)</t>
  </si>
  <si>
    <t>062-0006338</t>
  </si>
  <si>
    <t>Поставка скобяных изделий (2014) (ЗНТ 062-0006338 )</t>
  </si>
  <si>
    <t>Поставка скобяных изделий (2014)</t>
  </si>
  <si>
    <t>062-0006339</t>
  </si>
  <si>
    <t>Поставка запчастей к аппаратуре телемеханике (2014) (ЗНТ 062-0006339 )</t>
  </si>
  <si>
    <t>Поставка запчастей к аппаратуре телемеханике (2014)</t>
  </si>
  <si>
    <t>062-0006366</t>
  </si>
  <si>
    <t>Поставка сетевого оборудования для филиалов на 2014г. (ЗНТ 062-0006366 )</t>
  </si>
  <si>
    <t>Поставка сетевого оборудования для филиалов на 2014г.</t>
  </si>
  <si>
    <t>062-0006388</t>
  </si>
  <si>
    <t>Поставка ИБП и аккумуляторов к ним для филиалов на 2014г. (ЗНТ 062-0006388 )</t>
  </si>
  <si>
    <t>Поставка ИБП и аккумуляторов к ним для филиалов на 2014г.</t>
  </si>
  <si>
    <t>062-0006250</t>
  </si>
  <si>
    <t>Поставка абразивного инструмента 2014 (ЗНТ 062-0006250 )</t>
  </si>
  <si>
    <t>Поставка абразивного инструмента 2014</t>
  </si>
  <si>
    <t>062-0006251</t>
  </si>
  <si>
    <t>Поставка безоинструмента и расходных материалов 2014 (ЗНТ 062-0006251 )</t>
  </si>
  <si>
    <t>Поставка безоинструмента и расходных материалов 2014</t>
  </si>
  <si>
    <t>062-0006252</t>
  </si>
  <si>
    <t>Поставка окрасочного и малярного инструмента 2014 (ЗНТ 062-0006252 )</t>
  </si>
  <si>
    <t>Поставка окрасочного и малярного инструмента 2014</t>
  </si>
  <si>
    <t>062-0006254</t>
  </si>
  <si>
    <t>Поставка фонарей 2014 (ЗНТ 062-0006254 )</t>
  </si>
  <si>
    <t>Поставка фонарей 2014</t>
  </si>
  <si>
    <t>062-0006297</t>
  </si>
  <si>
    <t>Поставка насосного и компрессорного оборудования в 2014г (ЗНТ 062-0006297 )</t>
  </si>
  <si>
    <t>Поставка насосного и компрессорного оборудования в 2014г</t>
  </si>
  <si>
    <t>062-0006299</t>
  </si>
  <si>
    <t>Поставка люков и оборудования к нему в 2014г (ЗНТ 062-0006299 )</t>
  </si>
  <si>
    <t>Поставка люков и оборудования к нему в 2014г</t>
  </si>
  <si>
    <t>062-0006300</t>
  </si>
  <si>
    <t>Поставка Грозотроса в 2014г (ЗНТ 062-0006300 )</t>
  </si>
  <si>
    <t>Поставка Грозотроса в 2014г</t>
  </si>
  <si>
    <t>062-0006305</t>
  </si>
  <si>
    <t>Поставка Фильтров и модулей для ЭККОМ в 2014г (ЗНТ 062-0006305 )</t>
  </si>
  <si>
    <t>Поставка Фильтров и модулей для ЭККОМ в 2014г</t>
  </si>
  <si>
    <t>062-0006306</t>
  </si>
  <si>
    <t>Поставка станков в 2014г (ЗНТ 062-0006306 )</t>
  </si>
  <si>
    <t>Поставка станков в 2014г</t>
  </si>
  <si>
    <t>062-0006307</t>
  </si>
  <si>
    <t>Поставка ж/б продукции в 2014г (ЗНТ 062-0006307 )</t>
  </si>
  <si>
    <t>Поставка ж/б продукции в 2014г</t>
  </si>
  <si>
    <t>062-0006313</t>
  </si>
  <si>
    <t>Поставка поиско-диагностических приборов. (ЗНТ 062-0006313 )</t>
  </si>
  <si>
    <t>Поставка поиско-диагностических приборов.</t>
  </si>
  <si>
    <t>062-0006337</t>
  </si>
  <si>
    <t>Поставка Стоек СК и узкобазых опор в 2014г (ЗНТ 062-0006337 )</t>
  </si>
  <si>
    <t>Поставка Стоек СК и узкобазых опор в 2014г</t>
  </si>
  <si>
    <t>062-0006345</t>
  </si>
  <si>
    <t>Поставка инертных материалов (2014) (ЗНТ 062-0006345 )</t>
  </si>
  <si>
    <t>Поставка инертных материалов (2014)</t>
  </si>
  <si>
    <t>062-0006348</t>
  </si>
  <si>
    <t>Поставка сухих смесей и бетон (2014) (ЗНТ 062-0006348 )</t>
  </si>
  <si>
    <t>Поставка сухих смесей и бетон (2014)</t>
  </si>
  <si>
    <t>062-0006351</t>
  </si>
  <si>
    <t>Поставка строительных материалов (2014) (ЗНТ 062-0006351 )</t>
  </si>
  <si>
    <t>Поставка строительных материалов (2014)</t>
  </si>
  <si>
    <t>062-0006357</t>
  </si>
  <si>
    <t>Поставка кровельных материалов (2014) (ЗНТ 062-0006357 )</t>
  </si>
  <si>
    <t>Поставка кровельных материалов (2014)</t>
  </si>
  <si>
    <t>062-0006277</t>
  </si>
  <si>
    <t>Поставка технических тканей, ветоши, веревок для нужд филиалов ОАО "МОЭСК" (ЗНТ 062-0006277 )</t>
  </si>
  <si>
    <t>Поставка технических тканей, ветоши, веревок для нужд филиалов ОАО "МОЭСК"</t>
  </si>
  <si>
    <t>062-0006279</t>
  </si>
  <si>
    <t>Поставка аккумуляторов,источников питания для нужд филиалов ОАО "МОЭСК" (ЗНТ 062-0006279 )</t>
  </si>
  <si>
    <t>Поставка аккумуляторов,источников питания для нужд филиалов ОАО "МОЭСК"</t>
  </si>
  <si>
    <t>062-0006280</t>
  </si>
  <si>
    <t>Поставка электрообогревателей для нужд филиалов ОАО "МОЭСК" (ЗНТ 062-0006280 )</t>
  </si>
  <si>
    <t>Поставка электрообогревателей для нужд филиалов ОАО "МОЭСК"</t>
  </si>
  <si>
    <t>062-0006344</t>
  </si>
  <si>
    <t>Поставка телефонов и телефонного оборудования 2014 г. (ЗНТ 062-0006344 )</t>
  </si>
  <si>
    <t>Поставка телефонов и телефонного оборудования 2014 г.</t>
  </si>
  <si>
    <t>062-0006347</t>
  </si>
  <si>
    <t>Поставка вентиляционного оборудования 2014 г. (ЗНТ 062-0006347 )</t>
  </si>
  <si>
    <t>Поставка вентиляционного оборудования 2014 г.</t>
  </si>
  <si>
    <t>062-0006353</t>
  </si>
  <si>
    <t>Поставка оборудования видеонаблюдения 2014 г. (ЗНТ 062-0006353 )</t>
  </si>
  <si>
    <t>Поставка оборудования видеонаблюдения 2014 г.</t>
  </si>
  <si>
    <t>062-0006288</t>
  </si>
  <si>
    <t>Поставка электродвигателей (ЗНТ 062-0006288 )</t>
  </si>
  <si>
    <t>Поставка электродвигателей</t>
  </si>
  <si>
    <t>062-0006255</t>
  </si>
  <si>
    <t>Поставка электроинструмента 2014 (ЗНТ 062-0006255 )</t>
  </si>
  <si>
    <t>Поставка электроинструмента 2014</t>
  </si>
  <si>
    <t>062-0006301</t>
  </si>
  <si>
    <t>Поставка Грузоподьемного оборудования в 2014г (ЗНТ 062-0006301 )</t>
  </si>
  <si>
    <t>Поставка Грузоподьемного оборудования в 2014г</t>
  </si>
  <si>
    <t>062-0006360</t>
  </si>
  <si>
    <t>Поставка асбестоцементные изделия (2014) (ЗНТ 062-0006360 )</t>
  </si>
  <si>
    <t>Поставка асбестоцементные изделия (2014)</t>
  </si>
  <si>
    <t>062-0006384</t>
  </si>
  <si>
    <t>Поставка комплектующих к компьютерной и оргтехники для филиалов на 2014г. (ЗНТ 062-0006384 )</t>
  </si>
  <si>
    <t>Поставка комплектующих к компьютерной и оргтехники для филиалов на 2014г.</t>
  </si>
  <si>
    <t>062-0006385</t>
  </si>
  <si>
    <t>Поставка металлопроката (2014 г.) (ЗНТ 062-0006385 )</t>
  </si>
  <si>
    <t>Поставка металлопроката (2014 г.)</t>
  </si>
  <si>
    <t>062-0006389</t>
  </si>
  <si>
    <t>Поставка алюминиевых и медных шин (2014 г.) (ЗНТ 062-0006389 )</t>
  </si>
  <si>
    <t>Поставка алюминиевых и медных шин (2014 г.)</t>
  </si>
  <si>
    <t>062-0006422</t>
  </si>
  <si>
    <t>Поставка линейных изоляторов (2014г.) (ЗНТ 062-0006422 )</t>
  </si>
  <si>
    <t>Поставка линейных изоляторов (2014г.)</t>
  </si>
  <si>
    <t>062-0006523</t>
  </si>
  <si>
    <t>Поставка вакуумных выключателей 6-20кв (ЗНТ 062-0006523 )</t>
  </si>
  <si>
    <t>Поставка вакуумных выключателей 6-20кв</t>
  </si>
  <si>
    <t>062-0006283</t>
  </si>
  <si>
    <t>062-0006326</t>
  </si>
  <si>
    <t>062-0006327</t>
  </si>
  <si>
    <t>062-0006329</t>
  </si>
  <si>
    <t>062-0006380</t>
  </si>
  <si>
    <t>062-0006387</t>
  </si>
  <si>
    <t>062-0006390</t>
  </si>
  <si>
    <t>062-0006432</t>
  </si>
  <si>
    <t>062-0006433</t>
  </si>
  <si>
    <t>062-0006434</t>
  </si>
  <si>
    <t>Поставка оборудования РЗА (ЗНТ 062-0006414)</t>
  </si>
  <si>
    <t>062-0006244</t>
  </si>
  <si>
    <t>Поставка провода СИП (ЗНТ 062-0006244)</t>
  </si>
  <si>
    <t>Поставка провода СИП</t>
  </si>
  <si>
    <t>062-0006412</t>
  </si>
  <si>
    <t>Поставка СИЗ органов слуха (2014 г.) (ЗНТ 062-0006412)</t>
  </si>
  <si>
    <t>Поставка СИЗ органов слуха (2014 г.)</t>
  </si>
  <si>
    <t>Поставка спецмебели для нужд филиалов ОАО "МОЭСК" (ЗНТ 062-0006283)</t>
  </si>
  <si>
    <t>Поставка электроустановочных материалов. (2014) (ЗНТ 062-0006326)</t>
  </si>
  <si>
    <t>Поставка электроизоляционных материалов. (2014) (ЗНТ 062-0006327)</t>
  </si>
  <si>
    <t>Поставка переносных заземлений, набросов и устройств для раскрепления опор. (2014) (ЗНТ 062-0006329)</t>
  </si>
  <si>
    <t>Поставка метизов (2014 г.) (ЗНТ 062-0006380)</t>
  </si>
  <si>
    <t>Поставка оргтехники для филиалов на 2014г. (ЗНТ 062-0006387)</t>
  </si>
  <si>
    <t>Поставка сантехники  и запорной арматуры (2014 г.) (ЗНТ 062-0006390)</t>
  </si>
  <si>
    <t>Поставка указателей и устройств индикации напряжения. (2014) (ЗНТ 062-0006432)</t>
  </si>
  <si>
    <t>Поставка штанг для работы в электроустановках и насадок к ним. (2014) (ЗНТ 062-0006433)</t>
  </si>
  <si>
    <t>Поставка КШЗ – ПЗ для установки на ВЛ без подъема на опору. (2014) (ЗНТ 062-0006434)</t>
  </si>
  <si>
    <t>Поставка спецмебели для нужд филиалов ОАО "МОЭСК"</t>
  </si>
  <si>
    <t>Поставка электроустановочных материалов. (2014)</t>
  </si>
  <si>
    <t>Поставка электроизоляционных материалов. (2014)</t>
  </si>
  <si>
    <t>Поставка переносных заземлений, набросов и устройств для раскрепления опор. (2014)</t>
  </si>
  <si>
    <t>Поставка метизов (2014 г.)</t>
  </si>
  <si>
    <t>Поставка оргтехники для филиалов на 2014г.</t>
  </si>
  <si>
    <t>Поставка сантехники  и запорной арматуры (2014 г.)</t>
  </si>
  <si>
    <t>Поставка указателей и устройств индикации напряжения. (2014)</t>
  </si>
  <si>
    <t>Поставка штанг для работы в электроустановках и насадок к ним. (2014)</t>
  </si>
  <si>
    <t>Поставка КШЗ – ПЗ для установки на ВЛ без подъема на опору. (2014)</t>
  </si>
  <si>
    <t>Стирка, химчистка  и мелкий ремонт спецодежды</t>
  </si>
  <si>
    <t xml:space="preserve">Оказание услуг по подготовке и изготовлению Годового отчета  ОАО "МОЭСК" за 2013 год </t>
  </si>
  <si>
    <t>081-0003096</t>
  </si>
  <si>
    <t>062-0006330</t>
  </si>
  <si>
    <t>Поставка спецодежды (2014 г.) (ЗНТ 062-0006330)</t>
  </si>
  <si>
    <t>Поставка спецодежды (2014 г.)</t>
  </si>
  <si>
    <t>062-0006393</t>
  </si>
  <si>
    <t>Поставка дерматологических СИЗ и репеллентов (2014 г.) (ЗНТ 062-0006393)</t>
  </si>
  <si>
    <t>Поставка дерматологических СИЗ и репеллентов (2014 г.)</t>
  </si>
  <si>
    <t>062-0006403</t>
  </si>
  <si>
    <t>Поставка оградительных средств (2014 г.) (ЗНТ 062-0006403)</t>
  </si>
  <si>
    <t>Поставка оградительных средств (2014 г.)</t>
  </si>
  <si>
    <t>062-0006274</t>
  </si>
  <si>
    <t>Поставка печатной продукции для нужд филиалов ОАО "МОЭСК" (ЗНТ 062-0006274)</t>
  </si>
  <si>
    <t>Поставка печатной продукции для нужд филиалов ОАО "МОЭСК"</t>
  </si>
  <si>
    <t>062-0006278</t>
  </si>
  <si>
    <t>Поставка мебели  для нужд филиалов ОАО "МОЭСК" (ЗНТ 062-0006278)</t>
  </si>
  <si>
    <t>Поставка мебели  для нужд филиалов ОАО "МОЭСК"</t>
  </si>
  <si>
    <t>062-0006394</t>
  </si>
  <si>
    <t>Поставка лестниц (2014 г.) (ЗНТ 062-0006394)</t>
  </si>
  <si>
    <t>Поставка лестниц (2014 г.)</t>
  </si>
  <si>
    <t>062-0006397</t>
  </si>
  <si>
    <t>Поставка знаков и плакатов (2014 г.) (ЗНТ 062-0006397)</t>
  </si>
  <si>
    <t>Поставка знаков и плакатов (2014 г.)</t>
  </si>
  <si>
    <t>062-0006402</t>
  </si>
  <si>
    <t>Поставка приспособлений для подъема на высоту и СИЗ от падения с высоты (2014 г.) (ЗНТ 062-0006402)</t>
  </si>
  <si>
    <t>Поставка приспособлений для подъема на высоту и СИЗ от падения с высоты (2014 г.)</t>
  </si>
  <si>
    <t>062-0006405</t>
  </si>
  <si>
    <t>Поставка СИЗ  рук (2014 г.) (ЗНТ 062-0006405)</t>
  </si>
  <si>
    <t>Поставка СИЗ  рук (2014 г.)</t>
  </si>
  <si>
    <t>062-0006408</t>
  </si>
  <si>
    <t>Поставка спецобуви (2014 г.) (ЗНТ 062-0006408)</t>
  </si>
  <si>
    <t>Поставка спецобуви (2014 г.)</t>
  </si>
  <si>
    <t>062-0006409</t>
  </si>
  <si>
    <t>Поставка СИЗ головы и органов дыхания (2014 г.) (ЗНТ 062-0006409)</t>
  </si>
  <si>
    <t>Поставка СИЗ головы и органов дыхания (2014 г.)</t>
  </si>
  <si>
    <t>062-0006411</t>
  </si>
  <si>
    <t>Поставка СИЗ глаз и лица (2014 г.) (ЗНТ 062-0006411)</t>
  </si>
  <si>
    <t>Поставка СИЗ глаз и лица (2014 г.)</t>
  </si>
  <si>
    <t>062-0006425</t>
  </si>
  <si>
    <t>062-0006364</t>
  </si>
  <si>
    <t>Поставка устройств модулей и субблоков (2014г.) (ЗНТ 062-0006425)</t>
  </si>
  <si>
    <t>Поставка устройств модулей и субблоков (2014г.)</t>
  </si>
  <si>
    <t>Поставка компьютеров, мониторов, ноутбуков для филиалов на 2014г. с ПО (ЗНТ 062-0006364)</t>
  </si>
  <si>
    <t>Поставка компьютеров, мониторов, ноутбуков для филиалов на 2014г. с ПО</t>
  </si>
  <si>
    <t>083-0004832</t>
  </si>
  <si>
    <t>Капитальный ремонт ВЛ 110кВ Кубинка-Ивановская 1,2 с отпайкой</t>
  </si>
  <si>
    <t>083-0004756</t>
  </si>
  <si>
    <t>Капитальный ремонт ВЛ 35кВ Истра-Манихино и ВЛ 35кВ Истра-Устиново</t>
  </si>
  <si>
    <t>081-0003874</t>
  </si>
  <si>
    <t>Ремонт металлоконструкций, зданий и сооружений СЭС по адресу: г.Москва, ул.Руставели, д.2</t>
  </si>
  <si>
    <t>062-0006273</t>
  </si>
  <si>
    <t>Поставка бытовой техники для нужд  филиалов ОАО "МОЭСК" (ЗНТ 062-0006273)</t>
  </si>
  <si>
    <t>Поставка бытовой техники для нужд  филиалов ОАО "МОЭСК"</t>
  </si>
  <si>
    <t>084-0002679</t>
  </si>
  <si>
    <t>Аренда каналов связи (основных и резервных каналов связи для организации диспетчерской телефонной связи и передачи телеинформации от ПС до ДП КОЗ и ШОЗ (программа ССПИ 3 очередь)) 7 ПС</t>
  </si>
  <si>
    <t xml:space="preserve">В целях выполнения требований Технических условий ОАО «СО ЕЭС» филиал Московское РДУ №Р36-в-III-19-3477 от 13.08.2012 г. на присоединение основных и резервных каналов диспетчерской телефонной связи и передачи телеинформации,    Соглашения № СДУ-9/2010 о технологическом взаимодействии между ОАО «СО ЕЭС» и ОАО «МОЭСК» в целях обеспечения надежности функционирования ЕЭС России от 01.02.2011 г.  </t>
  </si>
  <si>
    <t>Аренда основных и резервных каналов связи (каналов связи для организации диспетчерской телефонной связи и передачи телеинформации от ПС до ДП КОЗ и ШОЗ (программа ССПИ 3 очередь)) 7 ПС</t>
  </si>
  <si>
    <t>Ремонт кровли; ремонт отмосток; ремонт фасада; ремонт инженерных сетей; ремонт строительной части зданий: здания и сооружения ПС 35-220 кВ, здания и сооружения хозяйственного назначения, здания ЗТП (РП) в Коломенском, Зарайском, Озерском, Воскресенском, Луховицком РЭС 
(КЗО)</t>
  </si>
  <si>
    <t>Ремонт кровли; ремонт отмосток; ремонт фасада; ремонт инженерных сетей; ремонт строительной части зданий: здания и сооружения ПС 35-220 кВ, здания и сооружения хозяйственного назначения, здания ЗТП (РП) в Ногинском,  Павлово-Посадском, Балашихинском, Щелковском РЭС 
(НЗО)</t>
  </si>
  <si>
    <t>Ремонт кровли; ремонт отмосток; ремонт фасада; ремонт инженерных сетей; ремонт строительной части зданий: здания и сооружения ПС 35-220 кВ, здания и сооружения хозяйственного назначения, здания ЗТП (РП) в Ногинском,  Павлово-Посадском, Балашихинском, Щелковском РЭС (НЗО)</t>
  </si>
  <si>
    <t>Ремонт кровли; ремонт отмосток; ремонт фасада; ремонт инженерных сетей; ремонт строительной части зданий: здания и сооружения ПС 35-220 кВ, здания и сооружения хозяйственного назначения, здания ЗТП (РП) в Шатурском,  Егорьевском, Орехово-Зуевском РЭС 
(ШЗО)</t>
  </si>
  <si>
    <t>Ремонт кровли; ремонт отмосток; ремонт фасада; ремонт инженерных сетей; ремонт строительной части зданий: здания и сооружения ПС 35-220 кВ, здания и сооружения хозяйственного назначения, здания ЗТП (РП) в Шатурском,  Егорьевском, Орехово-Зуевском РЭС (ШЗО)</t>
  </si>
  <si>
    <t>ИА/УФЗ</t>
  </si>
  <si>
    <t>062-0006590</t>
  </si>
  <si>
    <t xml:space="preserve">74.84 </t>
  </si>
  <si>
    <t>Услуги на проведение ежеквартальных специальных проверок выделенных помещений (переговорных комнат в филиалах, кабинетов руководителей филиалов и ИА) с целью защиты речевой информации при проведении конфиденциальных переговоров в защищенных помещениях.</t>
  </si>
  <si>
    <t>Услуги на проведение специальных проверок</t>
  </si>
  <si>
    <t>штук</t>
  </si>
  <si>
    <t>п.5.11.2.а</t>
  </si>
  <si>
    <t>Техническое обслуживание сплит-систем кондиционирования воздуха</t>
  </si>
  <si>
    <t>085-0004662</t>
  </si>
  <si>
    <t>объект</t>
  </si>
  <si>
    <t>083-0004848</t>
  </si>
  <si>
    <t>Ремонт санитарно-бытовых помещений, расположенных на территориях производственных баз РЭС Западных электрических сетей – филиала ОАО «МОЭСК»</t>
  </si>
  <si>
    <t>081-0003085</t>
  </si>
  <si>
    <t>Ремонт строительной части зданий ТП, ремонт металлоконструкций,  ремонт ограждений на объектах СЭС - филиала ОАО "МОЭСК"</t>
  </si>
  <si>
    <t>Промывка гравия под силовыми трансформаторами и обслуживание территорий подстанций Северных электрических сетей в 2014 г.</t>
  </si>
  <si>
    <t>Промывка гравия под силовыми трансформаторами, обслуживание территории подстанций 35-220 кВ</t>
  </si>
  <si>
    <t>шт                                     м2</t>
  </si>
  <si>
    <t>21                             1319</t>
  </si>
  <si>
    <t>Физико-химический анализ трансформаторного масла; Диагностика изоляции (хроматографический анализ масла трансформаторов 110кВ ВЭС)</t>
  </si>
  <si>
    <t>062-0006318</t>
  </si>
  <si>
    <t>Поставка приборов (ЗНТ 062-0006318)</t>
  </si>
  <si>
    <t>Поставка приборов</t>
  </si>
  <si>
    <t>062-0006494</t>
  </si>
  <si>
    <t>Поставка арматуры к самонесущему изолированному проводу (СИП) на напряжение до 1000В (ЗНТ 062-0006494)</t>
  </si>
  <si>
    <t>Поставка арматуры к самонесущему изолированному проводу (СИП) на напряжение до 1000В</t>
  </si>
  <si>
    <t>062-0006611</t>
  </si>
  <si>
    <t>Расширение функциональных возможностей автоматизированной системы управления финансово-хозяйственной деятельности (АСУ ФХД) ОАО "МОЭСК" и тиражирование АСУ ФХД в филиалах ОАО "МОЭСК" - "Энергоучёт" и "Новая Москва"</t>
  </si>
  <si>
    <t>Разработка и внедрение систем/подсистем информации</t>
  </si>
  <si>
    <t>062-0006612</t>
  </si>
  <si>
    <t>Создание автоматизированной системы учёта и отчётности для целей МСФО и тарифного регулирования ОАО "МОЭСК"</t>
  </si>
  <si>
    <t>062-0006613</t>
  </si>
  <si>
    <t>Создание автоматизированной системы управления корпоративными финансами и договорами ОАО "МОЭСК"</t>
  </si>
  <si>
    <t>062-0006614</t>
  </si>
  <si>
    <t>Создание автоматизированной системы визуальной управленческой отчётности для финансово-экономического блока ОАО "МОЭСК"</t>
  </si>
  <si>
    <t>062-0006548</t>
  </si>
  <si>
    <t>Поставка кабеля оптического и кабеля связи (ЗНТ 062-0006548)</t>
  </si>
  <si>
    <t xml:space="preserve">Поставка кабеля оптического и кабеля связи </t>
  </si>
  <si>
    <t>062-0005750</t>
  </si>
  <si>
    <t>Справочно к лоту 062-0005750</t>
  </si>
  <si>
    <t>I-101617</t>
  </si>
  <si>
    <t>I-108484</t>
  </si>
  <si>
    <t>ПС 110 кВ № 447 Весенняя</t>
  </si>
  <si>
    <t>Реконструкция ПС 110 кВ Ткацкая. Замена трансформаторов, ОД КЗ, реакторов.</t>
  </si>
  <si>
    <t>Общий пул (Поставка)</t>
  </si>
  <si>
    <t>062-0006507</t>
  </si>
  <si>
    <t>Справочно к лоту 062-0006507</t>
  </si>
  <si>
    <t>Поставка аппаратуры телемеханики с ПО (ЗНТ 062-0006507)</t>
  </si>
  <si>
    <t>I-106386</t>
  </si>
  <si>
    <t>I-110848</t>
  </si>
  <si>
    <t>Поставка аппаратуры телемеханики с ПО (ЗНТ 062-0006507) по титулу:  Реконструкция ПС 110 кВ "Санаторная" № 708</t>
  </si>
  <si>
    <t>Поставка аппаратуры телемеханики с ПО (ЗНТ 062-0006507) по титулу:  ПС 110 кВ № 447 Весенняя</t>
  </si>
  <si>
    <t>Поставка аппаратуры телемеханики с ПО (ЗНТ 062-0006507) по титулу:  Реконструкция ПС 35 кВ № 524 "Молчаново" (Замена трансформаторов 2 х 4 МВА на 2 х 10 МВА), в т.ч ПИР, МО, Подольский р-н, с/о Кленовский, с.Кленово</t>
  </si>
  <si>
    <t>Реконструкция ПС 110 кВ "Санаторная" № 708</t>
  </si>
  <si>
    <t>Реконструкция ПС 35 кВ № 524 "Молчаново" (Замена трансформаторов 2 х 4 МВА на 2 х 10 МВА), в т.ч ПИР, МО, Подольский р-н, с/о Кленовский, с.Кленово</t>
  </si>
  <si>
    <t>062-0006617</t>
  </si>
  <si>
    <t>Поставка автошин для ЗЭС (ЗНТ 062-0006617)</t>
  </si>
  <si>
    <t>Поставка автошин</t>
  </si>
  <si>
    <t>30.xx.xx – 33.xx.xx</t>
  </si>
  <si>
    <t>20.xx.xx</t>
  </si>
  <si>
    <t>27.xx.xx – 28.xx.xx</t>
  </si>
  <si>
    <t>23.xx.xx</t>
  </si>
  <si>
    <t>24.xx.xx</t>
  </si>
  <si>
    <t>29.xx.xx</t>
  </si>
  <si>
    <t>25.xx.xx</t>
  </si>
  <si>
    <t>21.xx.xx – 22.xx.xx</t>
  </si>
  <si>
    <t>21-22</t>
  </si>
  <si>
    <t>45.xx.xx</t>
  </si>
  <si>
    <t>36.xx.xx – 37.xx.xx</t>
  </si>
  <si>
    <t>17.xx.xx – 18.xx.xx</t>
  </si>
  <si>
    <t>19.xx.xx</t>
  </si>
  <si>
    <t>Ремонт РЗА</t>
  </si>
  <si>
    <t xml:space="preserve">ЗЭС 083-0004179 (2 098.512 т.р. с НДС)
ИА 062-0006067 (23 573.7096 т.р. с НДС)
</t>
  </si>
  <si>
    <t xml:space="preserve">062-0006450                              </t>
  </si>
  <si>
    <t>Поставка электрической энергии для нужд ИА МОЭСК</t>
  </si>
  <si>
    <t>0002</t>
  </si>
  <si>
    <t>Поставка электроэнергии для нужд ИА</t>
  </si>
  <si>
    <t>062-0006451</t>
  </si>
  <si>
    <t>Поставка тепловой  энергии   для нужд ИА МОЭСК</t>
  </si>
  <si>
    <t>Поставка тепловой энергии  для нуждИА</t>
  </si>
  <si>
    <t>гкал</t>
  </si>
  <si>
    <t xml:space="preserve">Замена щитовых электроизмерительных приборов: ПС ВЭС </t>
  </si>
  <si>
    <t>Услуги по подготовке и изготовлению  Годового отчета ОАО "МОЭСК" за 2013 год</t>
  </si>
  <si>
    <t>062-0006447</t>
  </si>
  <si>
    <t>ДПКиН</t>
  </si>
  <si>
    <t>Осуществление технического надзора на объектах электросетевого хозяйства</t>
  </si>
  <si>
    <t>ОАО "Россети" - ЦТН</t>
  </si>
  <si>
    <t>услуги по осуществлению технического надзора на объектах электросетевого хозяйства</t>
  </si>
  <si>
    <t>Протокол ЦКК № 012 от 25.11.13г.</t>
  </si>
  <si>
    <t>Обслуживание тепловых пунктов и узлов учета тепловой энергии</t>
  </si>
  <si>
    <t>Машины и оборудование, электрооборудование, транспортные средства</t>
  </si>
  <si>
    <t>Изделия из дерева</t>
  </si>
  <si>
    <t>Машины и оборудование, электрооборудование, транспортные средства.</t>
  </si>
  <si>
    <t>Нефтепродукты</t>
  </si>
  <si>
    <t xml:space="preserve"> ИПЦ</t>
  </si>
  <si>
    <t>Пр-во нефтепродуктов</t>
  </si>
  <si>
    <t>Химическая и пр-во резиновых и пластмассовых изделий</t>
  </si>
  <si>
    <t>Готовые металические изделия</t>
  </si>
  <si>
    <t>Пр-во неметаллических минеральных продуктов</t>
  </si>
  <si>
    <t>Производство черных металлов</t>
  </si>
  <si>
    <t>Производство цветных металлов</t>
  </si>
  <si>
    <t>Текстильное, швейное, изделие из кожи, обуви</t>
  </si>
  <si>
    <t>Химические, резиновые и пластмассовые изделия</t>
  </si>
  <si>
    <t>Не производилось в 2010</t>
  </si>
  <si>
    <t>062-0006640</t>
  </si>
  <si>
    <t>Выполнение работ по развитию АСУД ОАО "МОЭСК" и интеграции в единое информационное пространство электронного документооборота АСУД Федерации 2</t>
  </si>
  <si>
    <t>72.10
72.20</t>
  </si>
  <si>
    <t>Поставка оборудования АСУ ТП с ПО (ЗНТ 062-0005750)</t>
  </si>
  <si>
    <t>Поставка оборудования АСУ ТП с ПО (ЗНТ 062-0005750) по титулу:   ПС 110 кВ № 447 Весенняя</t>
  </si>
  <si>
    <t>Поставка оборудования АСУ ТП с ПО (ЗНТ 062-0005750) по титулу:  Реконструкция ПС 110 кВ Ткацкая. Замена трансформаторов, ОД КЗ, реакторов.</t>
  </si>
  <si>
    <t>084-0002985</t>
  </si>
  <si>
    <t xml:space="preserve">Ремонт спортивно-оздоровительного комплекса (спортивная площадка) Коломенского РЭС </t>
  </si>
  <si>
    <t>082-0005953</t>
  </si>
  <si>
    <t>082-0005954</t>
  </si>
  <si>
    <t>082-0005955</t>
  </si>
  <si>
    <t>Услуги по замене щитовых электроизмерительных приборов на цифровые на ПС ЗЭС</t>
  </si>
  <si>
    <t>00005 Услуги по замене щитовых электроизмерительных приборов на цифровые на ПС ЗЭС</t>
  </si>
  <si>
    <t xml:space="preserve">Поверка и калибровка СИ аккредитованным юридическим лицом или индивидуальным предпринимателем </t>
  </si>
  <si>
    <t>Замена щитовых электроизмерительных приборов на цифровые на ПС СЭС</t>
  </si>
  <si>
    <t xml:space="preserve">Техническое освидетельствование электрооборудования подстанций 35-220кВ </t>
  </si>
  <si>
    <t>46204
46206
46212
46216
46222
46230
46239
46242
46243
46245
46257
46259</t>
  </si>
  <si>
    <t>062-0006253</t>
  </si>
  <si>
    <t>Поставка ручного инструмента 2014 (ЗНТ 062-0006253)</t>
  </si>
  <si>
    <t>Поставка ручного инструмента</t>
  </si>
  <si>
    <t>062-0006381</t>
  </si>
  <si>
    <t>Поставка кабельной арматуры  для ВКС 110 кВ (ЗНТ 062-0006381)</t>
  </si>
  <si>
    <t>Поставка кабельной арматуры</t>
  </si>
  <si>
    <t>062-0006616</t>
  </si>
  <si>
    <t>Поставка силового кабеля на напряжение до 6 кВ (ЗНТ 062-0006616)</t>
  </si>
  <si>
    <t xml:space="preserve">Поставка силового кабеля на напряжение до 6 кВ </t>
  </si>
  <si>
    <t>062-0006377</t>
  </si>
  <si>
    <t>Поставка аптечек (2014 г.) (ЗНТ 062-0006377)</t>
  </si>
  <si>
    <t>Поставка аптечек</t>
  </si>
  <si>
    <t>062-0006602</t>
  </si>
  <si>
    <t>Поставка разъединителей</t>
  </si>
  <si>
    <t>I-100482</t>
  </si>
  <si>
    <t>Реконструкция ОРУ-110 кВ ПС 110/10/6 "Тушино"</t>
  </si>
  <si>
    <t>Поставка разъединителей (ЗНТ 062-0006602) по титулу: Реконструкция ОРУ-110 кВ ПС 110/10/6 "Тушино"</t>
  </si>
  <si>
    <t>062-0006599</t>
  </si>
  <si>
    <t>Поставка трансформаторов тока до 20 кВ (ЗНТ 062-0006599) по титулу: Реконструкция ОРУ-110 кВ ПС 110/10/6 "Тушино"</t>
  </si>
  <si>
    <t>062-0006559</t>
  </si>
  <si>
    <t>I-111391</t>
  </si>
  <si>
    <t>Поставка щитов, шкафов (ЗНТ 062-0006559) по титулу:  ПС  110 кВ №551 "Пернатово"</t>
  </si>
  <si>
    <t>ПС  110 кВ №551 "Пернатово"</t>
  </si>
  <si>
    <t>не закупалось в 2010 г.</t>
  </si>
  <si>
    <t>Поставка трансформаторов тока до 20 кВ</t>
  </si>
  <si>
    <t>Поставка щитов, шкафов</t>
  </si>
  <si>
    <t>062-0006671</t>
  </si>
  <si>
    <t>справочно к лоту 062-0006671</t>
  </si>
  <si>
    <t>ИА/Управление ТОиР</t>
  </si>
  <si>
    <t>Антикоррозийное покрытие опор ВЛ 6-220 кВ</t>
  </si>
  <si>
    <t>Антикоррозийное покрытие опор 6 -220 кВ</t>
  </si>
  <si>
    <t>062-0006672</t>
  </si>
  <si>
    <t>справочно к лоту 062-0006672</t>
  </si>
  <si>
    <t>Неотложные и аварийно-восстановительные работы на кабельных ЛЭП 0,4 - 6 - 10 кВ в 2014-2015гг (для заключения рамочных договоров)</t>
  </si>
  <si>
    <t>Ремонт</t>
  </si>
  <si>
    <t>Ремонт контуров заземления на ПС для Северных электрических сетей</t>
  </si>
  <si>
    <t>062-0006673</t>
  </si>
  <si>
    <t>Разработка схемы развития электрических  сетей напряжением  20кВ в г.Москве</t>
  </si>
  <si>
    <t>0201050602</t>
  </si>
  <si>
    <t>0201050603</t>
  </si>
  <si>
    <t>020105061402</t>
  </si>
  <si>
    <t>Техническое обслуживание</t>
  </si>
  <si>
    <t>02021011</t>
  </si>
  <si>
    <t>0201050201</t>
  </si>
  <si>
    <t>0201050202</t>
  </si>
  <si>
    <t>0201050701</t>
  </si>
  <si>
    <t>020105010202</t>
  </si>
  <si>
    <t>020107010201</t>
  </si>
  <si>
    <t>020107070404</t>
  </si>
  <si>
    <t>Расходы на проведение общих собраний акционеров</t>
  </si>
  <si>
    <t>062-0006524</t>
  </si>
  <si>
    <t>Поставка приборов (ЗНТ 062-0006524)</t>
  </si>
  <si>
    <t>062-0006658</t>
  </si>
  <si>
    <t>I-103352</t>
  </si>
  <si>
    <t>Поставка аппартуры телемеханики  (ЗНТ 062-0006658) по титулу:  Реконструкция ПС Тропарево</t>
  </si>
  <si>
    <t>Реконструкция ПС Тропарево</t>
  </si>
  <si>
    <t>не изготавливалось в 2010 г.</t>
  </si>
  <si>
    <t>Поставка аппартуры телемеханики</t>
  </si>
  <si>
    <t>062-0005477</t>
  </si>
  <si>
    <t>Справочно к лоту 062-0005477</t>
  </si>
  <si>
    <t>Поставка силовых трансформаторов напряжением 0,4 - 20 кВ (ЗНТ 062-0005477)</t>
  </si>
  <si>
    <t>Поставка силовых трансформаторов напряжением 0,4 - 20 кВ (ЗНТ 062-0005477) по титулу:  Реконструкция ПС 110 кВ Ткацкая. Замена трансформаторов, ОД КЗ, реакторов</t>
  </si>
  <si>
    <t>Поставка силовых трансформаторов напряжением 0,4 - 20 кВ (ЗНТ 062-0005477) по титулу:  Реконструкция ПС № 681 "Алмазово" реконструкция ОРУ-110 кВ с заменой ОД и МВ на ЭВ, замена тр-ров 2х25,5мВА на 2х63 мВА, замена МВ-10 кВ на ВВк (ПИР)</t>
  </si>
  <si>
    <t>Поставка силовых трансформаторов напряжением 0,4 - 20 кВ (ЗНТ 062-0005477) по титулу:  Реконструкция ЗТП 2062 с. Горсткино с заменой РУ-10 кВ, РУ-0,4 кВ и трансформаторов на трансформаторы  ТМГ 630 кВА</t>
  </si>
  <si>
    <t>Поставка силовых трансформаторов напряжением 0,4 - 20 кВ (ЗНТ 062-0005477) по титулу:  Реконструкция ПС № 724 ""Збышки"", замена тр-в</t>
  </si>
  <si>
    <t>Поставка силовых трансформаторов напряжением 0,4 - 20 кВ</t>
  </si>
  <si>
    <t>Реконструкция ПС 110 кВ Ткацкая. Замена трансформаторов, ОД КЗ, реакторов</t>
  </si>
  <si>
    <t>Реконструкция ПС № 681 "Алмазово" реконструкция ОРУ-110 кВ с заменой ОД и МВ на ЭВ, замена тр-ров 2х25,5мВА на 2х63 мВА, замена МВ-10 кВ на ВВк (ПИР)</t>
  </si>
  <si>
    <t>Реконструкция ЗТП 2062 с. Горсткино с заменой РУ-10 кВ, РУ-0,4 кВ и трансформаторов на трансформаторы  ТМГ 630 кВА</t>
  </si>
  <si>
    <t>Реконструкция ПС № 724 ""Збышки"", замена тр-в</t>
  </si>
  <si>
    <t>I-110437</t>
  </si>
  <si>
    <t>I-111337</t>
  </si>
  <si>
    <t>I-108455</t>
  </si>
  <si>
    <t>Ремонтт ВЛ</t>
  </si>
  <si>
    <t>ТО и ремонт</t>
  </si>
  <si>
    <t>2010201</t>
  </si>
  <si>
    <t>020105030103</t>
  </si>
  <si>
    <t>Ремонт пожарной сигнализации на ПС ЦЭС (см. комментарий)</t>
  </si>
  <si>
    <t>Замена щитовых электроизмерительных приборов на цифровые на ПС ЦЭС (см комментарий)</t>
  </si>
  <si>
    <t>20107071002</t>
  </si>
  <si>
    <t>20105140704</t>
  </si>
  <si>
    <t>Транспортные услуги (КС)</t>
  </si>
  <si>
    <t>Переходящие на 2015 г. - 3 000 т.р.</t>
  </si>
  <si>
    <t>0201050302</t>
  </si>
  <si>
    <t>062-0006686</t>
  </si>
  <si>
    <t>Обследование грузоподъемной техники и эксплуатационное сопровождение приборов безопасности, электрооборудования и обслуживания блоков регистрации параметров работы грузоподъемных машин, принадлежащих филиалам ОАО "МОЭСК</t>
  </si>
  <si>
    <t>02010709</t>
  </si>
  <si>
    <t>Обследование грузоподъемной техники и эксплуатационное сопровождение приборов безопасности, электрооборудования и обслуживания блоков регистрации параметров работы грузоподъемных машин, принадлежащих филиалам ОАО "МОЭСК"</t>
  </si>
  <si>
    <t>45296559000</t>
  </si>
  <si>
    <t>Иные услуги не вошедшие в ремонт и ТО</t>
  </si>
  <si>
    <t>062-0006688</t>
  </si>
  <si>
    <t>Заключение соглашения на предоставление информационных сервисов</t>
  </si>
  <si>
    <t>мониторинг цен</t>
  </si>
  <si>
    <t>Предоставление информационных сервисов</t>
  </si>
  <si>
    <t xml:space="preserve">Включает лот 064-0001301, лот по ЦЭС не объявлять!!! (письмо об отзыве -цэс/00/2872 от 05.12.13)
</t>
  </si>
  <si>
    <t>Включает лот 064-0001296, лот по ЦЭС не объявлять!!! (письмо об отзыве -цэс/00/2872 от 05.12.13)</t>
  </si>
  <si>
    <t>Прочистка канализации и откачка маслосборников на ПС ЦЭС (рамочное соглашение) (см комментарий)</t>
  </si>
  <si>
    <t>в 2010 г. не поставлялось</t>
  </si>
  <si>
    <t>062-0006581</t>
  </si>
  <si>
    <t>Выполнение землеустроительных работ по ПС 220/110/10 кВ "Тютчево" ("Н. Пушкино") с заходами ВЛ 110 кВ "Тютчево-Пушкино" и "Тютчево-Гранит"</t>
  </si>
  <si>
    <t>Выполнение землеустроительных работ</t>
  </si>
  <si>
    <t>согласно Технического задания</t>
  </si>
  <si>
    <t>I-117168</t>
  </si>
  <si>
    <t>ПС 220/110/10 кВ "Тютчево" ("Н. Пушкино") с заходами ВЛ 110 кВ "Тютчево-Пушкино" и "Тютчево-Гранит"</t>
  </si>
  <si>
    <t>081-0001484</t>
  </si>
  <si>
    <t>Выполнение СМР, ПНР, оборудование по ПС 35 кВ Малеевка</t>
  </si>
  <si>
    <t>i-116519</t>
  </si>
  <si>
    <t xml:space="preserve"> ПС 35 кВ Малеевка</t>
  </si>
  <si>
    <t>Приказ №1118 от 27.06.2013</t>
  </si>
  <si>
    <t>Лимит 2014 - 16 300 т.р.
Лимит 2015 - 33 700 т.р.</t>
  </si>
  <si>
    <t>Лимит 2014 - 25 653.61 т.р.
Лимит 2015 - 6 400 т.р.</t>
  </si>
  <si>
    <t>062-0006679</t>
  </si>
  <si>
    <t>ИА/УРАСУП</t>
  </si>
  <si>
    <t>7220000
7244000</t>
  </si>
  <si>
    <t>Оказание услуг по предоставлению информации автоматизированной системы поддержки принятия ИТ-решений и оценки для полного и объективного анализа предметной деятельности</t>
  </si>
  <si>
    <t>Закупка в 2010 году не производилась</t>
  </si>
  <si>
    <t>062-0006643</t>
  </si>
  <si>
    <t>Интеграция системы ведения НСИ ОАО "МОЭСК" с корпоративной системой ведения НСИ ОАО "Россети"</t>
  </si>
  <si>
    <t>062-0006651</t>
  </si>
  <si>
    <t>Создание витрины алгоритмов оценки технического состояния оборудования</t>
  </si>
  <si>
    <t>В 2010 году закупка не проводилась.</t>
  </si>
  <si>
    <t>062-0006650</t>
  </si>
  <si>
    <t>72.20
72.40</t>
  </si>
  <si>
    <t>Проведение аудита внедрения единой автоматизированной системы нормативно-справочной информации в области управления техническим обслуживанием и ремонтом оборудования (СУ НСИ ТОиР)</t>
  </si>
  <si>
    <t>7210000
7250000</t>
  </si>
  <si>
    <t>062-0006633</t>
  </si>
  <si>
    <t>7230000
7244000</t>
  </si>
  <si>
    <t>2-й этап тиражирования создания системы управления мобильными бригадами на объектах электросетевой инфраструктуры филиалов ЗЭС, ЦЭС и МКС</t>
  </si>
  <si>
    <t>062-0006635</t>
  </si>
  <si>
    <t>Создание процесса согласования проектно-сметной документации в "рабочем хранилище" и формирование электронного архива ПСД в АСУД ОАО "МОЭСК" на бизе платформы EMC DOCUMENTUM</t>
  </si>
  <si>
    <t>062-0006641</t>
  </si>
  <si>
    <t>Создание нормативно-методической базы ОАО "МОЭСК" в части архивного хранения документов, включая - обследование и сбор исходных данных о бумажных фондах филиалов и РЭСов ОАО «МОЭСК, разработку типового комплекта нормативно-методической документации по организации и выполнению работ по оцифровке фондов</t>
  </si>
  <si>
    <t>062-0006644</t>
  </si>
  <si>
    <t>Лицензии для автоматизированной системы управления корпоративным контентом (Enterprise Content Management, ECM)</t>
  </si>
  <si>
    <t>062-0006649</t>
  </si>
  <si>
    <t>Оказание услуг по интернациональной технической поддержке (ИТП) программного обеспечения Documentum</t>
  </si>
  <si>
    <t>062-0006652</t>
  </si>
  <si>
    <t>Разработка и реализация технических решений по интеграции АИС "КИС Баланс" на платформе  "Omnis-Utilities" с общекорпоративными информационными системами ОАО "МОЭСК"</t>
  </si>
  <si>
    <t>062-0006653</t>
  </si>
  <si>
    <t>Лицензии для автоматизированной системы внутреннего контроля и аудита</t>
  </si>
  <si>
    <t>062-0006654</t>
  </si>
  <si>
    <t>Создание автоматизированная система внутреннего контроля и аудита</t>
  </si>
  <si>
    <t>062-0006645</t>
  </si>
  <si>
    <t>Оказание услуг по внедрению автоматизированной системы управления корпоративным контентом (Enterprise Content Management, ECM)</t>
  </si>
  <si>
    <t>062-0006631</t>
  </si>
  <si>
    <t>Оказание услуг по переводу автоматизированной информационной системы управления технологическими присоединениями (АИС УТП)  и автоматизированной системы финансово-экономического управления (АС ФЭУ) на новую технологическую платформу 1С "Предприятие 8.2"</t>
  </si>
  <si>
    <t>Работы по нормализации данных справочников в существующих информационных системах, обеспечивающих автоматизацию бизнес-процессов в сфере учета электроэнергии, для организации внешнего информационного обмена</t>
  </si>
  <si>
    <t>Лицензии для Системы контроля и управления доступом в ИТ системы</t>
  </si>
  <si>
    <t>Продление технической поддержки программного обеспечения Genesys контактного центра «Светлая линия»</t>
  </si>
  <si>
    <t>3-й этап тиражирования создания системы управления мобильными бригадами на объектах электросетевой инфраструктуры ОАО "МОЭСК"</t>
  </si>
  <si>
    <t>Развитие системы управления ИТ-активами в части разработки приложения для мобильных устройств, интеграция с системой паспортизации</t>
  </si>
  <si>
    <t>Оказание услуг по переводу автоматизированной системы управления персоналом и расчета заработной платы (АСУПиРЗП) на новую технологическую платформу 1С "Предприятие 8.2"</t>
  </si>
  <si>
    <t>Право заключения договора на оказание услуг по сопровождению корпоративной информационно-справочной системы Консультант Плюс для нужд ОАО «МОЭСК»</t>
  </si>
  <si>
    <t>Приобретение лицензий и Расширенной Технической Поддержки (РТП) программного обеспечения (ПО) ЕМС Documentum</t>
  </si>
  <si>
    <t>Продление неисключительных прав на антивирусное программное обеспечение для нужд ОАО "МОЭСК"</t>
  </si>
  <si>
    <t>Проект внедрения единого корпоративного домена, службы единого каталога, мониторинга (работы по миграции AD, Exchange, управление печатью)</t>
  </si>
  <si>
    <t>Техническое обслуживание программ Primavera P6 Enterprise Project Portfolio Management и PMProgress</t>
  </si>
  <si>
    <t>Продление технической поддержки и лицензионного программного обеспечения Smeta.ru для блока капитального строительства</t>
  </si>
  <si>
    <t>Проведение комплексного аудита состояния информационной безопасности и разработка комплексной системы мониторинга и снижения рисков информационной безопасности</t>
  </si>
  <si>
    <t>Дополнительные лицензии для комплексной системы защиты от утечки конфиденциальной информации и персональных данных (DLP)</t>
  </si>
  <si>
    <t>Оказание консультационных услуг по использованию программного средства для управления проектами на базе ПО ORACLE PRIMAVERA</t>
  </si>
  <si>
    <t>062-0006629</t>
  </si>
  <si>
    <t>Техническая поддержка для ПО комплексной системы защиты от утечки конфиденциальной информации и персональных данных (DLP)</t>
  </si>
  <si>
    <t>062-0006626</t>
  </si>
  <si>
    <t>Внедрение системы защиты баз данных</t>
  </si>
  <si>
    <t>Консультационные услуги ИТ</t>
  </si>
  <si>
    <t>062-0006624</t>
  </si>
  <si>
    <t>Приобретение лицензий «Автоматизированная Система Управленческого Документооборота (АСУД) ОАО «ФСК ЕЭС»</t>
  </si>
  <si>
    <t>062-0006648</t>
  </si>
  <si>
    <t>Оказание услуг по внедрению АИС "КИС Баланс" на платформе  "Omnis-Utilities" в Московском и Ново-Московском управлениях и созданию консолидированных баз данных системы в Восточном, Западном, Северном, Южном, Центральном управлениях филиала "Энергоучет"</t>
  </si>
  <si>
    <t>062-0006627</t>
  </si>
  <si>
    <t>Продление лицензий для комплексной системы защиты от утечки конфиденциальной информации и персональных данных (DLP)</t>
  </si>
  <si>
    <t>062-0006637</t>
  </si>
  <si>
    <t>72.40
72.50</t>
  </si>
  <si>
    <t>7240000
7250000</t>
  </si>
  <si>
    <t>Инвентаризацию ИТ-оборудования ОАО "МОЭСК" с использованием технологии RFID-кодирования</t>
  </si>
  <si>
    <t>Развитие автоматизированных систем/подсистем,</t>
  </si>
  <si>
    <t>062-0006639</t>
  </si>
  <si>
    <t>Приобретение модуля для обработки информации, составляющей коммерческую тайну (АСУД) Documentum</t>
  </si>
  <si>
    <t>062-0006642</t>
  </si>
  <si>
    <t>Услуги информационных инфраструктурных сервисов для корпоративных систем</t>
  </si>
  <si>
    <t>062-0006638</t>
  </si>
  <si>
    <t>Модернизация внутреннего корпоративного портала на платформе Microsoft SharePoint 2013 включая интеграцию с общекорпоративными ИТ системами ОАО "МОЭСК" для получения бизнес-отчетности, создание мобильной версии внутреннего корпоративного портала</t>
  </si>
  <si>
    <t>062-0006636</t>
  </si>
  <si>
    <t>7210000
7220000</t>
  </si>
  <si>
    <t>Оказание услуг удостоверяющего центра по выдаче и поддержке сертификатов электронной подписи</t>
  </si>
  <si>
    <t>062-0006634</t>
  </si>
  <si>
    <t>Разработка и внедрение информационной системы по автоматизации бизнес-процесса технологического присоединения на платформе SAP</t>
  </si>
  <si>
    <t>062-0006625</t>
  </si>
  <si>
    <t>Внедрение и приобретение лицензий на систему защиты баз данных (лицензии)</t>
  </si>
  <si>
    <t>062-0006646</t>
  </si>
  <si>
    <t>Создание автоматизированной информационной системы учета аффилированных лиц компании</t>
  </si>
  <si>
    <t>062-0006623</t>
  </si>
  <si>
    <t>Внедрение и приобретение лицензий Системы контроля и управления доступом в ИТ системы (работы)</t>
  </si>
  <si>
    <t>062-0006582</t>
  </si>
  <si>
    <t>Оказание услуг по повышению производительности и обеспечению высокого уровня масштабируемости, отказо-, катастрофо-устойчивости АС ФЭУ</t>
  </si>
  <si>
    <t>Продление неисключительных прав на программное обеспечение управления событиями инфраструктуры Naumen SD и техническая поддержка</t>
  </si>
  <si>
    <t>062-0006669</t>
  </si>
  <si>
    <t>72.50</t>
  </si>
  <si>
    <t>Создание структурированной кабельной системы (СКС) в новых ЦОК ОАО "МОЭСК"</t>
  </si>
  <si>
    <t>062-0006668</t>
  </si>
  <si>
    <t>Поставка неисключительных прав на программное обеспечение «Клиентская лицензия на 500 рабочих мест 1С: Предприятие 8 (USB) и ""1С:Предприятие 8.3 КОРП. Лицензия на сервер (x86-64) (USB)") - 6 компл." на условиях «апгрейда» (замены)</t>
  </si>
  <si>
    <t xml:space="preserve">72.10  
72.50   </t>
  </si>
  <si>
    <t xml:space="preserve">Adobe Photoshop – программа необходима сотрудникам режимной автоматики для редактирования схем и чертежей
Adobe Acrobat Pro - Создание и работа с документами в формате  *. Pdf
</t>
  </si>
  <si>
    <t xml:space="preserve">Программно-аппаратный комплекс корпоративного домена и службы единого каталога
</t>
  </si>
  <si>
    <t xml:space="preserve">Программное обеспечение для Системы защиты от утечки конфиденциальной информации (Data Leack Protection)
</t>
  </si>
  <si>
    <t xml:space="preserve">Лицензии "Продление неисключительных прав ПО ABBYY FlexiCapture 10"
</t>
  </si>
  <si>
    <t>Программное обеспечение для Системы защиты от утечки конфиденциальной информации (Data Leack Protection)</t>
  </si>
  <si>
    <t>№ п/п</t>
  </si>
  <si>
    <t>Способ закупки</t>
  </si>
  <si>
    <t>% от суммы</t>
  </si>
  <si>
    <t>Количество закупок</t>
  </si>
  <si>
    <t>% от количества</t>
  </si>
  <si>
    <r>
      <t xml:space="preserve">Всего (объем закупок)
</t>
    </r>
    <r>
      <rPr>
        <sz val="10"/>
        <rFont val="Times New Roman"/>
        <family val="1"/>
        <charset val="204"/>
      </rPr>
      <t>в том числе:</t>
    </r>
  </si>
  <si>
    <t>ОК</t>
  </si>
  <si>
    <t>ОА</t>
  </si>
  <si>
    <t>ОЗП</t>
  </si>
  <si>
    <t>ЗК</t>
  </si>
  <si>
    <t>ЗЗП</t>
  </si>
  <si>
    <t>ОЗЦ</t>
  </si>
  <si>
    <t>ЗЗЦ</t>
  </si>
  <si>
    <t>ЗЗЦ по ОКП</t>
  </si>
  <si>
    <t>ЕИ</t>
  </si>
  <si>
    <t>ОКП</t>
  </si>
  <si>
    <t>ЗКП</t>
  </si>
  <si>
    <t>С использованием ЭТП</t>
  </si>
  <si>
    <t>Открытых процедур</t>
  </si>
  <si>
    <t>Код ВД</t>
  </si>
  <si>
    <t>Новое строительство и расширение электросетевых объектов</t>
  </si>
  <si>
    <t>Реконструкция и техническое перевооружение  электросетевых объектов</t>
  </si>
  <si>
    <t>Энергоремонтное (ремонтное) производство,  техническое обслуживание</t>
  </si>
  <si>
    <t>План 2014 
с НДС (тыс.руб.)</t>
  </si>
  <si>
    <t xml:space="preserve">Неотложные и аварийно-восстановительных работы по ремонту зданий и сооружений для Северных электрических сетей в 2014 году
</t>
  </si>
  <si>
    <t>Планируемая (предельная) цена закупки с учетом снижения инвестиционных затрат на 30 % относительно уровня 2012 года.</t>
  </si>
  <si>
    <t>МТРиО</t>
  </si>
  <si>
    <t>ТС</t>
  </si>
  <si>
    <t>Охрана</t>
  </si>
  <si>
    <t>Ремонт  фасадов ТП, РП по предписаниям АТИ- все округа на 2014г.</t>
  </si>
  <si>
    <t>Ремонт фасадов ТП, РП по предписаниям АТИ - все округа на 2014г.</t>
  </si>
  <si>
    <t>083-0004869</t>
  </si>
  <si>
    <t>выполнение мероприятий по предотвращению гибели птиц на ВЛ 6-10кВ</t>
  </si>
  <si>
    <t xml:space="preserve">00125. Ремонт </t>
  </si>
  <si>
    <t>Выполнение мероприятий по предотвращению гибели птиц на ВЛ 6-10кВ</t>
  </si>
  <si>
    <t>Ремонт оборудования ОРУ 35-220 кВ: ТТ и ТН, разъединители с заменой ОСИ  (ЮЭС)</t>
  </si>
  <si>
    <t>064-0001396</t>
  </si>
  <si>
    <t>Выполнение ПИР, СМР, ПНР, оборудование по титулу "Реконструкция ПС № 859 "Бутово" яч. №№ 202,306 (РУ-10 кВ), ПС № 760 "Ясенево"  яч. №№ 1, 10 (РУ- 10кВ), в т.ч. ПИР, для нужд ЦЭС"</t>
  </si>
  <si>
    <t>Выполнение ПИР, СМР, ПНР, оборудование</t>
  </si>
  <si>
    <t>I-143394</t>
  </si>
  <si>
    <t>Реконструкция ПС № 859 "Бутово" яч. №№ 202, 306 (РУ-10 кВ), ПС № 760 "Ясенево"  яч. №№ 1, 10 (РУ- 10кВ), в т.ч. ПИР, для нужд ЦЭС</t>
  </si>
  <si>
    <t>064-0001397</t>
  </si>
  <si>
    <t>Выполнение ПИР, СМР, ПНР, оборудование по титулу "Реконструкция ПС № 370 "Чертаново" яч. № 16 с.10 (РУ-10 кВ), ПС № 394 "Бирюлево"  яч .№55 с .3 (РУ- 10кВ), в т.ч. ПИР, для нужд ЦЭС"</t>
  </si>
  <si>
    <t>I-143395</t>
  </si>
  <si>
    <t>Реконструкция ПС № 370 "Чертаново" яч. № 16 с. 10 (РУ-10 кВ), ПС № 394 "Бирюлево"  яч. №55 с. 3 (РУ- 10кВ), в т.ч. ПИР, для нужд ЦЭС</t>
  </si>
  <si>
    <t>062-0006684</t>
  </si>
  <si>
    <t>Справочно к лоту 062-0006684</t>
  </si>
  <si>
    <t>Поставка сетевого оборудования с ПО для ЮЭС (ЗНТ 062-0006684)</t>
  </si>
  <si>
    <t>Поставка сетевого оборудования с П</t>
  </si>
  <si>
    <t>I-108374</t>
  </si>
  <si>
    <t>Поставка сетевого оборудования с ПО для ЮЭС (ЗНТ 062-0006684) по титулу:  Реконструкция ПС № 733 110 кВ  "Былово", замена тр-ров 2х10 на 2х25 МВА, рек. ОРУ-110 кВ, в т.ч. ПИР</t>
  </si>
  <si>
    <t>Реконструкция ПС № 733 110 кВ  "Былово", замена тр-ров 2х10 на 2х25 МВА, рек. ОРУ-110 кВ, в т.ч. ПИР</t>
  </si>
  <si>
    <t>I-110261</t>
  </si>
  <si>
    <t>Поставка сетевого оборудования с ПО для ЮЭС (ЗНТ 062-0006684) по титулу:  Реконструкция ПС 110 кВ "Сырово" № 617 (1 этап)</t>
  </si>
  <si>
    <t>Реконструкция ПС 110 кВ "Сырово" № 617 (1 этап)</t>
  </si>
  <si>
    <t>I-111332</t>
  </si>
  <si>
    <t>062-0006569</t>
  </si>
  <si>
    <t>Справочно к лоту 062-0006569</t>
  </si>
  <si>
    <t>Поставка ОПН (ЗНТ 062-0006569)</t>
  </si>
  <si>
    <t>Поставка ОПН (ЗНТ 062-0006569) по Ремонту</t>
  </si>
  <si>
    <t>Поставка ОПН</t>
  </si>
  <si>
    <t>по Ремонту</t>
  </si>
  <si>
    <t>Поставка ОПН (ЗНТ 062-0006569) по титулу:  Реконструкция ОРУ-110 кВ ПС 110/10/6 "Тушино"</t>
  </si>
  <si>
    <t>062-0006693</t>
  </si>
  <si>
    <t>Поставка  силового кабеля для ЗЭС 1 кВ (ЗНТ 062-0006693)</t>
  </si>
  <si>
    <t>Поставка  силового кабеля</t>
  </si>
  <si>
    <t>062-0006664</t>
  </si>
  <si>
    <t>Поставка масла кабельного для нужд ВКС (ЗНТ 062-0006664)</t>
  </si>
  <si>
    <t>Поставка масла кабельного</t>
  </si>
  <si>
    <t>062-0005780</t>
  </si>
  <si>
    <t>Справочно к лоту 625780</t>
  </si>
  <si>
    <t>Поставка приборов (ЗНТ 062-0005780)</t>
  </si>
  <si>
    <t>Поставка приборов (ЗНТ 062-0005780) по титулу:  ПС "Новобратцево" 110/10/6 кВ. Перевод на напряжение 220 кВ</t>
  </si>
  <si>
    <t>Поставка приборов (ЗНТ 062-0005780) по титулу:  ПС 110 кВ Одинцово</t>
  </si>
  <si>
    <t>Поставка приборов (ЗНТ 062-0005780) по Эксплуатации</t>
  </si>
  <si>
    <t>ПС "Новобратцево" 110/10/6 кВ. Перевод на напряжение 220 кВ</t>
  </si>
  <si>
    <t>ПС 110 кВ Одинцово</t>
  </si>
  <si>
    <t>I-103010</t>
  </si>
  <si>
    <t>I-101231</t>
  </si>
  <si>
    <t>062-0006665</t>
  </si>
  <si>
    <t>I-106689</t>
  </si>
  <si>
    <t>Поставка шкафов , щитов  (ЗНТ 062-0006665) по титулу:  ПС 220 кВ № 676 "Уча"</t>
  </si>
  <si>
    <t>ПС 220 кВ № 676 "Уча"</t>
  </si>
  <si>
    <t>Поставка шкафов , щитов</t>
  </si>
  <si>
    <t>062-0006685</t>
  </si>
  <si>
    <t>Обоудование связи FOX 515  (ЗНТ 062-0006685) по титулу:  Реконструкция ПС 110 кВ "Сырово" № 617 (1 этап)</t>
  </si>
  <si>
    <t>Обоудование связи FOX 515</t>
  </si>
  <si>
    <t>не поставлялось в 2010</t>
  </si>
  <si>
    <t>062-0006687</t>
  </si>
  <si>
    <t>Оборудование связи FOX 515 (ЗНТ 062-0006687) по титулу:   Реконструкция ПС № 733 110 кВ  "Былово", замена тр-ров 2х10 на 2х25 МВА, рек. ОРУ-110 кВ, в т.ч. ПИР</t>
  </si>
  <si>
    <t>062-0006694</t>
  </si>
  <si>
    <t xml:space="preserve">Оказание  образовательных услуг по повышению квалификации специалистов ОАО «Московская объединенная электросетевая компания» в области охраны окружающей среды, природопользования, обеспечения экологической безопасности, обращения с отходами и экологического проектирования </t>
  </si>
  <si>
    <t>062-0006695</t>
  </si>
  <si>
    <t>Приобретение лицензий на автоматизированную систему для проведения заседаний и совместной работы</t>
  </si>
  <si>
    <t>081-0004225</t>
  </si>
  <si>
    <t xml:space="preserve">Предоставление каналов телефонной связи (услуги по предоставлению цифровых каналов связи для организации диспетчерской телефонной связи.) </t>
  </si>
  <si>
    <t xml:space="preserve">Предоставление цифровых каналов телефонной связи и ПД (услуги по предоставлению цифровых каналов связи для организации диспетчерской телефонной и технологической связи.) </t>
  </si>
  <si>
    <t>В соответствии с существующим договором</t>
  </si>
  <si>
    <t>канал связи</t>
  </si>
  <si>
    <t xml:space="preserve">Пролонгация договора от 01.08.2012 г. №1688 (081-038422) о предоставлении цифровых каналов связи с ОАО "Ростелеком" </t>
  </si>
  <si>
    <t>Выполнение работ, включая ПИР, авторский надзор, СМР, ПНР, оборудование и материалы по объектам  ЗЭС  приказа  № 1234 от 21.11.2013г  Шаховского р-на (5 объектов)</t>
  </si>
  <si>
    <t>Выполнение работ, включая ПИР, авторский надзор, СМР, ПНР, оборудование и материалы по титулу: Строительство ВЛИ-0,38 кВ от РУ-0,38 кВ ТП-3641 ПС-462 "Середа", в т.ч. ПИР, МО, Шаховской р-н, д.Куркино</t>
  </si>
  <si>
    <t>Выполнение работ, включая ПИР, авторский надзор, СМР, ПНР, оборудование и материалы по титулу: Строительство МТП-40/10/0,38 кВ,   ВЛЗ-10 кВ от ВЛЗ-10 кВ  ф.1 РП-7 ПС-648 "Волочаново", ВЛИ-0,38 кВ в т.ч. ПИР, МО, Шаховской р-н, д.Щемелинки</t>
  </si>
  <si>
    <t>Выполнение работ, включая ПИР, авторский надзор, СМР, ПНР, оборудование и материалы по титулу: Строительство ВЛИ-0,38 кВ от ТП-3038 ПС-528 "Манеж" в т.ч. ПИР, МО, Шаховской р-н, Харитоново д, дом № 28</t>
  </si>
  <si>
    <t>Выполнение работ, включая ПИР, авторский надзор, СМР, ПНР, оборудование и материалы по титулу: Строительство ТП-160/10/0,38 кВ, ВЛЗ-10 кВ от ВЛЗ-10 кВ ф.3 ПС-648 "Волочаново", ВЛИ-0,38 кВ в т.ч. ПИР, МО, Шаховской р-н, д.Волочаново</t>
  </si>
  <si>
    <t>Выполнение работ, включая ПИР, авторский надзор, СМР, ПНР, оборудование и материалы по титулу: Строительство ВЛИ-0,38 кВ от ВЛИ-0,38 кВ ТП-10/0,38 кВ ПС-406 "Шаховская" в т.ч. ПИР, МО, Шаховской р-н, д.Нечесово</t>
  </si>
  <si>
    <t>083-0004922</t>
  </si>
  <si>
    <t>083-0004923</t>
  </si>
  <si>
    <t>083-0004924</t>
  </si>
  <si>
    <t>083-0004925</t>
  </si>
  <si>
    <t>083-0004926</t>
  </si>
  <si>
    <t>083-0004927</t>
  </si>
  <si>
    <t>ПИР, СМР, ПНР</t>
  </si>
  <si>
    <t>Привлеченные средства</t>
  </si>
  <si>
    <t>Выполнение  ПИР, авторский надзор,СМР, ПНР, оборудование</t>
  </si>
  <si>
    <t>I-142997</t>
  </si>
  <si>
    <t>I-142883</t>
  </si>
  <si>
    <t>I-142889</t>
  </si>
  <si>
    <t>I-142885</t>
  </si>
  <si>
    <t>I-142922</t>
  </si>
  <si>
    <t>Строительство ВЛИ-0,38 кВ от РУ-0,38 кВ ТП-3641 ПС-462 "Середа", в т.ч. ПИР, МО, Шаховской р-н, д.Куркино</t>
  </si>
  <si>
    <t>Строительство МТП-40/10/0,38 кВ,   ВЛЗ-10 кВ от ВЛЗ-10 кВ  ф.1 РП-7 ПС-648 "Волочаново", ВЛИ-0,38 кВ в т.ч. ПИР, МО, Шаховской р-н, д.Щемелинки</t>
  </si>
  <si>
    <t>Строительство ВЛИ-0,38 кВ от ТП-3038 ПС-528 "Манеж" в т.ч. ПИР, МО, Шаховской р-н, Харитоново д, дом № 28</t>
  </si>
  <si>
    <t>Строительство ТП-160/10/0,38 кВ, ВЛЗ-10 кВ от ВЛЗ-10 кВ ф.3 ПС-648 "Волочаново", ВЛИ-0,38 кВ в т.ч. ПИР, МО, Шаховской р-н, д.Волочаново</t>
  </si>
  <si>
    <t>Строительство ВЛИ-0,38 кВ от ВЛИ-0,38 кВ ТП-10/0,38 кВ ПС-406 "Шаховская" в т.ч. ПИР, МО, Шаховской р-н, д.Нечесово</t>
  </si>
  <si>
    <t>Да</t>
  </si>
  <si>
    <t>083-0004965</t>
  </si>
  <si>
    <t>Выполнение работ, включая ПИР, авторский надзор, СМР, ПНР, оборудование и материалы по титулу: Строительство ВЛИ-0,38 кВ от РУ-0,38 кВ МТП-1404 ПС-193 "Троицкая",в т.ч. ПИР, МО, Наро-Фоминский р-н, д.Верховье</t>
  </si>
  <si>
    <t>привлеченные средства</t>
  </si>
  <si>
    <t>I-133656</t>
  </si>
  <si>
    <t>Строительство ВЛИ-0,38 кВ от РУ-0,38 кВ МТП-1404 ПС-193 "Троицкая",в т.ч. ПИР, МО, Наро-Фоминский р-н, д.Верховье</t>
  </si>
  <si>
    <t xml:space="preserve">нет </t>
  </si>
  <si>
    <t>083-0004928</t>
  </si>
  <si>
    <t>Выполнение работ, включая ПИР, авторский надзор, СМР, ПНР, оборудование и материалы приказа  № 1234 от 21.11.2013г  по титулу:Строительство 2КЛ-10 кВ от двух налаживаемых ячеек в ЗРУ-10 кВ ПС №485 Полянка до РТП-40, в т.ч. ПИР, МО, г. Истра, ул. Московская, д.50</t>
  </si>
  <si>
    <t>Плата за ТП</t>
  </si>
  <si>
    <t>I-143386</t>
  </si>
  <si>
    <t>Строительство 2КЛ-10 кВ от двух налаживаемых ячеек в ЗРУ-10 кВ ПС №485 Полянка до РТП-40, в т.ч. ПИР, МО, г. Истра, ул. Московская, д.50</t>
  </si>
  <si>
    <t>Выполнение работ, включая ПИР, авторский надзор, СМР, ПНР, оборудование и материалы по объектам  ЗЭС  приказа  № 1261 от 28.11.2013г  Шаховского и Лотошинского р-нов (3 объекта)</t>
  </si>
  <si>
    <t>Выполнение работ, включая ПИР, авторский надзор, СМР, ПНР, оборудование и материалы по титулу: Строительство МТП-25/10/0,38 кВ, ВЛЗ-10 кВ от ВЛЗ-10 кВ ф.2 ПС-528 "Манеж", ВЛИ-0,38 кВ, в т.ч. ПИР, МО, Шаховской р-н, Плоское д, Охотничья ул</t>
  </si>
  <si>
    <t>Выполнение работ, включая ПИР, авторский надзор, СМР, ПНР, оборудование и материалы по титулу: Реконструкция ТП-3310 ПС528 "Манеж", замена трансформатора, в т.ч. ПИР, МО, Шаховской р-н, д.Новоникольское</t>
  </si>
  <si>
    <t>Выполнение работ, включая ПИР, авторский надзор, СМР, ПНР, оборудование и материалы по титулу: Строительство ВЛИ-0,38 кВ от ВЛИ-0,38 кВ ТП-2044 ПС-619 "Введенская", в т.ч. ПИР, МО, Лотошинский р-н, д.Клетки</t>
  </si>
  <si>
    <t>083-0004931</t>
  </si>
  <si>
    <t>083-0004933</t>
  </si>
  <si>
    <t>083-0004935</t>
  </si>
  <si>
    <t>083-0004929</t>
  </si>
  <si>
    <t>ЗЭС-филиал ОАО "МОЭСК"</t>
  </si>
  <si>
    <t>I-143333</t>
  </si>
  <si>
    <t>I-143371</t>
  </si>
  <si>
    <t>I-143294</t>
  </si>
  <si>
    <t>Строительство МТП-25/10/0,38 кВ, ВЛЗ-10 кВ от ВЛЗ-10 кВ ф.2 ПС-528 "Манеж", ВЛИ-0,38 кВ, в т.ч. ПИР, МО, Шаховской р-н, Плоское д, Охотничья ул</t>
  </si>
  <si>
    <t>Реконструкция ТП-3310 ПС528 "Манеж", замена трансформатора, в т.ч. ПИР, МО, Шаховской р-н, д.Новоникольское</t>
  </si>
  <si>
    <t>Строительство ВЛИ-0,38 кВ от ВЛИ-0,38 кВ ТП-2044 ПС-619 "Введенская", в т.ч. ПИР, МО, Лотошинский р-н, д.Клетки</t>
  </si>
  <si>
    <t>083-0004311</t>
  </si>
  <si>
    <t>083-0004312</t>
  </si>
  <si>
    <t>083-0004313</t>
  </si>
  <si>
    <t>083-0004314</t>
  </si>
  <si>
    <t>083-0004315</t>
  </si>
  <si>
    <t xml:space="preserve">ЗЭС   </t>
  </si>
  <si>
    <t xml:space="preserve">ЗЭС </t>
  </si>
  <si>
    <t>Выполнение работ, включая ПИР, авторский надзор, СМР, ПНР, оборудование и материалы по объектам  ЗЭС  приказа № 889 от 30.08.2013г  Наро-Фоминского р-на (4 объекта)</t>
  </si>
  <si>
    <t>Выполнение работ, включая ПИР, авторский надзор, СМР, ПНР, оборудование и материалы по титулу: Строительство ВЛИ-0,38 кВ от строящейся по дог.З8-13-302-2890(911092) ВЛИ-0,38 кВ ПС-371 "Кузнецово", в т.ч. ПИР, г.Москва, д.Руднево</t>
  </si>
  <si>
    <t>Выполнение работ, включая ПИР, авторский надзор, СМР, ПНР, оборудование и материалы по титулу: Строительство ВЛИ-0,38 кВ от строящейся по дог.З8-13-302-174(900225) РУ-0,38 кВ МТП-10/0,38 кВ ПС-308 "Наро-Фоминск", в т.ч. ПИР, МО, Наро-Фоминский р-н, д.Любаново</t>
  </si>
  <si>
    <t>Выполнение работ, включая ПИР, авторский надзор, СМР, ПНР, оборудование и материалы по титулу: Установка ячейки в ТП-137 ПС-836 "Наро-Фоминск", в т.ч. ПИР, МО, Наро-Фоминский р-н, с.Каменское, ул.Центральная, д.№34а</t>
  </si>
  <si>
    <t>Выполнение работ, включая ПИР, авторский надзор, СМР, ПНР, оборудование и материалы по титулу: Установка ячейки КСО-298 в РУ-10 кВ РП-10 кВ в районе д. Уварово, в т.ч. ПИР, МО, Наро-Фоминский район, с.п. Первомайское, д. Елизарово</t>
  </si>
  <si>
    <t>I-137712</t>
  </si>
  <si>
    <t>I-137827</t>
  </si>
  <si>
    <t>I-124338</t>
  </si>
  <si>
    <t>I-138348</t>
  </si>
  <si>
    <t>Строительство ВЛИ-0,38 кВ от строящейся по дог.З8-13-302-2890(911092) ВЛИ-0,38 кВ ПС-371 "Кузнецово", в т.ч. ПИР, г.Москва, д.Руднево</t>
  </si>
  <si>
    <t>Строительство ВЛИ-0,38 кВ от строящейся по дог.З8-13-302-174(900225) РУ-0,38 кВ МТП-10/0,38 кВ ПС-308 "Наро-Фоминск", в т.ч. ПИР, МО, Наро-Фоминский р-н, д.Любаново</t>
  </si>
  <si>
    <t>Установка ячейки в ТП-137 ПС-836 "Наро-Фоминск", в т.ч. ПИР, МО, Наро-Фоминский р-н, с.Каменское, ул.Центральная, д.№34а</t>
  </si>
  <si>
    <t>Установка ячейки КСО-298 в РУ-10 кВ РП-10 кВ в районе д. Уварово, в т.ч. ПИР, МО, Наро-Фоминский район, с.п. Первомайское, д. Елизарово</t>
  </si>
  <si>
    <t>Выполнение работ, включая ПИР, авторский надзор, СМР, ПНР, оборудование и материалы по объектам  ЗЭС  приказа  № 1261 от 28.11.2013г  Рузского р-на (5 объектов)</t>
  </si>
  <si>
    <t>Выполнение работ, включая ПИР, авторский надзор, СМР, ПНР, оборудование и материалы по титулу: Строительство ВЛИ-0,38 кВ от РУ-0,38 кВ ТП-2759 ПС-390 "Тучково", в т.ч. ПИР, МО, Рузский р-н, Тучково п, Прибрежная ул</t>
  </si>
  <si>
    <t>Выполнение работ, включая ПИР, авторский надзор, СМР, ПНР, оборудование и материалы по титулу: Строительство ВЛИ-0,38 кВ от РУ-0,38 кВ КТП-955 ПС-464 "Дорохово", в т.ч. ПИР, МО, Рузский р-н, п.Дорохово</t>
  </si>
  <si>
    <t>Выполнение работ, включая ПИР, авторский надзор, СМР, ПНР, оборудование и материалы по титулу: Строительство ВЛИ-0,38 кВ от ТП-10/0,38 кВ строящейся по ТУ № МЖ-13-202-2452(908107)  ПС-568 "Карповка", в т.ч. ПИР, МО, Рузский р-н, д.Мытники</t>
  </si>
  <si>
    <t>Выполнение работ, включая ПИР, авторский надзор, СМР, ПНР, оборудование и материалы по титулу: Строительство ВЛИ-0,38 кВ от ВЛИ-0,38 кВ, строящейся по договору ТП № МЖ-12-302-5909(913880) ПС-732 "Мухино", в т.ч. ПИР, МО, Рузский р-н, Григорово д, дом № 127</t>
  </si>
  <si>
    <t>Выполнение работ, включая ПИР, авторский надзор, СМР, ПНР, оборудование и материалы по титулу: Строительство ВЛИ-0,38 кВ от РУ-0,38 кВ ТП-597 ПС-418 "Руза", в т.ч. ПИР, МО, Рузский р-н, д.Брыньково</t>
  </si>
  <si>
    <t>083-0004936</t>
  </si>
  <si>
    <t>083-0004938</t>
  </si>
  <si>
    <t>083-0004940</t>
  </si>
  <si>
    <t>083-0004942</t>
  </si>
  <si>
    <t>083-0004944</t>
  </si>
  <si>
    <t>083-0004945</t>
  </si>
  <si>
    <t>I-143267</t>
  </si>
  <si>
    <t>I-143274</t>
  </si>
  <si>
    <t>I-143293</t>
  </si>
  <si>
    <t>I-143302</t>
  </si>
  <si>
    <t>I-143307</t>
  </si>
  <si>
    <t>Строительство ВЛИ-0,38 кВ от РУ-0,38 кВ ТП-2759 ПС-390 "Тучково", в т.ч. ПИР, МО, Рузский р-н, Тучково п, Прибрежная ул</t>
  </si>
  <si>
    <t>Строительство ВЛИ-0,38 кВ от РУ-0,38 кВ КТП-955 ПС-464 "Дорохово", в т.ч. ПИР, МО, Рузский р-н, п.Дорохово</t>
  </si>
  <si>
    <t>Строительство ВЛИ-0,38 кВ от ТП-10/0,38 кВ строящейся по ТУ № МЖ-13-202-2452(908107)  ПС-568 "Карповка", в т.ч. ПИР, МО, Рузский р-н, д.Мытники</t>
  </si>
  <si>
    <t>Строительство ВЛИ-0,38 кВ от ВЛИ-0,38 кВ, строящейся по договору ТП № МЖ-12-302-5909(913880) ПС-732 "Мухино", в т.ч. ПИР, МО, Рузский р-н, Григорово д, дом № 127</t>
  </si>
  <si>
    <t>Строительство ВЛИ-0,38 кВ от РУ-0,38 кВ ТП-597 ПС-418 "Руза", в т.ч. ПИР, МО, Рузский р-н, д.Брыньково</t>
  </si>
  <si>
    <t>Выполнение работ, включая ПИР, авторский надзор, СМР, ПНР, оборудование и материалы по объектам  ЗЭС  приказа  № 1261 от 28.11.2013г  Наро-Фоминского р-на (5 объектов)</t>
  </si>
  <si>
    <t>Выполнение работ, включая ПИР, авторский надзор, СМР, ПНР, оборудование и материалы по титулу: Строительство ВЛИ-0,38 кВ от ВЛИ-0,38 кВ МТП-19 ПС-265 "Слюденит", в т.ч. ПИР, МО, Наро-Фоминский р-н, д.Дятлово</t>
  </si>
  <si>
    <t>Выполнение работ, включая ПИР, авторский надзор, СМР, ПНР, оборудование и материалы по титулу: Строительство МТП-25/10/0,4 кВ, ВЛЗ-10 кВ от ВЛЗ-10 кВ  ф. 4 РП-4 ПС-371 "Кузнецово",ВЛИ-0,38 кВ, в т.ч. ПИР, Москва, Яковлевское д, Киевский пер</t>
  </si>
  <si>
    <t>Выполнение работ, включая ПИР, авторский надзор, СМР, ПНР, оборудование и материалы по титулу: Строительство ВЛИ-0,38 кВ от ВЛИ-0,38 кВ,строящейся по договору ТП № З8-13-302-851(902146) ПС-575 "Селятино", в т.ч. ПИР, г.Москва, п.Новофедоровское, д.Ожигово, уч.7</t>
  </si>
  <si>
    <t>Выполнение работ, включая ПИР, авторский надзор, СМР, ПНР, оборудование и материалы по титулу: Строительство ВЛИ-0,38 кВ от строящейся по договору № 38-12-302-2045(910635) РУ-0,38 кВ  ПС-308 "Наро-Фоминск", в т.ч. ПИР, МО, Наро-Фоминский р-н, Таширово д, уч. 579</t>
  </si>
  <si>
    <t>Выполнение работ, включая ПИР, авторский надзор, СМР, ПНР, оборудование и материалы по титулу: Строительство ВЛИ-0,38 кВ от ВЛИ-0,38 кВ КТП-75 ПС-287 "Корытово", в т.ч. ПИР, МО, Наро-Фоминский р-н, Плесенское д, дом № 56</t>
  </si>
  <si>
    <t>083-0004946</t>
  </si>
  <si>
    <t>083-0004949</t>
  </si>
  <si>
    <t>083-0004952</t>
  </si>
  <si>
    <t>083-0004954</t>
  </si>
  <si>
    <t>083-0004956</t>
  </si>
  <si>
    <t>083-0004958</t>
  </si>
  <si>
    <t>I-143288</t>
  </si>
  <si>
    <t>I-143310</t>
  </si>
  <si>
    <t>I-143312</t>
  </si>
  <si>
    <t>I-143353</t>
  </si>
  <si>
    <t>I-143356</t>
  </si>
  <si>
    <t>Строительство ВЛИ-0,38 кВ от ВЛИ-0,38 кВ МТП-19 ПС-265 "Слюденит", в т.ч. ПИР, МО, Наро-Фоминский р-н, д.Дятлово</t>
  </si>
  <si>
    <t>Строительство МТП-25/10/0,4 кВ, ВЛЗ-10 кВ от ВЛЗ-10 кВ  ф. 4 РП-4 ПС-371 "Кузнецово",ВЛИ-0,38 кВ, в т.ч. ПИР, Москва, Яковлевское д, Киевский пер</t>
  </si>
  <si>
    <t>Строительство ВЛИ-0,38 кВ от ВЛИ-0,38 кВ,строящейся по договору ТП № З8-13-302-851(902146) ПС-575 "Селятино", в т.ч. ПИР, г.Москва, п.Новофедоровское, д.Ожигово, уч.7</t>
  </si>
  <si>
    <t>Строительство ВЛИ-0,38 кВ от строящейся по договору № 38-12-302-2045(910635) РУ-0,38 кВ  ПС-308 "Наро-Фоминск", в т.ч. ПИР, МО, Наро-Фоминский р-н, Таширово д, уч. 579</t>
  </si>
  <si>
    <t>Строительство ВЛИ-0,38 кВ от ВЛИ-0,38 кВ КТП-75 ПС-287 "Корытово", в т.ч. ПИР, МО, Наро-Фоминский р-н, Плесенское д, дом № 56</t>
  </si>
  <si>
    <t>083-0004310</t>
  </si>
  <si>
    <t>Выполнение СМР, ПНР титулу:   Реконструкция ТП-531, монтаж АВ, ВЛ-0,38 кВ ТП-531 (ПС-551 "Пернатово"), в т.ч. ПИР,  МО, Истринский р-н, Бужаровское с/п., д. Алеханово</t>
  </si>
  <si>
    <t>I-110307</t>
  </si>
  <si>
    <t xml:space="preserve"> Реконструкция ТП-531, монтаж АВ, ВЛ-0,38 кВ ТП-531 (ПС-551 "Пернатово"), в т.ч. ПИР,  МО, Истринский р-н, Бужаровское с/п., д. Алеханово</t>
  </si>
  <si>
    <t xml:space="preserve">1496 от 19.10.2011г. </t>
  </si>
  <si>
    <t>083-0004930</t>
  </si>
  <si>
    <t>083-0004932</t>
  </si>
  <si>
    <t>083-0004934</t>
  </si>
  <si>
    <t>083-0004937</t>
  </si>
  <si>
    <t>083-0004939</t>
  </si>
  <si>
    <t>083-0004941</t>
  </si>
  <si>
    <t>Выполнение работ, включая ПИР, авторский надзор, СМР, ПНР, оборудование и материалы по титулу: Строительство ВЛИ-0,38 кВ от РУ-0,38 кВ ТП-3075 ПС-171 "Сычи", в т.ч. ПИР, МО, Рузский р-н, с.Покровское</t>
  </si>
  <si>
    <t>Выполнение работ, включая ПИР, авторский надзор, СМР, ПНР, оборудование и материалы по титулу: Строительство КТП-100/10/0,38 кВ, ВЛЗ-10 кВ от оп.83 ВЛЗ-10 кВ ф.1 ПС-460 "Кожино", ВЛИ-0,38 кВ, в т.ч. ПИР, МО, Рузский р-н, д.Старониколаево</t>
  </si>
  <si>
    <t>Выполнение работ, включая ПИР, авторский надзор, СМР, ПНР, оборудование и материалы по титулу: Строительство КТП-16/10/0,38 кВ, ВЛЗ-10 кВ от оп.37 ВЛЗ-10 кВ ф.2 ПС-649 "Северная", ВЛИ-0,38 кВ, в т.ч. ПИР, МО, Рузский р-н, Васильевское д с/т "Панино"</t>
  </si>
  <si>
    <t>Выполнение работ, включая ПИР, авторский надзор, СМР, ПНР, оборудование и материалы по титулу: Строительство ВЛИ-0,38 кВ от РУ-0,38 кВ КТП-2765 ПС-289 "Кирилловка", в т.ч. ПИР, МО, Рузский р-н, д.Красотино</t>
  </si>
  <si>
    <t>Выполнение работ, включая ПИР, авторский надзор, СМР, ПНР, оборудование и материалы по титулу: Строительство ВЛИ-0,38 кВ от ТП-10/0,38 кВ, строящейся по дог.МЖ-13-302-2225(901563) ПС-568 "Карповка", в т.ч. ПИР, МО, Рузский р-н, д.Нововолково</t>
  </si>
  <si>
    <t>Выполнение работ, включая ПИР, авторский надзор, СМР, ПНР, оборудование и материалы по объектам  ЗЭС  приказа  № 1234 от 21.11.2013г  Наро-Фоминского р-на (2 объекта)</t>
  </si>
  <si>
    <t>Выполнение работ, включая ПИР, авторский надзор, СМР, ПНР, оборудование и материалы по титулу: Строительство ВЛИ-0,38 кВ от строящейся по дог.З8-12-302-2302(908967)/2 ВЛИ-0,38 кВ МТП-10/0,38 кВ ПС-575 "Селятино" в т.ч. ПИР, МО, Наро-Фоминский р-н,  д.Ожигово, уч.58</t>
  </si>
  <si>
    <t>Выполнение работ, включая ПИР, авторский надзор, СМР, ПНР, оборудование и материалы по титулу: Строительство ЛЭП-0,38 кВ от РУ-0,38 кВ КТП-25/10/0,4 кВ ПС-25 "Встреча", в т.ч. ПИР, МО, Наро-Фоминский р-н, Крекшино п, Октябрьская ул, дом № уч.17</t>
  </si>
  <si>
    <t>083-0004891</t>
  </si>
  <si>
    <t>083-0004892</t>
  </si>
  <si>
    <t>083-0004893</t>
  </si>
  <si>
    <t>I-142880</t>
  </si>
  <si>
    <t>Строительство ВЛИ-0,38 кВ от строящейся по дог.З8-12-302-2302(908967)/2 ВЛИ-0,38 кВ МТП-10/0,38 кВ ПС-575 "Селятино" в т.ч. ПИР, МО, Наро-Фоминский р-н,  д.Ожигово, уч.58</t>
  </si>
  <si>
    <t>I-117870</t>
  </si>
  <si>
    <t>Строительство ЛЭП-0,38 кВ от РУ-0,38 кВ КТП-25/10/0,4 кВ ПС-25 "Встреча", в т.ч. ПИР, МО, Наро-Фоминский р-н, Крекшино п, Октябрьская ул, дом № уч.17</t>
  </si>
  <si>
    <t>Выполнение работ, включая ПИР, авторский надзор, СМР, ПНР, оборудование и материалы по объектам  ЗЭС  приказа  № 1234 от 21.11.2013г  Шаховского р-на (6 объектов)</t>
  </si>
  <si>
    <t>Выполнение работ, включая ПИР, авторский надзор, СМР, ПНР, оборудование и материалы по титулу: Строительство ВЛИ-0,38 кВ от РУ-0,38 кВ ТП-3101 ПС-406 "Шаховская" в т.ч. ПИР, МО, Шаховской р-н, д.Полежаево</t>
  </si>
  <si>
    <t>Выполнение работ, включая ПИР, авторский надзор, СМР, ПНР, оборудование и материалы по титулу: Строительство ВЛИ-0,38 кВ от ВЛИ-0,38 кВ ТП-3663 ПС-406 "Шаховская" в т.ч. ПИР, МО, Шаховской р-н, с.Середа</t>
  </si>
  <si>
    <t>Выполнение работ, включая ПИР, авторский надзор, СМР, ПНР, оборудование и материалы по титулу: Строительство ВЛИ-0,38 кВ от строящейся по №.ВЛ-12-202-1250(908934/102) ВЛИ-0,38 кВ ТП-3193 ПС-462 "Середа" в т.ч. ПИР, МО, Шаховской р-н, Панюково д, Московская ул, дом № 15</t>
  </si>
  <si>
    <t>Выполнение работ, включая ПИР, авторский надзор, СМР, ПНР, оборудование и материалы по титулу: Строительство МТП-25/10/0,38 кВ , ВЛЗ-10 кВ от ВЛЗ-10 кВ ф.12 ПС-406 "Шаховская", ВЛИ-0,38 кВ в т.ч. ПИР, МО, Шаховской р-н, д.Юрьево</t>
  </si>
  <si>
    <t>Выполнение работ, включая ПИР, авторский надзор, СМР, ПНР, оборудование и материалы по титулу: Строительство ВЛИ-0,38 кВ от РУ-0,38 кВ ТП-3307 ПС-462 "Середа" в т.ч. ПИР, МО, Шаховской р-н, Якшино д, дом № 38,</t>
  </si>
  <si>
    <t>Выполнение работ, включая ПИР, авторский надзор, СМР, ПНР, оборудование и материалы по титулу: Строительство ВЛИ-0,38 кВ от оп.9 ВЛИ-0,38 кВ ТП-3029 ПС-406 "Шаховская" в т.ч. ПИР, МО, Шаховской р-н, д.Ядрово</t>
  </si>
  <si>
    <t>083-0004894</t>
  </si>
  <si>
    <t>083-0004895</t>
  </si>
  <si>
    <t>083-0004896</t>
  </si>
  <si>
    <t>083-0004897</t>
  </si>
  <si>
    <t>083-0004898</t>
  </si>
  <si>
    <t>083-0004899</t>
  </si>
  <si>
    <t>083-0004900</t>
  </si>
  <si>
    <t>I-142899</t>
  </si>
  <si>
    <t>Строительство ВЛИ-0,38 кВ от РУ-0,38 кВ ТП-3101 ПС-406 "Шаховская" в т.ч. ПИР, МО, Шаховской р-н, д.Полежаево</t>
  </si>
  <si>
    <t>I-142940</t>
  </si>
  <si>
    <t>Строительство ВЛИ-0,38 кВ от ВЛИ-0,38 кВ ТП-3663 ПС-406 "Шаховская" в т.ч. ПИР, МО, Шаховской р-н, с.Середа</t>
  </si>
  <si>
    <t>I-142984</t>
  </si>
  <si>
    <t>Строительство ВЛИ-0,38 кВ от строящейся по №.ВЛ-12-202-1250(908934/102) ВЛИ-0,38 кВ ТП-3193 ПС-462 "Середа" в т.ч. ПИР, МО, Шаховской р-н, Панюково д, Московская ул, дом № 15</t>
  </si>
  <si>
    <t>I-142991</t>
  </si>
  <si>
    <t>Строительство МТП-25/10/0,38 кВ , ВЛЗ-10 кВ от ВЛЗ-10 кВ ф.12 ПС-406 "Шаховская", ВЛИ-0,38 кВ в т.ч. ПИР, МО, Шаховской р-н, д.Юрьево</t>
  </si>
  <si>
    <t>I-142939</t>
  </si>
  <si>
    <t>Строительство ВЛИ-0,38 кВ от РУ-0,38 кВ ТП-3307 ПС-462 "Середа" в т.ч. ПИР, МО, Шаховской р-н, Якшино д, дом № 38,</t>
  </si>
  <si>
    <t>I-142920</t>
  </si>
  <si>
    <t>Строительство ВЛИ-0,38 кВ от оп.9 ВЛИ-0,38 кВ ТП-3029 ПС-406 "Шаховская" в т.ч. ПИР, МО, Шаховской р-н, д.Ядрово</t>
  </si>
  <si>
    <t>062-0004612</t>
  </si>
  <si>
    <t>062-0004620</t>
  </si>
  <si>
    <t>Техническое и сервисное обслуживание технических средств производства Cisco Systems в составе автоматизированной системы оперативно-технологического управления ОАО "МОЭСК"</t>
  </si>
  <si>
    <t>Оказание услуг по сервисной поддержке и техническому сопровождению программного обеспечения автоматизированной системы оперативно-технологического управления ОАО «МОЭСК» (PowerOn Fusion)</t>
  </si>
  <si>
    <t>I-143272</t>
  </si>
  <si>
    <t>Строительство ВЛИ-0,38 кВ от РУ-0,38 кВ ТП-3075 ПС-171 "Сычи", в т.ч. ПИР, МО, Рузский р-н, с.Покровское</t>
  </si>
  <si>
    <t>I-143283</t>
  </si>
  <si>
    <t>Строительство КТП-100/10/0,38 кВ, ВЛЗ-10 кВ от оп.83 ВЛЗ-10 кВ ф.1 ПС-460 "Кожино", ВЛИ-0,38 кВ, в т.ч. ПИР, МО, Рузский р-н, д.Старониколаево</t>
  </si>
  <si>
    <t>I-143301</t>
  </si>
  <si>
    <t>Строительство КТП-16/10/0,38 кВ, ВЛЗ-10 кВ от оп.37 ВЛЗ-10 кВ ф.2 ПС-649 "Северная", ВЛИ-0,38 кВ, в т.ч. ПИР, МО, Рузский р-н, Васильевское д с/т "Панино"</t>
  </si>
  <si>
    <t>I-143296</t>
  </si>
  <si>
    <t>Строительство ВЛИ-0,38 кВ от РУ-0,38 кВ КТП-2765 ПС-289 "Кирилловка", в т.ч. ПИР, МО, Рузский р-н, д.Красотино</t>
  </si>
  <si>
    <t>I-143354</t>
  </si>
  <si>
    <t>Строительство ВЛИ-0,38 кВ от ТП-10/0,38 кВ, строящейся по дог.МЖ-13-302-2225(901563) ПС-568 "Карповка", в т.ч. ПИР, МО, Рузский р-н, д.Нововолково</t>
  </si>
  <si>
    <t>Выполнение работ, включая ПИР, авторский надзор, СМР, ПНР, оборудование и материалы по объектам  ЗЭС  приказа  № 1234 от 21.11.2013г  Рузского р-на (3 объекта)</t>
  </si>
  <si>
    <t>Выполнение работ, включая ПИР, авторский надзор, СМР, ПНР, оборудование и материалы по титулу: Строительство ТП-16/10/0,38 кВ, ВЛЗ-10 кВ от ВЛЗ-10 кВ ф.Крюково ПС-24 "Устиново", ВЛИ-0,38 кВ в т.ч. ПИР, МО, Рузский р-н, вблизи д. Андрейково</t>
  </si>
  <si>
    <t>Выполнение работ, включая ПИР, авторский надзор, СМР, ПНР, оборудование и материалы по титулу: Строительство ВЛИ-0,38 кВ от оп. 8 ВЛИ-0,38 кВ ф. №1 ТП-3178 ПС-418 "Руза" в т.ч. ПИР, МО, Рузский р-н, п.Старотеряево</t>
  </si>
  <si>
    <t>Выполнение работ, включая ПИР, авторский надзор, СМР, ПНР, оборудование и материалы по титулу: Строительство ТП-160/10/0,38 кВ, ВЛЗ-10 кВ от оп.250 ВЛЗ-10 кВ ф.7 ПС-618 "Никольское", ВЛИ-0,38 кВ в т.ч. ПИР, МО, Рузский р-н, д.Мамошино</t>
  </si>
  <si>
    <t>083-0004901</t>
  </si>
  <si>
    <t>083-0004902</t>
  </si>
  <si>
    <t>083-0004903</t>
  </si>
  <si>
    <t>083-0004904</t>
  </si>
  <si>
    <t>I-142968</t>
  </si>
  <si>
    <t>I-142954</t>
  </si>
  <si>
    <t>I-142882</t>
  </si>
  <si>
    <t>Строительство ТП-16/10/0,38 кВ, ВЛЗ-10 кВ от ВЛЗ-10 кВ ф.Крюково ПС-24 "Устиново", ВЛИ-0,38 кВ в т.ч. ПИР, МО, Рузский р-н, вблизи д. Андрейково</t>
  </si>
  <si>
    <t>Строительство ВЛИ-0,38 кВ от оп. 8 ВЛИ-0,38 кВ ф. №1 ТП-3178 ПС-418 "Руза" в т.ч. ПИР, МО, Рузский р-н, п.Старотеряево</t>
  </si>
  <si>
    <t>Строительство ТП-160/10/0,38 кВ, ВЛЗ-10 кВ от оп.250 ВЛЗ-10 кВ ф.7 ПС-618 "Никольское", ВЛИ-0,38 кВ в т.ч. ПИР, МО, Рузский р-н, д.Мамошино</t>
  </si>
  <si>
    <t>Выполнение работ, включая ПИР, авторский надзор, СМР, ПНР, оборудование и материалы по объектам  ЗЭС  приказа  № 1234 от 21.11.2013г  Одинцовского р-на (3 объекта)</t>
  </si>
  <si>
    <t>Выполнение работ, включая ПИР, авторский надзор, СМР, ПНР, оборудование и материалы по титулу: Строительство ВЛИ-0,38 кВ от ТП-10/0,38 кВ, строящееся по договору ТП № МЖ-13-302-5372(902420) ПС-118 "Кубинка" в т.ч. ПИР, МО, Одинцовский р-н, Агафоново д, уч. 212</t>
  </si>
  <si>
    <t>Выполнение работ, включая ПИР, авторский надзор, СМР, ПНР, оборудование и материалы по титулу: Строительство ВЛИ-0,38 кВ от ВЛИ-0,38 кВ, строящееся по договору ТП № З8-13-302-692(901933) ПС-550 "Каринская" в т.ч. ПИР, МО, Одинцовский р-н, Дьяконово д, ГП-1, уч. 17</t>
  </si>
  <si>
    <t>Выполнение работ, включая ПИР, авторский надзор, СМР, ПНР, оборудование и материалы по титулу: Строительство ТП-25/6/0,38 кВ в габ.160 кВА, ВЛЗ-6 кВ от ВЛЗ-6 кВ Л-17 ПС-584 "Звенигород", ВЛИ-0,38 кВ в т.ч. ПИР, МО, Одинцовский р-н, Носоново д, дом № 32</t>
  </si>
  <si>
    <t>083-0004905</t>
  </si>
  <si>
    <t>083-0004906</t>
  </si>
  <si>
    <t>083-0004907</t>
  </si>
  <si>
    <t>083-0004908</t>
  </si>
  <si>
    <t>I-142915</t>
  </si>
  <si>
    <t>I-142949</t>
  </si>
  <si>
    <t>I-142938</t>
  </si>
  <si>
    <t>Строительство ВЛИ-0,38 кВ от ТП-10/0,38 кВ, строящееся по договору ТП № МЖ-13-302-5372(902420) ПС-118 "Кубинка" в т.ч. ПИР, МО, Одинцовский р-н, Агафоново д, уч. 212</t>
  </si>
  <si>
    <t>Строительство ВЛИ-0,38 кВ от ВЛИ-0,38 кВ, строящееся по договору ТП № З8-13-302-692(901933) ПС-550 "Каринская" в т.ч. ПИР, МО, Одинцовский р-н, Дьяконово д, ГП-1, уч. 17</t>
  </si>
  <si>
    <t>Строительство ТП-25/6/0,38 кВ в габ.160 кВА, ВЛЗ-6 кВ от ВЛЗ-6 кВ Л-17 ПС-584 "Звенигород", ВЛИ-0,38 кВ в т.ч. ПИР, МО, Одинцовский р-н, Носоново д, дом № 32</t>
  </si>
  <si>
    <t>083-0004943</t>
  </si>
  <si>
    <t>083-0004947</t>
  </si>
  <si>
    <t>083-0004948</t>
  </si>
  <si>
    <t>Выполнение работ, включая ПИР, авторский надзор, СМР, ПНР, оборудование и материалы по объектам  ЗЭС  приказа  № 1261 от 28.11.2013г  Наро-Фоминского р-на (2 объекта)</t>
  </si>
  <si>
    <t>Выполнение работ, включая ПИР, авторский надзор, СМР, ПНР, оборудование и материалы по титулу: Строительство ТП-25/10/0,38 кВ, ВЛЗ-10 кВ от ВЛЗ-10 кВ ф.8 ПС-707 "Вышгород", ВЛИ-0,38 кВ, в т.ч. ПИР, МО, Наро-Фоминский р-н, д.Князевое</t>
  </si>
  <si>
    <t>Выполнение работ, включая ПИР, авторский надзор, СМР, ПНР, оборудование и материалы по титулу: Строительство ТП-250/10/0,38, ВЛЗ-10 кВ от ВЛЗ-10 кВ ф.4 ПС-707 "Вышгород", ВЛИ-0,38 кВ, в т.ч. ПИР, МО, Наро-Фоминский р-н, СНТ "Архангельское"</t>
  </si>
  <si>
    <t>I-143278</t>
  </si>
  <si>
    <t>Строительство ТП-25/10/0,38 кВ, ВЛЗ-10 кВ от ВЛЗ-10 кВ ф.8 ПС-707 "Вышгород", ВЛИ-0,38 кВ, в т.ч. ПИР, МО, Наро-Фоминский р-н, д.Князевое</t>
  </si>
  <si>
    <t>I-143316</t>
  </si>
  <si>
    <t>Строительство ТП-250/10/0,38, ВЛЗ-10 кВ от ВЛЗ-10 кВ ф.4 ПС-707 "Вышгород", ВЛИ-0,38 кВ, в т.ч. ПИР, МО, Наро-Фоминский р-н, СНТ "Архангельское"</t>
  </si>
  <si>
    <t>Выполнение работ, включая ПИР, авторский надзор, СМР, ПНР, оборудование и материалы по объектам  ЗЭС  приказа  № 1234 от 21.11.2013г  Волоколамского р-на (6 объектов)</t>
  </si>
  <si>
    <t>Выполнение работ, включая ПИР, авторский надзор, СМР, ПНР, оборудование и материалы по титулу: Строительство ВЛИ-0,38 кВ от ВЛИ-0,38 кВ ТП-1027 ПС-405 "Волоколамск" в т.ч. ПИР, МО, Волоколамский р-н, Горки д, дом № 68</t>
  </si>
  <si>
    <t>Выполнение работ, включая ПИР, авторский надзор, СМР, ПНР, оборудование и материалы по титулу: Строительство ВЛИ-0,38 кВ от ТП-1059 ПС-642 "Лама" в т.ч. ПИР, МО, Волоколамский р-н, д.Пашково</t>
  </si>
  <si>
    <t>Выполнение работ, включая ПИР, авторский надзор, СМР, ПНР, оборудование и материалы по титулу: Строительство ВЛИ-0,38 кВ от ВЛИ-0,38 кВ ТП-1342 ПС-405 "Волоколамск" в т.ч. ПИР, МО, Волоколамск г, Мелиораторов ул</t>
  </si>
  <si>
    <t>Выполнение работ, включая ПИР, авторский надзор, СМР, ПНР, оборудование и материалы по титулу: Строительство ТП-63/10/0,38 кВ, ВЛЗ-10 кВ от ВЛЗ-10 кВ ф.2 ПС-407 "Осташево", ВЛИ-0,38 кВ в т.ч. ПИР, МО, Волоколамский р-н, д.Середниково</t>
  </si>
  <si>
    <t>Выполнение работ, включая ПИР, авторский надзор, СМР, ПНР, оборудование и материалы по титулу: Строительство ВЛИ-0,38 кВ от ВЛИ-0,38 кВ ТП-1190 ПС-408 "Теряево" в т.ч. ПИР, МО, Волоколамский р-н, Житино д, дом № 32</t>
  </si>
  <si>
    <t>Выполнение работ, включая ПИР, авторский надзор, СМР, ПНР, оборудование и материалы по титулу: Строительство ВЛИ-0,38 кВ от РУ-0,38 кВ ТП-1069 ПС-450 "Шишково" в т.ч. ПИР, МО, Волоколамский р-н, д.Шишково</t>
  </si>
  <si>
    <t>083-0004909</t>
  </si>
  <si>
    <t>083-0004910</t>
  </si>
  <si>
    <t>083-0004911</t>
  </si>
  <si>
    <t>083-0004912</t>
  </si>
  <si>
    <t>083-0004913</t>
  </si>
  <si>
    <t>083-0004914</t>
  </si>
  <si>
    <t>083-0004915</t>
  </si>
  <si>
    <t>I-142892</t>
  </si>
  <si>
    <t>I-142894</t>
  </si>
  <si>
    <t>I-142902</t>
  </si>
  <si>
    <t>I-142917</t>
  </si>
  <si>
    <t>I-142933</t>
  </si>
  <si>
    <t>I-142947</t>
  </si>
  <si>
    <t>Строительство ВЛИ-0,38 кВ от ВЛИ-0,38 кВ ТП-1027 ПС-405 "Волоколамск" в т.ч. ПИР, МО, Волоколамский р-н, Горки д, дом № 68</t>
  </si>
  <si>
    <t>Строительство ВЛИ-0,38 кВ от ТП-1059 ПС-642 "Лама" в т.ч. ПИР, МО, Волоколамский р-н, д.Пашково</t>
  </si>
  <si>
    <t>Строительство ВЛИ-0,38 кВ от ВЛИ-0,38 кВ ТП-1342 ПС-405 "Волоколамск" в т.ч. ПИР, МО, Волоколамск г, Мелиораторов ул</t>
  </si>
  <si>
    <t>Строительство ТП-63/10/0,38 кВ, ВЛЗ-10 кВ от ВЛЗ-10 кВ ф.2 ПС-407 "Осташево", ВЛИ-0,38 кВ в т.ч. ПИР, МО, Волоколамский р-н, д.Середниково</t>
  </si>
  <si>
    <t>Строительство ВЛИ-0,38 кВ от ВЛИ-0,38 кВ ТП-1190 ПС-408 "Теряево" в т.ч. ПИР, МО, Волоколамский р-н, Житино д, дом № 32</t>
  </si>
  <si>
    <t>Строительство ВЛИ-0,38 кВ от РУ-0,38 кВ ТП-1069 ПС-450 "Шишково" в т.ч. ПИР, МО, Волоколамский р-н, д.Шишково</t>
  </si>
  <si>
    <t>Выполнение работ, включая ПИР, авторский надзор, СМР, ПНР, оборудование и материалы по объектам  ЗЭС  приказа  № 1234 от 21.11.2013г  Истринского р-на (3 объекта)</t>
  </si>
  <si>
    <t>Выполнение работ, включая ПИР, авторский надзор, СМР, ПНР, оборудование и материалы по титулу: Строительство ВЛИ-0,38 кВ от ВЛИ-0,38 кВ ТП-316 ф.Ивановское РП-55 ф.7 ПС-196 "Выползово" в т.ч. ПИР, МО, Истринский р-н, Ивановское с/п, Ивановское (Ивановский с/о) д, уч. 7, влад.к</t>
  </si>
  <si>
    <t>Выполнение работ, включая ПИР, авторский надзор, СМР, ПНР, оборудование и материалы по титулу: Строительство ВЛИ-0,38 кВ от ВЛИ-0,38 кВ ТП-282 ПС-475 "Луч" в т.ч. ПИР, МО, Истринский р-н, Костровское с/п, д.Новодарьино</t>
  </si>
  <si>
    <t>Выполнение работ, включая ПИР, авторский надзор, СМР, ПНР, оборудование и материалы по титулу: Строительство ВЛИ-0,38 кВ от ВЛИ-0,38 кВ КТП-735 ПС-836 "Слобода" в т.ч. ПИР, МО, Истринский р-н, Обушковское с/п, д.Покровское</t>
  </si>
  <si>
    <t>083-0004916</t>
  </si>
  <si>
    <t>083-0004917</t>
  </si>
  <si>
    <t>083-0004918</t>
  </si>
  <si>
    <t>083-0004919</t>
  </si>
  <si>
    <t>I-142961</t>
  </si>
  <si>
    <t>I-142971</t>
  </si>
  <si>
    <t>I-142973</t>
  </si>
  <si>
    <t>Строительство ВЛИ-0,38 кВ от ВЛИ-0,38 кВ ТП-316 ф.Ивановское РП-55 ф.7 ПС-196 "Выползово" в т.ч. ПИР, МО, Истринский р-н, Ивановское с/п, Ивановское (Ивановский с/о) д, уч. 7, влад.к</t>
  </si>
  <si>
    <t>Строительство ВЛИ-0,38 кВ от ВЛИ-0,38 кВ ТП-282 ПС-475 "Луч" в т.ч. ПИР, МО, Истринский р-н, Костровское с/п, д.Новодарьино</t>
  </si>
  <si>
    <t>Строительство ВЛИ-0,38 кВ от ВЛИ-0,38 кВ КТП-735 ПС-836 "Слобода" в т.ч. ПИР, МО, Истринский р-н, Обушковское с/п, д.Покровское</t>
  </si>
  <si>
    <t>083-0004951</t>
  </si>
  <si>
    <t>083-0004953</t>
  </si>
  <si>
    <t>083-0004955</t>
  </si>
  <si>
    <t>083-0004957</t>
  </si>
  <si>
    <t>083-0004959</t>
  </si>
  <si>
    <t>Выполнение работ, включая ПИР, авторский надзор, СМР, ПНР, оборудование и материалы по объектам  ЗЭС  приказа  № 1261 от 28.11.2013г  Одинцовского р-на (4 объекта)</t>
  </si>
  <si>
    <t>Выполнение работ, включая ПИР, авторский надзор, СМР, ПНР, оборудование и материалы по титулу: Строительство ТП-25/6/0,38 кВ в габ.160 кВА, КЛ-6 кВ от КЛ-6 кВ Л-7 ПС-645 "Сушкинская", ВКЛ-0,38 кВ, в т.ч. ПИР, МО, Одинцовский р-н, Ивонино д, дом № 29 а</t>
  </si>
  <si>
    <t>Выполнение работ, включая ПИР, авторский надзор, СМР, ПНР, оборудование и материалы по титулу: Строительство ВЛИ-0,38 кВ от оп. 14 ВЛИ-0,38 кВ ф.1 КТП-4212 ПС-293 "Каменская", в т.ч. ПИР, МО, Одинцовский р-н, Шараповский с/о, д.Белозерово</t>
  </si>
  <si>
    <t>Выполнение работ, включая ПИР, авторский надзор, СМР, ПНР, оборудование и материалы по титулу: Строительство КТП-25/6/0,38 кВ, ВЛЗ-6 кВ от ВЛЗ-6 кВ ф.33 РП-3 ф.11 ПС-118 "Кубинка", ВЛИ-0,38 кВ, в т.ч. ПИР, МО, Одинцовский р-н, с/о Никольский, д.Чапаевка</t>
  </si>
  <si>
    <t>Выполнение работ, включая ПИР, авторский надзор, СМР, ПНР, оборудование и материалы по титулу: Строительство ТП-63/10/0,38 кВ в габ.160 кВА, КЛ-10 кВ от КЛ-10 кВ РТП-16160 ПС-67 "Усово", ВЛИ-0,38 кВ, в т.ч. ПИР, МО, Одинцовский р-н, с.Успенское</t>
  </si>
  <si>
    <t>Строительство ТП-25/6/0,38 кВ в габ.160 кВА, КЛ-6 кВ от КЛ-6 кВ Л-7 ПС-645 "Сушкинская", ВКЛ-0,38 кВ, в т.ч. ПИР, МО, Одинцовский р-н, Ивонино д, дом № 29 а</t>
  </si>
  <si>
    <t>Строительство ВЛИ-0,38 кВ от оп. 14 ВЛИ-0,38 кВ ф.1 КТП-4212 ПС-293 "Каменская", в т.ч. ПИР, МО, Одинцовский р-н, Шараповский с/о, д.Белозерово</t>
  </si>
  <si>
    <t>Строительство КТП-25/6/0,38 кВ, ВЛЗ-6 кВ от ВЛЗ-6 кВ ф.33 РП-3 ф.11 ПС-118 "Кубинка", ВЛИ-0,38 кВ, в т.ч. ПИР, МО, Одинцовский р-н, с/о Никольский, д.Чапаевка</t>
  </si>
  <si>
    <t>Строительство ТП-63/10/0,38 кВ в габ.160 кВА, КЛ-10 кВ от КЛ-10 кВ РТП-16160 ПС-67 "Усово", ВЛИ-0,38 кВ, в т.ч. ПИР, МО, Одинцовский р-н, с.Успенское</t>
  </si>
  <si>
    <t>Выполнение работ, включая ПИР, авторский надзор, СМР, ПНР, оборудование и материалы приказа  № 1234 от 21.11.2013г  по титулу:Строительство ТП-63/10/0,38 кВ, ВЛЗ-10 кВ от оп.262 ВЛЗ-10 кВ ф.2 ПС-249 "Шевардино", ВЛИ-0,38 кВ в т.ч. ПИР, МО, Можайский р-н, д.Красноиншино</t>
  </si>
  <si>
    <t>083-0004920</t>
  </si>
  <si>
    <t>I-142941</t>
  </si>
  <si>
    <t>Строительство ТП-63/10/0,38 кВ, ВЛЗ-10 кВ от оп.262 ВЛЗ-10 кВ ф.2 ПС-249 "Шевардино", ВЛИ-0,38 кВ в т.ч. ПИР, МО, Можайский р-н, д.Красноиншино</t>
  </si>
  <si>
    <t>083-0004921</t>
  </si>
  <si>
    <t>Выполнение работ, включая ПИР, авторский надзор, СМР, ПНР, оборудование и материалы приказа  № 1234 от 21.11.2013г  по титулу:Строительство ТП-63/10/0,38 кВ, ВЛЗ-10 кВ от ВЛЗ-10 кВ ф.5 ПС-619 "Введенская", ВЛИ-0,38 кВ в т.ч. ПИР, МО, Лотошинский р-н, Микулино с, Школьная ул</t>
  </si>
  <si>
    <t>I-142900</t>
  </si>
  <si>
    <t>Строительство ТП-63/10/0,38 кВ, ВЛЗ-10 кВ от ВЛЗ-10 кВ ф.5 ПС-619 "Введенская", ВЛИ-0,38 кВ в т.ч. ПИР, МО, Лотошинский р-н, Микулино с, Школьная ул</t>
  </si>
  <si>
    <t>083-0004960</t>
  </si>
  <si>
    <t>083-0004961</t>
  </si>
  <si>
    <t>083-0004962</t>
  </si>
  <si>
    <t>083-0004963</t>
  </si>
  <si>
    <t>083-0004964</t>
  </si>
  <si>
    <t>Выполнение работ, включая ПИР, авторский надзор, СМР, ПНР, оборудование и материалы по объектам  ЗЭС  приказа  № 1261 от 28.11.2013г  Можайского р-на (4 объекта)</t>
  </si>
  <si>
    <t>Выполнение работ, включая ПИР, авторский надзор, СМР, ПНР, оборудование и материалы по титулу: Строительство ТП-63/10/0,38 кВ, ВЛЗ-10 кВ от ВЛЗ-10 кВ ПС-76 "Цезарево", ВЛИ-0,38 кВ, в т.ч. ПИР, Московская обл, Можайский р-н, д.Гальчино</t>
  </si>
  <si>
    <t>Выполнение работ, включая ПИР, авторский надзор, СМР, ПНР, оборудование и материалы по титулу: Строительство ТП-160/10/0,38 кВ, ВЛЗ-10 кВ от оп.13 ВЛЗ-10 кВ ПС-724 "Збышки", ВЛИ-0,38 кВ, в т.ч. ПИР, МО, Можайский р-н, Горетово д.</t>
  </si>
  <si>
    <t>Выполнение работ, включая ПИР, авторский надзор, СМР, ПНР, оборудование и материалы по титулу: Строительство ТП-100/10/0,38 кВ, ВЛЗ-10 кВ от оп.404 ВЛЗ-10 кВ ф.5 РП-32 ПС-249 "Шевардино", ВЛИ-0,38 кВ, в т.ч. ПИР, МО, Можайский р-н, Поздняково д. уч.25</t>
  </si>
  <si>
    <t>Выполнение работ, включая ПИР, авторский надзор, СМР, ПНР, оборудование и материалы по титулу: Строительство ТП-100/10/0,38 кВ, ВЛЗ-10 кВ от ВЛЗ-10 кВ ф.1 РП-34 ПС-704 "Макарово", ВЛИ-0,38 кВ, в т.ч. ПИР, МО, Можайский р-н, Долгинино д.</t>
  </si>
  <si>
    <t>I-143304</t>
  </si>
  <si>
    <t>Строительство ТП-63/10/0,38 кВ, ВЛЗ-10 кВ от ВЛЗ-10 кВ ПС-76 "Цезарево", ВЛИ-0,38 кВ, в т.ч. ПИР, Московская обл, Можайский р-н, д.Гальчино</t>
  </si>
  <si>
    <t>I-143318</t>
  </si>
  <si>
    <t>Строительство ТП-160/10/0,38 кВ, ВЛЗ-10 кВ от оп.13 ВЛЗ-10 кВ ПС-724 "Збышки", ВЛИ-0,38 кВ, в т.ч. ПИР, МО, Можайский р-н, Горетово д.</t>
  </si>
  <si>
    <t>I-143321</t>
  </si>
  <si>
    <t>Строительство ТП-100/10/0,38 кВ, ВЛЗ-10 кВ от оп.404 ВЛЗ-10 кВ ф.5 РП-32 ПС-249 "Шевардино", ВЛИ-0,38 кВ, в т.ч. ПИР, МО, Можайский р-н, Поздняково д. уч.25</t>
  </si>
  <si>
    <t>I-143340</t>
  </si>
  <si>
    <t>Строительство ТП-100/10/0,38 кВ, ВЛЗ-10 кВ от ВЛЗ-10 кВ ф.1 РП-34 ПС-704 "Макарово", ВЛИ-0,38 кВ, в т.ч. ПИР, МО, Можайский р-н, Долгинино д.</t>
  </si>
  <si>
    <t>081-0003720</t>
  </si>
  <si>
    <t>Выполнение ПИР по Строительство РКЛ-10 кВ от ПС №837 "Куркино", яч.103,405, ПС №444 "Бутаково", яч. 21,37 до нов. РТП 1,2, сооруж. по д/ру "Механики Руссия", в т.ч. ПИР, МО, Химки г, Панфилова ул по пр.826 от 16.08.2013</t>
  </si>
  <si>
    <t>Выполнение  ПИР</t>
  </si>
  <si>
    <t>I-110501</t>
  </si>
  <si>
    <t>Строительство РКЛ-10 кВ от ПС №837 "Куркино", яч.103,405, ПС №444 "Бутаково", яч. 21,37 до нов. РТП 1,2, сооруж. по д/ру "Механики Руссия", в т.ч. ПИР, МО, Химки г, Панфилова ул</t>
  </si>
  <si>
    <t>084-0002942</t>
  </si>
  <si>
    <t>45.21.1
 45.31 
  74.20.35</t>
  </si>
  <si>
    <t>4560531
4530857
4560521</t>
  </si>
  <si>
    <t>Выполнение СМР+ПНР+Оборудование по Реконструкция ПС № 34 "Васютино"</t>
  </si>
  <si>
    <t>2644 от 29.11.13</t>
  </si>
  <si>
    <t>IT - услуги КС (УАСУП)</t>
  </si>
  <si>
    <t>081-0004227</t>
  </si>
  <si>
    <t>Выполнение СМР, ПНР, Оборудование по Реконструкция трансформаторных подстанций 0,4-6-10кВ ЦРП-11</t>
  </si>
  <si>
    <t>СМР, ПНР, Оборудование</t>
  </si>
  <si>
    <t>I-131266</t>
  </si>
  <si>
    <t>Реконструкция трансформаторных подстанций 0,4-6-10кВ ЦРП-11</t>
  </si>
  <si>
    <t>081-0004226</t>
  </si>
  <si>
    <t>Выполнение СМР, ПНР, Оборудование по Строительство ячеек КСО-298, 2-х КЛ-10 кВ к ф.444407 и ф. 444220 ПС №444 "Бутаково", в т.ч. ПИР, МО, г. Химки, ул. Ленинградская, вл.24</t>
  </si>
  <si>
    <r>
      <t xml:space="preserve">Закупка у единственного источника : оказания услуг водоснабжения, водоотведения, канализации, теплоснабжения,  ... по регулируемым в соответствии с законодательством РФ ценам (тарифам) (п.11.8.1.с </t>
    </r>
    <r>
      <rPr>
        <i/>
        <sz val="14"/>
        <rFont val="Times New Roman"/>
        <family val="1"/>
        <charset val="204"/>
      </rPr>
      <t>«Положения о порядке проведения регламентированных закупок товаров, работ,  услуг для нужд ОАО «МОЭСК»)</t>
    </r>
  </si>
  <si>
    <t>062-0006696</t>
  </si>
  <si>
    <t>Ремонт силовых трансформаторов 6-220кВ и электротехнического оборудования подстанций</t>
  </si>
  <si>
    <t xml:space="preserve">Районы Москвы, Московской области </t>
  </si>
  <si>
    <t>справочно к лоту 062-0006696</t>
  </si>
  <si>
    <t>064-0001390</t>
  </si>
  <si>
    <t>Ремонт электротехнического оборудования с заменой отдельных элементов на ПС ЦЭС</t>
  </si>
  <si>
    <t>Выполнение СМР, ПНР, материалы по титулу: Строительство "КЛ 220 кВ Сити-2 - Белорусская № 1, № 2"</t>
  </si>
  <si>
    <t>СМР, ПНР, материалы</t>
  </si>
  <si>
    <t>085-0004708</t>
  </si>
  <si>
    <t>Выполнение СМР, ПНР, материалы по титулу: Строительство 4КЛ - 0,4 кВ от ТП 17891 до границ участка заявителя, в т.ч. ПИР: Москва, Нарвская ул, дом 21</t>
  </si>
  <si>
    <t>085-0004710</t>
  </si>
  <si>
    <t>Выполнение СМР, ПНР, материалы по титулу: Строительство 2 КЛ до 1 кВ от ТП 20513 до нов. ВРЩ-0,4 кВ, в т.ч. ПИР: Москва, ул. Салтыковская, дом 15Г</t>
  </si>
  <si>
    <t>085-0004711</t>
  </si>
  <si>
    <t>Выполнение СМР, ПНР, материалы по титулу: Строительство КЛ-0,4 кВ от ТП-19494 А, Б до ВРЩ-0,4 кВ заявителя, в т.ч.ПИР: г.Москва, Кадашевская наб., д.6/1/2, с.1</t>
  </si>
  <si>
    <t>085-0004712</t>
  </si>
  <si>
    <t>Выполнение СМР, ПНР, материалы по титулу: Строительство 2КЛ до 1 кВ от ТП 6276 (луч А или Б) до границ участка заявителя, в т.ч. ПИР: Москва, станция "Лосиноостровская"</t>
  </si>
  <si>
    <t>085-0004713</t>
  </si>
  <si>
    <t>Выполнение СМР, ПНР, материалы по титулу: Строительство КЛ-0,4 кВ от ТП-11651 до ВРЩ-0,4 кВ заявителя, в т.ч.ПИР: г.Москва, ул.Саляма Адиля, д.2/44, с.1</t>
  </si>
  <si>
    <t>085-0004714</t>
  </si>
  <si>
    <t>Выполнение СМР, ПНР, материалы по титулу: Строительство КЛ-0,4 кВ от ТП-15612 (луч А) до ВРУ-0,4 кВ заявителя, в т.ч.ПИР: г.Москва, ул.Дубнинская, д.75Б, с.2, 1, 4</t>
  </si>
  <si>
    <t>085-0004715</t>
  </si>
  <si>
    <t>Выполнение СМР, ПНР, материалы по титулу: Строительство КЛ-0,4 кВ от ТП-13792 до ВРУ-0,4 кВ №1, от ТП-13792 до ВРУ-0,4 кВ № 2, в т.ч.ПИР: г.Москва, ул.Магнитогорская, вл.13, к.1</t>
  </si>
  <si>
    <t>085-0004716</t>
  </si>
  <si>
    <t>Выполнение СМР, ПНР, материалы по титулу: Строительство КЛ-0,4кВ от ТП-15372 до границ участка заявителя, в т.ч.ПИР: г.Москва, ул.Боровая, д.16</t>
  </si>
  <si>
    <t>085-0004717</t>
  </si>
  <si>
    <t>Выполнение СМР, ПНР, материалы по титулу: Строительство КЛ-0,4 кВ от ТП-3836 до границ участка заявителя, в т.ч. ПИР: г.Москва, ул.Лётная, д.99, с.1, 3</t>
  </si>
  <si>
    <t>085-0004718</t>
  </si>
  <si>
    <t>Выполнение СМР, ПНР, материалы по титулу: Строительство КЛ-0,4 кВ от ТП-15720 (луч А) до границ участка заявителя, в т.ч.ПИР: г.Москва, ул.Шипиловская, вл.32</t>
  </si>
  <si>
    <t>085-0004719</t>
  </si>
  <si>
    <t>Выполнение СМР, ПНР, материалы по титулу: Строительство КЛ-0,4 кВ от ТП-11757 до ВРЩ-0,4 кВ № 38162, 38163 заявителя, в т.ч.ПИР: г.Москва, Чонгарский б-р, д.1, к.4</t>
  </si>
  <si>
    <t>085-0004720</t>
  </si>
  <si>
    <t>Выполнение СМР, ПНР, материалы, оборудование по титулу: Строительство ВЛИ-0,4 кВ от ТП-27873 до новой опоры около д.4, с.1 б/н с уст. 9-ти новых опор, от новой опоры около д.4, с.1 б/н до границ участка заявителя, в т.ч.ПИР: г.Москва, 3-й Дачно-Мещерский пр-д, д.4, с.1 б/н</t>
  </si>
  <si>
    <t>085-0004721</t>
  </si>
  <si>
    <t>Выполнение СМР, ПНР, материалы по титулу: Строительство КЛ-0,4 кВ от ТП-22224 до границ участка заявителя, в т.ч.ПИР: г.Москва, ул.Борисовские Пруды, д.10</t>
  </si>
  <si>
    <t>085-0004722</t>
  </si>
  <si>
    <t>Выполнение СМР, ПНР, материалы по титулу: Строительство КЛ-0,4 кВ от ТП-22012 (луч А или Б) до ВРЩ-0,4 кВ заявителя, в т.ч.ПИР: г.Москва, ул.Арбат, д.11</t>
  </si>
  <si>
    <t>085-0004723</t>
  </si>
  <si>
    <t>Выполнение СМР, ПНР, материалы по титулу: Строительство КЛ-0,4 кВ от РТП-17016 до границ участка заявителя, в т.ч.ПИР: г.Москва, ул.6-я Радиальная, д.22, к.1</t>
  </si>
  <si>
    <t>085-0004724</t>
  </si>
  <si>
    <t>Выполнение СМР, ПНР, материалы по титулу: Строительство КЛ-0,4 кВ от ТП-26572 луч А или Б до ВРЩ-0,4 кВт заявителя, в т.ч.ПИР: г.Москва, ул.Мясницкая, д.18, с.1</t>
  </si>
  <si>
    <t>085-0004725</t>
  </si>
  <si>
    <t>Выполнение СМР, ПНР, материалы по титулу: Строительство КЛ-0,4 кВ от ТП-13002 (луч А или Б) до ВРЩ-0,4 кВ заявителя, в т.ч.ПИР: г.Москва, ул.Новокузнецкая, д.9, с.2</t>
  </si>
  <si>
    <t>085-0004726</t>
  </si>
  <si>
    <t>Выполнение СМР, ПНР, материалы по титулу: Строительство КЛ-0,4 кВ от ТП-18586 А или Б до ВРЩ-0,4 кВ заявителя, в т.ч.ПИР: г.Москва, Беговая ал., д.7Б</t>
  </si>
  <si>
    <t>085-0004727</t>
  </si>
  <si>
    <t>Выполнение СМР, ПНР, материалы по титулу: Строительство КЛ-0,4 кВ от ТП-23472 А, Б до ВРЩ-0,4 кВ заявителя, в т.ч.ПИР: г.Москва, Лубянский пр-д, д.27/1, с.1</t>
  </si>
  <si>
    <t>085-0004729</t>
  </si>
  <si>
    <t>Выполнение СМР, ПНР, материалы, оборудование по титулу: Строительство РП объекта, ТП-1 с тр-ми 2х1250 кВА, ТП-2 с тр-ми 2х1000 кВА,  ПКЛ-10 кВ, РКЛ-10 кВ, в т.ч. ПИР: г.Москва, Новая площадь, д.3/4</t>
  </si>
  <si>
    <t>Прибыль от тех.присоединения</t>
  </si>
  <si>
    <t>085-0004730</t>
  </si>
  <si>
    <t>Выполнение СМР, ПНР, материалы, оборудование по титулу: Строительство РТП объекта по проекту «БРТП-4х1600» с тр-ми 4х1600 кВА, ПКЛ-10 кВ от ПС-48 из яч.48 до РТП объекта, от ПС-48 из яч.14 до РТП объекта, КЛ-10 кВ, РКЛ-10 кВ, в т.ч. ПИР: г.Москва, ул.3-я Парковая, вл.42А, вл.51, с.4</t>
  </si>
  <si>
    <t>085-0004732</t>
  </si>
  <si>
    <t>Выполнение СМР, ПНР, материалы, оборудование по титулу: Строительство ПКЛ-10 кВ от РУ-10 кВ ПС-604 до РТП МПЗ-1, РКЛ-10 кВ от РТП МПЗ-1 до РП-16010, от РТП МПЗ-1 до КЛ напр. РП-16010 – ТП-21449, РУ-10 кВ в РТП МПЗ-1, в т.ч. ПИР: г.Москва, ул.Вагоноремонтная, вл.25</t>
  </si>
  <si>
    <t>085-0004733</t>
  </si>
  <si>
    <t>Выполнение СМР, ПНР, материалы, оборудование по титулу: Строительство ТП объекта с тр-ми  2х1250  кВА, ПКЛ-10 кВ от ПС-53 яч.804 до РТП-21117, от ПС-53 яч.706 в ПКЛ напр. п/с 111 яч.15– РТП-20075, РКЛ10 кВ от РТП-21117–РТП-19161 с заходом в ТП объекта, в т.ч. ПИР: г.Москва, ул.Свободы, к.1,вл.57</t>
  </si>
  <si>
    <t>085-0004735</t>
  </si>
  <si>
    <t>Выполнение СМР, ПНР, материалы, оборудование по титулу: Строительство РТП объектов по проекту «БКТП-2х1250» с тр-ми 2х1250 кВА, установкой 20-ти ячеек, ТП-1, ТП-2 по проекту «2БКТП-1000(1250)»  с тр-ми 2х1250 кВА, ПКЛ-10 кВ, РКЛ-10 кВ, в т.ч. ПИР: г.Москва, ул.Пехотная, д.3, с.6, с.5, с.3, с.4</t>
  </si>
  <si>
    <t>085-0004737</t>
  </si>
  <si>
    <t>Выполнение СМР, ПНР, материалы, оборудование по титулу: Строит-во нов.РТП с уст.тр.2х1600кВА,5хТП с уст.тр.2х1600кВА,ПКЛ-10кВ от ПС Автозаводская и от ПС Нагорная до нов.РТП,2хРКЛ-10кВ от нов.РТП до РП-18187,2хРКЛ-10кВ от нов.РТП с зах. в 5хТП, в т.ч.ПИР,по адресу: г.Москва,Каширское ш.,вл.12</t>
  </si>
  <si>
    <t>085-0004738</t>
  </si>
  <si>
    <t>Выполнение СМР, ПНР, материалы, оборудование по титулу: Строительство РТП объекта с тр-ми 4х1250кВА, 2ПКЛ-10 от РУ-10кВ ПС 220кВ Сабурово до РТП объекта, 2КЛ-10кВ напр. от РТП объекта до РТТ№17032 с заходом в РТП объекта, в т.ч. ПИР: г.Москва, Ореховый б-р, вл.28</t>
  </si>
  <si>
    <t>085-0004739</t>
  </si>
  <si>
    <t>Выполнение СМР, ПНР, материалы, оборудование по титулу: Стр-во РТП об-та с тр-ми 4х1000 кВА на 20 яч., РКЛ-10 кВ от РУ-10 кВ ПС-220 «Павелецкая» до РТП об-та, РКЛ-10 кВ от РТП об-та до РТП-26125, КЛ-0,4 кВ от БРТП об-та до ВРЩ-0,4 кВ заявителя, в т.ч. ПИР: г.Москва, ул.Садовническая, вл.57, с.1</t>
  </si>
  <si>
    <t>085-0004740</t>
  </si>
  <si>
    <t>Выполнение СМР, ПНР, материалы, оборудование по титулу: Строительство ТП-1, ТП-2 объекта с тр-ми 2х1600 кВА, ПКЛ-10 кВ от ПС «Рижская» до РТП-17059, 6РКЛ-10 кВ, 30КЛ-0,4 кВ от ТП-1, ТП-2 до ГРЩ-0,4 кВ Заявителя, в т.ч. ПИР: г.Москва, ул. Достоевского, д.4, к.1,2,4, с.4,7,12</t>
  </si>
  <si>
    <t>085-0004741</t>
  </si>
  <si>
    <t>Выполнение СМР, ПНР, материалы, оборудование по титулу: Строительство БРТП объектов с тр-ми 4х1250 кВА с уст. 20-ти ячеек, ПКЛ-10 кВ от РУ-10 кВ ПС «Белорусская» до БРТП объекта, РКЛ-10 кВ, в т.ч. ПИР: г.Москва, 2-й Боткинский пр-д, д.5, к.1, к.1/11</t>
  </si>
  <si>
    <t>085-0004742</t>
  </si>
  <si>
    <t>Выполнение СМР, ПНР, материалы, оборудование по титулу: Строительство РТП-4А по пр."БРТП-2х1250" с тр-ми 2х1250 кВА, ПКЛ-10 кВ от РУ-10 кВ ПС 18 Бабушкин до РТП-4А, КЛ-10 кВ от РТП-4А до ТП-21335, в т.ч.ПИР: г.Москва, Южное Медведково, мкр.1-2-3, к.17, 16</t>
  </si>
  <si>
    <t>085-0004743</t>
  </si>
  <si>
    <t>Выполнение СМР, ПНР, материалы, оборудование по титулу: Строительство РП-10 кВ, 2хРКЛ 10 кВ от яч.44,45 РУ-10 кВ ПС №751 "Гавриково", КЛ-10 кВ между 2хРП-10 кВ, 2хБКТП-2х1250-10/0,4 кВ, РКЛ-10 кВ от РП-10 кВ до 2хБКТП, в т.ч. ПИР, г.Москва, с.п. Сосенское, д.Столбово</t>
  </si>
  <si>
    <t>085-0004746</t>
  </si>
  <si>
    <t>Выполнение СМР, ПНР, материалы, оборудование по титулу: Строительство БКРП объекта с РУ-10 кВ, РТП с тр-ми 3х1600 кВА, ТП объекта с тр-ми 2х1600 кВА, ПКЛ-10 кВ, КЛ-0,4 кВ, в т.ч. ПИР</t>
  </si>
  <si>
    <t>085-0004750</t>
  </si>
  <si>
    <t>Выполнение СМР, ПНР, материалы, оборудование по титулу: Строительство ТП-1,2,3,4,5 с тр-ми 2х1000 кВА, 12РКЛ-20 кВ напр. СП-71004 - ТП-1, ТП-1–ТП-2, ТП-2–ТП-3, ТП-3–ТП-4, ТП-4–ТП-5, ТП-5–СП-2 ЦСКА, КЛ-0,4 кВ от ТП-1,2,3,4,5 до ВРЩ-0,4 кВ Заявителя, в т.ч. ПИР: г. Москва, Хорошевское ш., вл.38А</t>
  </si>
  <si>
    <t>085-0004751</t>
  </si>
  <si>
    <t>Выполнение СМР, ПНР, материалы, оборудование по титулу: Строительство ТП-6,7,8,9,10,11 с тр-ми 2х1000 кВА, РКЛ-20 кВ, КЛ-0,4 кВ от ТП-6,7,8,9,10,11 до ВРЩ-0,4 кВ Заявителя, в т.ч. ПИР: г.Москва, Хорошевское ш., вл.38А (Западный участок)</t>
  </si>
  <si>
    <t>085-0004752</t>
  </si>
  <si>
    <t>Выполнение СМР, ПНР, материалы, оборудование по титулу: Строительство ТП-1,2,3,4 с тр-ми 2х1000 кВА, РКЛ-20 кВ напр. СП-71001- ТП-1,  ТП-1-ТП-2, ТП-2-ТП-3, ТП-3-ТП-4, ТП-4-СП-71002, 30 КЛ-0,4 кВ от ТП-1,2,3,4 до ВРЩ-0,4 кВ Заявителя, в т.ч. ПИР: г.Москва, Хорошевское ш., вл.38</t>
  </si>
  <si>
    <t>085-0004754</t>
  </si>
  <si>
    <t>Выполнение СМР, ПНР, материалы по титулу: Строительство 2КЛ до 1 кВ от ТП 27276 до границ участка заявителя в т.ч. ПИР: г.Москва, ул.Лобачевского, влад.100</t>
  </si>
  <si>
    <t>085-0004755</t>
  </si>
  <si>
    <t>Выполнение СМР, ПНР, материалы по титулу: Строительство КЛ-0,4 кВ от ТП-4367 (луч а) до границ участка заявителя, в т.ч.ПИР: г.Москва, ул.Жебрунова, д.4а</t>
  </si>
  <si>
    <t>085-0004756</t>
  </si>
  <si>
    <t>Выполнение СМР, ПНР, материалы по титулу: Строительство КЛ-0,4 кВ от ТП-24891 до ВРЩ-0,4 кВ заявителя, в т.ч.ПИР: г.Москва, ул.Скотопрогонная, д.29/1</t>
  </si>
  <si>
    <t>085-0004757</t>
  </si>
  <si>
    <t>Выполнение СМР, ПНР, материалы по титулу: Строительство КЛ-0,4кВ от ТП-4709 А,Б до ВРЩ-0,4 кВ №36637 заявителя, в т.ч.ПИР: г.Москва, 3-й Новоподмосковный пер., д.8А</t>
  </si>
  <si>
    <t>085-0004758</t>
  </si>
  <si>
    <t>Выполнение СМР, ПНР, материалы по титулу: Строительство КЛ-0,4 кВ от ТП-16410 до границ участка заявителя, в т.ч.ПИР: г.Москва, Загорьевский пр-д, вл.17, к.1</t>
  </si>
  <si>
    <t>085-0004759</t>
  </si>
  <si>
    <t>Выполнение СМР, ПНР, материалы по титулу: Строительство КЛ-0,4 кВ от ТП-18288 до ВРЩ-0,4 кВ заявителя, в т.ч.ПИР: г.Москва, Марьинский б-р, д.8, с.2</t>
  </si>
  <si>
    <t>085-0004760</t>
  </si>
  <si>
    <t>Выполнение СМР, ПНР, материалы по титулу: Строительство КЛ-0,4 кВ от ТП-18442 до границ участка заявителя, в т.ч.ПИР: г.Москва, ул.Осенняя, д.23</t>
  </si>
  <si>
    <t>085-0004761</t>
  </si>
  <si>
    <t>Выполнение СМР, ПНР, материалы по титулу: Строительство КЛ-0,4 кВ от ТП-20540 (А) до ВРЩ-0,4 кВ заявителя, в т.ч.ПИР: г.Москва, ул.Тагильская, д.4, с.15</t>
  </si>
  <si>
    <t>085-0004762</t>
  </si>
  <si>
    <t>Выполнение СМР, ПНР, материалы по титулу: Строительство КЛ-0,4 кВ от ТП-14969 до границ участка заявителя, в т.ч.ПИР: г.Москва, ул.Михневская, д.7, к.2</t>
  </si>
  <si>
    <t>085-0004763</t>
  </si>
  <si>
    <t>Выполнение СМР, ПНР, материалы по титулу: Строительство 2КЛ до 1 кВ от ТП 18588 до границ участка заявителя, в т.ч. ПИР:Москва, Варшавское ш, дом 146</t>
  </si>
  <si>
    <t>085-0004764</t>
  </si>
  <si>
    <t>Выполнение СМР, ПНР, материалы по титулу: Строительство КЛ-0,4кВ от ТП-21582 (луч Б) до границ участка заявителя, в т.ч.ПИР: г.Москва, Головинское ш., д.8, к.1</t>
  </si>
  <si>
    <t>085-0004765</t>
  </si>
  <si>
    <t>Выполнение СМР, ПНР, материалы по титулу: Строительство 2КЛ до 1 кВ от ТП 1712 до границ участка заявителя, в т.ч. ПИР: Москва, Лучевой 5-й просек, 12, стр.1</t>
  </si>
  <si>
    <t>085-0004766</t>
  </si>
  <si>
    <t>Выполнение СМР, ПНР, материалы по титулу: Строительство КЛ-0,4 кВ от ТП-1546 до ВРЩ-0,4 кВ заявителя, в т.ч.ПИР: г.Москва, ул.Докукина, д.18, с.1</t>
  </si>
  <si>
    <t>085-0004767</t>
  </si>
  <si>
    <t>Выполнение СМР, ПНР, материалы по титулу: Строительство 2КЛ до 1 кВ от ТП 25173 до ВРЩ 0,4 кВ заявителя, в т.ч. ПИР: Москва, ул. Ибрагимова, дом 5</t>
  </si>
  <si>
    <t>085-0004768</t>
  </si>
  <si>
    <t>Выполнение СМР, ПНР, материалы по титулу: Прокладвка 2КЛ до 1 кВ от ТП 20354 А,Б до ВРЩ 0,4 кВ, в т.ч. ПИР: Москва, ул. Сущевский Вал, дом 16, стр.1</t>
  </si>
  <si>
    <t>085-0004769</t>
  </si>
  <si>
    <t>Выполнение СМР, ПНР, материалы по титулу: Строительство КЛ-0,4 кВ от ТП-11254 до ВРЩ-0,4 кВ заявителя, в т.ч.ПИР: г.Москва, ул.16-я Парковая, вл.21, к.1</t>
  </si>
  <si>
    <t>085-0004770</t>
  </si>
  <si>
    <t>Выполнение СМР, ПНР, материалы по титулу: Строительство 2КЛ-0,4 кВ от ТП-24850  до ВРЩ-0,4 кВ заявителя, в т.ч.ПИР: г.Москва, ул.Нагатинская, д.15, к.1</t>
  </si>
  <si>
    <t>085-0004771</t>
  </si>
  <si>
    <t>Выполнение СМР, ПНР, материалы по титулу: Строительство КЛ-0,4 кВ от ТП-10421 до границ участка заявителя, в т.ч.ПИР: г.Москва, Съезжинский пер., д.6</t>
  </si>
  <si>
    <t>085-0004772</t>
  </si>
  <si>
    <t>Выполнение СМР, ПНР, материалы по титулу: Строительство КЛ-0,4 кВ от ТП-25342 (А) до ВРЩ-0,4 кВ № 12903, в т.ч.ПИР: г.Москва, ул.Верхняя Радищевская, д.20-22, с.2</t>
  </si>
  <si>
    <t>085-0004774</t>
  </si>
  <si>
    <t>Выполнение СМР, ПНР, материалы по титулу: Строительство КЛ-0,4кВ от ТП-23496 до границ участка заявителя, в т.ч.ПИР: г.Москва, ул.Народная, д.8</t>
  </si>
  <si>
    <t>085-0004773</t>
  </si>
  <si>
    <t>Выполнение СМР, ПНР, материалы по титулу: Строительство РКЛ-10 кВ от ТП-1855 Б до КЛ напр. ТП-12795 Б - ТП-11865 Б, КЛ-0,4 кВ от ТП-15338 до ВРЩ-0,4 кВ заявителя, в т.ч.ПИР: г.Москва, ул.Народного Ополчения, д.34</t>
  </si>
  <si>
    <t>085-0004775</t>
  </si>
  <si>
    <t>Выполнение ПИР, СМР, ПНР, материалы, оборудование по титулу: Строительство автобазы на ул. Вавилова (Установка АТС, узел связи, конференц-связь, видеонаблюдение)</t>
  </si>
  <si>
    <t>ПИР, СМР, ПНР, оборудование, материалы</t>
  </si>
  <si>
    <t>Выполнение  СМР, ПНР,  оборудование, материалы Новое включение устройств ОМП на ПС ВЭС: ПС № 306 "Дроздово", ПС № 601 "Дружба", ПС № 26 "Монино", ПС № 819 "Мишеронь", ПС 678 "Ларино", ПС № 822 "Гуслица", ПС № 270 "Дулево", ПС № 415 "Ликино", ПС № 258 " Демихово", ПС № 177 "Орехово", ПС № 102 "Шиферная", ПС № 298 "Третьяково".</t>
  </si>
  <si>
    <t>Выполнение  СМР, ПНР,  оборудование, материалы Модернизация резервных защит ВЛ-110 кВ на ПС ВЭС:ПС 415 "Ликино", ПС № 26 "Монино", ПС № 356 "Павлово", ПС № 678 "Ларино", ПС № 154 "Суворово", ПС № 51 "Егорьевск"</t>
  </si>
  <si>
    <t>Выполнение  СМР, ПНР,  оборудование, материалы Модернизация автоматики частотной разгрузки на ПС ВЭС:ПС № 75 "Коломна" ПС № 131 "Акрихин", ПС № 696 "Прогресс", ПС № 532 "Буньково", ПС № 641 "Гранит", ПС № 78 "Дивная",  ПС 681 "Алмазово", ПС № 742 "Орбита", ПС № 827 "Городок"</t>
  </si>
  <si>
    <t>Выполнение  СМР, ПНР,  оборудование, материалы Строительство ВОЛС на участке ПС "Пески" -  ПС "Чанки" -ПС "Коломна"- ПС "Голутвин" с установкой мультиплексоров</t>
  </si>
  <si>
    <t>Выполнение  СМР, ПНР,  оборудование, материалы Установка узлов технологической сети передачи данных на ПС ВЭС (15 ПС)</t>
  </si>
  <si>
    <t>Выполнение  СМР, ПНР,  оборудование, материалы Модернизация максимальных токовых защит фидеров на ПС ВЭС:ПС № 767 "Зуево", ПС № 242 "Булгаково", ПС № 153 "Рубин", ПС №827 "Городок", ПС № 79 "Ловцы", ПС № 611 "Городна", ПС № 678 "Ларино", ПС 703 "Туменская".</t>
  </si>
  <si>
    <t>Выполнение  СМР, ПНР,  оборудование, материалы Модернизация защит ДФЗ ВЛ-110 кВ на ПС ВЭС:ПС № 415 "Ликино", ПС № 270 "Дулево", ПС № 206 "Фрязино", ПС № 212 "Восточная", ПС № 155 "Радовицы", ПС № 79 "Ловцы", ПС № 51 "Егорьевск", ПС № 153 "Рубин", ПС № 73 "Озеры", ПС № 154 "Суворово", ПС № 703 "Туменская", ПС № 736 "Бакунино", ПС № 608 "Карьер".</t>
  </si>
  <si>
    <t>Выполнение  СМР, ПНР,  оборудование, материалы Модернизация автоматики АРНТ на ПС ВЭС:ПС № 206 "Фрязино", ПС № 270 "Дулево", ПС № 258 "Демихово", ПС № 650 "Фряново", ПС № 767 "Зуево", ПС № 89 "Авсюнино", ПС № 155 "Радовицы", ПС № 822 Гуслица", ПС № 62 "Зарайск", ПС № 456 "Маслово", ПС № 768 "Гавриловская", ПС № 611 "Городна".</t>
  </si>
  <si>
    <t xml:space="preserve"> СМР, ПНР, оборудование, материалы</t>
  </si>
  <si>
    <t>083-0004967</t>
  </si>
  <si>
    <t>Выполнение СМР,ПНР, оборудование и материалы по титулу: Строительство РП-10 кВ, 2КЛ-10 кВ, установка ячеек в РУ-10 кВ ПС-180 "Новокунцево", в т.ч. ПИР, МО, Одинцовский р-н, Новоивановский с/о, в районе п. Заречье</t>
  </si>
  <si>
    <t>083-0004968</t>
  </si>
  <si>
    <t>Выполнение СМР,ПНР, оборудование и материалы по титулу: Строительство РП-10 кВ, 2 КЛ-10 кВ от яч. №103 и №203 ПС №836 "Слобода", 2 КРН-10 кВ, КЛ-10 кВ,  в т.ч. ПИР, МО, относительно ориентира южнее д. Красный поселок. Адрес ориентира: Истринский район, с/пос. Обушковское</t>
  </si>
  <si>
    <t>083-0004969</t>
  </si>
  <si>
    <t>Выполнение СМР,ПНР, оборудование и материалы по титулу: Строительство РП-10 кВ «РОНД», 2ПКЛ-10 кВ, установка яч. в РУ-110 кВ  ПС №64 "Барвиха", в т.ч. ПИР, МО, Одинцовский р-н, Немчиновская п/а, в районе с. Ромашково</t>
  </si>
  <si>
    <t>Выполнение СМР, ПНР, оборудование и  материалы  по титулу: Строительство РП-19, Можайский РЭС (7 ячеек с ВВ, 1 ячейка секционная с ВВ, 2 ячейки с ТН).</t>
  </si>
  <si>
    <t>062-0004659</t>
  </si>
  <si>
    <t>Выполнение СМР, ПНР, оборудование по титулу ПС "Белорусская" 220/20/10 кВ</t>
  </si>
  <si>
    <t xml:space="preserve">Выполнение ПИР, авторский надзор </t>
  </si>
  <si>
    <t>I-133105</t>
  </si>
  <si>
    <t>Строительство 4КЛ - 0,4 кВ от ТП 17891 до границ участка заявителя, в т.ч. ПИР: Москва, Нарвская ул, дом 21</t>
  </si>
  <si>
    <t>I-132730</t>
  </si>
  <si>
    <t>Строительство 2 КЛ до 1 кВ от ТП 20513 до нов. ВРЩ-0,4 кВ, в т.ч. ПИР: Москва, ул. Салтыковская, дом 15Г</t>
  </si>
  <si>
    <t>I-135783</t>
  </si>
  <si>
    <t>Строительство КЛ-0,4 кВ от ТП-19494 А, Б до ВРЩ-0,4 кВ заявителя, в т.ч.ПИР: г.Москва, Кадашевская наб., д.6/1/2, с.1</t>
  </si>
  <si>
    <t>I-134678</t>
  </si>
  <si>
    <t>Строительство 2КЛ до 1 кВ от ТП 6276 (луч А или Б) до границ участка заявителя, в т.ч. ПИР: Москва, станция "Лосиноостровская"</t>
  </si>
  <si>
    <t>I-136429</t>
  </si>
  <si>
    <t>Строительство КЛ-0,4 кВ от ТП-11651 до ВРЩ-0,4 кВ заявителя, в т.ч.ПИР: г.Москва, ул.Саляма Адиля, д.2/44, с.1</t>
  </si>
  <si>
    <t>I-136441</t>
  </si>
  <si>
    <t>Строительство КЛ-0,4 кВ от ТП-15612 (луч А) до ВРУ-0,4 кВ заявителя, в т.ч.ПИР: г.Москва, ул.Дубнинская, д.75Б, с.2, 1, 4</t>
  </si>
  <si>
    <t>I-136777</t>
  </si>
  <si>
    <t>Строительство КЛ-0,4 кВ от ТП-13792 до ВРУ-0,4 кВ №1, от ТП-13792 до ВРУ-0,4 кВ № 2, в т.ч.ПИР: г.Москва, ул.Магнитогорская, вл.13, к.1</t>
  </si>
  <si>
    <t>I-136437</t>
  </si>
  <si>
    <t>Строительство КЛ-0,4кВ от ТП-15372 до границ участка заявителя, в т.ч.ПИР: г.Москва, ул.Боровая, д.16</t>
  </si>
  <si>
    <t>I-138631</t>
  </si>
  <si>
    <t>Строительство КЛ-0,4 кВ от ТП-3836 до границ участка заявителя, в т.ч. ПИР: г.Москва, ул.Лётная, д.99, с.1, 3</t>
  </si>
  <si>
    <t>I-138650</t>
  </si>
  <si>
    <t>Строительство КЛ-0,4 кВ от ТП-15720 (луч А) до границ участка заявителя, в т.ч.ПИР: г.Москва, ул.Шипиловская, вл.32</t>
  </si>
  <si>
    <t>I-138655</t>
  </si>
  <si>
    <t>Строительство КЛ-0,4 кВ от ТП-11757 до ВРЩ-0,4 кВ № 38162, 38163 заявителя, в т.ч.ПИР: г.Москва, Чонгарский б-р, д.1, к.4</t>
  </si>
  <si>
    <t>I-138669</t>
  </si>
  <si>
    <t>Строительство ВЛИ-0,4 кВ от ТП-27873 до новой опоры около д.4, с.1 б/н с уст. 9-ти новых опор, от новой опоры около д.4, с.1 б/н до границ участка заявителя, в т.ч.ПИР: г.Москва, 3-й Дачно-Мещерский пр-д, д.4, с.1 б/н</t>
  </si>
  <si>
    <t>I-138671</t>
  </si>
  <si>
    <t>Строительство КЛ-0,4 кВ от ТП-22224 до границ участка заявителя, в т.ч.ПИР: г.Москва, ул.Борисовские Пруды, д.10</t>
  </si>
  <si>
    <t>I-136436</t>
  </si>
  <si>
    <t>Строительство КЛ-0,4 кВ от ТП-22012 (луч А или Б) до ВРЩ-0,4 кВ заявителя, в т.ч.ПИР: г.Москва, ул.Арбат, д.11</t>
  </si>
  <si>
    <t>I-137147</t>
  </si>
  <si>
    <t>Строительство КЛ-0,4 кВ от РТП-17016 до границ участка заявителя, в т.ч.ПИР: г.Москва, ул.6-я Радиальная, д.22, к.1</t>
  </si>
  <si>
    <t>I-134072</t>
  </si>
  <si>
    <t>Строительство КЛ-0,4 кВ от ТП-26572 луч А или Б до ВРЩ-0,4 кВт заявителя, в т.ч.ПИР: г.Москва, ул.Мясницкая, д.18, с.1</t>
  </si>
  <si>
    <t>I-136768</t>
  </si>
  <si>
    <t>Строительство КЛ-0,4 кВ от ТП-13002 (луч А или Б) до ВРЩ-0,4 кВ заявителя, в т.ч.ПИР: г.Москва, ул.Новокузнецкая, д.9, с.2</t>
  </si>
  <si>
    <t>I-138112</t>
  </si>
  <si>
    <t>Строительство КЛ-0,4 кВ от ТП-18586 А или Б до ВРЩ-0,4 кВ заявителя, в т.ч.ПИР: г.Москва, Беговая ал., д.7Б</t>
  </si>
  <si>
    <t>I-139062</t>
  </si>
  <si>
    <t>Строительство КЛ-0,4 кВ от ТП-23472 А, Б до ВРЩ-0,4 кВ заявителя, в т.ч.ПИР: г.Москва, Лубянский пр-д, д.27/1, с.1</t>
  </si>
  <si>
    <t>I-115643</t>
  </si>
  <si>
    <t>Строительство РП объекта, ТП-1 с тр-ми 2х1250 кВА, ТП-2 с тр-ми 2х1000 кВА,  ПКЛ-10 кВ, РКЛ-10 кВ, в т.ч. ПИР: г.Москва, Новая площадь, д.3/4</t>
  </si>
  <si>
    <t>I-117744, 
I-117745</t>
  </si>
  <si>
    <t>Строительство РТП объекта по проекту «БРТП-4х1600» с тр-ми 4х1600 кВА, ПКЛ-10 кВ от ПС-48 из яч.48 до РТП объекта, от ПС-48 из яч.14 до РТП объекта, КЛ-10 кВ, РКЛ-10 кВ, в т.ч. ПИР: г.Москва, ул.3-я Парковая, вл.42А, вл.51, с.4</t>
  </si>
  <si>
    <t>I-129434</t>
  </si>
  <si>
    <t>Строительство ПКЛ-10 кВ от РУ-10 кВ ПС-604 до РТП МПЗ-1, РКЛ-10 кВ от РТП МПЗ-1 до РП-16010, от РТП МПЗ-1 до КЛ напр. РП-16010 – ТП-21449, РУ-10 кВ в РТП МПЗ-1, в т.ч. ПИР: г.Москва, ул.Вагоноремонтная, вл.25</t>
  </si>
  <si>
    <t>I-128060</t>
  </si>
  <si>
    <t>Строительство ТП объекта с тр-ми  2х1250  кВА, ПКЛ-10 кВ от ПС-53 яч.804 до РТП-21117, от ПС-53 яч.706 в ПКЛ напр. п/с 111 яч.15– РТП-20075, РКЛ10 кВ от РТП-21117–РТП-19161 с заходом в ТП объекта, в т.ч. ПИР: г.Москва, ул.Свободы, к.1,вл.57</t>
  </si>
  <si>
    <t>I-128056</t>
  </si>
  <si>
    <t>Строительство РТП объектов по проекту «БКТП-2х1250» с тр-ми 2х1250 кВА, установкой 20-ти ячеек, ТП-1, ТП-2 по проекту «2БКТП-1000(1250)»  с тр-ми 2х1250 кВА, ПКЛ-10 кВ, РКЛ-10 кВ, в т.ч. ПИР: г.Москва, ул.Пехотная, д.3, с.6, с.5, с.3, с.4</t>
  </si>
  <si>
    <t>I-136617</t>
  </si>
  <si>
    <t>Строит-во нов.РТП с уст.тр.2х1600кВА,5хТП с уст.тр.2х1600кВА,ПКЛ-10кВ от ПС Автозаводская и от ПС Нагорная до нов.РТП,2хРКЛ-10кВ от нов.РТП до РП-18187,2хРКЛ-10кВ от нов.РТП с зах. в 5хТП, в т.ч.ПИР,по адресу: г.Москва,Каширское ш.,вл.12</t>
  </si>
  <si>
    <t>I-137171</t>
  </si>
  <si>
    <t>Строительство РТП объекта с тр-ми 4х1250кВА, 2ПКЛ-10 от РУ-10кВ ПС 220кВ Сабурово до РТП объекта, 2КЛ-10кВ напр. от РТП объекта до РТТ№17032 с заходом в РТП объекта, в т.ч. ПИР: г.Москва, Ореховый б-р, вл.28</t>
  </si>
  <si>
    <t>I-138107</t>
  </si>
  <si>
    <t>Стр-во РТП об-та с тр-ми 4х1000 кВА на 20 яч., РКЛ-10 кВ от РУ-10 кВ ПС-220 «Павелецкая» до РТП об-та, РКЛ-10 кВ от РТП об-та до РТП-26125, КЛ-0,4 кВ от БРТП об-та до ВРЩ-0,4 кВ заявителя, в т.ч. ПИР: г.Москва, ул.Садовническая, вл.57, с.1</t>
  </si>
  <si>
    <t>I-138138</t>
  </si>
  <si>
    <t>Строительство ТП-1, ТП-2 объекта с тр-ми 2х1600 кВА, ПКЛ-10 кВ от ПС «Рижская» до РТП-17059, 6РКЛ-10 кВ, 30КЛ-0,4 кВ от ТП-1, ТП-2 до ГРЩ-0,4 кВ Заявителя, в т.ч. ПИР: г.Москва, ул. Достоевского, д.4, к.1,2,4, с.4,7,12</t>
  </si>
  <si>
    <t>I-131325</t>
  </si>
  <si>
    <t>Строительство БРТП объектов с тр-ми 4х1250 кВА с уст. 20-ти ячеек, ПКЛ-10 кВ от РУ-10 кВ ПС «Белорусская» до БРТП объекта, РКЛ-10 кВ, в т.ч. ПИР: г.Москва, 2-й Боткинский пр-д, д.5, к.1, к.1/11</t>
  </si>
  <si>
    <t>I-134589</t>
  </si>
  <si>
    <t>Строительство РТП-4А по пр."БРТП-2х1250" с тр-ми 2х1250 кВА, ПКЛ-10 кВ от РУ-10 кВ ПС 18 Бабушкин до РТП-4А, КЛ-10 кВ от РТП-4А до ТП-21335, в т.ч.ПИР: г.Москва, Южное Медведково, мкр.1-2-3, к.17, 16</t>
  </si>
  <si>
    <t>I-137177</t>
  </si>
  <si>
    <t>Строительство РП-10 кВ, 2хРКЛ 10 кВ от яч.44,45 РУ-10 кВ ПС №751 "Гавриково", КЛ-10 кВ между 2хРП-10 кВ, 2хБКТП-2х1250-10/0,4 кВ, РКЛ-10 кВ от РП-10 кВ до 2хБКТП, в т.ч. ПИР, г.Москва, с.п. Сосенское, д.Столбово</t>
  </si>
  <si>
    <t>I-133053</t>
  </si>
  <si>
    <t>Строительство БКРП объекта с РУ-10 кВ, РТП с тр-ми 3х1600 кВА, ТП объекта с тр-ми 2х1600 кВА, ПКЛ-10 кВ, КЛ-0,4 кВ, в т.ч. ПИР</t>
  </si>
  <si>
    <t>I-141064</t>
  </si>
  <si>
    <t>Строительство ТП-1,2,3,4,5 с тр-ми 2х1000 кВА, 12РКЛ-20 кВ напр. СП-71004 - ТП-1, ТП-1–ТП-2, ТП-2–ТП-3, ТП-3–ТП-4, ТП-4–ТП-5, ТП-5–СП-2 ЦСКА, КЛ-0,4 кВ от ТП-1,2,3,4,5 до ВРЩ-0,4 кВ Заявителя, в т.ч. ПИР: г. Москва, Хорошевское ш., вл.38А</t>
  </si>
  <si>
    <t>I-141585</t>
  </si>
  <si>
    <t>Строительство ТП-6,7,8,9,10,11 с тр-ми 2х1000 кВА, РКЛ-20 кВ, КЛ-0,4 кВ от ТП-6,7,8,9,10,11 до ВРЩ-0,4 кВ Заявителя, в т.ч. ПИР: г.Москва, Хорошевское ш., вл.38А (Западный участок)</t>
  </si>
  <si>
    <t>I-141587</t>
  </si>
  <si>
    <t>Строительство ТП-1,2,3,4 с тр-ми 2х1000 кВА, РКЛ-20 кВ напр. СП-71001- ТП-1,  ТП-1-ТП-2, ТП-2-ТП-3, ТП-3-ТП-4, ТП-4-СП-71002, 30 КЛ-0,4 кВ от ТП-1,2,3,4 до ВРЩ-0,4 кВ Заявителя, в т.ч. ПИР: г.Москва, Хорошевское ш., вл.38</t>
  </si>
  <si>
    <t>I-128069</t>
  </si>
  <si>
    <t>Строительство 2КЛ до 1 кВ от ТП 27276 до границ участка заявителя в т.ч. ПИР: г.Москва, ул.Лобачевского, влад.100</t>
  </si>
  <si>
    <t>I-134854</t>
  </si>
  <si>
    <t>Строительство КЛ-0,4 кВ от ТП-4367 (луч а) до границ участка заявителя, в т.ч.ПИР: г.Москва, ул.Жебрунова, д.4а</t>
  </si>
  <si>
    <t>I-135496</t>
  </si>
  <si>
    <t>Строительство КЛ-0,4 кВ от ТП-24891 до ВРЩ-0,4 кВ заявителя, в т.ч.ПИР: г.Москва, ул.Скотопрогонная, д.29/1</t>
  </si>
  <si>
    <t>I-132248</t>
  </si>
  <si>
    <t>Строительство КЛ-0,4кВ от ТП-4709 А,Б до ВРЩ-0,4 кВ №36637 заявителя, в т.ч.ПИР: г.Москва, 3-й Новоподмосковный пер., д.8А</t>
  </si>
  <si>
    <t>I-136421</t>
  </si>
  <si>
    <t>Строительство КЛ-0,4 кВ от ТП-16410 до границ участка заявителя, в т.ч.ПИР: г.Москва, Загорьевский пр-д, вл.17, к.1</t>
  </si>
  <si>
    <t>I-137164</t>
  </si>
  <si>
    <t>Строительство КЛ-0,4 кВ от ТП-18288 до ВРЩ-0,4 кВ заявителя, в т.ч.ПИР: г.Москва, Марьинский б-р, д.8, с.2</t>
  </si>
  <si>
    <t>I-137572</t>
  </si>
  <si>
    <t>Строительство КЛ-0,4 кВ от ТП-18442 до границ участка заявителя, в т.ч.ПИР: г.Москва, ул.Осенняя, д.23</t>
  </si>
  <si>
    <t>I-138667</t>
  </si>
  <si>
    <t>Строительство КЛ-0,4 кВ от ТП-20540 (А) до ВРЩ-0,4 кВ заявителя, в т.ч.ПИР: г.Москва, ул.Тагильская, д.4, с.15</t>
  </si>
  <si>
    <t>I-138674</t>
  </si>
  <si>
    <t>Строительство КЛ-0,4 кВ от ТП-14969 до границ участка заявителя, в т.ч.ПИР: г.Москва, ул.Михневская, д.7, к.2</t>
  </si>
  <si>
    <t>I-138685</t>
  </si>
  <si>
    <t>Строительство 2КЛ до 1 кВ от ТП 18588 до границ участка заявителя, в т.ч. ПИР:Москва, Варшавское ш, дом 146</t>
  </si>
  <si>
    <t>I-136438</t>
  </si>
  <si>
    <t>Строительство КЛ-0,4кВ от ТП-21582 (луч Б) до границ участка заявителя, в т.ч.ПИР: г.Москва, Головинское ш., д.8, к.1</t>
  </si>
  <si>
    <t>I-134447</t>
  </si>
  <si>
    <t>Строительство 2КЛ до 1 кВ от ТП 1712 до границ участка заявителя, в т.ч. ПИР: Москва, Лучевой 5-й просек, 12, стр.1</t>
  </si>
  <si>
    <t>I-138120</t>
  </si>
  <si>
    <t>Строительство КЛ-0,4 кВ от ТП-1546 до ВРЩ-0,4 кВ заявителя, в т.ч.ПИР: г.Москва, ул.Докукина, д.18, с.1</t>
  </si>
  <si>
    <t>I-137601</t>
  </si>
  <si>
    <t>Строительство 2КЛ до 1 кВ от ТП 25173 до ВРЩ 0,4 кВ заявителя, в т.ч. ПИР: Москва, ул. Ибрагимова, дом 5</t>
  </si>
  <si>
    <t>I-136198</t>
  </si>
  <si>
    <t>Прокладвка 2КЛ до 1 кВ от ТП 20354 А,Б до ВРЩ 0,4 кВ, в т.ч. ПИР: Москва, ул. Сущевский Вал, дом 16, стр.1</t>
  </si>
  <si>
    <t>I-138114</t>
  </si>
  <si>
    <t>Строительство КЛ-0,4 кВ от ТП-11254 до ВРЩ-0,4 кВ заявителя, в т.ч.ПИР: г.Москва, ул.16-я Парковая, вл.21, к.1</t>
  </si>
  <si>
    <t>I-139877</t>
  </si>
  <si>
    <t>Строительство 2КЛ-0,4 кВ от ТП-24850  до ВРЩ-0,4 кВ заявителя, в т.ч.ПИР: г.Москва, ул.Нагатинская, д.15, к.1</t>
  </si>
  <si>
    <t>I-141049</t>
  </si>
  <si>
    <t>Строительство КЛ-0,4 кВ от ТП-10421 до границ участка заявителя, в т.ч.ПИР: г.Москва, Съезжинский пер., д.6</t>
  </si>
  <si>
    <t>I-142018</t>
  </si>
  <si>
    <t>Строительство КЛ-0,4 кВ от ТП-25342 (А) до ВРЩ-0,4 кВ № 12903, в т.ч.ПИР: г.Москва, ул.Верхняя Радищевская, д.20-22, с.2</t>
  </si>
  <si>
    <t>I-142386</t>
  </si>
  <si>
    <t>Строительство КЛ-0,4кВ от ТП-23496 до границ участка заявителя, в т.ч.ПИР: г.Москва, ул.Народная, д.8</t>
  </si>
  <si>
    <t>I-142394</t>
  </si>
  <si>
    <t>Строительство РКЛ-10 кВ от ТП-1855 Б до КЛ напр. ТП-12795 Б - ТП-11865 Б, КЛ-0,4 кВ от ТП-15338 до ВРЩ-0,4 кВ заявителя, в т.ч.ПИР: г.Москва, ул.Народного Ополчения, д.34</t>
  </si>
  <si>
    <t>Выполнение ПИР, СМР, ПНР, оборудование, материалы</t>
  </si>
  <si>
    <t>I-111839</t>
  </si>
  <si>
    <t>Строительство автобазы на ул. Вавилова</t>
  </si>
  <si>
    <t>I-138851</t>
  </si>
  <si>
    <t>Строительство РП-10 кВ, 2КЛ-10 кВ, установка ячеек в РУ-10 кВ ПС-180 "Новокунцево", в т.ч. ПИР, МО, Одинцовский р-н, Новоивановский с/о, в районе п. Заречье</t>
  </si>
  <si>
    <t>I-142577</t>
  </si>
  <si>
    <t>Строительство РП-10 кВ, 2 КЛ-10 кВ от яч. №103 и №203 ПС №836 "Слобода", 2 КРН-10 кВ, КЛ-10 кВ,  в т.ч. ПИР, МО, относительно ориентира южнее д. Красный поселок. Адрес ориентира: Истринский район, с/пос. Обушковское</t>
  </si>
  <si>
    <t>I-139270</t>
  </si>
  <si>
    <t>Строительство РП-10 кВ «РОНД», 2ПКЛ-10 кВ, установка яч. в РУ-110 кВ  ПС №64 "Барвиха", в т.ч. ПИР, МО, Одинцовский р-н, Немчиновская п/а, в районе с. Ромашково</t>
  </si>
  <si>
    <t>I-103013</t>
  </si>
  <si>
    <t xml:space="preserve"> ПС "Белорусская" 220/20/10 кВ</t>
  </si>
  <si>
    <t>Приказ №863 от 27.08.2013</t>
  </si>
  <si>
    <t>Выполнение СМР, ПНР, оборудование по титулу "Развитие цифровой производственно- технологической сети связи Центральные ЭС для обеспечения каналами диспетчерской телефонной связи и передачи технологической информации с целью повышения  (сохранения) уровня наблюдаемости и управляемости энергосистемы. Строительство ВОЛС  на участках: ПС Баскаково – ПС Косино – ПС Восточная"</t>
  </si>
  <si>
    <t>Выполнение СМР, ПНР, оборудование (кроме оборудования заказчика) (1 пусковой комплекс)  по титулу "Реконструкция ПС 110 кВ "Самарская"</t>
  </si>
  <si>
    <t>Приказ №2076 от 03.12.12</t>
  </si>
  <si>
    <t>Приказ №2092 от 03.12.12</t>
  </si>
  <si>
    <t>Приказ №2078 от 03.12.12</t>
  </si>
  <si>
    <t>Выполнение СМР, ПНР по реконструкции ВЛ 110 кВ "Очаково – Фили"</t>
  </si>
  <si>
    <t>Приказ №2093 от 03.12.12</t>
  </si>
  <si>
    <t xml:space="preserve">Выполнение СМР, ПНР, материалы по титулу: Реконструкция КЛ 110 кВ "Елоховская-Лефортово 1, 2" </t>
  </si>
  <si>
    <t>Выполнение СМР, ПНР, материалы по титулу: Реконструкция кабельного участка КВЛ 110 кВ «Бескудниково – Красные Горки»</t>
  </si>
  <si>
    <t>Выполнение СМР, ПНР, материалы по титулу: Реконструкция кабельных участков КВЛ 220 кВ "Бутырки - Владыкино" от ПС Владыкино до ПП 206 и от ПС Бутырки до ПП 205</t>
  </si>
  <si>
    <t>2014-2020</t>
  </si>
  <si>
    <t xml:space="preserve">Выполнение СМР, ПНР, материалы по титулу: Реконструкция КВЛ 110 кВ Кожухово-Южная от ПП 37 до ПП 35 </t>
  </si>
  <si>
    <t xml:space="preserve">Выполнение СМР, ПНР, материалы по титулу: Реконструкция "КЛ 110 кВ Динамо - Гражданская № 1, № 2" </t>
  </si>
  <si>
    <t>2015-2018</t>
  </si>
  <si>
    <t>Выполнение СМР, ПНР, материалы по титулу: Реконструкция с увеличением пропускной способности КВЛ 110 кВ "Косино-Выхино 1,2"</t>
  </si>
  <si>
    <t>Выполнение СМР, ПНР, материалы по титулу: "Реконструкция кабельного участка ""КВЛ 110 кВ Восточная - Черкизово I цепь, II цепь"" (участок ПС179 - ПП 4)" (доп.объем)</t>
  </si>
  <si>
    <t>Реконструкция кабельного участка КВЛ 110 кВ "Восточная - Черкизово 1, 2" (участок ПС179 - ПП 4)</t>
  </si>
  <si>
    <t>СМР, оборудование, материалы</t>
  </si>
  <si>
    <t>Выполнение СМР, оборудование, материалы</t>
  </si>
  <si>
    <t>Строительство нов. ТП взамен ТП-25757 по проекту "2БКТП-630" с тр-ми 2x630 кВА, 2КЛ-0,4 кВ от нов. ТП до вв.104333, 104334, в т.ч. ПИР: г.Москва, ул. Менжинского, д.10</t>
  </si>
  <si>
    <t>I-130440</t>
  </si>
  <si>
    <t>ПИР, СМР, ПНР, материалы</t>
  </si>
  <si>
    <t>Выполнение ПИР, СМР, ПНР, материалы</t>
  </si>
  <si>
    <t>Выполнение ПИР, СМР, ПНР, материалы, оборудование по титулу: Строительство РТП-26075 по инд. проекту, 1ПКЛ-10кВ от ПС-91 до РТП-26075, от ПС-267 до РТП-14141; 2КЛ от РТП-26075 до РТП-20129; КЛ до 1кВ от РТП-26075 до ВРЩ т.ч. ПИР: г.Москва, ул.Ленинская Слобода, влад.11</t>
  </si>
  <si>
    <t>085-0004705</t>
  </si>
  <si>
    <t>Выполнение СМР, ПНР, материалы, оборудование по титулу: Реконструкция РТП-18073 с уст. 2-х доп.мест на сборке 0,4 кВ, в т.ч. ПИР: г.Москва, бул.Дмитрия Донского, д.2, к.1</t>
  </si>
  <si>
    <t>I-128020</t>
  </si>
  <si>
    <t>Реконструкция РТП-18073 с уст. 2-х доп.мест на сборке 0,4 кВ, в т.ч. ПИР: г.Москва, бул.Дмитрия Донского, д.2, к.1</t>
  </si>
  <si>
    <t>085-0004706</t>
  </si>
  <si>
    <t>Выполнение СМР, ПНР, материалы по титулу: Прокладка КЛ 0,4 кВ от ТП-10488 до нового ввода, в т.ч. ПИР: г.Москва, Фрунзенская наб., д.10</t>
  </si>
  <si>
    <t>I-128399</t>
  </si>
  <si>
    <t>Прокладка КЛ 0,4 кВ от ТП-10488 до нового ввода, в т.ч. ПИР: г.Москва, Фрунзенская наб., д.10</t>
  </si>
  <si>
    <t>085-0004707</t>
  </si>
  <si>
    <t>Выполнение СМР, ПНР, материалы, оборудование по титулу: Реконструкция БРТП-21072 и РТП-16098 с заменой 22-х ячеек КСО-298М, в т.ч. ПИР: г.Москва, ул.Окская д.1, к.1, стр.22</t>
  </si>
  <si>
    <t>I-130057</t>
  </si>
  <si>
    <t>Реконструкция БРТП-21072 и РТП-16098 с заменой 22-х ячеек КСО-298М, в т.ч. ПИР: г.Москва, ул.Окская д.1, к.1, стр.22</t>
  </si>
  <si>
    <t>085-0004731</t>
  </si>
  <si>
    <t>Выполнение СМР, ПНР, материалы, оборудование по титулу: Реконструкция РТП-14077 с установкой тр-ов 2х1600 кВА, в т.ч. ПИР: г.Москва, 4-й Добрынинский пер., д.1/9, с.1, 7-18, 20-22, 22А, 23, 33, 38, 39, 42, 43, 45</t>
  </si>
  <si>
    <t>I-126362</t>
  </si>
  <si>
    <t>Реконструкция РТП-14077 с установкой тр-ов 2х1600 кВА, в т.ч. ПИР: г.Москва, 4-й Добрынинский пер., д.1/9, с.1, 7-18, 20-22, 22А, 23, 33, 38, 39, 42, 43, 45</t>
  </si>
  <si>
    <t>085-0004734</t>
  </si>
  <si>
    <t>Выполнение СМР, ПНР, материалы, оборудование по титулу: Реконструкция ТП-22982 по пр. «БКТПу-2х1000» с заменой тр-ов 2х630кВА  на 2х1000кВА с установкой комб. сборки, РКЛ-10 кВ от РТП-20010 до ТП-23493Б с заходом в ТП-23496Б, ТП-23492Б, в т.ч. ПИР: г.Москва, Новоспасский пер., д.9</t>
  </si>
  <si>
    <t>I-130241</t>
  </si>
  <si>
    <t>Реконструкция ТП-22982 по пр. «БКТПу-2х1000» с заменой тр-ов 2х630кВА  на 2х1000кВА с установкой комб. сборки, РКЛ-10 кВ от РТП-20010 до ТП-23493Б с заходом в ТП-23496Б, ТП-23492Б, в т.ч. ПИР: г.Москва, Новоспасский пер., д.9</t>
  </si>
  <si>
    <t>085-0004744</t>
  </si>
  <si>
    <t>Выполнение СМР, ПНР, материалы, оборудование по титулу: Реконструкция ТП-2956 по тип. проекту ТК-400 с заменой тр-ов 2x630в т.ч. ПИР: г.Москва</t>
  </si>
  <si>
    <t>I-126505</t>
  </si>
  <si>
    <t>Реконструкция ТП-2956 по тип. проекту ТК-400 с заменой тр-ов 2x630в т.ч. ПИР: г.Москва</t>
  </si>
  <si>
    <t>085-0004745</t>
  </si>
  <si>
    <t>Выполнение СМР, ПНР, материалы, оборудование по титулу: Реконструкция ТП-2761, в т.ч. ПИР: г.Москва, ул. Трубная, д.27, стр.4</t>
  </si>
  <si>
    <t>I-132442</t>
  </si>
  <si>
    <t>Реконструкция ТП-2761, в т.ч. ПИР: г.Москва, ул. Трубная, д.27, стр.4</t>
  </si>
  <si>
    <t>085-0004747</t>
  </si>
  <si>
    <t>Выполнение СМР, ПНР, материалы по титулу: Перекладка ПКЛ 10 кВ от РУ10кВ до РТП 2167-4164-4014-4301, Волгоградский пр.27, в т.ч. ПИР</t>
  </si>
  <si>
    <t>I-104795</t>
  </si>
  <si>
    <t>Перекладка ПКЛ 10 кВ от РУ10кВ до РТП 2167-4164-4014-4301, Волгоградский пр.27, в т.ч. ПИР</t>
  </si>
  <si>
    <t>085-0004748</t>
  </si>
  <si>
    <t>Выполнение СМР, ПНР, материалы по титулу: Перекладка ПКЛ-10 кВ: РП 11162 - ТП 370 по адресу: ул.Севанская д.64 - ул.Подольских курсантов владение 9</t>
  </si>
  <si>
    <t>I-112087</t>
  </si>
  <si>
    <t>Перекладка ПКЛ-10 кВ: РП 11162 - ТП 370 по адресу: ул.Севанская д.64 - ул.Подольских курсантов владение 9</t>
  </si>
  <si>
    <t>085-0004749</t>
  </si>
  <si>
    <t>Выполнение СМР, ПНР, материалы, оборудование по титулу: Реконструкция ТП-14973 с установкой тр-ов 2х1000 кВА взамен 2х400 кВА, в т.ч. ПИР: г.Москва, ул.Академика Миллионщикова, д.1, с.1</t>
  </si>
  <si>
    <t>I-125224</t>
  </si>
  <si>
    <t>Реконструкция ТП-14973 с установкой тр-ов 2х1000 кВА взамен 2х400 кВА, в т.ч. ПИР: г.Москва, ул.Академика Миллионщикова, д.1, с.1</t>
  </si>
  <si>
    <t>082-0002617</t>
  </si>
  <si>
    <t>0822617</t>
  </si>
  <si>
    <t>Выполнение  СМР,ПНР,оборудование( кроме оборудования, предоставляемого Заказчиком) по: Реконструкция ПС110 кВ "Болятино" № 309</t>
  </si>
  <si>
    <t>I-106282</t>
  </si>
  <si>
    <t xml:space="preserve">Реконструкция ПС110 кВ "Болятино" № 309 </t>
  </si>
  <si>
    <t>Приказ №1282 от 29.11.2013</t>
  </si>
  <si>
    <t>Выполнение  СМР, ПНР,  оборудование, материалы ВЛ Кудиново – Минеральная</t>
  </si>
  <si>
    <t>Выполнение ПИР, авторский надзор Реконструкция ВЛ 110 кВ "Пески - Фабричная"</t>
  </si>
  <si>
    <t>084-0001373</t>
  </si>
  <si>
    <t>Выполнение  СМР, ПНР ПС 110 кВ "Истомкино"</t>
  </si>
  <si>
    <t>I-111144</t>
  </si>
  <si>
    <t>ПС 110 кВ "Истомкино"</t>
  </si>
  <si>
    <t>Выполнение  СМР, ПНР Реконструкция ПС № 565 "Митяево"</t>
  </si>
  <si>
    <t>Выполнение  СМР, ПНР Реконструкция ПС 110 кВ №414 Кудиново</t>
  </si>
  <si>
    <t>Выполнение  СМР, ПНР ПС 110/10 кВ № 678 "Ларино"</t>
  </si>
  <si>
    <t>Выполнение ПИР,  СМР, ПНР, оборудование, материалы Реконструкция ВЛ-10 кВ фид.15 с ПС-365 "Полбино" д. Полбино Егорьевского района</t>
  </si>
  <si>
    <t>Выполнение ПИР,  СМР, ПНР, оборудование, материалы Реконструкция ВЛ-10 кВ фид.41 с ПС-136 "Трофимово" д. Левино Егорьевского района</t>
  </si>
  <si>
    <t>Выполнение ПИР,  СМР, ПНР, оборудование, материалы Реконструкция ВЛ-10 кВ фид. №761-10 ПС-761 г. Воскресенск Воскресенского района</t>
  </si>
  <si>
    <t>Выполнение ПИР,  СМР, ПНР, оборудование, материалы Реконструкция ВЛ-10 кВ фид. №761-25 ПС-761 г. Воскресенск Воскресенского района</t>
  </si>
  <si>
    <t>Выполнение ПИР,  СМР, ПНР, оборудование, материалы Реконструкция ВЛ-6кВ ф.9 ПС-62 г. Зарайск Зарайского района</t>
  </si>
  <si>
    <t>Выполнение ПИР,  СМР, ПНР, оборудование, материалы Реконструкция ВЛ-6 кВ ф.13 ПС-62 г. Зарайск Зарайского района</t>
  </si>
  <si>
    <t>Выполнение ПИР,  СМР, ПНР, оборудование, материалы Реконструкция 10 кВ ф. 565-09 ПС-565, Воскресенский район</t>
  </si>
  <si>
    <t>Выполнение ПИР,  СМР, ПНР, оборудование, материалы Реконструкция 10 кВ ф. 1 РРЭС ПС-383 Воскресенский район</t>
  </si>
  <si>
    <t>Выполнение ПИР,  СМР, ПНР, оборудование, материалы Реконструкция 10 кВ ф. 715-02 ПС 715, Воскресенский район</t>
  </si>
  <si>
    <t>Выполнение ПИР,  СМР, ПНР, оборудование, материалы Реконструкция 10 кВ ф. Совхоз ПС 168, Воскресенский район</t>
  </si>
  <si>
    <t>Выполнение ПИР,  СМР, ПНР, оборудование, материалы Реконструкция линии электропередачи воздушной  напряжением 10 кВ (ВЛ-10 кВ фид. N 1 с ПС-365 Полбино) Егорьевский район</t>
  </si>
  <si>
    <t>Выполнение ПИР,  СМР, ПНР, оборудование, материалы Реконструкция линии электропередачи воздушной  напряжением 10 кВ (ВЛ-10 кВ фид. N 41 с ПС-136 Трофимово) Егорьевский район</t>
  </si>
  <si>
    <t>Выполнение ПИР, авторский надзор Коломенский РЭС с. Парфентьево, Коломенского района, реконструкция ВЛ-0,4кВ от КТП-28, установка дополнительной КТП</t>
  </si>
  <si>
    <t>Выполнение  СМР, ПНР,  оборудование, материалы Реконструкция ЗТП-354, МО, Шатурский р-н, д. Дерзковская</t>
  </si>
  <si>
    <t xml:space="preserve">Выполнение ПИР, авторский надзор Реконструкция ЗТП-148, МО, Коломенский р-н, с. Малое Карасево </t>
  </si>
  <si>
    <t>Выполнение ПИР,  СМР, ПНР, оборудование, материалы Реконструкция ТП-37 (замена тр-ра 250 кВА на тр-ор 400 кВА) ПС № 73 "Озеры", в т.ч. ПИР, М.О., Озерский р-н, с. Белые Колодези</t>
  </si>
  <si>
    <t>Выполнение ПИР,  СМР, ПНР, оборудование, материалы Реконструкция МТП-317 (замена тр-ра на тр-ор 250 кВА) ПС № 81 "Крушина", в т.ч. ПИР, М.О., Шатурский р-н, д. Пожога</t>
  </si>
  <si>
    <t>Выполнение  СМР, ПНР,  оборудование, материалы Строительство ВЛ 10 кВ и РП 10 кВ для резервирования фидера №3 с ПС № 168 "Фаустово-аб."</t>
  </si>
  <si>
    <t>Выполнение СМР, ПНР, материалы  по титулу: Реконструкция ПС 110/35 кВ № 189 "Успенская"</t>
  </si>
  <si>
    <t>Реконструкция ПС № 295 Кленово, замена трансформаторов 35/6 кВ 2х3,2 МВА на 2х6,3 МВА</t>
  </si>
  <si>
    <t xml:space="preserve">Выполнение СМР, ПНР (2 этап 2 ПК) по титулу: Реконструкция  ПС № 316 110/35 кВ  "Дарьино" </t>
  </si>
  <si>
    <t>Выполнение СМР,ПНР  по титулу: Электроснабжение диспетчерских пунктов ОДГ ЗЭС</t>
  </si>
  <si>
    <t>Выполнение СМР,ПНР, оборудование и материалы по титулу: Реконструкция устройства отвода паводковых вод с территории ОРУ-110 кВ ПС № 782 "Мамоново"</t>
  </si>
  <si>
    <t>I-112303</t>
  </si>
  <si>
    <t>Реконструкция устройства отвода паводковых вод с территории ОРУ-110 кВ ПС № 782 "Мамоново"</t>
  </si>
  <si>
    <t>Выполнение СМР, ПНР,  оборудование и материалы по титулу:  Замена поврежденного реактора 6 кВ Т-1 ПС 110/35/6 кВ № 584 «Звенигород», МО, Одинцовский р-н, г. Звенигород</t>
  </si>
  <si>
    <t>I-133395</t>
  </si>
  <si>
    <t>Замена поврежденного реактора 6 кВ Т-1 ПС 110/35/6 кВ № 584 «Звенигород», МО, Одинцовский р-н, г. Звенигород</t>
  </si>
  <si>
    <t>083-0002646</t>
  </si>
  <si>
    <t>Выполнение СМР, ПНР, поставка оборудования и  материалов по титулу:  Реконструкция сети 10 кВ с установкой КТПП 10 кВ 630 кВА и строительство ВЛ 10 кВ, д. Демидково Рузский РЭС</t>
  </si>
  <si>
    <t>083-0001793</t>
  </si>
  <si>
    <t xml:space="preserve">Выполнение СМР, ПНР, поставки оборудования и материалов по титулу: Реконструкция ЗТП-3036, с.Раменье, Шаховской РЭС </t>
  </si>
  <si>
    <t>I-118307</t>
  </si>
  <si>
    <t xml:space="preserve">Реконструкция ЗТП-3036, с.Раменье, Шаховской РЭС </t>
  </si>
  <si>
    <t>083-0001794</t>
  </si>
  <si>
    <t xml:space="preserve">Выполнение СМР, ПНР, поставки оборудования и материалов по титулу: Реконструкция ЗТП-3121, д.Муриково, Шаховской РЭС </t>
  </si>
  <si>
    <t>I-118306</t>
  </si>
  <si>
    <t xml:space="preserve">Реконструкция ЗТП-3121, д.Муриково, Шаховской РЭС </t>
  </si>
  <si>
    <t>083-0001795</t>
  </si>
  <si>
    <t>Выполнение СМР, ПНР, поставки оборудования и материалов по титулу: Реконструкция ЗТП-3029, д.Ядрово, Шаховской РЭС</t>
  </si>
  <si>
    <t>I-118305</t>
  </si>
  <si>
    <t>Реконструкция ЗТП-3029, д.Ядрово, Шаховской РЭС</t>
  </si>
  <si>
    <t>ПИР, авторский надзор, СМР, ПНР</t>
  </si>
  <si>
    <t>Выполнение ПИР, авторский надзор, СМР, ПНР</t>
  </si>
  <si>
    <t>083-0004966</t>
  </si>
  <si>
    <t>Выполнение ПИР, авторский надзор (дополнительный объем) по титулу:  Рек-ция АТК ЗЭС ОАО МОЭСК (1я очередь)</t>
  </si>
  <si>
    <t>I-101206</t>
  </si>
  <si>
    <t>Рек-ция АТК ЗЭС ОАО МОЭСК (1я очередь)</t>
  </si>
  <si>
    <t>Приказ № 1801 от 08.12.2011</t>
  </si>
  <si>
    <t>083-0004868</t>
  </si>
  <si>
    <t>Выполнение  ПИР, авторский надзор (2 этап- реконструкция ВЛ 110 кВ Кедрово-Нарофоминск I, II) по титулу:  по титулу: «Реконструкция ПС 308 Наро-Фоминск (замена 2х трансформаторов)»</t>
  </si>
  <si>
    <t>I-105844</t>
  </si>
  <si>
    <t>Реконструкция ПС 308 Наро-Фоминск (замена 2х трансформаторов)</t>
  </si>
  <si>
    <t>Выполнение ПИР</t>
  </si>
  <si>
    <t>813275</t>
  </si>
  <si>
    <t>Выполнение СМР, ПНР по ВЛ-110 кВ "Майские 1, 2"</t>
  </si>
  <si>
    <t>Выполнение СМР, ПНР по ПС 110/35 кВ № 198 "Н. Подлипки" (1 этап 1 ПК)</t>
  </si>
  <si>
    <t>2015-2017</t>
  </si>
  <si>
    <t>I-111084</t>
  </si>
  <si>
    <t>ПС 110/35 кВ № 198 "Н. Подлипки"</t>
  </si>
  <si>
    <t>813278</t>
  </si>
  <si>
    <t>813279</t>
  </si>
  <si>
    <t>Выполнение СМР, ПНР по ПС № 255 "Костино" (2 ПК)</t>
  </si>
  <si>
    <t>Выполнение СМР, ПНР по ПС № 717 "Мелихово"</t>
  </si>
  <si>
    <t>I-116527</t>
  </si>
  <si>
    <t>ПС № 717 "Мелихово"</t>
  </si>
  <si>
    <t>Выполнение СМР, ПНР по ПС 35 кВ № 40 "Лобня"</t>
  </si>
  <si>
    <t>I-116518</t>
  </si>
  <si>
    <t>ПС 35 кВ № 40 "Лобня"</t>
  </si>
  <si>
    <t>Выполнение ПИР, Авторский надзор по Замена отделителей и масленых выключателей 35 кВ на вакуумные выключатели на ПС СЭС</t>
  </si>
  <si>
    <t>I-138565I-138566I-138567I-138568I-138569I-138570I-138571</t>
  </si>
  <si>
    <t>Замена отделителей и масленых выключателей 35 кВ на вакуумные выключатели на ПС-185 ВоробьёвоЗамена отделителей и масленых выключателей 35 кВ на вакуумные выключатели на ПС-190 ВорониноЗамена отделителей и масленых выключателей 35 кВ на вакуумные выключатели на ПС-207 ВетровоЗамена отделителей и масленых выключателей 35 кВ на вакуумные выключатели на ПС-353 ВысоковоЗамена отделителей и масленых выключателей 35 кВ на вакуумные выключатели на ПС-96 КатуарЗамена отделителей и масленых выключателей 35 кВ на вакуумные выключатели на ПС-148 ВязовкаЗамена отделителей и масленых выключателей 35 кВ на вакуумные выключатели на ПС-202 Горохово</t>
  </si>
  <si>
    <t>Выполнение СМР, ПНР, оборудование по Замена отделителей и масленых выключателей 35 кВ на вакуумные выключатели на ПС СЭС</t>
  </si>
  <si>
    <t>Выполнение ПИР, Авторский надзор по Замена отделителей и масленых выключателей 110 кВ на элегазовые выключатели на ПС СЭС</t>
  </si>
  <si>
    <t>I-138572I-138573I-138574I-138575I-138576</t>
  </si>
  <si>
    <t>Замена отделителей и масленых выключателей 110 кВ на элегазовые выключатели на ПС №71 ПоваровоЗамена отделителей и масленых выключателей 110 кВ на элегазовые выключатели на ПС №671 Старбеево (2014)Замена отделителей и масленых выключателей 110 кВ на элегазовые выключатели на ПС №328 ОжогиноЗамена отделителей и масленых выключателей 110 кВ на элегазовые выключатели на ПС №103 ПолеваяЗамена отделителей и масленых выключателей 110 кВ на элегазовые выключатели на ПС №420 Долгопрудная (2014)</t>
  </si>
  <si>
    <t>Выполнение СМР, ПНР, оборудование по Замена отделителей и масленых выключателей 110 кВ на элегазовые выключатели на ПС СЭС</t>
  </si>
  <si>
    <t>Выполнение СМР, ПНР, оборудование по Реконструкция ВЛ 6-10 кВ. Замена неизолированного провода на СИП 3 и расширение просеки ВЛ-6 кВ ф.6 ПС207, в т.ч. ПИР, МО, Дмитровский р-н.</t>
  </si>
  <si>
    <t>I-112312-01-92</t>
  </si>
  <si>
    <t>Реконструкция ВЛ 6-10 кВ. Замена неизолированного провода на СИП 3 и расширение просеки ВЛ-6 кВ ф.6 ПС207, в т.ч. ПИР, МО, Дмитровский р-н.</t>
  </si>
  <si>
    <t>Выполнение СМР, ПНР, оборудование по Реконструкция ВЛ 6-10 кВ. Замена неизолированного провода на СИП 3 и расширение просеки ВЛ-6 кВ ф.6 ПС127, в т.ч. ПИР, МО, Дмитровский р-н.</t>
  </si>
  <si>
    <t>I-112312-01-93</t>
  </si>
  <si>
    <t>Реконструкция ВЛ 6-10 кВ. Замена неизолированного провода на СИП 3 и расширение просеки ВЛ-6 кВ ф.6 ПС127, в т.ч. ПИР, МО, Дмитровский р-н.</t>
  </si>
  <si>
    <t>Выполнение СМР, ПНР, оборудование по Реконструкция ВЛ 6-10 кВ. Замена неизолированного провода на СИП 3 и расширение просеки ВЛ-6 кВ ф.3 ПС669, в т.ч. ПИР, МО, Дмитровский р-н.</t>
  </si>
  <si>
    <t>I-112312-01-94</t>
  </si>
  <si>
    <t>Реконструкция ВЛ 6-10 кВ. Замена неизолированного провода на СИП 3 и расширение просеки ВЛ-6 кВ ф.3 ПС669, в т.ч. ПИР, МО, Дмитровский р-н.</t>
  </si>
  <si>
    <t>Выполнение СМР, ПНР, оборудование по Реконструкция ВЛ 6-10 кВ. Замена неизолированного провода на СИП 3 и расширение просеки ВЛ-6 кВ ф.3 ПС148, в т.ч. ПИР, МО, Дмитровский р-н.</t>
  </si>
  <si>
    <t>I-112312-01-95</t>
  </si>
  <si>
    <t>Реконструкция ВЛ 6-10 кВ. Замена неизолированного провода на СИП 3 и расширение просеки ВЛ-6 кВ ф.3 ПС148, в т.ч. ПИР, МО, Дмитровский р-н.</t>
  </si>
  <si>
    <t>Выполнение СМР, ПНР, оборудование по Реконструкция ВЛ 6-10 кВ. Замена неизолированного провода на СИП 3 и расширение просеки ВЛ-6 кВ ф.7 ПС669, в т.ч. ПИР, МО, Дмитровский р-н.</t>
  </si>
  <si>
    <t>I-112312-01-96</t>
  </si>
  <si>
    <t>Реконструкция ВЛ 6-10 кВ. Замена неизолированного провода на СИП 3 и расширение просеки ВЛ-6 кВ ф.7 ПС669, в т.ч. ПИР, МО, Дмитровский р-н.</t>
  </si>
  <si>
    <t>Выполнение СМР, ПНР, оборудование по Реконструкция ВЛ 6-10 кВ. Замена неизолированного провода на СИП 3 и расширение просеки ВЛ-6 кВ ф.5(11) ПС184, в т.ч. ПИР, МО, Дмитровский р-н.</t>
  </si>
  <si>
    <t>I-112312-01-97</t>
  </si>
  <si>
    <t>Реконструкция ВЛ 6-10 кВ. Замена неизолированного провода на СИП 3 и расширение просеки ВЛ-6 кВ ф.5(11) ПС184, в т.ч. ПИР, МО, Дмитровский р-н.</t>
  </si>
  <si>
    <t>Выполнение СМР, ПНР, оборудование по Реконструкция ВЛ 6-10 кВ. Замена неизолированного провода на СИП 3 и расширение просеки ВЛ-6 кВ ф.1 ПС 325 от ТП 55 до ТП 398, в т.ч. ПИР, МО, Дмитровский р-н.</t>
  </si>
  <si>
    <t>I-112312-01-98</t>
  </si>
  <si>
    <t>Реконструкция ВЛ 6-10 кВ. Замена неизолированного провода на СИП 3 и расширение просеки ВЛ-6 кВ ф.1 ПС 325 от ТП 55 до ТП 398, в т.ч. ПИР, МО, Дмитровский р-н.</t>
  </si>
  <si>
    <t>Выполнение СМР, ПНР, оборудование по Реконструкция ВЛ 6-10 кВ. Замена неизолированного провода на СИП 3 и расширение просеки ВЛ-10 кВ ф.1 ПС332, в т.ч. ПИР, МО, Дмитровский р-н.</t>
  </si>
  <si>
    <t>I-112312-01-99</t>
  </si>
  <si>
    <t>Реконструкция ВЛ 6-10 кВ. Замена неизолированного провода на СИП 3 и расширение просеки ВЛ-10 кВ ф.1 ПС332, в т.ч. ПИР, МО, Дмитровский р-н.</t>
  </si>
  <si>
    <t>813321</t>
  </si>
  <si>
    <t>813322</t>
  </si>
  <si>
    <t>813324</t>
  </si>
  <si>
    <t>813326</t>
  </si>
  <si>
    <t>813327</t>
  </si>
  <si>
    <t>813328</t>
  </si>
  <si>
    <t>813329</t>
  </si>
  <si>
    <t>813330</t>
  </si>
  <si>
    <t>813331</t>
  </si>
  <si>
    <t>813332</t>
  </si>
  <si>
    <t>813333</t>
  </si>
  <si>
    <t>813335</t>
  </si>
  <si>
    <t>813336</t>
  </si>
  <si>
    <t>813337</t>
  </si>
  <si>
    <t>813338</t>
  </si>
  <si>
    <t>813339</t>
  </si>
  <si>
    <t>813340</t>
  </si>
  <si>
    <t>813341</t>
  </si>
  <si>
    <t>813343</t>
  </si>
  <si>
    <t>813344</t>
  </si>
  <si>
    <t>813345</t>
  </si>
  <si>
    <t>813347</t>
  </si>
  <si>
    <t>Выполнение СМР, ПНР, оборудование по титулу: Строительство РП "СтройЭкология", уст. яч. в РУ - 10 кВ РП-10 кВ "д. Поздняково", КЛ-10 кВ от РУ - 10 кВ РП 10 кВ "д. Поздняково" до нового РП "СтройЭкология", в т.ч. ПИР, МО, Красногорский р-н, вблизи р.п. Нахабино</t>
  </si>
  <si>
    <t>813348</t>
  </si>
  <si>
    <t>813349</t>
  </si>
  <si>
    <t>813350</t>
  </si>
  <si>
    <t>813351</t>
  </si>
  <si>
    <t>813352</t>
  </si>
  <si>
    <t>Выполнение СМР, ПНР, оборудование по титулу: Строительство ТП-10 кВ, КЛ-10 кВ от нового ТП до ф. "Курилово", ПС №329 Осиновка, в т.ч. ПИР. МО, Солнечногорский р-н, д. Мелечкино</t>
  </si>
  <si>
    <t>813354</t>
  </si>
  <si>
    <t>813355</t>
  </si>
  <si>
    <t>813356</t>
  </si>
  <si>
    <t>813357</t>
  </si>
  <si>
    <t>813358</t>
  </si>
  <si>
    <t xml:space="preserve">Выполнение СМР, ПНР, оборудование по СтроительствоРП-10 кВ, 2ПКЛ-10 кВ, установка ячеек в РУ-10 кВ РП-10 кВ, в т. ч. ПИР, Московская область, Солнечногорский р-н, с.п.Кутузовское, д.Подолино
</t>
  </si>
  <si>
    <t>813360</t>
  </si>
  <si>
    <t>813361</t>
  </si>
  <si>
    <t>813362</t>
  </si>
  <si>
    <t>813363</t>
  </si>
  <si>
    <t>Выполнение СМР, ПНР, оборудование по Реконструкция комплексов ТМ на 8 ПС СЭС - филиала ОАО "МОЭСК", обеспечивающих электропитание аэропортов и тяговых ж.д. ПС</t>
  </si>
  <si>
    <t>I-131285</t>
  </si>
  <si>
    <t>Реконструкция комплексов ТМ на 8 ПС СЭС - филиала ОАО "МОЭСК", обеспечивающих электропитание аэропортов и тяговых ж.д. ПС</t>
  </si>
  <si>
    <t>Выполнение СМР, ПНР, оборудование по Реконструкция ограждений с усилением армированной колючей лентой (АКЛ) на объектах СЭС (2013)</t>
  </si>
  <si>
    <t>I-131307</t>
  </si>
  <si>
    <t>Реконструкция ограждений с усилением армированной колючей лентой (АКЛ) на объектах СЭС (2013)</t>
  </si>
  <si>
    <t>Выполнение СМР, ПНР, оборудование по Монтаж системы видеонаблюдения, периметрового освещения и сигнализации.</t>
  </si>
  <si>
    <t>2014-2021</t>
  </si>
  <si>
    <t>I-116529</t>
  </si>
  <si>
    <t>Монтаж системы видеонаблюдения, периметрового освещения и сигнализации.</t>
  </si>
  <si>
    <t>Выполнение ПИР по Установка автоматических пунктов секционирования СЭС</t>
  </si>
  <si>
    <t>общий</t>
  </si>
  <si>
    <t>Установка автоматических пунктов секционирования СЭС</t>
  </si>
  <si>
    <t>Выполнение СМР, ПНР, оборудование по Установка автоматических пунктов секционирования СЭС</t>
  </si>
  <si>
    <t>Выполнение ПИР по Замене ячеек ГДР</t>
  </si>
  <si>
    <t>Замена ячеек ГДР СЭС (8 объектов ИПР)</t>
  </si>
  <si>
    <t>Выполнение СМР, ПНР, оборудования по Замене ячеек ГДР</t>
  </si>
  <si>
    <t>Выполнение ПИР по реконструкции ВЛ-0,4кВ СЭС</t>
  </si>
  <si>
    <t>Реконструкции ВЛ-0,4кВ СЭС (27 объектов ИПР)</t>
  </si>
  <si>
    <t>Выполнение СМР, ПНР, оборудование по реконструкции ВЛ-0,4кВ СЭС</t>
  </si>
  <si>
    <t>Выполнение ПИР по программе замены неизолированного провода на СИП-2</t>
  </si>
  <si>
    <t>Замена неизалированного провода на СИП-2 СЭС (11 объектов ИПР)</t>
  </si>
  <si>
    <t>Выполнение СМР, ПНР, оборудование по программе замены неизолированного провода на СИП-2</t>
  </si>
  <si>
    <t>Выполнение ПИР по Реконструкции сети 0,4-10кВ СЭС</t>
  </si>
  <si>
    <t>Реконструкция сети 0,4-10 кВ СЭС (32 объекта ИПР)</t>
  </si>
  <si>
    <t>Выполнение ПИР по Установка устройств индикации короткого замыкания на ВЛ 6-10 кВ</t>
  </si>
  <si>
    <t xml:space="preserve">Установка устройств индикации короткого замыкания на ВЛ 6-10 кВ СЭС </t>
  </si>
  <si>
    <t>Выполнение СМР, ПНР, оборудование по Установка устройств индикации короткого замыкания на ВЛ 6-10 кВ</t>
  </si>
  <si>
    <t>062-0005790</t>
  </si>
  <si>
    <t>Выполнение ПИР, СМР, ПНР, поставка оборудования для организации удаленного сбора данных с систем учета на ЦСОИ РРЭ  (2013)</t>
  </si>
  <si>
    <t xml:space="preserve">ПИР, СМР, ПНР, оборудование </t>
  </si>
  <si>
    <t>Амортизация/RAB</t>
  </si>
  <si>
    <t>083-0002554</t>
  </si>
  <si>
    <t xml:space="preserve">Выполнение ПИР, СМР, ПНР, поставка оборудования и материалов по титулу: Организации удаленного сбора данных с систем учета на ЦСОИ РРЭ ( ЗЭС 2013) </t>
  </si>
  <si>
    <t>084-0001492</t>
  </si>
  <si>
    <t>Выполнение ПИР, СМР, ПНР, поставка оборудования по титулу: "Организация удаленного сбора данных с систем учета на ЦСОИ РРЭ (ВЭС2013)"</t>
  </si>
  <si>
    <t>082-0002734</t>
  </si>
  <si>
    <t>Выполнение ПИР,СМР,ПНР,оборудование по Организация удаленного сбора данных с систем учета на ЦСОИ РРЭ (ЮЭС 2013)</t>
  </si>
  <si>
    <t>084-0001375</t>
  </si>
  <si>
    <t>Выполнение  СМР, ПНР Реконструкция ПС № 130 "Электросталь"</t>
  </si>
  <si>
    <t>Организация удаленного сбора данных с систем учета на ЦСОИ РРЭ (ЦЭС2013-2017)</t>
  </si>
  <si>
    <t>I-128258</t>
  </si>
  <si>
    <t>Организация удаленного сбора данных с систем учета на ЦСОИ РРЭ (ЗЭС2013-2017)</t>
  </si>
  <si>
    <t>ВЭС-95</t>
  </si>
  <si>
    <t>Организация удаленного сбора данных с систем учета на ЦСОИ РРЭ (ВЭС2013-2017)</t>
  </si>
  <si>
    <t>I-124672</t>
  </si>
  <si>
    <t>Организация удаленного сбора данных с систем учета на ЦСОИ РРЭ (ЮЭС2013-2017)</t>
  </si>
  <si>
    <t>I-116103</t>
  </si>
  <si>
    <t>Реконструкция ПС № 130 "Электросталь"</t>
  </si>
  <si>
    <r>
      <t>Техническое освидетельствование ВЛ 0,4-220 кВ</t>
    </r>
    <r>
      <rPr>
        <sz val="10"/>
        <rFont val="Times New Roman"/>
        <family val="1"/>
        <charset val="204"/>
      </rPr>
      <t xml:space="preserve"> и ПС 35-220 кВ(ЮЭС)</t>
    </r>
  </si>
  <si>
    <t>ВКС (97,2 т.р.)
ВЭС (3 500 т.р.)
ЗЭС 083-0004225 (1 090 т.р.)
МКС 085-0003587 (1 271.19 т.р.)
СЭС 081-0003148 (1 090 т.р.)-ТЗ у Пушкарева
ЦЭС (200 т.р.)
ЮЭС (1 090 т.р.)
НМ (1 090 т.р.)
ИА (10 000 т.р.)</t>
  </si>
  <si>
    <r>
      <t>п.11.1.3 «</t>
    </r>
    <r>
      <rPr>
        <i/>
        <sz val="14"/>
        <rFont val="Times New Roman"/>
        <family val="1"/>
        <charset val="204"/>
      </rPr>
      <t>Смена оператора повлечет за собой изменение телефонных номеров персонала ОАО "МОЭСК" »</t>
    </r>
  </si>
  <si>
    <t>062-0006698</t>
  </si>
  <si>
    <t>Ремонт административных помещений для нужд ОАО "МОЭСК" по адресу:  Дербеневская наб., дом 7, стр.22 (этаж 2,3)</t>
  </si>
  <si>
    <t>084-0001372</t>
  </si>
  <si>
    <t>Выполнение  СМР, ПНР, Оборудование Реконструкция ПС № 681 "Алмазово" реконструкция ОРУ-110 кВ с заменой ОД и МВ на ЭВ, замена тр-ров 2х25,5мВА на 2х63 мВА, замена МВ-10 кВ на ВВк (ПИР)</t>
  </si>
  <si>
    <t>082-0001383</t>
  </si>
  <si>
    <t>БКС</t>
  </si>
  <si>
    <t>Выполнение ПИР по ПС Красково</t>
  </si>
  <si>
    <t>I-116170</t>
  </si>
  <si>
    <t>ПС Красково</t>
  </si>
  <si>
    <t>Выполнение  СМР, ПНР по Пусковой комплекс Реконструкция ВЛ 110 кВ "Кашира-Стрелецкая 1,2"</t>
  </si>
  <si>
    <t>ВЭС 084-0002541 (20 078.5 т.р.)
ЗЭС 20256.6 т.р.
ЗЭС 7170.9 т.р.</t>
  </si>
  <si>
    <t xml:space="preserve">ВКС 038-0000520 (8 643 т.р.)
ЗЭС 083-0004173 (8 000 т.р)
СЭС 081-0003119 (7 364.8 т.р)
ЦЭС 064-0001373 (18 780 т.р.)
</t>
  </si>
  <si>
    <t xml:space="preserve">ВЭС 084-0002542 (46 736 т.р.)
ЗЭС 083-0004178 (42 844 т.р.)
СЭС 081-0003120 (9 153.6 т.р.)
ЮЭС 082-0005103 (8 468 т.р.)
</t>
  </si>
  <si>
    <t>ВКС 038-0000498 (4 039 т.р.)
ВЭС 084-0002583, 084-0002616, 084-0002612, 084-0002614 (13 000 т.р.)
ЗЭС 083-0004217, 083-0004220, 083-0004294 (7 600 т.р.)
МКС 085-0003581 (20 000 т.р.)
СЭС 081-0003109, 081-0003146 (9 143)
ЮЭС 082-0005199, 082-0005124 (12 000)
НМ (2 000 т.р.)</t>
  </si>
  <si>
    <t>ВКС (1 000 т.р.)
ВЭС 084-0002615 (1 419 т.р.)
ЗЭС 083-0004222 (3 200 т.р.)
МКС 085-0003586, 085-0003589 (10 800)
ЮЭС (500)
НМ (1 000 т.р.)</t>
  </si>
  <si>
    <t>МКС 085-0003578 (15 000 т.р.)
ВКС (1100)</t>
  </si>
  <si>
    <t>Мероприятия по охране здоровья персонала из себестоимости</t>
  </si>
  <si>
    <t>0201070102</t>
  </si>
  <si>
    <t>20107070404</t>
  </si>
  <si>
    <t>01010202</t>
  </si>
  <si>
    <t>Мероприятия по охране труда</t>
  </si>
  <si>
    <t>0201051403</t>
  </si>
  <si>
    <t>020105090302</t>
  </si>
  <si>
    <t>0201070708</t>
  </si>
  <si>
    <t>0201070705</t>
  </si>
  <si>
    <t>020105140401</t>
  </si>
  <si>
    <t>КУ по развитию систем АСУП</t>
  </si>
  <si>
    <t>Инф. услуги (Упр. эксплуат. и сопров.ИТ)</t>
  </si>
  <si>
    <t>Консультант</t>
  </si>
  <si>
    <t xml:space="preserve">КУ по развитию и эксплуатации  ИТ-инфраструктуры </t>
  </si>
  <si>
    <t>Консультационные, информационные и юридические услуги</t>
  </si>
  <si>
    <t>Прочее добровольное страхование</t>
  </si>
  <si>
    <t>Обязательные страховые платежи</t>
  </si>
  <si>
    <t>Содержание зданий</t>
  </si>
  <si>
    <t>Услуги по уборке помещений и прилегающих территорий</t>
  </si>
  <si>
    <t>Прочие работы и услуги</t>
  </si>
  <si>
    <t xml:space="preserve">Услуги связи </t>
  </si>
  <si>
    <t>Работы по формированию баланса</t>
  </si>
  <si>
    <t>КУ по маркетингу</t>
  </si>
  <si>
    <t>Услуги транспорта</t>
  </si>
  <si>
    <t>Повышение квалификации и профпереподготовка</t>
  </si>
  <si>
    <t>020105060801</t>
  </si>
  <si>
    <t>ИУ по управлению персоналом</t>
  </si>
  <si>
    <t>020105140101</t>
  </si>
  <si>
    <t>межевание</t>
  </si>
  <si>
    <t>020105061203</t>
  </si>
  <si>
    <t>КУ по развитию электрических сетей</t>
  </si>
  <si>
    <t>020105061301</t>
  </si>
  <si>
    <t>КУ по инновациям</t>
  </si>
  <si>
    <t>КУ по анализу и контролю потерь электроэнергии</t>
  </si>
  <si>
    <t>Затраты по обслуживанию ценных бумаг</t>
  </si>
  <si>
    <t>Услуги банков</t>
  </si>
  <si>
    <t>Противопожарное обслуживание.пром.безопасность</t>
  </si>
  <si>
    <t>Услуги коммунального хозяйства</t>
  </si>
  <si>
    <t>Культмассовые мероприятия (из прибыли)</t>
  </si>
  <si>
    <t>Затраты на ремонт</t>
  </si>
  <si>
    <t>20105060102</t>
  </si>
  <si>
    <t>020105060102</t>
  </si>
  <si>
    <t>020105060903</t>
  </si>
  <si>
    <t>КУ (МСФО)</t>
  </si>
  <si>
    <t>062-0006691</t>
  </si>
  <si>
    <t>Поставка оборудования связи, вычислительной техники и комплектиующих к ней для филиалов (ЗНТ 062-0006691)</t>
  </si>
  <si>
    <t>Поставка оборудования связи, вычислительной техники и комплектиующих к ней</t>
  </si>
  <si>
    <t>062-0005770</t>
  </si>
  <si>
    <t>Поставка металлических опор и стоек СК для ЗЭС (ЗНТ 062-0005770)</t>
  </si>
  <si>
    <t>Поставка металлических опор и стоек СК</t>
  </si>
  <si>
    <t>062-0006566</t>
  </si>
  <si>
    <t>Поставка счетчиков (ЗНТ 062-0006566)</t>
  </si>
  <si>
    <t>Поставка счетчиков</t>
  </si>
  <si>
    <t>Анализ трансформаторного масла</t>
  </si>
  <si>
    <t>Испытания, опыты, исследования</t>
  </si>
  <si>
    <t>Культмассовые мероприятия</t>
  </si>
  <si>
    <t>Материалы по охране труда</t>
  </si>
  <si>
    <t>Метрология</t>
  </si>
  <si>
    <t>Обслуживание автотранспорта: техосмотр,  техническое обслуживание, прочее</t>
  </si>
  <si>
    <t>Обслуживание автотранспорта:техосмотр, техническое обслуживание, прочее</t>
  </si>
  <si>
    <t>Обслуживание автотранспорта: техосмотр, техническое обслуживание, прочее</t>
  </si>
  <si>
    <t xml:space="preserve">Природоохранные мероприятия </t>
  </si>
  <si>
    <t>Работы и услуги производственного характера на ремонт</t>
  </si>
  <si>
    <t>Работы и услуги производственного характера на эксплуатацию (Испытания, опыты, исследования)</t>
  </si>
  <si>
    <t>Работы и услуги производственного характера на эксплуатацию (Противопожарное обслуживание, промбезопасность)</t>
  </si>
  <si>
    <t>Работы и услуги производственного характера на эксплуатацию (Прочие услуги производственного характера)</t>
  </si>
  <si>
    <t>Расходы на приобретение путевок в лагеря отдыха для детей работников и путевки пенсионерам</t>
  </si>
  <si>
    <t>Содержание и эксплуатация электросетевого оборудования</t>
  </si>
  <si>
    <t>Содержание спортзалов</t>
  </si>
  <si>
    <t>Спецпитание</t>
  </si>
  <si>
    <t>Сырье и материалы на эксплуатацию</t>
  </si>
  <si>
    <t>Тех. Обслуживание, эксплуатация сооружений</t>
  </si>
  <si>
    <t xml:space="preserve">Тех.обслуживание, эксплуатация сооружений                     </t>
  </si>
  <si>
    <t>Услуги коммунального хозяйства, в т.ч.*</t>
  </si>
  <si>
    <t>Услуги Мосводоканала</t>
  </si>
  <si>
    <t>Услуги по ремонту (подрядный способ)</t>
  </si>
  <si>
    <t>Утилизация отходов</t>
  </si>
  <si>
    <t xml:space="preserve">Эксплуатационные расходы по зданиям и оборудованию </t>
  </si>
  <si>
    <t>Информационные услуги прочие</t>
  </si>
  <si>
    <t>Расходы на рекламу</t>
  </si>
  <si>
    <t>ТО автоматики бойлеров</t>
  </si>
  <si>
    <t>обследование строительной части ТП, РП</t>
  </si>
  <si>
    <t>ТО оборудования управления доступом</t>
  </si>
  <si>
    <t>Обслуживание административно-производственных зданий</t>
  </si>
  <si>
    <t>ТО системы технологического управления сетью зарядных станций</t>
  </si>
  <si>
    <t>Поверка и ремонт приборов контроля</t>
  </si>
  <si>
    <t>Приобретение спецпитания</t>
  </si>
  <si>
    <t>Приобретение питьевой воды</t>
  </si>
  <si>
    <t>Стирка, химчистка спецодежды</t>
  </si>
  <si>
    <t>Оборудование сушилок</t>
  </si>
  <si>
    <t>Очистка и дезинфекция систем вентиляции и кондиционирования</t>
  </si>
  <si>
    <t>Услуги по размещению отходов производства на полигоне</t>
  </si>
  <si>
    <t>Услуги по вывозу снега</t>
  </si>
  <si>
    <t>Техническое обслуживание систем кондиционирования</t>
  </si>
  <si>
    <t>ТО грузоподъемной техники</t>
  </si>
  <si>
    <t>ТО масляных станций</t>
  </si>
  <si>
    <t>Оказание услуг по снятию показаний приборов учета у потребителей по г.  Москве</t>
  </si>
  <si>
    <t>201050702</t>
  </si>
  <si>
    <t>20105140703</t>
  </si>
  <si>
    <t>КУ по бухгалтерсокму учету и налогой отчетости</t>
  </si>
  <si>
    <t>Расходы на проведение профсоревнований</t>
  </si>
  <si>
    <t>Кульмассовые мероприятия</t>
  </si>
  <si>
    <t>Корпоративные мероприятия</t>
  </si>
  <si>
    <t>Расходы на приобретение питьевой воды</t>
  </si>
  <si>
    <t>064-0001263</t>
  </si>
  <si>
    <t>Неотложные и аварийно- восстановительные работы  по ремонту электротехнического оборудования подстанций (для заключения рамочного договора)</t>
  </si>
  <si>
    <t>Письмо МЭР №9761-АК/ДОЗи от 20.05.2013</t>
  </si>
  <si>
    <t>085-0002585</t>
  </si>
  <si>
    <t>Выполнение СМР, ПНР, материалы, оборудование  по титулу: Строительство нов.БКТП 1х400 кВА, прокладка КЛ 10 кВ до врезки в сущ. КЛ напр. РП-18133 с.2 - ТП-21689Б, от нов.БКТП до оп.127, 128, в т.ч. ПИР: г.Москва, ул.Синявинская,д.1-3</t>
  </si>
  <si>
    <t>I-119855</t>
  </si>
  <si>
    <t>Строительство нов.БКТП 1х400 кВА, прокладка КЛ 10 кВ до врезки в сущ. КЛ напр. РП-18133 с.2 - ТП-21689Б, от нов.БКТП до оп.127, 128, в т.ч. ПИР: г.Москва, ул.Синявинская,д.1-3</t>
  </si>
  <si>
    <t>085-0002600</t>
  </si>
  <si>
    <t>Выполнение СМР, ПНР, материалы, оборудование  по титулу: Строительство новой КТП взамен старой КТП 21859 и прокладка нов. КЛ 10 кВ от КТП 21859 до врезки в КЛ напр. ТП-26345 А - ТП-26346 А, в т.ч. ПИР: г.Москва, д.Лукино</t>
  </si>
  <si>
    <t>I-119877</t>
  </si>
  <si>
    <t>Строительство новой КТП взамен старой КТП 21859 и прокладка нов. КЛ 10 кВ от КТП 21859 до врезки в КЛ напр. ТП-26345 А - ТП-26346 А, в т.ч. ПИР: г.Москва, д.Лукино</t>
  </si>
  <si>
    <t>085-0003846</t>
  </si>
  <si>
    <t>Выполнение СМР, ПНР, материалы по титулу: Строительство КЛ-0,4кВ от ТП-26582 до границ участка заявителя, в т.ч.ПИР: г.Москва, ул. Новая, д.4А, с.1</t>
  </si>
  <si>
    <t>I-132244</t>
  </si>
  <si>
    <t>Строительство КЛ-0,4кВ от ТП-26582 до границ участка заявителя, в т.ч.ПИР: г.Москва, ул. Новая, д.4А, с.1</t>
  </si>
  <si>
    <t>085-0002131</t>
  </si>
  <si>
    <t>Выполнение СМР, ПНР, материалы, оборудование по титулу: Строительство БРТП, ПКЛ-10кВ от ПС №632 до БРТП, КЛ от ПС 762 до БРТП, от ПС-632 до РТП 16051, РКЛ 10кВ от БРТП до КЛ РТП 10106 – РТП 15867, в т.ч. ПИР,г.Москва, ул. Кусковская, влад.1А</t>
  </si>
  <si>
    <t>I-112054</t>
  </si>
  <si>
    <t>Строительство БРТП, ПКЛ-10кВ от ПС №632 до БРТП, КЛ от ПС 762 до БРТП, от ПС-632 до РТП 16051, РКЛ 10кВ от БРТП до КЛ РТП 10106 – РТП 15867, в т.ч. ПИР,г.Москва, ул. Кусковская, влад.1А</t>
  </si>
  <si>
    <t>085-0003040</t>
  </si>
  <si>
    <t>Выполнение ПИР, СМР, ПНР, материалы, оборудование по титулу: Строительство ПКЛ-10 кВ от РУ-0,4 кВ ПС-622 из яч.43 до РП-10142 (яч.24, секция 1), в т.ч. ПИР: г.Москва, ул. Нижняя Красносельская , д.40/12, к.20. В соотвествии с приказом №  925 от 25.11.2012</t>
  </si>
  <si>
    <t>I-122816</t>
  </si>
  <si>
    <t>Строительство ПКЛ-10 кВ от РУ-0,4 кВ ПС-622 из яч.43 до РП-10142 (яч.24, секция 1), в т.ч. ПИР: г.Москва, ул. Нижняя Красносельская , д.40/12, к.20</t>
  </si>
  <si>
    <t>084-0002405</t>
  </si>
  <si>
    <t>Выполнение СМР, ПИР, Оборудование по Строительство ВЛИ-0,38 кВ от РУ-0,4 кВ ТП-148 ПС № 120 "Храпуново", в т.ч. ПИР, М.О., Ногинский р-н, д. Тимохово</t>
  </si>
  <si>
    <t>СМР, ПИР, Оборудование</t>
  </si>
  <si>
    <t>Выполнение СМР, ПИР, Оборудование</t>
  </si>
  <si>
    <t>I-135260</t>
  </si>
  <si>
    <t>Строительство ВЛИ-0,38 кВ от РУ-0,4 кВ ТП-148 ПС № 120 "Храпуново", в т.ч. ПИР, М.О., Ногинский р-н, д. Тимохово</t>
  </si>
  <si>
    <t>084-0002803</t>
  </si>
  <si>
    <t xml:space="preserve">Выполнение ПИР, СМР, ПНР, оборудование  по объектам ТП ВЭС  по приказу №1013  от 30.09.2013 г. (7 объектов)  Коломенский, Зарайский, Луховицкий  р-ны </t>
  </si>
  <si>
    <t>СМР, ПНР, ПИР, Оборудование</t>
  </si>
  <si>
    <t>Выполнение СМР, ПНР, ПИР, Оборудование</t>
  </si>
  <si>
    <t>084-0002804</t>
  </si>
  <si>
    <t>Выполнение СМР, ПНР, ПИР, Оборудование по Строительство ТП-250/10/0,4 кВ с тр-ром 16 кВА, ВЛЗ-10 кВ на уч. оп. 120-130 ВЛ 10 кВ фид. 23 ПС № 616 "Сельниково", ВЛИ-0,38 кВ, в т.ч. ПИР, М.О.,Коломенский р-н, с. Маливо</t>
  </si>
  <si>
    <t>I-139476</t>
  </si>
  <si>
    <t>Строительство ТП-250/10/0,4 кВ с тр-ром 16 кВА, ВЛЗ-10 кВ на уч. оп. 120-130 ВЛ 10 кВ фид. 23 ПС № 616 "Сельниково", ВЛИ-0,38 кВ, в т.ч. ПИР, М.О.,Коломенский р-н, с. Маливо</t>
  </si>
  <si>
    <t>084-0002805</t>
  </si>
  <si>
    <t>Выполнение СМР, ПНР, ПИР, Оборудование по Строительство ТП-160/10/0,4 кВ с тр-ром 16 кВА, ВЛЗ-10 кВ от оп. на уч. 68-69ВЛ 10 кВфид. "Комлево" ПС № 616 "Сельниково", ВЛИ-0,38 кВ, в т.ч. ПИР, М.О., Коломенский р-н, д. Угорная Слобода</t>
  </si>
  <si>
    <t>I-139481</t>
  </si>
  <si>
    <t>Строительство ТП-160/10/0,4 кВ с тр-ром 16 кВА, ВЛЗ-10 кВ от оп. на уч. 68-69ВЛ 10 кВфид. "Комлево" ПС № 616 "Сельниково", ВЛИ-0,38 кВ, в т.ч. ПИР, М.О., Коломенский р-н, д. Угорная Слобода</t>
  </si>
  <si>
    <t>084-0002806</t>
  </si>
  <si>
    <t>Выполнение СМР, ПИР, Оборудование по Строительство ВЛИ-0,38 кВ от оп.2 фид."Село" ТП-450 ПС № 722 "Чанки", в т.ч. ПИР, М.О., Коломенский р-н, с. Нижнее Хорошово</t>
  </si>
  <si>
    <t>I-139418</t>
  </si>
  <si>
    <t>Строительство ВЛИ-0,38 кВ от оп.2 фид."Село" ТП-450 ПС № 722 "Чанки", в т.ч. ПИР, М.О., Коломенский р-н, с. Нижнее Хорошово</t>
  </si>
  <si>
    <t>084-0002807</t>
  </si>
  <si>
    <t>Выполнение СМР, ПИР, Оборудование по Строительство ВЛИ-0,38 кВ от РУ-0,4 кВ ТП-464 ПС № 722 "Чанки", в т.ч. ПИР, М.О., Коломенский р-н, с. Нижнее Хорошово</t>
  </si>
  <si>
    <t>I-139437</t>
  </si>
  <si>
    <t>Строительство ВЛИ-0,38 кВ от РУ-0,4 кВ ТП-464 ПС № 722 "Чанки", в т.ч. ПИР, М.О., Коломенский р-н, с. Нижнее Хорошово</t>
  </si>
  <si>
    <t>084-0002808</t>
  </si>
  <si>
    <t>Выполнение СМР, ПИР, Оборудование по Строительство ВЛИ-0,38 кВ ВЛ-0,4 кВ фид. "Быт № 6"ТП-331 ПС № 768 "Гавриловская", в т.ч. ПИР, М.О., Луховицкий р-н, д. Павловское</t>
  </si>
  <si>
    <t>I-139445</t>
  </si>
  <si>
    <t>Строительство ВЛИ-0,38 кВ ВЛ-0,4 кВ фид. "Быт № 6"ТП-331 ПС № 768 "Гавриловская", в т.ч. ПИР, М.О., Луховицкий р-н, д. Павловское</t>
  </si>
  <si>
    <t>084-0002809</t>
  </si>
  <si>
    <t>Выполнение СМР, ПИР, Оборудование по Строительство ВЛИ-0,38 кВ от оп. 17 ВЛ-0,4 кВ фид. "Запрудная"ПС № 74 "Непецино", в т.ч. ПИР, М.О., Коломенский р-н, с. Федосьино</t>
  </si>
  <si>
    <t>I-139470</t>
  </si>
  <si>
    <t>Строительство ВЛИ-0,38 кВ от оп. 17 ВЛ-0,4 кВ фид. "Запрудная"ПС № 74 "Непецино", в т.ч. ПИР, М.О., Коломенский р-н, с. Федосьино</t>
  </si>
  <si>
    <t>084-0002810</t>
  </si>
  <si>
    <t>Выполнение СМР, ПИР, Оборудование по Строительство ВЛИ-0,38 кВ от РУ-0,4 кВ ТП-112 ПС № 591 "Топканово", в т.ч. ПИР, М.О., Зарайский р-н, д. Федоровка</t>
  </si>
  <si>
    <t>I-139607</t>
  </si>
  <si>
    <t>Строительство ВЛИ-0,38 кВ от РУ-0,4 кВ ТП-112 ПС № 591 "Топканово", в т.ч. ПИР, М.О., Зарайский р-н, д. Федоровка</t>
  </si>
  <si>
    <t>Выполнение СМР, ПНР, поставка материалов по титулу: Реконструкция ПС № 295 Кленово, замена трансформаторов 35/6 кВ 2х3,2 МВА на 2х6,3 МВА (1 ПК, 2 ПК)</t>
  </si>
  <si>
    <t>1 ПК - Приказ №797 от 05.06.2013
2 ПК - Приказ №1828 от 06.11.2013</t>
  </si>
  <si>
    <t>письмо МЭР №9761-АК/ДОЗи от 20.05.2013</t>
  </si>
  <si>
    <t xml:space="preserve">Выполнение ПИР, СМР, ПНР, оборудование </t>
  </si>
  <si>
    <t>Выполнение монтажных, пусконаладочных работ по титулу "Модернизация комплексов регистрации аварийных процессов на ПС ЦЭС - филиала ОАО МОЭСК"</t>
  </si>
  <si>
    <t>Приказ №1567 от 20.09.2013</t>
  </si>
  <si>
    <t>Выполнение монтажных, пусконаладочных работ по титулу "Оборудование клапанной дуговой защитой ячеек КРУ 10кВ на ПС ЦЭС - филиала ОАО МОЭСК"</t>
  </si>
  <si>
    <t>Приказ №1568 от 20.09.2013</t>
  </si>
  <si>
    <t>064-0001162</t>
  </si>
  <si>
    <t>I-100205</t>
  </si>
  <si>
    <t>Реконструкция  ПС №370 Чертаново 220/110/10 кВ</t>
  </si>
  <si>
    <t>085-0002581</t>
  </si>
  <si>
    <t>Выполнение СМР, ПНР, материалы  по титулу: Перекладка 2КЛ 0,4 кВ от ТП 21655 А,Б до вв.103900, в т.ч.ПИР: г.Москва, ул. Б. Молчановка ,д.23 стр.2</t>
  </si>
  <si>
    <t>I-119851</t>
  </si>
  <si>
    <t>Перекладка 2КЛ 0,4 кВ от ТП 21655 А,Б до вв.103900, в т.ч.ПИР: г.Москва, ул. Б. Молчановка ,д.23 стр.2</t>
  </si>
  <si>
    <t>085-0002591</t>
  </si>
  <si>
    <t>Выполнение СМР, ПНР, материалы  по титулу: Перекладка ПКЛ 10кВ РП 10190 -  ПС 630α, РП 16139 - ПС 630, РП 12006 - ПС 630α, РТП 11095 - ПС 630β, РТП 19111 - ПС 630α, в т.ч. ПИР: г.Москва, ул. Криворожская и Нахимовский проспект (до пересечения со Ставропольским проспектом)</t>
  </si>
  <si>
    <t>I-119861</t>
  </si>
  <si>
    <t>Перекладка ПКЛ 10кВ РП 10190 - ПС 630α, РП 16139 - ПС 630, РП 12006 - ПС 630α, РТП 11095 - ПС 630β, РТП 19111 - ПС 630α, в т.ч. ПИР: г.Москва, ул. Криворожская и Нахимовский проспект (до пересечения со Севастопольским проспектом)</t>
  </si>
  <si>
    <t>Приказ №506 от 28.03.2013</t>
  </si>
  <si>
    <t>085-0002595</t>
  </si>
  <si>
    <t>Выполнение СМР, ПНР, материалы, оборудование  по титулу: Прокладка 2КЛ-10 кВ от ТП-4658 до ТП-4998, ТП-4998 до врезки в КЛ напр. ТП-23148 - РП-12176, ТП-4994 до врезки в КЛ напр. ТП-23148 - РП-12176, рек. ТП (замена тр-ров 4х400 кВА), рек. ТП (замена тр-ров 2х630 кВА), в т.ч. ПИР: г.Москва, ул.Фомичевой д.5 - д.7. ул.Героев Панфиловцев д.8, Химкинский б-р</t>
  </si>
  <si>
    <t>I-119866</t>
  </si>
  <si>
    <t>Прокладка 2КЛ-10 кВ, рек. ТП (замена тр-ров 4х400 кВА), рек. ТП (замена тр-ров 2х630 кВА), в т.ч. ПИР: г.Москва, ул.Фомичевой д.5 - д.7. ул.Героев Панфиловцев д.8, Химкинский б-р</t>
  </si>
  <si>
    <t>085-0002596</t>
  </si>
  <si>
    <t>Выполнение СМР, ПНР, материалы, оборудование  по титулу: Реконструкция ТП-14749 по тип.проекту "2ТО-1000", прокладка КЛ от ТП-14749 до вв.34921, 34922, 34923, 34924, 34929, 34930, от ТП-14749 до вв.абонента, прокладка перемычек между щитовыми, в т.ч. ПИР: г.Москва, ул. Маршала Василевского, дом 3, корп.1</t>
  </si>
  <si>
    <t>I-119868</t>
  </si>
  <si>
    <t>Реконструкция ТП-14749 по тип.проекту "2ТО-1000", прокладка КЛ от ТП-14749 до вв.34921, 34922, 34923, 34924, 34929, 34930, от ТП-14749 до вв.абонента, в т.ч. ПИР: г.Москва, ул. Маршала Василевского, дом 3, корп.1</t>
  </si>
  <si>
    <t>085-0002602</t>
  </si>
  <si>
    <t>Выполнение СМР, ПНР, материалы  по титулу: Перекладка  2ПКЛ 10 кВ от ПС 606 "Шелепиха" до РТП 21164, в т.ч. ПИР: г.Москва, ул.Шеногина, д.4, Филевский бул., д.1Г</t>
  </si>
  <si>
    <t>I-119879</t>
  </si>
  <si>
    <t>Перекладка 2ПКЛ 10 кВ от ПС 606 "Шелепиха" до РТП 21164, в т.ч. ПИР: г.Москва, ул.Шеногина, д.4, Филевский бул., д.1Г</t>
  </si>
  <si>
    <t>085-0002608</t>
  </si>
  <si>
    <t>Выполнение СМР, ПНР, материалы  по титулу: Перекладка ПКЛ 10 кВ РТП 21017 - п/ст 806 с.2, в т.ч. ПИР: г.Москва, пр.Мира 119, ВВЦ</t>
  </si>
  <si>
    <t>I-119893</t>
  </si>
  <si>
    <t>Перекладка ПКЛ 10 кВ РТП 21017 - п/ст 806 с.2, в т.ч. ПИР: г.Москва, пр.Мира 119, ВВЦ</t>
  </si>
  <si>
    <t>Приказ №2213 от 22.11.2013</t>
  </si>
  <si>
    <t>085-0002614</t>
  </si>
  <si>
    <t>Выполнение СМР, ПНР, материалы  по титулу: Перекладка КЛ 10 кВ от ТП 22981 Б - ТП 22983 Б, в т.ч. ПИР: г.Москва, Дубровская 1-я ул.,д.8/12, д.6А с.2</t>
  </si>
  <si>
    <t>I-119897</t>
  </si>
  <si>
    <t>Перекладка КЛ 10 кВ от ТП 22981 Б - ТП 22983 Б, в т.ч. ПИР: г.Москва, Дубровская 1-я ул.,д.8/12, д.6А с.2</t>
  </si>
  <si>
    <t>085-0002615</t>
  </si>
  <si>
    <t>Выполнение СМР, ПНР, материалы, оборудование  по титулу: Реконструкция ТП-2886, установка тр-ров 2х400 кВА, прокладка КЛ 10кВ от ТП-2886 до врезки в КЛ напр. ТП-26541 - ТП-23773, РП-5404 - ТП-4937, в т.ч. ПИР: г.Москва, ул. Мещерякова д.4 к.3</t>
  </si>
  <si>
    <t>I-119895</t>
  </si>
  <si>
    <t>Реконструкция ТП-2886, установка тр-ров 2х400 кВА, прокладка КЛ 10кВ от ТП-2886 до врезки в КЛ напр. ТП-26541 - ТП-23773, РП-5404 - ТП-4937, в т.ч. ПИР: г.Москва, ул. Мещерякова д.4 к.3</t>
  </si>
  <si>
    <t>085-0002617</t>
  </si>
  <si>
    <t>Выполнение СМР, ПНР, материалы  по титулу: Перекладка ПКЛ 10 кВ  РП-15145 с.1 - РП-15154 с.1, в т.ч. ПИР: г.Москва, ул.Волоколамское ш., д.95 - Походный пр.,д.2</t>
  </si>
  <si>
    <t>I-119892</t>
  </si>
  <si>
    <t>Перекладка ПКЛ 10 кВ РП-15145 с.1 - РП-15154 с.1, в т.ч. ПИР: г.Москва, ул.Волоколамское ш., д.95 - Походный пр.,д.2</t>
  </si>
  <si>
    <t>085-0002618</t>
  </si>
  <si>
    <t>Выполнение СМР, ПНР, материалы  по титулу: Перекладка ПКЛ 10 кВ ПС 56-РП 12181, т.ч. ПИР: г.Москва, ул.Каширское шоссе, дл.57, к.2 - д.57, к.1</t>
  </si>
  <si>
    <t>I-119890</t>
  </si>
  <si>
    <t>Перекладка ПКЛ 10 кВ ПС 56-РП 12181, т.ч. ПИР: г.Москва, ул.Каширское шоссе, дл.57, к.2 - д.57, к.1</t>
  </si>
  <si>
    <t>085-0002623</t>
  </si>
  <si>
    <t>Выполнение СМР, ПНР, материалы  по титулу: Перекладка КЛ 0,4 кВ от ТП 21655А,Б до вв. 82875, 82876, в т.ч. ПИР: г.Москва, Борисоглебский п-т, д.7</t>
  </si>
  <si>
    <t>I-119882</t>
  </si>
  <si>
    <t>Перекладка КЛ 0,4 кВ от ТП 21655А,Б до вв. 82875, 82876, в т.ч. ПИР: г.Москва, Борисоглебский п-т, д.7</t>
  </si>
  <si>
    <t>085-0002624</t>
  </si>
  <si>
    <t>Выполнение СМР, ПНР, материалы  по титулу: Перекладка КЛ 0,4 кВ ТП 21643 - вв.78840, ТП 21643 -  вв. 78841, в т.ч. ПИР: г.Москва, ул.Садовническая 13</t>
  </si>
  <si>
    <t>I-119881</t>
  </si>
  <si>
    <t>Перекладка КЛ 0,4 кВ ТП 21643 - вв.78840, ТП 21643 - вв. 78841, в т.ч. ПИР: г.Москва, ул.Садовническая 13</t>
  </si>
  <si>
    <t>085-0002625</t>
  </si>
  <si>
    <t>Выполнение СМР, ПНР, материалы  по титулу: Перекладка КЛ 10 кВ от РП-14065 с.1,с.2 - ТП- 16638 А,Б, в т.ч. ПИР: г.Москва, Сигнальный проезд ,вл.10 (под Окружной ж/д)</t>
  </si>
  <si>
    <t>I-119875</t>
  </si>
  <si>
    <t>Перекладка КЛ 10 кВ от РП-14065 с.1,с.2 - ТП- 16638 А,Б, в т.ч. ПИР: г.Москва, Сигнальный проезд ,вл.10 (под Окружной ж/д)</t>
  </si>
  <si>
    <t>085-0002916</t>
  </si>
  <si>
    <t>Выполнение СМР, ПНР, материалы, оборудование по титулу: Реконструкция ТП-12916 по проекту "ТК-2х630" с тр-ми 2х630 кВА, в т.ч.ПИР: г.Москва, Каширское ш., д.76</t>
  </si>
  <si>
    <t>I-121636</t>
  </si>
  <si>
    <t>Реконструкция ТП-12916 по проекту "ТК-2х630" с тр-ми 2х630 кВА, в т.ч.ПИР: г.Москва, Каширское ш., д.76</t>
  </si>
  <si>
    <t>084-0002870</t>
  </si>
  <si>
    <t>Выполнение СМР, ПНР, ПИР, Оборудование по Реконструкция ТП-760 (замена на ТП  с тр-ром 100 кВА) ПС № 168 "Фаустово-аб.", в т.ч. ПИР, М.О., Воскресенский р-н, Белоозерский пгт, ул. Российская</t>
  </si>
  <si>
    <t>I-140343</t>
  </si>
  <si>
    <t>Реконструкция ТП-760 (замена на ТП  с тр-ром 100 кВА) ПС № 168 "Фаустово-аб.", в т.ч. ПИР, М.О., Воскресенский р-н, Белоозерский пгт, ул. Российская</t>
  </si>
  <si>
    <t>084-0002846</t>
  </si>
  <si>
    <t>Выполнение СМР, ПНР, ПИР, Оборудование по Реконструкция оборудования РУ-6 кВ ТП-201, в т.ч. ПИР, М.О., Щелковский р-н, пос. Свердловский</t>
  </si>
  <si>
    <t>I-138619</t>
  </si>
  <si>
    <t>Реконструкция оборудования РУ-6 кВ ТП-201, в т.ч. ПИР, М.О., Щелковский р-н, пос. Свердловский</t>
  </si>
  <si>
    <t>083-0004012</t>
  </si>
  <si>
    <t>Выполнение СМР, ПНР, оборудование и материалы по титулу: Строительство 2-х КЛ 10 кВ от ПС № 25 «Встреча» до ПС 124 «Кокошкино», установка 2-х блок-трансформаторов 10/6 кВ 6,3 МВА на ПС 124 «Кокошкино», в т.ч. ПИР, МО, Наро-Фоминский р-н, пос. Кокошкино</t>
  </si>
  <si>
    <t>I-133599</t>
  </si>
  <si>
    <t>Строительство 2-х КЛ 10 кВ от ПС № 25 «Встреча» до ПС 124 «Кокошкино», установка 2-х блок-трансформаторов 10/6 кВ 6,3 МВА на ПС 124 «Кокошкино», в т.ч. ПИР, МО, Наро-Фоминский р-н, пос. Кокошкино</t>
  </si>
  <si>
    <t>Приказ №1923 от 26.11.2013</t>
  </si>
  <si>
    <t>083-0004451</t>
  </si>
  <si>
    <t>Выполнение ПИР, авторский надзор по титулу:  ПС № 802 "Духанино"</t>
  </si>
  <si>
    <t>Приказ №2888 от 12.12.2013</t>
  </si>
  <si>
    <t>062-0006699</t>
  </si>
  <si>
    <t xml:space="preserve">Аренда электросетевого имущества, входящее в состав электроподстанции 220/20/10 кВ «Ильинская» </t>
  </si>
  <si>
    <t>ОАО «Центральный телеграф».</t>
  </si>
  <si>
    <t>062-0006601</t>
  </si>
  <si>
    <t>Поставка оборудования РЗА (ЗНТ 062-0006601)</t>
  </si>
  <si>
    <t>Поставка оборудования РЗА</t>
  </si>
  <si>
    <t>Справочно к лоту 626601</t>
  </si>
  <si>
    <t>Поставка оборудования РЗА (ЗНТ 062-0006601) по титулу:  Реконструкция ПС 110 кВ Карачарово (замена ячеек 110 кВ), 4 этап</t>
  </si>
  <si>
    <t>I-000005</t>
  </si>
  <si>
    <t>Реконструкция ПС 110 кВ Карачарово (замена ячеек 110 кВ), 4 этап</t>
  </si>
  <si>
    <t>Поставка оборудования РЗА (ЗНТ 062-0006601) по титулу:  Реконструкция ПС-110 кВ "Черкизово"</t>
  </si>
  <si>
    <t>I-100345</t>
  </si>
  <si>
    <t>Реконструкция ПС-110 кВ "Черкизово"</t>
  </si>
  <si>
    <t>Поставка оборудования РЗА (ЗНТ 062-0006601) по титулу:  Оборудование клапанной дуговой защитой ячеек КРУ-10 кВ на ПС ЦЭС - филиала ОАО "МОЭСК"</t>
  </si>
  <si>
    <t>Оборудование клапанной дуговой защитой ячеек КРУ-10 кВ на ПС ЦЭС - филиала ОАО "МОЭСК"</t>
  </si>
  <si>
    <t>062-0006558</t>
  </si>
  <si>
    <t>Поставка силовых трансформаторов напряжением 6-20 кВ (ЗНТ 062-0006558) по титулу: ПС  110 кВ №551 "Пернатово"</t>
  </si>
  <si>
    <t>Поставка силовых трансформаторов напряжением 6-20 кВ</t>
  </si>
  <si>
    <t>062-0006606</t>
  </si>
  <si>
    <t>Поставка вакуумных выключателей 6-20кв (ЗНТ 062-0006606) по титулу:  Реконструкция ОРУ-110 кВ ПС 110/10/6 "Тушино"</t>
  </si>
  <si>
    <t>062-0006667</t>
  </si>
  <si>
    <t>Поставка К-128 (ЗНТ 062-0006667) по титулу:  Реконструкция ОРУ-110 кВ ПС 110/10/6 "Тушино"</t>
  </si>
  <si>
    <t>Поставка К-128</t>
  </si>
  <si>
    <t>Выполнение ПИР и осуществление авторского надзора по реконструкции ПС №370 Чертаново 220/110/10 кВ (V ПК)</t>
  </si>
  <si>
    <t>Письмо МЭР РФ №9761-АК/ДОЗи от 20.05.13</t>
  </si>
  <si>
    <t>086-0000053</t>
  </si>
  <si>
    <t>083-0004820</t>
  </si>
  <si>
    <t>4560531
7421029 
4560521
4530850
4560522
4560523
4560611
7421059</t>
  </si>
  <si>
    <t>Выполнение работ, включая ПИР, авторский надзор, СМР, ПНР, оборудование и материалы по объекту  ЗЭС  приказа  № 1117 от 24.10.2013г  по титулу: Строительство КТП-160/10/0,38 кВ, ВЛЗ-10 кВ от оп.140 ВЛЗ-10 кВ ф.14 ПС-732 "Мухино", в т.ч. ПИР, МО, Рузский р-н, п.Тучково</t>
  </si>
  <si>
    <t>I-141204</t>
  </si>
  <si>
    <t>Строительство КТП-160/10/0,38 кВ, ВЛЗ-10 кВ от оп.140 ВЛЗ-10 кВ ф.14 ПС-732 "Мухино", в т.ч. ПИР, МО, Рузский р-н, п.Тучково</t>
  </si>
  <si>
    <t>083-0004821</t>
  </si>
  <si>
    <t>Выполнение работ, включая ПИР, авторский надзор, СМР, ПНР, оборудование и материалы по объекту  ЗЭС  приказа  № 1117 от 24.10.2013г  по титулу: Строительство ТП-160/10/0,38 кВ, ВЛЗ-10 кВ от ВЛЗ-10 кВ ф.1 ПС-355 "Можайск", в т.ч. ПИР, МО, Можайский р-н, д.Язево</t>
  </si>
  <si>
    <t>I-141215</t>
  </si>
  <si>
    <t>Строительство ТП-160/10/0,38 кВ, ВЛЗ-10 кВ от ВЛЗ-10 кВ ф.1 ПС-355 "Можайск", в т.ч. ПИР, МО, Можайский р-н, д.Язево</t>
  </si>
  <si>
    <t>083-0004714</t>
  </si>
  <si>
    <t>Выполнение работ, включая ПИР, авторский надзор, СМР, ПНР, оборудование и материалы по титулу:Строительство ТП-400/10/0,38 кВ, КЛ-10 кВ от оп.9 ф.4 ПС-649 "Северная" в т.ч. ПИР, МО, Рузский р-н, Руза г, Федеративная ул</t>
  </si>
  <si>
    <t>I-140022</t>
  </si>
  <si>
    <t>Строительство ТП-400/10/0,38 кВ, КЛ-10 кВ от оп.9 ф.4 ПС-649 "Северная" в т.ч. ПИР, МО, Рузский р-н, Руза г, Федеративная ул</t>
  </si>
  <si>
    <t>083-0004715</t>
  </si>
  <si>
    <t>Выполнение работ, включая ПИР, авторский надзор, СМР, ПНР, оборудование и материалы по титулу:Строительство ВЛЗ-10 кВ от ВЛЗ-10 кВ ф.10 ПС-171 "Сычи" в т.ч. ПИР, МО, Волоколамский р-н, Сычево рп, в районе с. Язвище, уч. 9,11</t>
  </si>
  <si>
    <t>I-140042</t>
  </si>
  <si>
    <t>Строительство ВЛЗ-10 кВ от ВЛЗ-10 кВ ф.10 ПС-171 "Сычи" в т.ч. ПИР, МО, Волоколамский р-н, Сычево рп, в районе с. Язвище, уч. 9,11</t>
  </si>
  <si>
    <t>083-0004822</t>
  </si>
  <si>
    <t>Выполнение работ, включая ПИР, авторский надзор, СМР, ПНР, оборудование и материалы по объектам  ЗЭС  приказа  № 1041 от 04.10.2013г  Наро-Фоминского р-на (2 объекта)</t>
  </si>
  <si>
    <t>083-0004823</t>
  </si>
  <si>
    <t>справочно</t>
  </si>
  <si>
    <t>Выполнение работ, включая ПИР, авторский надзор, СМР, ПНР, оборудование и материалы по титулу:Строительство КТП-160/10/0,38 кВ, ВЛЗ-10 кВ от ВЛЗ-10 кВ ПС-25 "Встреча" в т.ч. ПИР, МО,Наро-Фоминский р-н, д.Малые Горки</t>
  </si>
  <si>
    <t>I-140350</t>
  </si>
  <si>
    <t>Строительство КТП-160/10/0,38 кВ, ВЛЗ-10 кВ от ВЛЗ-10 кВ ПС-25 "Встреча" в т.ч. ПИР, МО,Наро-Фоминский р-н, д.Малые Горки</t>
  </si>
  <si>
    <t>083-0004824</t>
  </si>
  <si>
    <t>Выполнение работ, включая ПИР, авторский надзор, СМР, ПНР, оборудование и материалы по титулу:Установка ячейки в РУ 10 кВ РП-36  ПС-25"Встреча" в т.ч. ПИР, МО, Наро-Фоминский р-н, вблизи д.Мартемьяново</t>
  </si>
  <si>
    <t>I-140360</t>
  </si>
  <si>
    <t>Установка ячейки в РУ 10 кВ РП-36  ПС-25"Встреча" в т.ч. ПИР, МО, Наро-Фоминский р-н, вблизи д.Мартемьяново</t>
  </si>
  <si>
    <t>083-0004825</t>
  </si>
  <si>
    <t>Выполнение работ, включая ПИР, авторский надзор, СМР, ПНР, оборудование и материалы по объектам  ЗЭС  приказа  № 1041 от 04.10.2013г  Истринского р-на (3 объекта)</t>
  </si>
  <si>
    <t>083-0004826</t>
  </si>
  <si>
    <t>Выполнение работ, включая ПИР, авторский надзор, СМР, ПНР, оборудование и материалы по титулу:Строительство КТП-160/6/0,38 кВ, ВЛЗ-6 кВ от ВЛЗ 6 кВ ф.11 ПС-145 "Нахабино" в т.ч. ПИР, МО, Истринский р-н, Павло-Слободское с/п, д.Исаково</t>
  </si>
  <si>
    <t>I-140354</t>
  </si>
  <si>
    <t>Строительство КТП-160/6/0,38 кВ, ВЛЗ-6 кВ от ВЛЗ 6 кВ ф.11 ПС-145 "Нахабино" в т.ч. ПИР, МО, Истринский р-н, Павло-Слободское с/п, д.Исаково</t>
  </si>
  <si>
    <t>083-0004827</t>
  </si>
  <si>
    <t>Выполнение работ, включая ПИР, авторский надзор, СМР, ПНР, оборудование и материалы по титулу:Строительство ВЛЗ-10 кВ от ВЛЗ-10 кВ ф.75 ПС-836 "Слобода" в т.ч. ПИР, МО, Истринский р-н, Павло-Слободское с/п, д.Лешково</t>
  </si>
  <si>
    <t>I-140359</t>
  </si>
  <si>
    <t>Строительство ВЛЗ-10 кВ от ВЛЗ-10 кВ ф.75 ПС-836 "Слобода" в т.ч. ПИР, МО, Истринский р-н, Павло-Слободское с/п, д.Лешково</t>
  </si>
  <si>
    <t>083-0004828</t>
  </si>
  <si>
    <t>Выполнение работ, включая ПИР, авторский надзор, СМР, ПНР, оборудование и материалы по титулу:Строительство ВЛЗ-6 кВ от ВЛЗ-6 кВ ф.13 ПС-260 "Дедово"  в т.ч. ПИР, МО, Истринский р-н, Павло-Слободское с/п, д.Лобаново</t>
  </si>
  <si>
    <t>I-140361</t>
  </si>
  <si>
    <t>Строительство ВЛЗ-6 кВ от ВЛЗ-6 кВ ф.13 ПС-260 "Дедово"  в т.ч. ПИР, МО, Истринский р-н, Павло-Слободское с/п, д.Лобаново</t>
  </si>
  <si>
    <t>083-0004479</t>
  </si>
  <si>
    <t>Выполнение работ, включая ПИР, авторский надзор, СМР, ПНР, оборудование и материалы по титулу: Строительство КТП-250/10/0,38 кВ в габ. 400 кВА, ВЛЗ-10 кВ от ВЛЗ-10 кВ ф.2, ф.10 ПС-673 "Бараново",ВЛИ-0,38 кВ, в т.ч. ПИР, Москва, пос. Первомайское</t>
  </si>
  <si>
    <t>I-136216</t>
  </si>
  <si>
    <t>Строительство КТП-250/10/0,38 кВ в габ. 400 кВА, ВЛЗ-10 кВ от ВЛЗ-10 кВ ф.2, ф.10 ПС-673 "Бараново",ВЛИ-0,38 кВ, в т.ч. ПИР, Москва, пос. Первомайское</t>
  </si>
  <si>
    <t>084-0002756</t>
  </si>
  <si>
    <t>Выполнение ПИР, СМР, ПНР, оборудование по Строительство ТП-400/10/0,4 кВ с тр-ром 250 кВА, ВЛЗ-10 кВ от ВЛ-10 кВ фид. 413 ПС № 703 "Туменская", в т.ч. ПИР, М.О., Озерский р-н, вблизи с. Бояркино (пр  №950  от 13.09.2013)</t>
  </si>
  <si>
    <t>I-138758</t>
  </si>
  <si>
    <t>Строительство ТП-400/10/0,4 кВ с тр-ром 250 кВА, ВЛЗ-10 кВ от ВЛ-10 кВ фид. 413 ПС № 703 "Туменская", в т.ч. ПИР, М.О., Озерский р-н, вблизи с. Бояркино</t>
  </si>
  <si>
    <t>084-0002757</t>
  </si>
  <si>
    <t>Выполнение ПИР, СМР, ПНР, оборудование по Строительство ТП-160/6/0,4 кВ с тр-ром 16 кВА, ВЛЗ-6 кВ от  ВЛ-6 кВ фид. 14 ПС № 530 "Фосфоритная", ВЛИ-0,38 кВ, в т.ч. ПИР, М.О.,  Воскресенский р-н, д. Шильково, СНТ "Техноткань" (пр  №950  от 13.09.2013)</t>
  </si>
  <si>
    <t>I-138759</t>
  </si>
  <si>
    <t>Строительство ТП-160/6/0,4 кВ с тр-ром 16 кВА, ВЛЗ-6 кВ от  ВЛ-6 кВ фид. 14 ПС № 530 "Фосфоритная", ВЛИ-0,38 кВ, в т.ч. ПИР, М.О.,  Воскресенский р-н, д. Шильково, СНТ "Техноткань"</t>
  </si>
  <si>
    <t>084-0002761</t>
  </si>
  <si>
    <t>Выполнение ПИР, СМР, ПНР, оборудование по Строительство 2*ТП-40/10/0,4 кВ, ВЛЗ-10 кВ от ВЛ-10 кВ фид. "Леоновский" ПС № 565 "Берендино-тяг.", ВЛЗ-10 кВ от ВЛ-10 кВ фид. 262-26 ПС № 262 "Цюрупа", в т.ч. ПИР, М.О., Воскресенский р-н, д. Богатищево (пр  №950  от 13.09.2013)</t>
  </si>
  <si>
    <t>Строительство 2*ТП-40/10/0,4 кВ, ВЛЗ-10 кВ от ВЛ-10 кВ фид. "Леоновский" ПС № 565 "Берендино-тяг.", ВЛЗ-10 кВ от ВЛ-10 кВ фид. 262-26 ПС № 262 "Цюрупа", в т.ч. ПИР, М.О., Воскресенский р-н, д. Богатищево</t>
  </si>
  <si>
    <t>084-0002701</t>
  </si>
  <si>
    <t xml:space="preserve">Выполнение ПИР, СМР, ПНР, оборудование  по объектам ТП ВЭС  по приказу № 889  от 30.08.2013 г. (3 объекта)  Щелковский  р-н  </t>
  </si>
  <si>
    <t>084-0002702</t>
  </si>
  <si>
    <t>Выполнение ПИР, СМР, ПНР, оборудование по Строительство ТП-63/10/0,4 кВ, ВЛЗ-10 кВ от оп. 12 ВЛ-10 кВ МТП-292-БТ-2 отп. на КТП-285 ПС № 206 "Фрязино", в т.ч. ПИР, М.О., Щелковский р-н, д. Новая Слобода (пр № 889  от 30.08.2013 )</t>
  </si>
  <si>
    <t>I-137534</t>
  </si>
  <si>
    <t>Строительство ТП-63/10/0,4 кВ, ВЛЗ-10 кВ от оп. 12 ВЛ-10 кВ МТП-292-БТ-2 отп. на КТП-285 ПС № 206 "Фрязино", в т.ч. ПИР, М.О., Щелковский р-н, д. Новая Слобода</t>
  </si>
  <si>
    <t>084-0002703</t>
  </si>
  <si>
    <t>Выполнение ПИР, СМР, ПНР, оборудование по Строительство ТП-100/10/0,4 кВ, ВЛЗ-10 кВ от оп. 1 ВЛ-10 кВ ТП-497-ТП-505 ПС № 206 "Фрязино", ВЛИ-0,38 кВ, в т.ч. ПИР, М.О., Щелковский р-н, д. Сабурово (пр № 889  от 30.08.2013 )</t>
  </si>
  <si>
    <t>I-137591</t>
  </si>
  <si>
    <t>Строительство ТП-100/10/0,4 кВ, ВЛЗ-10 кВ от оп. 1 ВЛ-10 кВ ТП-497-ТП-505 ПС № 206 "Фрязино", ВЛИ-0,38 кВ, в т.ч. ПИР, М.О., Щелковский р-н, д. Сабурово</t>
  </si>
  <si>
    <t>084-0002704</t>
  </si>
  <si>
    <t>Выполнение ПИР, СМР, ПНР, оборудование по Строительство ТП-100/10/0,4 кВ, ВЛЗ-10 кВ от оп. 13 ВЛ-10 кВ ТП-497-ТП-505 ПС № 206 "Фрязино", ВЛИ-0,38 кВ, в т.ч. ПИР, М.О., Щелковский р-н, д. Богослово (пр № 889  от 30.08.2013 )</t>
  </si>
  <si>
    <t>I-137593</t>
  </si>
  <si>
    <t>Строительство ТП-100/10/0,4 кВ, ВЛЗ-10 кВ от оп. 13 ВЛ-10 кВ ТП-497-ТП-505 ПС № 206 "Фрязино", ВЛИ-0,38 кВ, в т.ч. ПИР, М.О., Щелковский р-н, д. Богослово</t>
  </si>
  <si>
    <t>084-0002843</t>
  </si>
  <si>
    <t>Выполнение ПИР, СМР, ПНР, оборудование по Строительство ТП-16/6/0,4 кВ, КЛ-6 кВ от оп. 13 КВЛ-6 кВ ПП-7-ТП-4915 ПС № 419 "Минеральная", в т.ч. ПИР, М.О., Балашихинский р-н, д. Русавкино-Романово (пр №1041  от 07.10.2013)</t>
  </si>
  <si>
    <t>I-139964</t>
  </si>
  <si>
    <t>Строительство ТП-16/6/0,4 кВ, КЛ-6 кВ от оп. 13 КВЛ-6 кВ ПП-7-ТП-4915 ПС № 419 "Минеральная", в т.ч. ПИР, М.О., Балашихинский р-н, д. Русавкино-Романово</t>
  </si>
  <si>
    <t>084-0002871</t>
  </si>
  <si>
    <t>Выполнение ПИР, СМР, ПНР, оборудование по Строительство ТП-63/10/0,4 кВ, ВЛЗ-10 кВ от  ВЛ-10 кВ фид. 11 на уч. оп. 81-85 ПС № 703 "Туменская", ВЛИ-0,38 кВ, в т.ч. ПИР, М.О., Коломенский р-н, Коломенский р-н, Карасевский с/о, с/т Афган (пр  №1076  от 11.10.2013)</t>
  </si>
  <si>
    <t>I-140335</t>
  </si>
  <si>
    <t>Строительство ТП-63/10/0,4 кВ, ВЛЗ-10 кВ от  ВЛ-10 кВ фид. 11 на уч. оп. 81-85 ПС № 703 "Туменская", ВЛИ-0,38 кВ, в т.ч. ПИР, М.О., Коломенский р-н, Коломенский р-н, Карасевский с/о, с/т Афган</t>
  </si>
  <si>
    <t>084-0002827</t>
  </si>
  <si>
    <t>Выполнение ПИР, СМР, оборудование по Строительство ВЛИ-0,38 кВ от ЗТП-408 ф.42 ПС № 136 "Трофимово", строительство ВЛИ-0,38 кВ от ЗТП-407 ф.10 ПС № 365 "Полбино" в т.ч. ПИР, М.О., Егорьевский р-н, д. Поповская (пр №1041  от 07.10.2013)</t>
  </si>
  <si>
    <t>ПИР, СМР, оборудование</t>
  </si>
  <si>
    <t>Выполнение ПИР, СМР, оборудование</t>
  </si>
  <si>
    <t>I-139929</t>
  </si>
  <si>
    <t>Строительство ВЛИ-0,38 кВ от ЗТП-408 ф.42 ПС № 136 "Трофимово", строительство ВЛИ-0,38 кВ от ЗТП-407 ф.10 ПС № 365 "Полбино" в т.ч. ПИР, М.О., Егорьевский р-н, д. Поповская</t>
  </si>
  <si>
    <t>084-0002783</t>
  </si>
  <si>
    <t>842783</t>
  </si>
  <si>
    <t>Выполнение ПИР, СМР, ПНР, оборудование по Установка яч. с ВВ на IV сек. шин ЗРУ-6 кВ ПС № 153 "Рубин", установка яч. с ВВ на III сек. шин 6 кВ  РП-3, строительство КЛ-6 кВ от нов. яч. ПС № 153 "Рубин" до нов. яч. РП-3, в т.ч. ПИР, М.О., Озерский р-н, г. Озеры, ул. Ленина, д. 13 (пр № 976  от 20.09.2013 )</t>
  </si>
  <si>
    <t>I-139184</t>
  </si>
  <si>
    <t>Установка яч. с ВВ на IV сек. шин ЗРУ-6 кВ ПС № 153 "Рубин", установка яч. с ВВ на III сек. шин 6 кВ  РП-3, строительство КЛ-6 кВ от нов. яч. ПС № 153 "Рубин" до нов. яч. РП-3, в т.ч. ПИР, М.О., Озерский р-н, г. Озеры, ул. Ленина, д. 13</t>
  </si>
  <si>
    <t>084-0002784</t>
  </si>
  <si>
    <t>842784</t>
  </si>
  <si>
    <t>Выполнение ПИР, СМР, ПНР, оборудование по Строительство ТП-100/10/0,4 кВ, ВЛЗ-10 кВ от оп. 76 ВЛ-10 кВ фид. 45 ПС № 136 "Трофимово", в т.ч. ПИР, М.О., Коломенский р-н, Макшевский сельский округ, ориентир: д. Афанасьево, д.32 (пр № 976  от 20.09.2013 )</t>
  </si>
  <si>
    <t>I-139186</t>
  </si>
  <si>
    <t>Строительство ТП-100/10/0,4 кВ, ВЛЗ-10 кВ от оп. 76 ВЛ-10 кВ фид. 45 ПС № 136 "Трофимово", в т.ч. ПИР, М.О., Коломенский р-н, Макшевский сельский округ, ориентир: д. Афанасьево, д.32</t>
  </si>
  <si>
    <t>084-0002911</t>
  </si>
  <si>
    <t>842911</t>
  </si>
  <si>
    <t>Выполнение ПИР, СМР, ПНР, оборудование по Установка и наладка яч. №14 на II сек. шин на ПС № 495 "Щурово", в т.ч. ПИР, М.О., г. Коломна, Пирочинское шоссе (пр  №1117  от 24.10.2013)</t>
  </si>
  <si>
    <t>I-142001</t>
  </si>
  <si>
    <t>Установка и наладка яч. №14 на II сек. шин на ПС № 495 "Щурово", в т.ч. ПИР, М.О., г. Коломна, Пирочинское шоссе</t>
  </si>
  <si>
    <t>084-0002912</t>
  </si>
  <si>
    <t>843912</t>
  </si>
  <si>
    <t>Выполнение ПИР, СМР, ПНР, оборудование по Строительство ТП-100/6/0,4 кВ, ВЛЗ-6 кВ от ВЛ-6 кВ фид. 211 ПС № 73 "Озеры", в т.ч. ПИР, М.О., Озерский р-н, г. Озеры, ул. Свердлова, к.н. 50:36:0010139:1 (пр  №1117  от 24.10.2013)</t>
  </si>
  <si>
    <t>I-141570</t>
  </si>
  <si>
    <t>Строительство ТП-100/6/0,4 кВ, ВЛЗ-6 кВ от ВЛ-6 кВ фид. 211 ПС № 73 "Озеры", в т.ч. ПИР, М.О., Озерский р-н, г. Озеры, ул. Свердлова, к.н. 50:36:0010139:1</t>
  </si>
  <si>
    <t>084-0002913</t>
  </si>
  <si>
    <t>844913</t>
  </si>
  <si>
    <t>Выполнение ПИР, СМР, ПНР, оборудование по Строительство ТП-100/10/0,4 кВ с тр-ром 63 кВА, ВЛЗ-10 кВ от ВЛ-10 кВ фид. 537-01 ПС № 537  "Виноградово-тяг.", ВЛИ-0,38 кВ, в т.ч. ПИР, М.О., Воскресенский р-н, п. Виноградово (пр  №1117  от 24.10.2013)</t>
  </si>
  <si>
    <t>I-141577</t>
  </si>
  <si>
    <t>Строительство ТП-100/10/0,4 кВ с тр-ром 63 кВА, ВЛЗ-10 кВ от ВЛ-10 кВ фид. 537-01 ПС № 537  "Виноградово-тяг.", ВЛИ-0,38 кВ, в т.ч. ПИР, М.О., Воскресенский р-н, п. Виноградово</t>
  </si>
  <si>
    <t>084-0002914</t>
  </si>
  <si>
    <t>845914</t>
  </si>
  <si>
    <t>Выполнение ПИР, СМР, ПНР, оборудование по Строительство ТП-100/6/0,4 кВ, ВЛЗ-6 кВ от оп. 65  ВЛ-6 кВ КРУН-11-КТП-1067 ПС № 636 "Пичурино", ВЛИ-0,38 кВ, в т.ч. ПИР, М.О., Орехово-Зуевский р-н, д. Устьяново (пр  №1117  от 24.10.2013)</t>
  </si>
  <si>
    <t>I-141579</t>
  </si>
  <si>
    <t>Строительство ТП-100/6/0,4 кВ, ВЛЗ-6 кВ от оп. 65  ВЛ-6 кВ КРУН-11-КТП-1067 ПС № 636 "Пичурино", ВЛИ-0,38 кВ, в т.ч. ПИР, М.О., Орехово-Зуевский р-н, д. Устьяново</t>
  </si>
  <si>
    <t>084-0002915</t>
  </si>
  <si>
    <t>846915</t>
  </si>
  <si>
    <t>Выполнение ПИР, СМР, оборудование по Строительство ВЛИ-0,38 кВ от РУ-0,4 кВ  ТП-245 ПС № 626 "Экситон-аб.", в т.ч. ПИР, М.О., Павлово-Посадский р-н, д. Логиново (пр  №1117  от 24.10.2013)</t>
  </si>
  <si>
    <t>I-141193</t>
  </si>
  <si>
    <t>Строительство ВЛИ-0,38 кВ от РУ-0,4 кВ  ТП-245 ПС № 626 "Экситон-аб.", в т.ч. ПИР, М.О., Павлово-Посадский р-н, д. Логиново</t>
  </si>
  <si>
    <t>081-0004151</t>
  </si>
  <si>
    <t>Выполнение ПИР, СМР, ПНР, оборудование по объектам ТП СЭС Талдомского  р-на по пр.1218 от 18.11.2013</t>
  </si>
  <si>
    <t>081-0004133</t>
  </si>
  <si>
    <t>Выполнение ПИР, СМР, ПНР, оборудование по Строительство ТП-10/0,4 кВ, ВЛЗ-10 кВ от ВЛЗ-10 кВ ф.1 ПС №393 "Станки", ВЛИ-0,38 кВ, в т.ч. ПИР, МО, Талдомский р-н, д. Бакшеиха</t>
  </si>
  <si>
    <t>I-142481</t>
  </si>
  <si>
    <t>Строительство ТП-10/0,4 кВ, ВЛЗ-10 кВ от ВЛЗ-10 кВ ф.1 ПС №393 "Станки", ВЛИ-0,38 кВ, в т.ч. ПИР, МО, Талдомский р-н, д. Бакшеиха</t>
  </si>
  <si>
    <t>081-0004134</t>
  </si>
  <si>
    <t>Выполнение ПИР, СМР, ПНР, оборудование по Строительство ТП-10/0,4 кВ, ВЛЗ-10 кВ от ВЛЗ-10 кВ Ф-1 ПС №393 "Станки", ВЛИ-0,38 кВ, в т.ч. ПИР, МО, Талдомский р-н, д. Бакшеиха</t>
  </si>
  <si>
    <t>I-142482</t>
  </si>
  <si>
    <t>Строительство ТП-10/0,4 кВ, ВЛЗ-10 кВ от ВЛЗ-10 кВ Ф-1 ПС №393 "Станки", ВЛИ-0,38 кВ, в т.ч. ПИР, МО, Талдомский р-н, д. Бакшеиха</t>
  </si>
  <si>
    <t>081-0004132</t>
  </si>
  <si>
    <t>Выполнение ПИР, СМР, ПНР, оборудование по Строительство 2КРУН-10 кВ, РКЛ-10 кВ, установка яч., ПС № 71 Поварово; в т.ч. ПИР, МО, Солнечногорский р-н по пр.1218 от 18.11.2013 и 1234 от 21.11.2013</t>
  </si>
  <si>
    <t>Письмо МЭР № 9761-АК/ДОЗи от 20.05.2013</t>
  </si>
  <si>
    <t>I-143006</t>
  </si>
  <si>
    <t>Строительство 2КРУН-10 кВ, РКЛ-10 кВ, установка яч., ПС № 71 Поварово; в т.ч. ПИР, МО, Солнечногорский р-н</t>
  </si>
  <si>
    <t>081-0004193</t>
  </si>
  <si>
    <t>Выполнение ПИР, СМР, ПНР, оборудование по Строительство БКТП-10/0,4 кВ, КЛ-10 кВ от ЦРП-26, ВЛИ-0,38 кВ, ПС №664 "Аксаково", в т.ч. ПИР, МО, Мытищинский р-н, д. Малое Ивановское, уч.103 по пр.1261 от 28.11.2013</t>
  </si>
  <si>
    <t>I-132527</t>
  </si>
  <si>
    <t>Строительство БКТП-10/0,4 кВ, КЛ-10 кВ от ЦРП-26, ВЛИ-0,38 кВ, ПС №664 "Аксаково", в т.ч. ПИР, МО, Мытищинский р-н, д. Малое Ивановское, уч.103</t>
  </si>
  <si>
    <t>081-0004192</t>
  </si>
  <si>
    <t>Выполнение ПИР, СМР, ПНР, оборудование по Строительство ТП-10/0,4 кВ, ячейки КСО-298, 2КЛ-10 кВ от ЦРП-104, проект 2- проколов методом ГНБ, ПС №688 "Планерная", в т.ч. ПИР, МО, Химкинский р-н, пересечение а/д Москава-Санкт-Петербург на 22 км+120 Вашутино-Яковлево ПК 72+80 по пр.1261 от 28.11.2013</t>
  </si>
  <si>
    <t>I-143036</t>
  </si>
  <si>
    <t>Строительство ТП-10/0,4 кВ, ячейки КСО-298, 2КЛ-10 кВ от ЦРП-104, проект 2- проколов методом ГНБ, ПС №688 "Планерная", в т.ч. ПИР, МО, Химкинский р-н, пересечение а/д Москава-Санкт-Петербург на 22 км+120 Вашутино-Яковлево ПК 72+80</t>
  </si>
  <si>
    <t>085-0004055</t>
  </si>
  <si>
    <t>854055</t>
  </si>
  <si>
    <t>Выполнение ПИР по титулу: Строительство РТП-26075 по инд. проекту, 1ПКЛ-10кВ от ПС-91 до РТП-26075, от ПС-267 до РТП-14141; 2КЛ от РТП-26075 до РТП-20129; КЛ до 1кВ от РТП-26075 до ВРЩ т.ч. ПИР: г.Москва, ул.Ленинская Слобода, влад.11</t>
  </si>
  <si>
    <t>Строительство РТП-26075 по инд. проекту, 1ПКЛ-10кВ от ПС-91 до РТП-26075, от ПС-267 до РТП-14141; 2КЛ от РТП-26075 до РТП-20129; КЛ до 1кВ от РТП-26075 до ВРЩ т.ч. ПИР: г.Москва, ул.Ленинская Слобода, влад.11</t>
  </si>
  <si>
    <t>085-0004366</t>
  </si>
  <si>
    <t>Выполнение ПИР по титулу: Реконструкция ВЛ 0,4кВ ТП22726 по адресу: г. Москва, ул.Козлова-ул.Тюльпанная</t>
  </si>
  <si>
    <t>085-0004368</t>
  </si>
  <si>
    <t>Выполнение ПИР по титулу: Реконструкция ВЛ 0,4 кВ ТП24670-пос.Бутово по адресу: г. Москва, ул. Краснолиманская, д. 8</t>
  </si>
  <si>
    <t>085-0004627</t>
  </si>
  <si>
    <t>854627</t>
  </si>
  <si>
    <t>Выполнение ПИР, СМР, ПНР, материалы по титулу: Строительство 2КЛ-0,4 кВ от ТП-13366 до границ участка заявителя, в т.ч. ПИР: г.Москва, ул. Широкая, д.14, к.1</t>
  </si>
  <si>
    <t>Аванс от ТП</t>
  </si>
  <si>
    <t>I-141054</t>
  </si>
  <si>
    <t>Строительство 2КЛ-0,4 кВ от ТП-13366 до границ участка заявителя, в т.ч. ПИР: г.Москва, ул. Широкая, д.14, к.1</t>
  </si>
  <si>
    <t>085-0004606</t>
  </si>
  <si>
    <t>Выполнение ПИР, СМР, ПНР, материалы по титулу: Строительство КЛ-0,4 кВ от ТП-18562 до ВРЩ-0,4 кВ заявителя, в т.ч.ПИР: г.Москва, ул.Полтавская, д.2</t>
  </si>
  <si>
    <t>I-139887</t>
  </si>
  <si>
    <t>Строительство КЛ-0,4 кВ от ТП-18562 до ВРЩ-0,4 кВ заявителя, в т.ч.ПИР: г.Москва, ул.Полтавская, д.2</t>
  </si>
  <si>
    <t>085-0004660</t>
  </si>
  <si>
    <t>Выполнение ПИР, СМР, ПНР, материалы по двум титулам ТП ИПР МКС по адресам: 3-й Силикатный  проезд, Коровинское ш. для нужд МКС - филиала ОАО "МОЭСК"</t>
  </si>
  <si>
    <t>Плата за ТП/авансы от ТП</t>
  </si>
  <si>
    <t>085-0004610</t>
  </si>
  <si>
    <t>Выполнение ПИР, СМР, ПНР, материалы по титулу: Строительство 3КЛ до 1кВ от ТП-15666 (луч А) до границ участка заявителя, в т.ч.ПИР: г.Москва,  Коровинское ш, влад.17-19</t>
  </si>
  <si>
    <t>I-140551</t>
  </si>
  <si>
    <t>Строительство 3КЛ до 1кВ от ТП-15666 (луч А) до границ участка заявителя, в т.ч.ПИР: г.Москва,  Коровинское ш, влад.17-19</t>
  </si>
  <si>
    <t>085-0004608</t>
  </si>
  <si>
    <t>Выполнение ПИР, СМР, ПНР, материалы по титулу: Строительство 2КЛ до 1 кВ от ТП 24808 до границ участка заявителя, в т.ч. ПИР: Москва, 3-й Силикатный  проезд, дом 1, корпус 1</t>
  </si>
  <si>
    <t>I-140566</t>
  </si>
  <si>
    <t>Строительство 2КЛ до 1 кВ от ТП 24808 до границ участка заявителя, в т.ч. ПИР: Москва, 3-й Силикатный  проезд, дом 1, корпус 1</t>
  </si>
  <si>
    <t>085-0004647</t>
  </si>
  <si>
    <t>854647</t>
  </si>
  <si>
    <t>Выполнение ПИР, СМР, ПНР, материалы по титулу: Строительство 2КЛ до 1кВ от ТП-17216 до  границ участка заявителя, в т.ч.ПИР: г.Москва, 2-ой Павелецкий пр-д., д.12А</t>
  </si>
  <si>
    <t>I-140181</t>
  </si>
  <si>
    <t>Строительство 2КЛ до 1кВ от ТП-17216 до  границ участка заявителя, в т.ч.ПИР: г.Москва, 2-ой Павелецкий пр-д., д.12А</t>
  </si>
  <si>
    <t>085-0004656</t>
  </si>
  <si>
    <t>Выполнение ПИР, СМР, ПНР, материалы, оборудование (за исключением замков, предоставляемых Заказчиком) по двум титулам ТП ИПР МКС по адресам: г.Москва, Бережковская наб., Вернадского пр-т для нужд МКС - филиала ОАО "МОЭСК"</t>
  </si>
  <si>
    <t>ПИР, СМР, ПНР, материалы, оборудование</t>
  </si>
  <si>
    <t>Выполнение ПИР, СМР, ПНР, материалы, оборудование</t>
  </si>
  <si>
    <t>085-0004613</t>
  </si>
  <si>
    <t>Выполнение ПИР, СМР, ПНР, материалы по титулу: Строительство 2РКЛ-10 кВ напр. от РТП-11097 до ТП-10507, от РТП-11097 до ТП-10406, в т.ч. ПИР: г. Москва, Бережковская наб., д.22</t>
  </si>
  <si>
    <t>I-139783</t>
  </si>
  <si>
    <t>Строительство 2РКЛ-10 кВ напр. от РТП-11097 до ТП-10507, от РТП-11097 до ТП-10406, в т.ч. ПИР: г. Москва, Бережковская наб., д.22</t>
  </si>
  <si>
    <t>085-0004625</t>
  </si>
  <si>
    <t>Выполнение ПИР, СМР, ПНР, материалы, оборудование (за исключением замков, предоставляемых Заказчиком) по титулу: Строительство ТП объекта с тр-ми 2х1250 кВА, 2КЛ-10 кВ от ТП объекта до РТП, 12КЛ-0,4 кВ от ТП объекта до ВРЩ-1,2,3,4,5,6,7,8 Заявителя, в т.ч. ПИР: г.Москва, Вернадского пр-т, к.22</t>
  </si>
  <si>
    <t>I-141063</t>
  </si>
  <si>
    <t>Строительство ТП объекта с тр-ми 2х1250 кВА, 2КЛ-10 кВ от ТП объекта до РТП, 12КЛ-0,4 кВ от ТП объекта до ВРЩ-1,2,3,4,5,6,7,8 Заявителя, в т.ч. ПИР: г.Москва, Вернадского пр-т, к.22</t>
  </si>
  <si>
    <t>085-0004635</t>
  </si>
  <si>
    <t>854635</t>
  </si>
  <si>
    <t>Выполнение ПИР, СМР, ПНР, материалы, оборудование (за исключением замков, предоставляемых Заказчиком) по титулу: Строительство нов.ТП объекта с уст.тр-ров 2х630кВА, РКЛ-10кВ от нов.ТП объекта до КЛ напр.ТП-12338 - ТП-25166 А,Б, в т.ч.ПИР: г.Москва, ул.Вельяминовская, вл.34, с.23</t>
  </si>
  <si>
    <t xml:space="preserve"> I-140067</t>
  </si>
  <si>
    <t>Строительство нов.ТП объекта с уст.тр-ров 2х630кВА, РКЛ-10кВ от нов.ТП объекта до КЛ напр.ТП-12338 - ТП-25166 А,Б, в т.ч.ПИР: г.Москва, ул.Вельяминовская, вл.34, с.23</t>
  </si>
  <si>
    <t>085-0004638</t>
  </si>
  <si>
    <t>854638</t>
  </si>
  <si>
    <t>Выполнение ПИР, СМР, ПНР, материалы, оборудование (за исключением замков, предоставляемых Заказчиком) по титулу: Строительство 2КЛ-0,4 кВ от ТП-4072 до ВРЩ-0,4 кВ заявителя с уст.4-х рубильников, в т.ч. ПИР: г.Москва, ул. Краснобогатырская, вл.22</t>
  </si>
  <si>
    <t>I-141053</t>
  </si>
  <si>
    <t>Строительство 2КЛ-0,4 кВ от ТП-4072 до ВРЩ-0,4 кВ заявителя с уст.4-х рубильников, в т.ч. ПИР: г.Москва, ул. Краснобогатырская, вл.22</t>
  </si>
  <si>
    <t>085-0004443</t>
  </si>
  <si>
    <t>854443</t>
  </si>
  <si>
    <t>Выполнение ПИР, СМР, ПНР, материалы по титулу:  Строительство ПКЛ-10 кВ от яч.302,306 ПС 220 кВ Говорово до КЛ напр.ПС 377-РТП-17108 с монт.муфт в ст.РТП-17108, в т.ч.ПИР: г.Москва, ул.Авиаторов, вл.9</t>
  </si>
  <si>
    <t>I-134081</t>
  </si>
  <si>
    <t>Строительство ПКЛ-10 кВ от яч.302,306 ПС 220 кВ Говорово до КЛ напр.ПС 377-РТП-17108 с монт.муфт в ст.РТП-17108, в т.ч.ПИР: г.Москва, ул.Авиаторов, вл.9</t>
  </si>
  <si>
    <t>085-0004657</t>
  </si>
  <si>
    <t>854657</t>
  </si>
  <si>
    <t>Выполнение СМР, ПНР, материалы, оборудование (за исключением замков, предоставляемых Заказчиком) по титулу: Строительство БРТП, ПКЛ-10 кВ от ПС-838 до БРТП «нов.», от ПС-838 до врезки в КЛ, от БРТП «нов.» до врезки в КЛ; РКЛ-10 кВ от БРТП «нов.» до ТП-26485 с устройством закрытых переходов, в т.ч. ПИР, г.Москва, ул. Орджоникидзе, д.5</t>
  </si>
  <si>
    <t>СМР, ПНР, материалы, оборудование</t>
  </si>
  <si>
    <t>Выполнение СМР, ПНР, материалы, оборудование</t>
  </si>
  <si>
    <t>I-105100</t>
  </si>
  <si>
    <t>Строительство БРТП, ПКЛ-10 кВ от ПС-838 до БРТП «нов.», от ПС-838 до врезки в КЛ, от БРТП «нов.» до врезки в КЛ; РКЛ-10 кВ от БРТП «нов.» до ТП-26485 с устройством закрытых переходов, в т.ч. ПИР, г.Москва, ул. Орджоникидзе, д.5</t>
  </si>
  <si>
    <t>1944 от 22.10.2013</t>
  </si>
  <si>
    <t>085-0004002</t>
  </si>
  <si>
    <t>854002</t>
  </si>
  <si>
    <t>Выполнение ПИР, СМР, ПНР, материалы, оборудование (за исключением замков, предоставляемых Заказчиком) по титулу: Строит-во нов.РП,2хТП с уст.тр.2х1000кВА,2хПКЛ-10кВ от ПС Таганская до нов.РП,2КЛ-10кВ от нов.РП до КЛ напр.РП12279-РП19089, 6КЛ от нов.РП с зах. в 2хТП, 2КЛ-0,4кВ от ТП до ВРЩ нов.РП, в.т.ч.ПИР, по адресу: г.Москва, бульв. Энтузиастов, д.2</t>
  </si>
  <si>
    <t xml:space="preserve">ПИР, СМР, ПНР, материалы, оборудование (за исключением замков, предоставляемых Заказчиком) </t>
  </si>
  <si>
    <t xml:space="preserve">Выполнение ПИР, СМР, ПНР, материалы, оборудование (за исключением замков, предоставляемых Заказчиком) </t>
  </si>
  <si>
    <t>085-0004339</t>
  </si>
  <si>
    <t>854339</t>
  </si>
  <si>
    <t>Выполнение ПИР, СМР, ПНР, материалы, оборудование по титулу: Строительство ТП объекта по проекту «БКТП-1000» с тр-ми 2х1000 кВА, РКЛ-10 кВ от РП-685 до ТП-308 с заходом в ТП объекта, КЛ-0,4 кВ от ТП объекта до ВРЩ-0,4 кВ объекта, в т.ч. ПИР: г.Москва, ул.Садовническая, д.80/2</t>
  </si>
  <si>
    <t>Авнс от ТП</t>
  </si>
  <si>
    <t>I-133046</t>
  </si>
  <si>
    <t>Строительство ТП объекта по проекту «БКТП-1000» с тр-ми 2х1000 кВА, РКЛ-10 кВ от РП-685 до ТП-308 с заходом в ТП объекта, КЛ-0,4 кВ от ТП объекта до ВРЩ-0,4 кВ объекта, в т.ч. ПИР: г.Москва, ул.Садовническая, д.80/2</t>
  </si>
  <si>
    <t>085-0003636</t>
  </si>
  <si>
    <t>853636</t>
  </si>
  <si>
    <t>Выполнение ПИР, СМР, ПНР, материалы, оборудование (за исключением замков, предоставляемых Заказчиком) по титулу: Строительство ТП объекта по пр. «2БКТП-1000(1250)» с уст.тр-ров 2х630 кВА, РКЛ-10 кВ от ТП объекта до КЛ напр. ТП-12502-ТП-12552, в т.ч. ПИР: г.Москва, ВМО Проспект Вернадского, пр-т.Вернадского, кв.32-33, к.48 (ул.Лобачевского, 6-1)</t>
  </si>
  <si>
    <t>I-131632</t>
  </si>
  <si>
    <t>Строительство ТП объекта по пр. «2БКТП-1000(1250)» с уст.тр-ров 2х630 кВА, РКЛ-10 кВ от ТП объекта до КЛ напр. ТП-12502-ТП-12552, в т.ч. ПИР: г.Москва, ВМО Проспект Вернадского, пр-т.Вернадского, кв.32-33, к.48 (ул.Лобачевского, 6-1)</t>
  </si>
  <si>
    <t>085-0004588</t>
  </si>
  <si>
    <t>Выполнение ПИР, СМР, ПНР, материалы, оборудование (за исключением замков, предоставляемых Заказчиком) по титулам ТП ИПР МКС по адресам: бул. Яна Райниса, ул.Салтыковская, ул.Чаплыгина для нужд МКС - филиала ОАО "МОЭСК"</t>
  </si>
  <si>
    <t>согласно технического задания</t>
  </si>
  <si>
    <t>085-0004547</t>
  </si>
  <si>
    <t>Выполнение ПИР, СМР, ПНР, материалы по титулу:  Строительство КЛ-0,4 кВ от ТП-13668 до границ участка заявителя, в т.ч.ПИР: г.Москва, бульвар Яна Райниса, д.8</t>
  </si>
  <si>
    <t>I-138635</t>
  </si>
  <si>
    <t>Строительство КЛ-0,4 кВ от ТП-13668 до границ участка заявителя, в т.ч.ПИР: г.Москва, бульвар Яна Райниса, д.8</t>
  </si>
  <si>
    <t>085-0004548</t>
  </si>
  <si>
    <t>Выполнение ПИР, СМР, ПНР, материалы по титулу:  Строительство КЛ-0,4 кВ от ТП-22172 А до ВРЩ-0,4 кВ заявителя, в т.ч.ПИР: г.Москва, ул.Салтыковская, д.8Б</t>
  </si>
  <si>
    <t>I-136450</t>
  </si>
  <si>
    <t>Строительство КЛ-0,4 кВ от ТП-22172 А до ВРЩ-0,4 кВ заявителя, в т.ч.ПИР: г.Москва, ул.Салтыковская, д.8Б</t>
  </si>
  <si>
    <t>085-0004580</t>
  </si>
  <si>
    <t>Выполнение ПИР, СМР, ПНР, материалы, оборудование (за исключением замков, предоставляемых Заказчиком) по титулу: Реконструкция ТП-360 по проекту "2ТК-1000"  с установкой. тр-ров 2х1000 кВА взамен сущ. 2х630 кВА, уст.комб.сборки н/н, в т.ч. ПИР: г.Москва, ул.Чаплыгина, д.20, с.3,5,6,8</t>
  </si>
  <si>
    <t>I-132742</t>
  </si>
  <si>
    <t>Реконструкция ТП-360 по проекту "2ТК-1000"  с установкой. тр-ров 2х1000 кВА взамен сущ. 2х630 кВА, уст.комб.сборки н/н, в т.ч. ПИР: г.Москва, ул.Чаплыгина, д.20, с.3,5,6,8</t>
  </si>
  <si>
    <t>085-0004581</t>
  </si>
  <si>
    <t>Выполнение ПИР, СМР, ПНР, материалы по титулу:  Строительство 1РКЛ-10кВ от ТП-360(А) до РП-676, 1РКЛ-10кВ от ТП-360Б до ТП-184(Б), 1РКЛ ТП-360(А) до ТП-2157(А) , 4КЛ до 1кВ от ТП-360 до ВРЩ 0,4кВ, в т.ч.ПИР: г.Москва, ул.Чаплыгина, д.20, с.3,5,6,8</t>
  </si>
  <si>
    <t>I-132743</t>
  </si>
  <si>
    <t>Строительство 1РКЛ-10кВ от ТП-360(А) до РП-676, 1РКЛ-10кВ от ТП-360Б до ТП-184(Б), 1РКЛ ТП-360(А) до ТП-2157(А) , 4КЛ до 1кВ от ТП-360 до ВРЩ 0,4кВ, в т.ч.ПИР: г.Москва, ул.Чаплыгина, д.20, с.3,5,6,8</t>
  </si>
  <si>
    <t>085-0004500</t>
  </si>
  <si>
    <t>Выполнение ПИР, СМР, ПНР, материалы по титулу: Строительство КЛ-0,4 кВ от ТП-19866 до границ участка заявителя, в т.ч.ПИР: г.Москва, ул.Мясницкая, д.30/1/2, с.2</t>
  </si>
  <si>
    <t>I-136427</t>
  </si>
  <si>
    <t>Строительство КЛ-0,4 кВ от ТП-19866 до границ участка заявителя, в т.ч.ПИР: г.Москва, ул.Мясницкая, д.30/1/2, с.2</t>
  </si>
  <si>
    <t>085-0004515</t>
  </si>
  <si>
    <t>Выполнение ПИР, СМР, ПНР, материалы, оборудование по четырем титулам ТП ИПР МКС по адресам:г.Москва, Анадырский пр-д, Ленинградское ш., ул.Академика Павлова, ул.Сальвадора Альенде для нужд МКС - филиала ОАО "МОЭСК"</t>
  </si>
  <si>
    <t>085-0004492</t>
  </si>
  <si>
    <t>Выполнение ПИР, СМР, ПНР, материалы по титулу:  Строительство КЛ-0,4 кВ от ТП-25979 А или Б до границ участка заявителя, в т.ч.ПИР: г.Москва, Анадырский пр-д, д.41</t>
  </si>
  <si>
    <t>I-137152</t>
  </si>
  <si>
    <t>Строительство КЛ-0,4 кВ от ТП-25979 А или Б до границ участка заявителя, в т.ч.ПИР: г.Москва, Анадырский пр-д, д.41</t>
  </si>
  <si>
    <t>085-0004493</t>
  </si>
  <si>
    <t>Выполнение ПИР, СМР, ПНР, материалы, оборудование по титулу: Строительство КЛ-0,4 кВ от ТП-24561 Б до границ участка заявителя, в т.ч.ПИР: г.Москва, Ленинградское ш., д.15</t>
  </si>
  <si>
    <t>I-134068</t>
  </si>
  <si>
    <t>Строительство КЛ-0,4 кВ от ТП-24561 Б до границ участка заявителя, в т.ч.ПИР: г.Москва, Ленинградское ш., д.15</t>
  </si>
  <si>
    <t>085-0004494</t>
  </si>
  <si>
    <t>Выполнение ПИР, СМР, ПНР, материалы по титулу:  Строительство КЛ-0,4 кВ от ТП-6834 до границ участка заявителя, в т.ч.ПИР: г.Москва, ул.Академика Павлова, д.10</t>
  </si>
  <si>
    <t>I-138121</t>
  </si>
  <si>
    <t>Строительство КЛ-0,4 кВ от ТП-6834 до границ участка заявителя, в т.ч.ПИР: г.Москва, ул.Академика Павлова, д.10</t>
  </si>
  <si>
    <t>085-0004495</t>
  </si>
  <si>
    <t>Выполнение ПИР, СМР, ПНР, материалы по титулу:  Строительство КЛ-0,4 кВ от ТП-12472 до ВРЩ-0,4 кВ заявителя, в т.ч.ПИР: г.Москва, ул.Сальвадора Альенде, д.1</t>
  </si>
  <si>
    <t>I-138125</t>
  </si>
  <si>
    <t>Строительство КЛ-0,4 кВ от ТП-12472 до ВРЩ-0,4 кВ заявителя, в т.ч.ПИР: г.Москва, ул.Сальвадора Альенде, д.1</t>
  </si>
  <si>
    <t>085-0004459</t>
  </si>
  <si>
    <t>Выполнение ПИР, СМР, ПНР, материалы, оборудование (за исключением замков, предоставляемых Заказчиком) по титулу: Строительство нов.ТП по пр."2БКТП 400-1250 кВА" с уст.тр-ров 2х1000 кВА, РКЛ-10 кВ от нов.ТП до КЛ напр.ТП-22996 А, Б - ТП-22997 А, Б, КЛ-0,4 кВ от нов.ТП до границ участка заявителя, в т.ч.ПИР: г.Москва, ул.2-я Машиностроения, д.25, с.1-5</t>
  </si>
  <si>
    <t>I-136428</t>
  </si>
  <si>
    <t>Строительство нов.ТП по пр."2БКТП 400-1250 кВА" с уст.тр-ров 2х1000 кВА, РКЛ-10 кВ от нов.ТП до КЛ напр.ТП-22996 А, Б - ТП-22997 А, Б, КЛ-0,4 кВ от нов.ТП до границ участка заявителя, в т.ч.ПИР: г.Москва, ул.2-я Машиностроения, д.25, с.1-5</t>
  </si>
  <si>
    <t>085-0004506</t>
  </si>
  <si>
    <t>Выполнение ПИР, СМР, ПНР, материалы, оборудование по двум титулам ТП ИПР МКС по адресам:г.Москва, ул.Нижегородская, ул.Новая Ипатовка для нужд МКС - филиала ОАО "МОЭСК"</t>
  </si>
  <si>
    <t>085-0004454</t>
  </si>
  <si>
    <t>Выполнение ПИР, СМР, ПНР, материалы по титулу:  Строительство КЛ-0,4 кВ от ТП-26764 до ВРЩ-0,4 кВ заявителя, в т.ч.ПИР: г.Москва, ул.Нижегородская, д.83А, с.1</t>
  </si>
  <si>
    <t>I-137568</t>
  </si>
  <si>
    <t>Строительство КЛ-0,4 кВ от ТП-26764 до ВРЩ-0,4 кВ заявителя, в т.ч.ПИР: г.Москва, ул.Нижегородская, д.83А, с.1</t>
  </si>
  <si>
    <t>085-0004463</t>
  </si>
  <si>
    <t>Выполнение ПИР, СМР, ПНР, материалы, оборудование (за исключением замков, предоставляемых Заказчиком) по титулу: Строительство ТП объекта по пр. "2БКТП-1000(1250)" с уст.тр-ров 2х630 кВА, РКЛ-10 кВ от ТП объекта до КЛ напр. ТП-25517-ТП-25636, в т.ч.ПИР: г.Москва, ул.Кастанаевская, вл.50</t>
  </si>
  <si>
    <t>I-131613</t>
  </si>
  <si>
    <t>Строительство ТП объекта по пр. "2БКТП-1000(1250)" с уст.тр-ров 2х630 кВА, РКЛ-10 кВ от ТП объекта до КЛ напр. ТП-25517-ТП-25636, в т.ч.ПИР: г.Москва, ул.Кастанаевская, вл.50</t>
  </si>
  <si>
    <t>085-0004572</t>
  </si>
  <si>
    <t>Выполнение ПИР, СМР, ПНР, материалы по двум титулам ТП ИПР МКС по адресам: г.Москва, Рублевское ш., Звездный б-р для нужд МКС - филиала ОАО "МОЭСК"</t>
  </si>
  <si>
    <t>085-0004543</t>
  </si>
  <si>
    <t>Выполнение ПИР, СМР, ПНР, материалы по титулу:  Строительство КЛ-0,4 кВ от ТП-27854 до ВРЩ-0,4 кВ заявителя, в т.ч.ПИР: г.Москва, Рублевское ш., д.91, к.1</t>
  </si>
  <si>
    <t>I-137146</t>
  </si>
  <si>
    <t>Строительство КЛ-0,4 кВ от ТП-27854 до ВРЩ-0,4 кВ заявителя, в т.ч.ПИР: г.Москва, Рублевское ш., д.91, к.1</t>
  </si>
  <si>
    <t>085-0004544</t>
  </si>
  <si>
    <t>Выполнение ПИР, СМР, ПНР, материалы по титулу:  Строительство КЛ-0,4 кВ от ТП-27682 до границ участка заявителя, в т.ч.ПИР: г.Москва, Звездный б-р, д.10, с.1</t>
  </si>
  <si>
    <t>I-139054</t>
  </si>
  <si>
    <t>Строительство КЛ-0,4 кВ от ТП-27682 до границ участка заявителя, в т.ч.ПИР: г.Москва, Звездный б-р, д.10, с.1</t>
  </si>
  <si>
    <t>085-0004479</t>
  </si>
  <si>
    <t>Выполнение ПИР, СМР, ПНР, материалы по титулу: Строительство КЛ-0,4 кВ от ТП-21386 до границ участка заявителя, в т.ч.ПИР: г.Москва, ул.Барышиха, вл.48</t>
  </si>
  <si>
    <t>I-137159</t>
  </si>
  <si>
    <t>Строительство КЛ-0,4 кВ от ТП-21386 до границ участка заявителя, в т.ч.ПИР: г.Москва, ул.Барышиха, вл.48</t>
  </si>
  <si>
    <t>085-0004084</t>
  </si>
  <si>
    <t>Выполнение ПИР, СМР, ПНР, материалы, оборудование по титулу: Строительство 2РКЛ-10 кВ от нов. Р№21187 до ТП 17599 с заходом в ТП № 6442 границ участка заявителя, РКЛ 10кВ от ТП 6411 до ТП 6413, в т.ч. ПИР: Однцовский район, Заречье, ул. Березовая, д.1</t>
  </si>
  <si>
    <t>I-137710</t>
  </si>
  <si>
    <t>Строительство 2РКЛ-10 кВ от нов. Р№21187 до ТП 17599 с заходом в ТП № 6442 границ участка заявителя, РКЛ 10кВ от ТП 6411 до ТП 6413, в т.ч. ПИР: Однцовский район, Заречье, ул. Березовая, д.1</t>
  </si>
  <si>
    <t>085-0004383</t>
  </si>
  <si>
    <t>Выполнение ПИР, СМР, ПНР, материалы, оборудование по титулу: Строительство ТП объекта по проекту «2БКТП-1000(1250)» с тр-ми 2х1000 кВА, РКЛ-10 кВ от ТП объекта до врезки в сущ. КЛ, в т.ч. ПИР</t>
  </si>
  <si>
    <t>I-131337</t>
  </si>
  <si>
    <t>Строительство ТП объекта по проекту «2БКТП-1000(1250)» с тр-ми 2х1000 кВА, РКЛ-10 кВ от ТП объекта до врезки в сущ. КЛ, в т.ч. ПИР</t>
  </si>
  <si>
    <t>085-0004513</t>
  </si>
  <si>
    <t>Выполнение ПИР, СМР, ПНР, материалы, оборудование по двум титулам ТП ИПР МКС по адресам:г.Москва, ул.Трубная, ул.Малая Бронная, д.27/14, Б.Патриарший пер. для нужд МКС - филиала ОАО "МОЭСК"</t>
  </si>
  <si>
    <t>085-0004486</t>
  </si>
  <si>
    <t>Выполнение ПИР, СМР, ПНР, материалы, оборудование по титулу: Строительство КЛ-0,4 кВ от ТП-19862 до ВРЩ-0,4 кВ заявителя, в т.ч. ПИР: г.Москва, ул.Трубная, вл.32, с.1</t>
  </si>
  <si>
    <t>I-137144</t>
  </si>
  <si>
    <t>Строительство КЛ-0,4 кВ от ТП-12496 до ВРЩ-0,4 кВ заявителя, в т.ч.ПИР: г.Москва, Каширский пр-д, д.1/1</t>
  </si>
  <si>
    <t>085-0004487</t>
  </si>
  <si>
    <t>Выполнение ПИР, СМР, ПНР, материалы по титулу:  Строительство КЛ-0,4 кВ от ТП-19842 А, Б до границ участка заявителя, в т.ч.ПИР: г.Москва, ул.Малая Бронная, д.27/14, Б.Патриарший пер., д.12, с.1</t>
  </si>
  <si>
    <t>I-138634</t>
  </si>
  <si>
    <t>Строительство КЛ-0,4 кВ от ТП-18870 до границ участка заявителя, в т.ч.ПИР: г.Москва, ул.Шухова, д.21</t>
  </si>
  <si>
    <t>085-0004507</t>
  </si>
  <si>
    <t>Выполнение ПИР, СМР, ПНР, материалы по двум титулам ТП ИПР МКС по адресам: г.Москва, ул. Магистральная 4-я, 94 км МКАД на пер. с Ярославским ш., вдоль ул.Ротерта для нужд МКС - филиала ОАО "МОЭСК"</t>
  </si>
  <si>
    <t>085-0003959</t>
  </si>
  <si>
    <t>Выполнение ПИР, СМР, ПНР, материалы по титулу: Строительство 4КЛ-1 кВ от ТП-14382 до ВРЩ Заявителя, в т.ч. ПИР: г.Москва, ул. Магистральная 4-я, д.7, стр.3</t>
  </si>
  <si>
    <t>I-135101</t>
  </si>
  <si>
    <t>Строительство 4КЛ-1 кВ от ТП-14382 до ВРЩ Заявителя, в т.ч. ПИР: г.Москва, ул. Магистральная 4-я, д.7, стр.3</t>
  </si>
  <si>
    <t>085-0004456</t>
  </si>
  <si>
    <t>Выполнение ПИР, СМР, ПНР, материалы по титулу:  Строительство КЛ-0,4 кВ от ТП-19437 (луч А или Б) до ВРЩ-0,4 кВ заявителя, в т.ч.ПИР: г.Москва, СВАО, 94 км МКАД на пер. с Ярославским ш., вдоль ул.Ротерта</t>
  </si>
  <si>
    <t>I-138640</t>
  </si>
  <si>
    <t>Строительство КЛ-0,4 кВ от ТП-19437 (луч А или Б) до ВРЩ-0,4 кВ заявителя, в т.ч.ПИР: г.Москва, СВАО, 94 км МКАД на пер. с Ярославским ш., вдоль ул.Ротерта</t>
  </si>
  <si>
    <t>085-0004555</t>
  </si>
  <si>
    <t>Выполнение ПИР по титулу: Строительство РТП-4А по пр."БРТП-2х1250" с тр-ми 2х1250 кВА, ПКЛ-10 кВ от РУ-10 кВ ПС 18 Бабушкин до РТП-4А, КЛ-10 кВ от РТП-4А до ТП-21335, в т.ч.ПИР: г.Москва, Южное Медведково, мкр.1-2-3, к.17, 16</t>
  </si>
  <si>
    <t>085-0004553</t>
  </si>
  <si>
    <t>Выполнение ПИР по титулу: Стр-во РТП об-та с тр-ми 4х1000 кВА на 20 яч., РКЛ-10 кВ от РУ-10 кВ ПС-220 «Павелецкая» до РТП об-та, РКЛ-10 кВ от РТП об-та до РТП-26125, КЛ-0,4 кВ от БРТП об-та до ВРЩ-0,4 кВ заявителя, в т.ч. ПИР: г.Москва, ул.Садовническая, вл.57, с.1</t>
  </si>
  <si>
    <t>085-0004522</t>
  </si>
  <si>
    <t>Выполнение ПИР по титулу: Строительство БРТП объектов с тр-ми 4х1250 кВА с уст. 20-ти ячеек, ПКЛ-10 кВ от РУ-10 кВ ПС «Белорусская» до БРТП объекта, РКЛ-10 кВ, в т.ч. ПИР: г.Москва, 2-й Боткинский пр-д, д.5, к.1, к.1/11</t>
  </si>
  <si>
    <t>085-0004005</t>
  </si>
  <si>
    <t>854005</t>
  </si>
  <si>
    <t>Выполнение ПИР, СМР, ПНР, материалы, оборудование (за исключением замков, предоставляемых Заказчиком) по титулу: Строительство БКРП объекта с РУ-10 кВ, РТП с тр-ми 3х1600 кВА, ТП объекта с тр-ми 2х1600 кВА, ПКЛ-10 кВ, КЛ-0,4 кВ, в т.ч. ПИР</t>
  </si>
  <si>
    <t>085-0004501</t>
  </si>
  <si>
    <t>Выполнение ПИР по титулу: Строительство РТП объекта с тр-ми 4х1250кВА, 2ПКЛ-10 от РУ-10кВ ПС 220кВ Сабурово до РТП объекта, 2КЛ-10кВ напр. от РТП объекта до РТТ№17032 с заходом в РТП объекта, в т.ч. ПИР: г.Москва, Ореховый б-р, вл.28</t>
  </si>
  <si>
    <t>085-0004518</t>
  </si>
  <si>
    <t>Выполнение ПИР, СМР, ПНР, материалы, оборудование по двум титулам ТП ИПР МКС по адресам:г.Москва, Кутузовский пр-т, ул.Мясницкая для нужд МКС - филиала ОАО "МОЭСК"</t>
  </si>
  <si>
    <t>Авансы от ТП/привлеченные средства</t>
  </si>
  <si>
    <t>085-0004498</t>
  </si>
  <si>
    <t>854498</t>
  </si>
  <si>
    <t>Выполнение ПИР, СМР, ПНР, материалы по титулу: Строительство КЛ-0,4 кВ от ТП-12957 до границ участка заявителя, в т.ч.ПИР: г.Москва, Кутузовский пр-т, д.17</t>
  </si>
  <si>
    <t>I-135616</t>
  </si>
  <si>
    <t>Строительство КЛ-0,4 кВ от ТП-12957 до границ участка заявителя, в т.ч.ПИР: г.Москва, Кутузовский пр-т, д.17</t>
  </si>
  <si>
    <t>085-0004499</t>
  </si>
  <si>
    <t>854499</t>
  </si>
  <si>
    <t>Выполнение ПИР, СМР, ПНР, материалы по титулу: Строительство КЛ-0,4 кВ от ТП-26572 до границ участка заявителя, в т.ч.ПИР: г.Москва, ул.Мясницкая, д.16</t>
  </si>
  <si>
    <t>I-138638</t>
  </si>
  <si>
    <t>Строительство КЛ-0,4 кВ от ТП-26572 до границ участка заявителя, в т.ч.ПИР: г.Москва, ул.Мясницкая, д.16</t>
  </si>
  <si>
    <t>085-0004415</t>
  </si>
  <si>
    <t>Выполнение ПИР, СМР, ПНР, материалы, оборудование по двум титулам тех.присоед. ИПР МКС по адресам: г.Москва, Западное Дегунино, мкр.10А, к.8-1, 8-2, 8-3, 12-1, 12-2, 12-3 для нужд МКС - филиала ОАО "МОЭСК"</t>
  </si>
  <si>
    <t>Авансы от ТП/амортизация</t>
  </si>
  <si>
    <t>085-0004362</t>
  </si>
  <si>
    <t>Выполнение ПИР, СМР, ПНР, материалы, оборудование по титулу: Строительство новой ТП-4А по проекту "2БКТП-1000" с уст. тр-в 2х630 кВА, РКЛ-10 кВ от РП-12225 до ТП-13426 с заходом в ТП-4А, в т.ч.ПИР: г.Москва, Западное Дегунино, мкр.10А, к.8-1, 8-2, 8-3, 12-1, 12-2, 12-3</t>
  </si>
  <si>
    <t xml:space="preserve">I-132250 </t>
  </si>
  <si>
    <t>Строительство новой ТП-4А по проекту "2БКТП-1000" с уст. тр-в 2х630 кВА, РКЛ-10 кВ от РП-12225 до ТП-13426 с заходом в ТП-4А, в т.ч.ПИР: г.Москва, Западное Дегунино, мкр.10А, к.8-1, 8-2, 8-3, 12-1, 12-2, 12-3</t>
  </si>
  <si>
    <t>085-0004378</t>
  </si>
  <si>
    <t>Выполнение ПИР, СМР, ПНР, материалы, оборудование по титулу: Реконструкция ТП объекта по проекту «ТК-1000» с установкой тр-ов 2х1000 кВА, строительство КЛ-0,4 кВ от ТП объекта до границ участка заявителя, в т.ч. ПИР</t>
  </si>
  <si>
    <t>I-131339 
I-131338</t>
  </si>
  <si>
    <t>Реконструкция ТП объекта по проекту «ТК-1000» с установкой тр-ов 2х1000 кВА, строительство КЛ-0,4 кВ от ТП объекта до границ участка заявителя, в т.ч. ПИР</t>
  </si>
  <si>
    <t>085-0004505</t>
  </si>
  <si>
    <t>Выполнение ПИР, СМР, ПНР, материалы по четырем титулам ТП ИПР МКС по адресам:г.Москва, м.Царицыно (ул.Товарищеская, вл.6), Варшавское ш., 1-й Курьяновский пр-д, ул. Зарайская для нужд МКС - филиала ОАО "МОЭСК"</t>
  </si>
  <si>
    <t>085-0004455</t>
  </si>
  <si>
    <t>Выполнение ПИР, СМР, ПНР, материалы по титулу:  Строительство КЛ-0,4 кВ от ТП-20807 (А или Б) до границ участка заявителя, в т.ч.ПИР: г.Москва, м.Царицыно (ул.Товарищеская, вл.6)</t>
  </si>
  <si>
    <t>I-138637</t>
  </si>
  <si>
    <t>085-0004457</t>
  </si>
  <si>
    <t>Выполнение ПИР, СМР, ПНР, материалы по титулу:  Строительство КЛ-0,4 кВ от ТП-12558 до ВРЩ-0,4 кВ заявителя, в т.ч.ПИР: г.Москва, Варшавское ш., д.100</t>
  </si>
  <si>
    <t>I-138652</t>
  </si>
  <si>
    <t>085-0004470</t>
  </si>
  <si>
    <t>Выполнение ПИР, СМР, ПНР, материалы по титулу:  Строительство 2КЛ до 1 кВ от ТП 19542 до ВРЩ 52790, в т.ч. ПИР: Москва, ул. Зарайская, дом 37А</t>
  </si>
  <si>
    <t>I-136294</t>
  </si>
  <si>
    <t>085-0004511</t>
  </si>
  <si>
    <t>Выполнение ПИР, СМР, ПНР, материалы по трем титулам ТП ИПР МКС по адресам:г.Москва, 1-й Войковский пр-д, ул.Маршала Малиновского, пр-т Мира для нужд МКС - филиала ОАО "МОЭСК"</t>
  </si>
  <si>
    <t>085-0004482</t>
  </si>
  <si>
    <t>Выполнение ПИР, СМР, ПНР, материалы по титулу: Строительство КЛ-0,4 кВ от ТП-24558 А или Б до границ участка заявителя, в т.ч.ПИР: г.Москва, 1-й Войковский пр-д, д.12</t>
  </si>
  <si>
    <t>I-138672</t>
  </si>
  <si>
    <t>Строительство КЛ-0,4 кВ от ТП-24558 А или Б до границ участка заявителя, в т.ч.ПИР: г.Москва, 1-й Войковский пр-д, д.12</t>
  </si>
  <si>
    <t>085-0004483</t>
  </si>
  <si>
    <t>Выполнение ПИР, СМР, ПНР, материалы по титулу: Строительство КЛ-0,4 кВ от ТП-14718 (луч А) до ВРЩ-0,4 кВ заявителя, в т.ч. ПИР: г.Москва, ул.Маршала Малиновского, д.6, к.1</t>
  </si>
  <si>
    <t>I-138110</t>
  </si>
  <si>
    <t>Строительство КЛ-0,4 кВ от ТП-14718 (луч А) до ВРЩ-0,4 кВ заявителя, в т.ч. ПИР: г.Москва, ул.Маршала Малиновского, д.6, к.1</t>
  </si>
  <si>
    <t>085-0004484</t>
  </si>
  <si>
    <t>Выполнение ПИР, СМР, ПНР, материалы по титулу: Строительство КЛ-0,4 кВ от ТП-24583 до границ участка заявителя, в т.ч.ПИР: г.Москва, пр-т Мира, д.81</t>
  </si>
  <si>
    <t>I-138111</t>
  </si>
  <si>
    <t>Строительство КЛ-0,4 кВ от ТП-24583 до границ участка заявителя, в т.ч.ПИР: г.Москва, пр-т Мира, д.81</t>
  </si>
  <si>
    <t>085-0004636</t>
  </si>
  <si>
    <t>854636</t>
  </si>
  <si>
    <t>Выполнение ПИР, СМР, ПНР, материалы по трем титулам ТП ИПР МКС по адресам: г.Москва, ул.Каланчевская, ул.Дубининская, пр-т Вернадского для нужд МКС - филиала ОАО "МОЭСК"</t>
  </si>
  <si>
    <t>085-0004452</t>
  </si>
  <si>
    <t>Выполнение ПИР, СМР, ПНР, материалы по титулу:  Строительство КЛ-0,4 кВ от ТП-20206 до границ участка заявителя, в т.ч.ПИР: г.Москва, ул.Каланчевская, д.15</t>
  </si>
  <si>
    <t>I-137163</t>
  </si>
  <si>
    <t>Строительство КЛ-0,4 кВ от ТП-20206 до границ участка заявителя, в т.ч.ПИР: г.Москва, ул.Каланчевская, д.15</t>
  </si>
  <si>
    <t>085-0004474</t>
  </si>
  <si>
    <t>Выполнение ПИР, СМР, ПНР, материалы по титулу: Строительство КЛ-0,4 кВ от ТП-19940 луч А или Б до ВРЩ-0,4 кВ заявителя, в т.ч.ПИР: г.Москва, ул.Дубининская, д.66/30, с.1</t>
  </si>
  <si>
    <t>I-138633</t>
  </si>
  <si>
    <t>Строительство КЛ-0,4 кВ от ТП-19940 луч А или Б до ВРЩ-0,4 кВ заявителя, в т.ч.ПИР: г.Москва, ул.Дубининская, д.66/30, с.1</t>
  </si>
  <si>
    <t>085-0004475</t>
  </si>
  <si>
    <t>Выполнение ПИР, СМР, ПНР, материалы по титулу: Строительство КЛ-0,4 кВ от ТП-10755 до ВРЩ-0,4 кВ заявителя, в т.ч.ПИР: г.Москва, пр-т Вернадского, д.5А</t>
  </si>
  <si>
    <t>I-138651</t>
  </si>
  <si>
    <t>Строительство КЛ-0,4 кВ от ТП-10755 до ВРЩ-0,4 кВ заявителя, в т.ч.ПИР: г.Москва, пр-т Вернадского, д.5А</t>
  </si>
  <si>
    <t>085-0004485</t>
  </si>
  <si>
    <t>Выполнение ПИР, СМР, ПНР, материалы, оборудование по титулу: Строительство ВЛИ-0,4 кВ от опоры № 1 (ТП-27909) до границ участка заявителя с уст.трех новых опор, КЛ-0,4 кВ от ТП-27909 до опоры № 1 с установкой опоры № 1, в т.ч.ПИР: г.Москва, ул.2-я Лыковская, д.12, с.1</t>
  </si>
  <si>
    <t>I-138668</t>
  </si>
  <si>
    <t>Строительство ВЛИ-0,4 кВ от опоры № 1 (ТП-27909) до границ участка заявителя с уст.трех новых опор, КЛ-0,4 кВ от ТП-27909 до опоры № 1 с установкой опоры № 1, в т.ч.ПИР: г.Москва, ул.2-я Лыковская, д.12, с.1</t>
  </si>
  <si>
    <t>085-0004460</t>
  </si>
  <si>
    <t>Выполнение ПИР, СМР, ПНР, материалы по титулу:  Строительство КЛ-0,4 кВ от ТП-10790 А,Б до ВРЩ-0,4 кВ заявителя, в т.ч.ПИР: г.Москва, Волоколамское ш., д.6</t>
  </si>
  <si>
    <t>I-138133</t>
  </si>
  <si>
    <t>Строительство КЛ-0,4 кВ от ТП-10790 А,Б до ВРЩ-0,4 кВ заявителя, в т.ч.ПИР: г.Москва, Волоколамское ш., д.6</t>
  </si>
  <si>
    <t>085-0004461</t>
  </si>
  <si>
    <t>Выполнение ПИР, СМР, ПНР, материалы по титулу:  Строительство КЛ-0,4 кВ от ТП-20760 до границ участка заявителя, в т.ч.ПИР: г.Москва, Ленинградское ш., д.58, с.7</t>
  </si>
  <si>
    <t>I-135612</t>
  </si>
  <si>
    <t>Строительство КЛ-0,4 кВ от ТП-20760 до границ участка заявителя, в т.ч.ПИР: г.Москва, Ленинградское ш., д.58, с.7</t>
  </si>
  <si>
    <t>085-0004590</t>
  </si>
  <si>
    <t>Выполнение ПИР, СМР, ПНР, материалы, оборудование (за исключением замков, предоставляемых Заказчиком) по титулу: Строительство ТП объекта по проекту «2БКТП-1000(1250)» с тр-ми 2х630 кВА, РКЛ-10 кВ от ТП объекта до ТП-23633, от ТП объекта до КЛ-10 кВ  напр. ТП-20475 – ТП-20717, в т.ч. ПИР: МО., Ленинский р-н, дер.Говорово, 47 км МКАД</t>
  </si>
  <si>
    <t>I-118022</t>
  </si>
  <si>
    <t>Строительство ТП объекта по проекту «2БКТП-1000(1250)» с тр-ми 2х630 кВА, РКЛ-10 кВ от ТП объекта до ТП-23633, от ТП объекта до КЛ-10 кВ  напр. ТП-20475 – ТП-20717, в т.ч. ПИР: МО., Ленинский р-н, дер.Говорово, 47 км МКАД</t>
  </si>
  <si>
    <t>085-0004458</t>
  </si>
  <si>
    <t>Выполнение ПИР, СМР, ПНР, материалы, оборудование по титулу: Строительство новой ТП объекта по пр."2БКТП-1000(1250)" с уст.тр-ров 2х630 кВА, РКЛ-10 кВ от новой ТП объекта до КЛ напр.ТП-19395-ТП-27257, в т.ч.ПИР: г.Москва, Боровское ш., пойма р.Сетунь</t>
  </si>
  <si>
    <t>I-136188</t>
  </si>
  <si>
    <t>Строительство новой ТП объекта по пр."2БКТП-1000(1250)" с уст.тр-ров 2х630 кВА, РКЛ-10 кВ от новой ТП объекта до КЛ напр.ТП-19395-ТП-27257, в т.ч.ПИР: г.Москва, Боровское ш., пойма р.Сетунь</t>
  </si>
  <si>
    <t>085-0004438</t>
  </si>
  <si>
    <t>854438</t>
  </si>
  <si>
    <t>Выполнение ПИР, СМР, ПНР, материалы, оборудование (за исключением замков, предоставляемых Заказчиком) по титулу: Строительство РТП объекта с тр-ми 2х1000 кВА, ПКЛ-10 в напр. от РУ10кВ ПС220 кВ Новобратцево до нов. РТП, нов. ТП 1,2,3 (взамен ТП№14653, №14654, №20757) с установкой с тр-в 2х1250кВА , в т.ч. ПИР: г.Москва, Левобережная ул., вл.4, 4а</t>
  </si>
  <si>
    <t>I-137167</t>
  </si>
  <si>
    <t>Строительство РТП объекта с тр-ми 2х1000 кВА, ПКЛ-10 в напр. от РУ10кВ ПС220 кВ Новобратцево до нов. РТП, нов. ТП 1,2,3 (взамен ТП№14653, №14654, №20757) с установкой с тр-в 2х1250кВА , в т.ч. ПИР: г.Москва, Левобережная ул., вл.4, 4а</t>
  </si>
  <si>
    <t>085-0004404</t>
  </si>
  <si>
    <t>Выполнение ПИР, СМР, ПНР, материалы, оборудование (за исключением замков, преджоставляемых Заказчиком) по титулу: Строительство ТП объекта по проекту «2БКТП-1000» с тр-ми 2х1000 кВА, РКЛ-10 кВ от ТП объекта до РТП-26062, от ТП объекта до КЛ напр. ТП-15168 –   ТП-27604, в т.ч. ПИР: г.Москва, ЮЗАО, кв-л 37-37Ц, р-н «Обручевский», к.4</t>
  </si>
  <si>
    <t>I-124601</t>
  </si>
  <si>
    <t>Строительство ТП объекта по проекту «2БКТП-1000» с тр-ми 2х1000 кВА, РКЛ-10 кВ от ТП объекта до РТП-26062, от ТП объекта до КЛ напр. ТП-15168 –            ТП-27604, в т.ч. ПИР: г.Москва, ЮЗАО, кв-л 37-37Ц, р-н «Обручевский», к.4</t>
  </si>
  <si>
    <t>085-0004447</t>
  </si>
  <si>
    <t>Выполнение ПИР, СМР, ПНР, материалы, оборудование ( (за исключением замков, предоставляемых Заказчиком) по титулу: Строительство ТП-1 с тр-ми 2х1250кВА, 4РКЛ-10кВ от ТП-1 до врезки в КЛ-10кВ напр. ТП-13489-ТП-16280, 10КЛ-0,4кВ от ТП-1 до ВРЩ-0,4кВ №1,2,3,4,5 Заявителя, в т.ч. ПИР: г.Москва, Бескудниково, мкр.5, к.1</t>
  </si>
  <si>
    <t>I-137174</t>
  </si>
  <si>
    <t>Строительство ТП-1 с тр-ми 2х1250кВА, 4РКЛ-10кВ от ТП-1 до врезки в КЛ-10кВ напр. ТП-13489-ТП-16280, 10КЛ-0,4кВ от ТП-1 до ВРЩ-0,4кВ №1,2,3,4,5 Заявителя, в т.ч. ПИР: г.Москва, Бескудниково, мкр.5, к.1</t>
  </si>
  <si>
    <t>085-0004465</t>
  </si>
  <si>
    <t>854465</t>
  </si>
  <si>
    <t>Выполнение ПИР, СМР, ПНР, материалы, оборудование (за исключением замков, предоставляемых Заказчиком) по титулу: Строительство нов.ТП с уст.тр-ров 2х1000 кВА, РКЛ-10 кВ от нов.ТП до КЛ напр.ТП-10991-ТП-10925, от ТП-10991 до ТП-10650, от ТП-10649 Б до РП-11168, в т.ч.ПИР: г.Москва, на пер.Ленинградского пр-та, ул. Алабяна, ул. Балтийская (южная часть)</t>
  </si>
  <si>
    <t>I-138137</t>
  </si>
  <si>
    <t>Строительство нов.ТП с уст.тр-ров 2х1000 кВА, РКЛ-10 кВ от нов.ТП до КЛ напр.ТП-10991-ТП-10925, от ТП-10991 до ТП-10650, от ТП-10649 Б до РП-11168, в т.ч.ПИР: г.Москва, на пер.Ленинградского пр-та, ул. Алабяна, ул. Балтийская (южная часть)</t>
  </si>
  <si>
    <t>085-0004448</t>
  </si>
  <si>
    <t>Выполнение ПИР, СМР, ПНР, материалы, оборудование (за исключением замков, предоставляемых Заказчиком) по титулу: Строительство нов.ТП объекта по пр."2БКТП 400-1250" с тр-ми 2х1000кВА, РКЛ-6 кВ от нов.ТП объекта до КЛ напр.ТП-6465-ТП-6455, в т.ч.ПИР: Московская обл., Одинцовский р-н, Барвихинское с/п, в р-не п.Рублево между 17 и 18 км</t>
  </si>
  <si>
    <t>I-135786</t>
  </si>
  <si>
    <t>Строительство нов.ТП объекта по пр."2БКТП 400-1250" с тр-ми 2х1000кВА, РКЛ-6 кВ от нов.ТП объекта до КЛ напр.ТП-6465-ТП-6455, в т.ч.ПИР: Московская обл., Одинцовский р-н, Барвихинское с/п, в р-не п.Рублево между 17 и 18 км</t>
  </si>
  <si>
    <t>085-0004542</t>
  </si>
  <si>
    <t>Выполнение ПИР, СМР, ПНР, материалы, оборудование  (за исключением замков, предоставляемых Заказчиком) по титулу: Строительство ТП «Банка» с установкой тр-ов 2х1000 кВА; РКЛ 10 кВ от РТП 15051 до ТП 19691 с заходом в нов. ТП «Банка»; 6КЛ-0,4 кВ от ТП «Банка» до ВРЩ №1 и до ВРЩ №2 заявителя, в т.ч. ПИР: Москва, Переведеновский пер, дом 13, стр. 1</t>
  </si>
  <si>
    <t>I-131560</t>
  </si>
  <si>
    <t>Строительство ТП «Банка» с установкой тр-ов 2х1000 кВА; РКЛ 10 кВ от РТП 15051 до ТП 19691 с заходом в нов. ТП «Банка»; 6КЛ-0,4 кВ от ТП «Банка» до ВРЩ №1 и до ВРЩ №2 заявителя, в т.ч. ПИР: Москва, Переведеновский пер, дом 13, стр. 1</t>
  </si>
  <si>
    <t>085-0004603</t>
  </si>
  <si>
    <t>Выполнение ПИР, СМР, ПНР, материалы, оборудование (за исключением замков, предоставляемых Заказчиком) по титулу: Строительство ТП объекта с тр-ми 2х1000 кВА, РКЛ-10 кВ от ТП объекта до РКЛ-10 кВ напр.ТП-13601 – ТП-13602, КЛ-0,4 кВ от ТП объекта до границ участка заявителя, в т.ч. ПИР: г.Москва, Левобережный р-н, мкр.2, уч.2Б, к.7а</t>
  </si>
  <si>
    <t>I-139475</t>
  </si>
  <si>
    <t>Строительство ТП объекта с тр-ми 2х1000 кВА, РКЛ-10 кВ от ТП объекта до РКЛ-10 кВ напр.ТП-13601 – ТП-13602, КЛ-0,4 кВ от ТП объекта до границ участка заявителя, в т.ч. ПИР: г.Москва, Левобережный р-н, мкр.2, уч.2Б, к.7а</t>
  </si>
  <si>
    <t>085-0004623</t>
  </si>
  <si>
    <t>Выполнение ПИР, СМР, ПНР, материалы, оборудование (за исключением замков, предоставляемых Заказчиком) по титулу: Строительство ТП объекта с тр-ми 2х1000 кВА, 4РКЛ-10 кВ от ТП объекта до врезки в КЛ-10 кВ напр. ТП-15567 – ТП-11850, 8КЛ-0,4 кВ от ТП объекта до ВРЩ-0,4 кВ Заявителя, в т.ч. ПИР: г.Москва, Хорошевское ш., вл. 76А</t>
  </si>
  <si>
    <t>I-140186</t>
  </si>
  <si>
    <t>Строительство ТП объекта с тр-ми 2х1000 кВА, 4РКЛ-10 кВ от ТП объекта до врезки в КЛ-10 кВ напр. ТП-15567 – ТП-11850, 8КЛ-0,4 кВ от ТП объекта до ВРЩ-0,4 кВ Заявителя, в т.ч. ПИР: г.Москва, Хорошевское ш., вл. 76А</t>
  </si>
  <si>
    <t>085-0003598</t>
  </si>
  <si>
    <t>853598</t>
  </si>
  <si>
    <t>Выполнение ПИР, СМР, ПНР, материалы, оборудование (за исключением замков, предоставляемых Заказчиком) по титулу: Строительство ТП объекта по проекту «2БКТП-1000» с тр-ми 2х630 кВА, 4РКЛ-10 кВ от ТП объекта до врезки в КЛ направлением ТП №16533, 4КЛ-0,4кВ от ТП объекта до КЛ заявителя , в т.ч. ПИР: г.Москва, ул. Заречье вл.9</t>
  </si>
  <si>
    <t>I-132475</t>
  </si>
  <si>
    <t>Строительство ТП объекта по проекту «2БКТП-1000» с тр-ми 2х630 кВА, 4РКЛ-10 кВ от ТП объекта до врезки в КЛ направлением ТП №16533, 4КЛ-0,4кВ от ТП объекта до КЛ заявителя , в т.ч. ПИР: г.Москва, ул. Заречье вл.9</t>
  </si>
  <si>
    <t>085-0004502</t>
  </si>
  <si>
    <t>854502</t>
  </si>
  <si>
    <t>Выполнение ПИР, СМР, ПНР, материалы, оборудование (за исключением замков, предоставляемых Заказчиком) по титулу: Строительство нов.БРТП объекта с уст.тр-ров 4х1000 кВА и 20-ти ячеек, нов. ТП № 1-4 с уст.тр-ров 2х1000 кВА, 2ПКЛ-10 кВ, 10РКЛ-10 кВ, 6РКЛ-10 кВ, в т.ч.ПИР: г.Москва, на пер.Ленинградского пр-та, ул.Алабяна, ул.Балтийская (северная часть)</t>
  </si>
  <si>
    <t>I-138135</t>
  </si>
  <si>
    <t>Строительство нов.БРТП объекта с уст.тр-ров 4х1000 кВА и 20-ти ячеек, нов. ТП № 1-4 с уст.тр-ров 2х1000 кВА, 2ПКЛ-10 кВ, 10РКЛ-10 кВ, 6РКЛ-10 кВ, в т.ч.ПИР: г.Москва, на пер.Ленинградского пр-та, ул.Алабяна, ул.Балтийская (северная часть)</t>
  </si>
  <si>
    <t>085-0004439</t>
  </si>
  <si>
    <t>854439</t>
  </si>
  <si>
    <t>Выполнение ПИР, СМР, ПНР, материалы, оборудование (за исключением замков, предоставляемых Заказчиком) по титулу: Строительство ТП-1, ТП-2, ТП-3 с тр-ми 2х1250 кВА, РКЛ-10 кВ от РТП-17020 до ТП-14950 с заходом в ТП-1, ТП-2, ТП-3, КЛ-0,4 кВ от ТП-1, ТП-2,  ТП-3 до ВРЩ-0,4 кВ Заявителя, в т.ч. ПИР: г.Москва, Варшавское ш., вл.141</t>
  </si>
  <si>
    <t>I-135602</t>
  </si>
  <si>
    <t>Строительство ТП-1, ТП-2, ТП-3 с тр-ми 2х1250 кВА, РКЛ-10 кВ от РТП-17020 до ТП-14950 с заходом в ТП-1, ТП-2, ТП-3, КЛ-0,4 кВ от ТП-1, ТП-2,  ТП-3 до ВРЩ-0,4 кВ Заявителя, в т.ч. ПИР: г.Москва, Варшавское ш., вл.141</t>
  </si>
  <si>
    <t>085-0004006</t>
  </si>
  <si>
    <t>854006</t>
  </si>
  <si>
    <t>Выполнение ПИР, СМР, ПНР, материалы, оборудование (за исключением замков, предоставляемых Заказчиком) по титулу: Строительство ТП-1, ТП-2, ТП-3 с тр-ми 2х1250 кВА, ПКЛ-10 кВ, РКЛ-10 кВ, 36 КЛ-0,4 кВ от ТП-1, ТП-2, ТП-3 до ВРЩ-0,4 кВ Заявителя, в т.ч. ПИР: г.Москва, р-н Солнцево, ул.Волынская пер. ул.Авиаторов,  ул.Авиаторов, вл.9</t>
  </si>
  <si>
    <t>I-135489</t>
  </si>
  <si>
    <t>Строительство ТП-1, ТП-2, ТП-3 с тр-ми 2х1250 кВА, ПКЛ-10 кВ, РКЛ-10 кВ, 36 КЛ-0,4 кВ от ТП-1, ТП-2, ТП-3 до ВРЩ-0,4 кВ Заявителя, в т.ч. ПИР: г.Москва, р-н Солнцево, ул.Волынская пер. ул.Авиаторов,  ул.Авиаторов, вл.9</t>
  </si>
  <si>
    <t>085-0004053</t>
  </si>
  <si>
    <t>854053</t>
  </si>
  <si>
    <t>Выполнение ПИР, СМР, ПНР, материалы, оборудование (за исключением замков, предоставляемых Заказчиком) по титулу: Строительство 2РП на 22 яч., 10ТП с уст. тр-ров 2х1600кВА, 4ПКЛ-10кВ от ПС Полет до нов.РП, 3РКЛ-10кВ от РП-49 до нов.РП, 20РКЛ-10кВ от нов.РП до нов.ТП, в т.ч. ПИР, по адресу: МО, Ленинский р-н, д.Рассказовка, уч. №13/2, кварт.5,6,7,8</t>
  </si>
  <si>
    <t>I-137357</t>
  </si>
  <si>
    <t>Строительство 2РП на 22 яч., 10ТП с уст. тр-ров 2х1600кВА, 4ПКЛ-10кВ от ПС Полет до нов.РП, 3РКЛ-10кВ от РП-49 до нов.РП, 20РКЛ-10кВ от нов.РП до нов.ТП, в т.ч. ПИР, по адресу: МО, Ленинский р-н, д.Рассказовка, уч. №13/2, кварт.5,6,7,8</t>
  </si>
  <si>
    <t>085-0004520</t>
  </si>
  <si>
    <t>854520</t>
  </si>
  <si>
    <t>Выполнение ПИР, СМР, ПНР, материалы, оборудование (за исключением замков, предоставляемых Заказчиком) по титулу: Стр-во нов.ТП 2х1000(1250) кВА, 12КЛ-10кВ от ПС110 до РП1-4,от РП1доРП3,от РП2до РП4,4КЛ-10кВ от РП1 до РП2,от РП3доРП4,2КЛотРП1 до РП2 с з-м в ТП, от РП3до РП4 с з-м в ТП , в т.ч. ПИР по адресу:г.Москва, пос.Мосрентген в районе 41 км. МКАД</t>
  </si>
  <si>
    <t>I-135521</t>
  </si>
  <si>
    <t>Стр-во нов.ТП 2х1000(1250) кВА, 12КЛ-10кВ от ПС110 до РП1-4,от РП1доРП3,от РП2до РП4,4КЛ-10кВ от РП1 до РП2,от РП3доРП4,2КЛотРП1 до РП2 с з-м в ТП, от РП3до РП4 с з-м в ТП , в т.ч. ПИР по адресу:г.Москва, пос.Мосрентген в районе 41 км. МКАД</t>
  </si>
  <si>
    <t>085-0003966</t>
  </si>
  <si>
    <t>853966</t>
  </si>
  <si>
    <t>Выполнение ПИР, СМР, ПНР, материалы, оборудование (за исключением замков, предоставляемых Заказчиком) по титулу: Строительство РП, ПКЛ-10 кВ от РУ-10кВ ПС 267 до нов. РП-1ПКЛ, от РУ-10кВ ПС 267 до РП 18100-1ПКЛ, от нов. РП до врезки в ПКЛ-10кВ напр. РП 18100-ПС 655 - 1ПКЛ, в т.ч. ПИР, г.Москва, ул. Усачёва, д.11</t>
  </si>
  <si>
    <t>I-136751</t>
  </si>
  <si>
    <t>Строительство РП, ПКЛ-10 кВ от РУ-10кВ ПС 267 до нов. РП-1ПКЛ, от РУ-10кВ ПС 267 до РП 18100-1ПКЛ, от нов. РП до врезки в ПКЛ-10кВ напр. РП 18100-ПС 655 - 1ПКЛ, в т.ч. ПИР, г.Москва, ул. Усачёва, д.11</t>
  </si>
  <si>
    <t>085-0004405</t>
  </si>
  <si>
    <t>854405</t>
  </si>
  <si>
    <t>Выполнение ПИР, СМР, ПНР, материалы, оборудование (за исключением замков, предоставляемых Заказчиком) по титулу: Строительство ТП объекта с тр-ми 2х1000 кВА, 2РКЛ-10 от ТП объекта до ТП-21199,  2РКЛ-10 от ТП объекта до ТП-22281, 10КЛ-0,4 от ТП объекта до ВРЩ-0,4 кВ Заявителя, в т.ч. ПИР: г.Москва, мкр.7«Б» р-на Чертаново Северное</t>
  </si>
  <si>
    <t>I-137165</t>
  </si>
  <si>
    <t>Строительство ТП объекта с тр-ми 2х1000 кВА, 2РКЛ-10 от ТП объекта до ТП-21199,  2РКЛ-10 от ТП объекта до ТП-22281, 10КЛ-0,4 от ТП объекта до ВРЩ-0,4 кВ Заявителя, в т.ч. ПИР: г.Москва, мкр.7«Б» р-на Чертаново Северное</t>
  </si>
  <si>
    <r>
      <t>083-000</t>
    </r>
    <r>
      <rPr>
        <sz val="14"/>
        <color rgb="FF000000"/>
        <rFont val="Times New Roman"/>
        <family val="1"/>
        <charset val="204"/>
      </rPr>
      <t>5077</t>
    </r>
  </si>
  <si>
    <r>
      <t>083-000</t>
    </r>
    <r>
      <rPr>
        <sz val="14"/>
        <color rgb="FF000000"/>
        <rFont val="Times New Roman"/>
        <family val="1"/>
        <charset val="204"/>
      </rPr>
      <t>5076</t>
    </r>
  </si>
  <si>
    <t>081-0004332</t>
  </si>
  <si>
    <t>081-0004318</t>
  </si>
  <si>
    <t>081-0001483</t>
  </si>
  <si>
    <t>081-0004320</t>
  </si>
  <si>
    <t>081-0004321</t>
  </si>
  <si>
    <t>081-0004322</t>
  </si>
  <si>
    <t>081-0004323</t>
  </si>
  <si>
    <t>081-0004324</t>
  </si>
  <si>
    <t>081-0004325</t>
  </si>
  <si>
    <t>081-0004326</t>
  </si>
  <si>
    <t>081-0004327</t>
  </si>
  <si>
    <t>081-0004328</t>
  </si>
  <si>
    <t>081-0004329</t>
  </si>
  <si>
    <t>081-0004330</t>
  </si>
  <si>
    <t>081-0004304</t>
  </si>
  <si>
    <t>081-0004305</t>
  </si>
  <si>
    <t>081-0004306</t>
  </si>
  <si>
    <t>081-0004307</t>
  </si>
  <si>
    <t>081-0004308</t>
  </si>
  <si>
    <t>081-0004309</t>
  </si>
  <si>
    <t>081-0004310</t>
  </si>
  <si>
    <t>081-0004311</t>
  </si>
  <si>
    <t>081-0004312</t>
  </si>
  <si>
    <t>081-0004313</t>
  </si>
  <si>
    <t>081-0004314</t>
  </si>
  <si>
    <t>081-0004315</t>
  </si>
  <si>
    <t>081-0004316</t>
  </si>
  <si>
    <t>081-0004317</t>
  </si>
  <si>
    <t>083-0004298</t>
  </si>
  <si>
    <t>Выполнение работ, включая ПИР, авторский надзор, СМР, ПНР, оборудование и материалы по объектам   ЗЭС (замена на СИП) Наро-Фоминского р-на (3 объекта)</t>
  </si>
  <si>
    <t>Выполнение ПИР, СМР, ПНР</t>
  </si>
  <si>
    <t>083-0004299</t>
  </si>
  <si>
    <t>Выполнение работ, включая ПИР, авторский надзор, СМР, ПНР, оборудование и материалы (замена на СИП) по титулу: Реконструкция ВЛ-10 кВ ф.16 ПС-575 Наро-Фоминский РЭС</t>
  </si>
  <si>
    <t>I-118100</t>
  </si>
  <si>
    <t>Реконструкция ВЛ-10 кВ ф.16 ПС-575 Наро-Фоминский РЭС</t>
  </si>
  <si>
    <t>083-0004300</t>
  </si>
  <si>
    <t xml:space="preserve">Выполнение работ, включая ПИР, авторский надзор, СМР, ПНР, оборудование и материалы (замена на СИП) по титулу: Реконструкция ВЛ-10 кВ ф.7 ПС-392 Наро-Фоминский РЭС </t>
  </si>
  <si>
    <t>I-118105</t>
  </si>
  <si>
    <t xml:space="preserve">Реконструкция ВЛ-10 кВ ф.7 ПС-392 Наро-Фоминский РЭС </t>
  </si>
  <si>
    <t>083-0004301</t>
  </si>
  <si>
    <t>Выполнение работ, включая ПИР, авторский надзор, СМР, ПНР, оборудование и материалы (замена на СИП) по титулу: Реконструкция ВЛ-10 кВ ф.Алексеевка  с РП-33  Наро-Фоминский РЭС</t>
  </si>
  <si>
    <t>I-118101</t>
  </si>
  <si>
    <t>Реконструкция ВЛ-10 кВ ф.Алексеевка  с РП-33  Наро-Фоминский РЭС</t>
  </si>
  <si>
    <t>083-0004302</t>
  </si>
  <si>
    <t>Выполнение работ, включая ПИР, авторский надзор, СМР, ПНР, оборудование и материалы  по объектам   ЗЭС  (замена на СИП) Рузского  р-на (4 объекта)</t>
  </si>
  <si>
    <t>083-0004303</t>
  </si>
  <si>
    <t>Выполнение работ, включая ПИР, авторский надзор, СМР, ПНР, и материалы (замена на СИП) по титулу: Реконструкция ВЛ-0,4 кВ КТП-668, Рузский РЭС</t>
  </si>
  <si>
    <t>Выполнение .</t>
  </si>
  <si>
    <t>I-118220</t>
  </si>
  <si>
    <t>Реконструкция ВЛ-0,4 кВ КТП-668, Рузский РЭС</t>
  </si>
  <si>
    <t>083-0004304</t>
  </si>
  <si>
    <t xml:space="preserve">Выполнение работ, включая ПИР, авторский надзор, СМР, ПНР, оборудование и материалы (замена на СИП) по титулу: Реконструкция ВЛ-0,4-10 кВ ЗТП-1448, строительство дополнительной МТП в н.п.Рябцево, Рузский РЭС </t>
  </si>
  <si>
    <t>I-118233</t>
  </si>
  <si>
    <t xml:space="preserve">Реконструкция ВЛ-0,4-10 кВ ЗТП-1448, строительство дополнительной МТП в н.п.Рябцево, Рузский РЭС </t>
  </si>
  <si>
    <t>083-0004305</t>
  </si>
  <si>
    <t>Выполнение работ, включая ПИР, авторский надзор, СМР, ПНР, и материалы (замена на СИП) по титулу: Реконструкция ВЛ-0,4 кВ КТП-674, Рузский РЭС</t>
  </si>
  <si>
    <t>I-118229</t>
  </si>
  <si>
    <t>Реконструкция ВЛ-0,4 кВ КТП-674, Рузский РЭС</t>
  </si>
  <si>
    <t>083-0004306</t>
  </si>
  <si>
    <t>Выполнение работ, включая ПИР, авторский надзор, СМР, ПНР, и материалы (замена на СИП) по титул: Реконструкция ВЛ-0,4 кВ КТП-672, Рузский РЭС</t>
  </si>
  <si>
    <t>I-118228</t>
  </si>
  <si>
    <t>Реконструкция ВЛ-0,4 кВ КТП-672, Рузский РЭС</t>
  </si>
  <si>
    <t>083-0004146</t>
  </si>
  <si>
    <t>Выполнение работ, включая ПИР, авторский надзор, СМР, ПНР, оборудование и материалы по объектам  технологического присоедения ЗЭС  Наро-Фоминского, Рузского  р-нов (6 объектов)</t>
  </si>
  <si>
    <t>083-0004147</t>
  </si>
  <si>
    <t>Выполнение работ, включая ПИР, авторский надзор, СМР, ПНР, оборудование и материалы по титулу: Строительство ВЛИ-0,38 кВ от КТП-194, ПС №25 "Встреча". Реконструкция КТП-194, монтаж РП, в т.ч. ПИР, М.О., Наро-Фоминский р-н, Марушкинский с/п., вблизи д. Крекшино</t>
  </si>
  <si>
    <t>I-110127</t>
  </si>
  <si>
    <t>Строительство ВЛИ-0,38 кВ от КТП-194, ПС №25 "Встреча". Реконструкция КТП-194, монтаж РП, в т.ч. ПИР, М.О., Наро-Фоминский р-н, Марушкинский с/п., вблизи д. Крекшино</t>
  </si>
  <si>
    <t>083-0004148</t>
  </si>
  <si>
    <t>Выполнение работ, включая ПИР, авторский надзор, СМР, ПНР по титулу: Реконструкция ВЛ-0,38 кВ от МТП-111 до оп.9,3/1, ПС №371 "Кузнецово", в т.ч. ПИР, МО, Наро-Фоминский р-н, д.Лисинцево</t>
  </si>
  <si>
    <t>I-113964</t>
  </si>
  <si>
    <t>Реконструкция ВЛ-0,38 кВ от МТП-111 до оп.9,3/1, ПС №371 "Кузнецово", в т.ч. ПИР, МО, Наро-Фоминский р-н, д.Лисинцево</t>
  </si>
  <si>
    <t>083-0004149</t>
  </si>
  <si>
    <t>Выполнение работ, включая ПИР, авторский надзор, СМР, ПНР, оборудование и материалы по титулу: Реконструкция ВЛ-0,4 кВ от МТП-94  ПС № 371 "Кузнецово" до оп.14. Реконструкция МТП-94 (монтаж узла учета), в т.ч.ПИР, МО, Наро-Фоминский р-н, п.Рассудово, 1-й Железнодорожный туп, д.4А</t>
  </si>
  <si>
    <t>I-114399</t>
  </si>
  <si>
    <t>Реконструкция ВЛ-0,4 кВ от МТП-94  ПС № 371 "Кузнецово" до оп.14. Реконструкция МТП-94 (монтаж узла учета), в т.ч.ПИР, МО, Наро-Фоминский р-н, п.Рассудово, 1-й Железнодорожный туп, д.4А</t>
  </si>
  <si>
    <t>083-0004150</t>
  </si>
  <si>
    <t>Выполнение работ, включая ПИР, авторский надзор, СМР, ПНР, оборудование и материалы по титулу: Реконструкция КТП-113 (перенос), ВЛ-10 кВ ф.12 ПС №371 "Кузнецово", ВЛИ-0,38 кВ от КТП-113 до оп.4 в т.ч. ПИР, МО, Наро-Фоминский р-н, д.Федоровское</t>
  </si>
  <si>
    <t>I-113947</t>
  </si>
  <si>
    <t>Реконструкция КТП-113 (перенос), ВЛ-10 кВ ф.12 ПС №371 "Кузнецово", ВЛИ-0,38 кВ от КТП-113 до оп.4 в т.ч. ПИР, МО, Наро-Фоминский р-н, д.Федоровское</t>
  </si>
  <si>
    <t>083-0004151</t>
  </si>
  <si>
    <t>Выполнение работ, включая ПИР, авторский надзор, СМР, ПНР по титулу: Реконструкция ВЛ-0,38 кВ  КТП-101  ПС № 371 "Кузнецово", в т.ч. ПИР, МО, Наро-Фоминский р-н, д.Руднево, ул.Раздольная, дом № 53.</t>
  </si>
  <si>
    <t>I-114022</t>
  </si>
  <si>
    <t>Реконструкция ВЛ-0,38 кВ  КТП-101  ПС № 371 "Кузнецово", в т.ч. ПИР, МО, Наро-Фоминский р-н, д.Руднево, ул.Раздольная, дом № 53.</t>
  </si>
  <si>
    <t>083-0004145</t>
  </si>
  <si>
    <t>Выполнение работ, включая ПИР, авторский надзор, СМР, ПНР, оборудование и материалы по титулу: Реконструкция ВЛ-0,38 кВ ф.2 от КТП-552 до оп.39, установка УУ, ф.8 ПС №418 "Руза", в т.ч. ПИР, МО, Рузский р-н, д.Румянцево</t>
  </si>
  <si>
    <t>I-113970</t>
  </si>
  <si>
    <t>Реконструкция ВЛ-0,38 кВ ф.2 от КТП-552 до оп.39, установка УУ, ф.8 ПС №418 "Руза", в т.ч. ПИР, МО, Рузский р-н, д.Румянцево</t>
  </si>
  <si>
    <t>083-0004440</t>
  </si>
  <si>
    <t>Выполнение работ, включая ПИР, авторский надзор по объектам  ЗЭС  приказа  № 926 от 09.09.08.2013г  Шаховского р-на   (2 объекта)</t>
  </si>
  <si>
    <t>083-0004442</t>
  </si>
  <si>
    <t>Выполнение работ, включая ПИР, авторский надзор по титулу: Реконструкция ЗТП-3016, в т.ч. ПИР, МО, Шаховской р-н, д.Гордино</t>
  </si>
  <si>
    <t>I-137485</t>
  </si>
  <si>
    <t>Реконструкция ЗТП-3016, в т.ч. ПИР, МО, Шаховской р-н, д.Гордино</t>
  </si>
  <si>
    <t>083-0004443</t>
  </si>
  <si>
    <t>Выполнение работ, включая ПИР, авторский надзор по титулу: Реконструкция ЗТП-3274, в т.ч. ПИР, МО, Шаховской р-н, с.Белая Колпь</t>
  </si>
  <si>
    <t>I-137486</t>
  </si>
  <si>
    <t>Реконструкция ЗТП-3274, в т.ч. ПИР, МО, Шаховской р-н, с.Белая Колпь</t>
  </si>
  <si>
    <t>083-0004365</t>
  </si>
  <si>
    <t>Выполнение работ, включая ПИР, авторский надзор, СМР, ПНР, оборудование и материалы (замена на СИП)  по титулу: Реконструкция ВЛ-10 кВ ф.2 ЦРП 9 Кр.Берег, Шаховской РЭС</t>
  </si>
  <si>
    <t>I-112296</t>
  </si>
  <si>
    <t>Реконструкция ВЛ-10 кВ ф.2 ЦРП 9 Кр.Берег, Шаховской РЭС</t>
  </si>
  <si>
    <t>083-0004295</t>
  </si>
  <si>
    <t>Выполнение ПИР, авторский надзор по титулу:  Реконструкция ПС "Первомайская", замена ячеек КРУН 10 кВ, в т.ч. ПИР, МО, Наро-Фоминский р-н</t>
  </si>
  <si>
    <t>ПИР,  авторский надзор</t>
  </si>
  <si>
    <t>Выполнение ПИР,  авторский надзор</t>
  </si>
  <si>
    <t>083-0004308</t>
  </si>
  <si>
    <t xml:space="preserve">Выполнение СМР, ПНР,оборудование и материалы по титулу:   Реконструкция ВЛ 10 кВ  ф-2 РП 8 </t>
  </si>
  <si>
    <t>I-111294</t>
  </si>
  <si>
    <t xml:space="preserve">Реконструкция ВЛ 10 кВ  ф-2 РП 8 </t>
  </si>
  <si>
    <t xml:space="preserve">Приказ №401 от 06.03.2012г. </t>
  </si>
  <si>
    <t>083-0004138</t>
  </si>
  <si>
    <t>Выполнение СМР, ПНР,оборудование и материалы по титулу:   Реконструкция ВЛ-0,4 кВ от ТП-2310 д. Корневское</t>
  </si>
  <si>
    <t>I-111325</t>
  </si>
  <si>
    <t>Реконструкция ВЛ-0,4 кВ от ТП-2310 д. Корневское</t>
  </si>
  <si>
    <t>083-0004369</t>
  </si>
  <si>
    <t>Выполнение ПИР, авторский надзор по титулу:  ПС 35 кВ № 124 "Кокошкино"</t>
  </si>
  <si>
    <t>I-111363</t>
  </si>
  <si>
    <t>ПС 35 кВ № 124 "Кокошкино"</t>
  </si>
  <si>
    <t>083-0004829</t>
  </si>
  <si>
    <t xml:space="preserve">Выполнение работ, включая ПИР, авторский надзор, СМР, ПНР, оборудование и материалы по титулу:Строительство ТП-160/6/0,38 кВ, КЛ-6 кВ от ТП-6713 ПС-67 "Усово" в т.ч. ПИР, МО, Одинцовский р-н, Рублево-Успенское ш. на участке подъезда к Госдачам в районе Усово </t>
  </si>
  <si>
    <t>I-140352</t>
  </si>
  <si>
    <t xml:space="preserve">Строительство ТП-160/6/0,38 кВ, КЛ-6 кВ от ТП-6713 ПС-67 "Усово" в т.ч. ПИР, МО, Одинцовский р-н, Рублево-Успенское ш. на участке подъезда к Госдачам в районе Усово </t>
  </si>
  <si>
    <t>083-0004830</t>
  </si>
  <si>
    <t>Выполнение работ, включая ПИР, авторский надзор, СМР, ПНР, оборудование и материалы по титулу:Строительство ВЛЗ-10 кВ от ВЛЗ 10 кВ ф.9 ПС-390 "Тучково" в т.ч. ПИР, МО, Рузский р-н, п.Тучково</t>
  </si>
  <si>
    <t>I-140355</t>
  </si>
  <si>
    <t>Строительство ВЛЗ-10 кВ от ВЛЗ 10 кВ ф.9 ПС-390 "Тучково" в т.ч. ПИР, МО, Рузский р-н, п.Тучково</t>
  </si>
  <si>
    <t>083-0004831</t>
  </si>
  <si>
    <t>Выполнение работ, включая ПИР, авторский надзор, СМР, ПНР, оборудование и материалы по титулу:Строительство ВЛЗ-10 кВ от строящейся по дог.ВЛ-13-302-2137(903019) ВЛЗ-10 кВ ПС-648 "Волочаново" в т.ч. ПИР, МО, Шаховской р-н, с/пос.Степаньковское</t>
  </si>
  <si>
    <t>I-140358</t>
  </si>
  <si>
    <t>Строительство ВЛЗ-10 кВ от строящейся по дог.ВЛ-13-302-2137(903019) ВЛЗ-10 кВ ПС-648 "Волочаново" в т.ч. ПИР, МО, Шаховской р-н, с/пос.Степаньковское</t>
  </si>
  <si>
    <t>083-0004778</t>
  </si>
  <si>
    <t>Выполнение работ, включая ПИР, авторский надзор, СМР, ПНР, оборудование и материалы по обекту ЗЭС приказа № 1090 от 16.10.2013г. по титулу: Строительство КТП-160/10/0,38 кВ, ВЛЗ-10 кВ от оп. 236 ВЛЗ-10 кВ ф.7 ПС-618 "Никольское", ВЛИ-0,38 кВ,  в т.ч. ПИР, МО,Рузский р-н, д.Буланино</t>
  </si>
  <si>
    <t>I-141580</t>
  </si>
  <si>
    <t>Строительство КТП-160/10/0,38 кВ, ВЛЗ-10 кВ от оп. 236 ВЛЗ-10 кВ ф.7 ПС-618 "Никольское", ВЛИ-0,38 кВ,  в т.ч. ПИР, МО,Рузский р-н, д.Буланино</t>
  </si>
  <si>
    <t>083-0004847</t>
  </si>
  <si>
    <t>Выполнение работ, включая ПИР, авторский надзор, СМР, ПНР, оборудование и материалы по объектам  ЗЭС  приказа  № 926 от 09.09.08.2013г  Наро-Фоминского р-на (2 объекта)</t>
  </si>
  <si>
    <t xml:space="preserve">ПИР, авторский надзор, СМР, ПНР, оборудование и материалы </t>
  </si>
  <si>
    <t>Авансы 
от ТП</t>
  </si>
  <si>
    <t xml:space="preserve">Выполнение ПИР, авторский надзор, СМР, ПНР, оборудование и материалы </t>
  </si>
  <si>
    <t>083-0004409</t>
  </si>
  <si>
    <t>Выполнение работ, включая ПИР, авторский надзор, СМР, ПНР, оборудование и материалы по титулу: Установка АПС на ВЛЗ-10 кВ ф.5 ПС-25 "Встреча", в т.ч. ПИР, МО, Наро-Фоминский р-н, д. Санники</t>
  </si>
  <si>
    <t>I-138352</t>
  </si>
  <si>
    <t>Установка АПС на ВЛЗ-10 кВ ф.5 ПС-25 "Встреча", в т.ч. ПИР, МО, Наро-Фоминский р-н, д. Санники</t>
  </si>
  <si>
    <t>083-0004410</t>
  </si>
  <si>
    <t>Выполнение работ, включая ПИР, авторский надзор, СМР, ПНР, оборудование и материалы по титулу: Реконструкция ТП-122 ПС-575 "Селятино", замена трансформатора, в т.ч. ПИР,МО, Наро-Фоминский р-н, Рассудово д, Камышовая, дом № 1/2 А</t>
  </si>
  <si>
    <t>I-132983</t>
  </si>
  <si>
    <t>Реконструкция ТП-122 ПС-575 "Селятино", замена трансформатора, в т.ч. ПИР,МО, Наро-Фоминский р-н, Рассудово д, Камышовая, дом № 1/2 А</t>
  </si>
  <si>
    <t>083-0004864</t>
  </si>
  <si>
    <t>Выполнение работ, включая ПИР, авторский надзор, СМР, ПНР, оборудование и материалы по объекту  ЗЭС  приказа  № 1200 от 12.11.2013г  по титулу: Строительство 2-х КЛ-6 кВ от яч. РУ-6 кВ ПС №293 "Каменская", пункта секционирования СП-6 кВ, в т.ч. ПИР, МО, г. Звенигород, мкр-н. Южный</t>
  </si>
  <si>
    <t>ПИР, авторский надзор, СМР, ПНР, оборудование, материалы</t>
  </si>
  <si>
    <t>Выполнение ПИР, авторский надзор, СМР, ПНР, оборудование, материалы</t>
  </si>
  <si>
    <t>I-142572</t>
  </si>
  <si>
    <t>Строительство 2-х КЛ-6 кВ от яч. РУ-6 кВ ПС №293 "Каменская", пункта секционирования СП-6 кВ, в т.ч. ПИР, МО, г. Звенигород, мкр-н. Южный</t>
  </si>
  <si>
    <t>083-0004370</t>
  </si>
  <si>
    <t>Выполнение работ, включая ПИР, авторский надзор, СМР, ПНР, оборудование и материалы по титулу: Строительство КТП-250/10/0,38 кВ в габ. 400 кВА, ВЛЗ-10 кВ от ВЛЗ-10 кВ ф.5 ПС-25 "Встреча",ВЛИ-0,38 кВ, в т.ч. ПИР, МО, Наро-Фоминский р-н, Марушкинское с/п, п.Крекшино</t>
  </si>
  <si>
    <t>I-136217</t>
  </si>
  <si>
    <t>Строительство КТП-250/10/0,38 кВ в габ. 400 кВА, ВЛЗ-10 кВ от ВЛЗ-10 кВ ф.5 ПС-25 "Встреча",ВЛИ-0,38 кВ, в т.ч. ПИР, МО, Наро-Фоминский р-н, Марушкинское с/п, п.Крекшино</t>
  </si>
  <si>
    <t>083-0004376</t>
  </si>
  <si>
    <t>834376</t>
  </si>
  <si>
    <t>Выполнение работ, включая ПИР, авторский надзор, СМР, ПНР, оборудование и материалы по титулу: Строительство ТП-40/6/0,38 кВ, ВЛЗ-6 кВ от ВЛЗ-6 кВ ПС-550 "Каринская", в т.ч. ПИР, МО, Одинцовский р-н, д.Покровскоед, СНТ "Урожайное", в.482</t>
  </si>
  <si>
    <t>I-138561</t>
  </si>
  <si>
    <t>Строительство ТП-40/6/0,38 кВ, ВЛЗ-6 кВ от ВЛЗ-6 кВ ПС-550 "Каринская", в т.ч. ПИР, МО, Одинцовский р-н, д.Покровскоед, СНТ "Урожайное", в.482</t>
  </si>
  <si>
    <t>083-0004517</t>
  </si>
  <si>
    <t>834517</t>
  </si>
  <si>
    <t>Выполнение  ПИР, авторский надзор по титулу: Строительство РП-10 кВ «РОНД», 2ПКЛ-10 кВ, установка яч. в РУ-110 кВ  ПС №64 "Барвиха", в т.ч. ПИР, МО, Одинцовский р-н, Немчиновская п/а, в районе с. Ромашково</t>
  </si>
  <si>
    <t>083-0004466</t>
  </si>
  <si>
    <t>834466</t>
  </si>
  <si>
    <t>Выполнение работ, включая ПИР, авторский надзор, СМР, ПНР, оборудование и материалы по титулу: Строительство ТП-250/10/0,38 кВ, ВЛЗ-10 кВ от ВЛЗ-10 кВ ф.1 ПС-589 "Субботино", в т.ч. ПИР, МО, Наро-Фоминский р-н, Волченковское с.п., д.Тишинка</t>
  </si>
  <si>
    <t>I-137502</t>
  </si>
  <si>
    <t>Строительство ТП-250/10/0,38 кВ, ВЛЗ-10 кВ от ВЛЗ-10 кВ ф.1 ПС-589 "Субботино", в т.ч. ПИР, МО, Наро-Фоминский р-н, Волченковское с.п., д.Тишинка</t>
  </si>
  <si>
    <t>083-0004865</t>
  </si>
  <si>
    <t>834865</t>
  </si>
  <si>
    <t>Выполнение работ, включая ПИР, авторский надзор, СМР, ПНР, оборудование и материалы по объекту  ЗЭС  приказа  № 1200 от 12.11.2013г  по титулу: Строительство ТП-160/10/0,38 кВ ПС-719 "Мордвиново",ВЛЗ-10 кВ от оп.63 ВЛЗ-10 кВ, в т.ч.ПИР, МО, Можайский р-н, в с-в части кад. квартале. 50:18:0090421</t>
  </si>
  <si>
    <t>I-142326</t>
  </si>
  <si>
    <t>Строительство ТП-160/10/0,38 кВ ПС-719 "Мордвиново",ВЛЗ-10 кВ от оп.63 ВЛЗ-10 кВ, в т.ч.ПИР, МО, Можайский р-н, в с-в части кад. квартале. 50:18:0090421</t>
  </si>
  <si>
    <t>083-0004867</t>
  </si>
  <si>
    <t>834867</t>
  </si>
  <si>
    <t>Выполнение работ, включая ПИР, авторский надзор по объекту  ЗЭС  приказа  № 1200 от 12.11.2013г  по титулу: Строительство РП-10 кВ, 2 КЛ-10 кВ от яч. №103 и №203 ПС №836 "Слобода", 2 КРН-10 кВ, КЛ-10 кВ,  в т.ч. ПИР, МО, относительно ориентира южнее д. Красный поселок. Адрес ориентира: Истринский район, с/пос. Обушковское</t>
  </si>
  <si>
    <t>064-0001054</t>
  </si>
  <si>
    <t>Выполнение СМР по развитию ЦПТСС ЦЭС для обеспечения каналами диспетчерской телефонной связи и передачи  информации с целью повышения (сохранения) уровня наблюдаемости и управляемости энергосистемы. Строительство ВОЛС на участках:  ТЭЦ-21-ПС Коровино-ПС Лианозово-ПС Бескудниково, ПС Фили-ПС Шелепиха-ПС Ходынка, ПС Коньково- ПС Тропарево, ТЭЦ-20-ПС Москворецкая-ПС Павелецкая, ПС Чагино-Кузьминки-Дубровская, ПС Фили-ПС Мазилово, ТЭЦ 11-ПС Фрезер-ПС Карачарово, ТЭЦ 11-ПС Баскаково, ПС Стромынка-ПС Метростроевская, ПС Говорово-ПС Солнцево, ПС Пенягино-ПС Тушино-ПС Гражданская-ПС Бутырки, ПС Миусская-ПС Маяковская</t>
  </si>
  <si>
    <t>1,058*1,062</t>
  </si>
  <si>
    <t>I-115716</t>
  </si>
  <si>
    <t>Развитие ЦПТСС ЦЭС для обеспечения каналами диспетчерской телефонной связи и передачи  информации с целью повышения (сохранения) уровня наблюдаемости и управляемости энергосистемы. Строительство ВОЛС на участках:  ТЭЦ-21-ПС Коровино-ПС Лианозово-ПС Бескудниково, ПС Фили-ПС Шелепиха-ПС Ходынка, ПС Коньково- ПС Тропарево, ТЭЦ-20-ПС Москворецкая-ПС Павелецкая, ПС Чагино-Кузьминки-Дубровская, ПС Фили-ПС Мазилово, ТЭЦ 11-ПС Фрезер-ПС Карачарово, ТЭЦ 11-ПС Баскаково, ПС Стромынка-ПС Метростроевская, ПС Говорово-ПС Солнцево, ПС Пенягино-ПС Тушино-ПС Гражданская-ПС Бутырки, ПС Миусская-ПС Маяковская</t>
  </si>
  <si>
    <t>Приказ №1509  от 13.09.2013</t>
  </si>
  <si>
    <t>064-0001144</t>
  </si>
  <si>
    <t>Выполнение СМР по реконструкции ВЛ 220 кВ ТЭЦ-21 - Бескудниково 1, 2</t>
  </si>
  <si>
    <t>I-112378</t>
  </si>
  <si>
    <t>Реконструкция ВЛ 220 кВ ТЭЦ-21 - Бескудниково 1, 2</t>
  </si>
  <si>
    <t>Приказ №2080 от 03.12.12</t>
  </si>
  <si>
    <t>064-0001150</t>
  </si>
  <si>
    <t xml:space="preserve">Выполнение СМР по реконструкции ВЛ 110 кВ  "Ходынка - ТЭЦ-16 1, 2" </t>
  </si>
  <si>
    <t>I-112389</t>
  </si>
  <si>
    <t xml:space="preserve">Реконструкция ВЛ 110 кВ  "Ходынка - ТЭЦ-16 1, 2" </t>
  </si>
  <si>
    <t>Приказ №2083 от 03.12.12</t>
  </si>
  <si>
    <t>064-0001154</t>
  </si>
  <si>
    <t>Выполнение СМР по реконструкции ВЛ 110 кВ  "Гоголево - Сабурово"</t>
  </si>
  <si>
    <t>I-112393</t>
  </si>
  <si>
    <t>Реконструкция ВЛ 110 кВ  "Гоголево - Сабурово"</t>
  </si>
  <si>
    <t>Приказ №2084 от 03.12.12</t>
  </si>
  <si>
    <t>064-0001381</t>
  </si>
  <si>
    <t>Выполнение ПИР и осуществление авторского надзора по титулу "Сооружение заходов ВЛ 220 кВ "ЦАГИ-Руднево" и ВЛ 220 кВ "Ногинск-Руднево" на ПС 500 кВ "Каскадная"</t>
  </si>
  <si>
    <t>I-136756</t>
  </si>
  <si>
    <t>064-0001386</t>
  </si>
  <si>
    <t>Выполнение ПИР, СМР, ПНР, оборудование по титулу: "Реконструкция ПС № 604 "Коровино"  яч.№ № 1,11,16,25 (РУ- 10кВ), в т.ч. ПИР, Вагоноремонтная ул., вл. 25"</t>
  </si>
  <si>
    <t>I-140348</t>
  </si>
  <si>
    <t>Реконструкция ПС № 604 "Коровино"  яч.№ № 1,11,16,25 (РУ- 10кВ), в т.ч. ПИР, Вагоноремонтная ул., вл. 25</t>
  </si>
  <si>
    <t>064-0001387</t>
  </si>
  <si>
    <t>Выполнение ПИР, СМР, ПНР, оборудование по титулу: "Реконструкция ПС № 655 "Никитская" яч. №46, ПС № 690 "Маяковская" яч. №6,ПС № 378 "Центральная" яч. №18, 19, ПС № 682 "Рижская" яч. №14,26 (РУ- 10кВ), в т.ч. ПИР, для нужд ЦЭС"</t>
  </si>
  <si>
    <t>I-140349</t>
  </si>
  <si>
    <t>Реконструкция ПС № 655 "Никитская" яч. №46, ПС № 690 "Маяковская" яч. №6,ПС № 378 "Центральная" яч. №18, 19, ПС № 682 "Рижская" яч. №14,26 (РУ- 10кВ), в т.ч. ПИР, для нужд ЦЭС</t>
  </si>
  <si>
    <t>064-0001388</t>
  </si>
  <si>
    <t>Выполнение ПИР, СМР, ПНР, оборудование по титулу: "Реконструкция ПС № 679 "Таганская"  яч.№ 21 (РУ- 10кВ), в т.ч. ПИР, ш. Энтузиастов, вл.2-4"</t>
  </si>
  <si>
    <t>I-140346</t>
  </si>
  <si>
    <t>Реконструкция ПС № 679 "Таганская"  яч.№ 21 (РУ- 10кВ), в т.ч. ПИР, ш. Энтузиастов, вл.2-4</t>
  </si>
  <si>
    <t>064-0001389</t>
  </si>
  <si>
    <t>Выполнение ПИР, СМР, ПНР, оборудование по титулу: "Реконструкция ПС № 632 "Фрезер"  яч.№ №13,42 (РУ- 10кВ),в т.ч. ПИР, для нужд ЦЭС"</t>
  </si>
  <si>
    <t>I-140347</t>
  </si>
  <si>
    <t>Реконструкция ПС № 632 "Фрезер"  яч.№ №13,42 (РУ- 10кВ), в т.ч. ПИР, для нужд ЦЭС</t>
  </si>
  <si>
    <t>064-0001399</t>
  </si>
  <si>
    <t>Выполнение ПИР, СМР, ПНР, оборудование по титулу "Реконструкция ПС № 394 "Бирюлево" яч. № 17 (РУ- 10кВ), ПС № 370 "Чертаново" яч. № 22 (РУ- 10кВ), в т.ч. ПИР, Варшавское ш., вл. 150 и 156"</t>
  </si>
  <si>
    <t>I-138245</t>
  </si>
  <si>
    <t>Реконструкция ПС № 394 "Бирюлево" яч. № 17 (РУ- 10кВ), ПС № 370 "Чертаново" яч. № 22 (РУ- 10кВ), в т.ч. ПИР, Варшавское ш., вл. 150 и 156</t>
  </si>
  <si>
    <t>084-0002550</t>
  </si>
  <si>
    <t>Выполнение ПИР по Установка ИРМ 2х25 МВАр на ПС 110 кВ Радовицы</t>
  </si>
  <si>
    <t>I-137518</t>
  </si>
  <si>
    <t>Установка ИРМ 2х25 МВАр на ПС 110 кВ Радовицы</t>
  </si>
  <si>
    <t>081-0004123</t>
  </si>
  <si>
    <t>814123</t>
  </si>
  <si>
    <t>Выполнение ПИР, СМР, ПНР, оборудование по Строительство СП-10 кВ, 2КЛ-10 кВ от РУ-10 кВ РП-10 кВ (сооруж.по дог. 9813-409 от 08.09.2008 КОО «МИЛЛГРИН ЛИМИТЕД») до 2СП-10 кВ, установка 2 яч., ПС № 145 Нахабино, в т.ч. ПИР, МО, Красногорский р-н
установка ячеек в РУ-10 кВ РП-10 кВ по пр.1218 от 18.11.2013</t>
  </si>
  <si>
    <t>I-143005</t>
  </si>
  <si>
    <t xml:space="preserve">Строительство СП-10 кВ, 2КЛ-10 кВ от РУ-10 кВ РП-10 кВ (сооруж.по дог. 9813-409 от 08.09.2008 КОО «МИЛЛГРИН ЛИМИТЕД») до 2СП-10 кВ, установка 2 яч., ПС № 145 Нахабино, в т.ч. ПИР, МО, Красногорский р-н установка ячеек в РУ-10 кВ РП-10 кВ
</t>
  </si>
  <si>
    <t>081-0004147</t>
  </si>
  <si>
    <t>Выполнение ПИР, СМР, ПНР, оборудование по объектам ТП СЭС  Дмитровского  р-на  по пр.1218 от 18.11.2013 и 1234 от 21.11.2013</t>
  </si>
  <si>
    <t>081-0004120</t>
  </si>
  <si>
    <t>Выполнение ПИР, СМР, ПНР, оборудование по Строительство ВЛИ-0,38 кВ от ТП-822, ПС №311 "Шуколово", в т.ч. ПИР, МО,  Дмитровский р-н, д. Подосинки, ул. Новые Подосинки, д.91</t>
  </si>
  <si>
    <t>I-141623</t>
  </si>
  <si>
    <t>Строительство ВЛИ-0,38 кВ от ТП-822, ПС №311 "Шуколово", в т.ч. ПИР, МО,  Дмитровский р-н, д. Подосинки, ул. Новые Подосинки, д.91</t>
  </si>
  <si>
    <t>081-0004139</t>
  </si>
  <si>
    <t>Выполнение ПИР, СМР, ПНР по Строительство 2-КЛ0,4 кВ от ТП-2563, ПС №160 "Перемилово", в т.ч. ПИР, МО, Дмитровский р-н, г. Яхрома, мкр. Левобережье</t>
  </si>
  <si>
    <t>I-142785</t>
  </si>
  <si>
    <t>Строительство 2-КЛ0,4 кВ от ТП-2563, ПС №160 "Перемилово", в т.ч. ПИР, МО, Дмитровский р-н, г. Яхрома, мкр. Левобережье</t>
  </si>
  <si>
    <t>081-0004141</t>
  </si>
  <si>
    <t>Выполнение ПИР, СМР, ПНР, оборудование по Строительство СП-10 кВ, КТП-10 кВ, ВЛЗ-10 кВ от ВЛЗ-10 кВ ф. ТП-120-КТП-166  ПС №631  "Елгозино", в т.ч. ПИР, МО, Клинский р-н, д. Алферьво по пр.1234 от 21.11.2013</t>
  </si>
  <si>
    <t>I-142770</t>
  </si>
  <si>
    <t>Строительство СП-10 кВ, КТП-10 кВ, ВЛЗ-10 кВ от ВЛЗ-10 кВ ф. ТП-120-КТП-166  ПС №631  "Елгозино", в т.ч. ПИР, МО, Клинский р-н, д. Алферьво</t>
  </si>
  <si>
    <t>081-0004131</t>
  </si>
  <si>
    <t>Выполнение ПИР, СМР, ПНР, оборудование по Строительство КТПП-6/0,4, КЛ-6 кВ от КЛ-6 кВ ф.24 ПС №197 "Хотьково", в т.ч. ПИР, МО, Сергиево-Посадский р-н, г. Хотьково, ул. Заводская, д.9 по пр.1218 от 18.11.2013</t>
  </si>
  <si>
    <t>I-141674</t>
  </si>
  <si>
    <t>Строительство КТПП-6/0,4, КЛ-6 кВ от КЛ-6 кВ ф.24 ПС №197 "Хотьково", в т.ч. ПИР, МО, Сергиево-Посадский р-н, г. Хотьково, ул. Заводская, д.9</t>
  </si>
  <si>
    <t>081-0004135</t>
  </si>
  <si>
    <t>Выполнение ПИР, СМР, ПНР, оборудование по Строительство ТП-6/0,4 кВ, ВЛЗ-6 кВ от ВЛЗ-6 кВ ф.6 ПС №463, в т.ч. ПИР, МО, Талдомский р-н, северо-западнее д. Кушки по пр.1218 от 18.11.2013</t>
  </si>
  <si>
    <t>I-141187</t>
  </si>
  <si>
    <t>Строительство ТП-6/0,4 кВ, ВЛЗ-6 кВ от ВЛЗ-6 кВ ф.6 ПС №463, в т.ч. ПИР, МО, Талдомский р-н, северо-западнее д. Кушки</t>
  </si>
  <si>
    <t>081-0004113</t>
  </si>
  <si>
    <t>814113</t>
  </si>
  <si>
    <t>Выполнение ПИР, СМР, ПНР, оборудование по объектам ТП СЭС  Дмитровского  р-на  №4 по пр.1200 от 12.11.2013</t>
  </si>
  <si>
    <t>081-0004088</t>
  </si>
  <si>
    <t>Выполнение ПИР, СМР, ПНР, оборудование по Строительство КТП-10/0,4 кВ, ВЛЗ-10 кВ от ТП-2805 (с.1), ПС №325 "Луговая", в т.ч. ПИР, МО, Дмитровский р-н, п. свх "Останкино"</t>
  </si>
  <si>
    <t>I-140655</t>
  </si>
  <si>
    <t>Строительство КТП-10/0,4 кВ, ВЛЗ-10 кВ от ТП-2805 (с.1), ПС №325 "Луговая", в т.ч. ПИР, МО, Дмитровский р-н, п. свх "Останкино"</t>
  </si>
  <si>
    <t>081-0004090</t>
  </si>
  <si>
    <t>Выполнение ПИР, СМР, ПНР, оборудование по Строительство БКТП-6/0,4 кВ, ВЛЗ-6 кВ от ВЛЗ-6 кВ ф.33 и ф.26 ПС №311 "Шуколово", в т.ч. ПИР, в т.ч. ПИР, МО, Дмитровский р-н, п. Деденево, ул. Заречная</t>
  </si>
  <si>
    <t>I-136691</t>
  </si>
  <si>
    <t>Строительство БКТП-6/0,4 кВ, ВЛЗ-6 кВ от ВЛЗ-6 кВ ф.33 и ф.26 ПС №311 "Шуколово", в т.ч. ПИР, в т.ч. ПИР, МО, Дмитровский р-н, п. Деденево, ул. Заречная</t>
  </si>
  <si>
    <t>081-0004089</t>
  </si>
  <si>
    <t>814089</t>
  </si>
  <si>
    <t>Выполнение ПИР, СМР, ПНР, оборудование по Строительство МТП-6-0,4 кВ, ВЛЗ-6 кВ от ВЛЗ- 6 кВ ф.24 ПС №96 "Катуар", в т.ч. ПИР, МО, Дмитровский р-н, п. Некрасовский, ул. Лесная по пр.1200 от 12.11.2013</t>
  </si>
  <si>
    <t>I-135976</t>
  </si>
  <si>
    <t>Строительство МТП-6-0,4 кВ, ВЛЗ-6 кВ от ВЛЗ- 6 кВ ф.24 ПС №96 "Катуар", в т.ч. ПИР, МО, Дмитровский р-н, п. Некрасовский, ул. Лесная</t>
  </si>
  <si>
    <t>081-0003846</t>
  </si>
  <si>
    <t>Выполнение ПИР, СМР, ПНР, оборудование по Строительство КТП-10/0,4 кВ, ПС №837 "Куркино", в т.ч. ПИР, МО, Красногорский р-н, д. Гаврилково, СНТ "Текстильщик". В соответствии с Приказом 1076</t>
  </si>
  <si>
    <t>I-140333</t>
  </si>
  <si>
    <t>Строительство КТП-10/0,4 кВ, ПС №837 "Куркино", в т.ч. ПИР, МО, Красногорский р-н, д. Гаврилково, СНТ "Текстильщик"</t>
  </si>
  <si>
    <t>081-0003920</t>
  </si>
  <si>
    <t>Выполнение ПИР, СМР, ПНР, оборудование по Строительство КТП-10/0,4 кВ, ВЛЗ-10 кВ от ВЛЗ-10 кВ ф.ТП-455 ПС №20 "Алабушево", ВЛИ-0,38 кВ, в т.ч. ПИР, МО, Солнечногорский р-н, д. Дурыкино</t>
  </si>
  <si>
    <t>I-140614</t>
  </si>
  <si>
    <t>Строительство КТП-10/0,4 кВ, ВЛЗ-10 кВ от ВЛЗ-10 кВ ф.ТП-455 ПС №20 "Алабушево", ВЛИ-0,38 кВ, в т.ч. ПИР, МО, Солнечногорский р-н, д. Дурыкино</t>
  </si>
  <si>
    <t>081-0003234</t>
  </si>
  <si>
    <t>Выполнение ПИР, СМР, ПНР, оборудование по Реконструкция ПС-533 (замена ячейки с МВ ф.35 на ячейку с ВВ), в т.ч. ПИР, МО, Cергиево-Посадский р-н, д, Рязанцы, уч.9</t>
  </si>
  <si>
    <t>I-134261</t>
  </si>
  <si>
    <t>Реконструкция ПС-533 (замена ячейки с МВ ф.35 на ячейку с ВВ), в т.ч. ПИР, МО, Cергиево-Посадский р-н, д, Рязанцы, уч.9</t>
  </si>
  <si>
    <t>081-0003679</t>
  </si>
  <si>
    <t xml:space="preserve">Выполнение ПИР, СМР, ПНР, оборудование по Монтах ячейки КСО-298 в ТП-69, строительство КТП-6/0,4 кВ, ВЛЗ-6 кВ от ВЛЗ-6 кВ ф. "14415" ПС №144 "Першутино", в т.ч. ПИР, МО, г. Клин, Железнодорожный р-н, </t>
  </si>
  <si>
    <t>I-136678</t>
  </si>
  <si>
    <t xml:space="preserve">Монтах ячейки КСО-298 в ТП-69, строительство КТП-6/0,4 кВ, ВЛЗ-6 кВ от ВЛЗ-6 кВ ф. "14415" ПС №144 "Першутино", в т.ч. ПИР, МО, г. Клин, Железнодорожный р-н, </t>
  </si>
  <si>
    <t>081-0003683</t>
  </si>
  <si>
    <t>Выполнение ПИР по Строительство РТП-10/0,4 кВ, КЛ-10 кВ от ПС №416, в т.ч. ПИР, МО, Мытищинский р-н, пос. Нагорное</t>
  </si>
  <si>
    <t>I-134930</t>
  </si>
  <si>
    <t>Строительство РТП-10/0,4 кВ, КЛ-10 кВ от ПС №416, в т.ч. ПИР, МО, Мытищинский р-н, пос. Нагорное</t>
  </si>
  <si>
    <t>081-0003702</t>
  </si>
  <si>
    <t>Выполнение ПИР, СМР, ПНР, оборудование по Строительсьтво ячейки КСО-298 в ТП-472, в ЦРП-49 сек.2, КЛ-10 кВ от ТП-472, КЛ-10 кВ от ЦРП-49 сек.2, ПС №438 "Бакеево", в т.ч. ПИР, МО, Солнечногорский р-н, АО "Крюково", д. Брехово, уч.1</t>
  </si>
  <si>
    <t>I-134921</t>
  </si>
  <si>
    <t>Строительсьтво ячейки КСО-298 в ТП-472, в ЦРП-49 сек.2, КЛ-10 кВ от ТП-472, КЛ-10 кВ от ЦРП-49 сек.2, ПС №438 "Бакеево", в т.ч. ПИР, МО, Солнечногорский р-н, АО "Крюково", д. Брехово, уч.1</t>
  </si>
  <si>
    <t>081-0003673</t>
  </si>
  <si>
    <t>Выполнение ПИР, СМР, ПНР, оборудование по Строительство ВЛИ-0,38 кВ от ВЛИ-0,38 кВ ф.4  ПС №127 "Яхрома", в т.ч. ПИР, МО, Дмитровский р-н, г. Яхрома</t>
  </si>
  <si>
    <t>I-136688</t>
  </si>
  <si>
    <t>Строительство ВЛИ-0,38 кВ от ВЛИ-0,38 кВ ф.4  ПС №127 "Яхрома", в т.ч. ПИР, МО, Дмитровский р-н, г. Яхрома</t>
  </si>
  <si>
    <t>081-0003750</t>
  </si>
  <si>
    <t>Выполнение ПИР, СМР, ПНР, оборудование по объектам ТП СЭС Солнечногорского  р-на</t>
  </si>
  <si>
    <t>081-0003703</t>
  </si>
  <si>
    <t>Выполнение ПИР, СМР, ПНР, оборудование по Строительство ВЛЗ-10 кВ от ВЛЗ-10 кВ ф.26411, ПС №264 "Мцыри", в т.ч. ПИР, МО, Солнечногорский р-н, д. Рузино</t>
  </si>
  <si>
    <t>I-135546</t>
  </si>
  <si>
    <t>Строительство ВЛЗ-10 кВ от ВЛЗ-10 кВ ф.26411, ПС №264 "Мцыри", в т.ч. ПИР, МО, Солнечногорский р-н, д. Рузино</t>
  </si>
  <si>
    <t>081-0003705</t>
  </si>
  <si>
    <t>4560531
7421029 
4560521
4530850
4560611</t>
  </si>
  <si>
    <t>Выполнение ПИР, СМР, ПНР по Строительство КЛ-10 кВ от ЦРП-9, ПС №71 "Поварово", в т.ч. ПИР, МО, Солнечногорский р-н, дп Поварово, ул. Почтовая, д.29</t>
  </si>
  <si>
    <t>I-136652</t>
  </si>
  <si>
    <t>Строительство КЛ-10 кВ от ЦРП-9, ПС №71 "Поварово", в т.ч. ПИР, МО, Солнечногорский р-н, дп Поварово, ул. Почтовая, д.29</t>
  </si>
  <si>
    <t>081-0003747</t>
  </si>
  <si>
    <t>081-0003706</t>
  </si>
  <si>
    <t>Выполнение ПИР, СМР, ПНР по Строительство ВЛЗ-10 кВ от ВЛЗ-10 кВ ф.Лопотово от РТП-111, ПС №329 "Осиновка", в т.ч. ПИР, МО, Солнечногорский р-н, Дмитровское лесничество, Истринское уч. лес-во, кв.92, выдел 3-4</t>
  </si>
  <si>
    <t>I-136687</t>
  </si>
  <si>
    <t>Строительство ВЛЗ-10 кВ от ВЛЗ-10 кВ ф.Лопотово от РТП-111, ПС №329 "Осиновка", в т.ч. ПИР, МО, Солнечногорский р-н, Дмитровское лесничество, Истринское уч. лес-во, кв.92, выдел 3-4</t>
  </si>
  <si>
    <t>081-0003708</t>
  </si>
  <si>
    <t>Выполнение ПИР, СМР, ПНР, оборудование по Строительство ВЛЗ-10 кВ от ВЛЗ-10 кВ ф. "ЦРП-10 сек.2-ТП-1016" ПС №35 "Октябрьская", в т.ч. ПИР, МО, Солнечногорский р-н, д. Юрлово</t>
  </si>
  <si>
    <t>I-136702</t>
  </si>
  <si>
    <t>Строительство ВЛЗ-10 кВ от ВЛЗ-10 кВ ф. "ЦРП-10 сек.2-ТП-1016" ПС №35 "Октябрьская", в т.ч. ПИР, МО, Солнечногорский р-н, д. Юрлово</t>
  </si>
  <si>
    <t>081-0003712</t>
  </si>
  <si>
    <t>Выполнение ПИР, СМР, ПНР, оборудование по Строительство ВЛИ-0,38 кВ от ТП-1142, ПС №829 "Время", в т.ч. ПИР, МО,  Солнечногорский р-н, р.п. Менделеево</t>
  </si>
  <si>
    <t>I-137622</t>
  </si>
  <si>
    <t>Строительство ВЛИ-0,38 кВ от ТП-1142, ПС №829 "Время", в т.ч. ПИР, МО,  Солнечногорский р-н, р.п. Менделеево</t>
  </si>
  <si>
    <t>081-0003713</t>
  </si>
  <si>
    <t>Выполнение ПИР, СМР, ПНР, оборудование по Строительство ВЛЗ-10 кВ от ВЛЗ-10 кВ ф. ТП-411 сек.2-417-1419 ПС №264 "Мцыри", в т.ч. ПИР, МО, Солнечногорский р-н, д. Жилино</t>
  </si>
  <si>
    <t>I-135572</t>
  </si>
  <si>
    <t>Строительство ВЛЗ-10 кВ от ВЛЗ-10 кВ ф. ТП-411 сек.2-417-1419 ПС №264 "Мцыри", в т.ч. ПИР, МО, Солнечногорский р-н, д. Жилино</t>
  </si>
  <si>
    <t>081-0003753</t>
  </si>
  <si>
    <t>Выполнение ПИР, СМР, ПНР, оборудование по объектам ТП СЭС Пушкинского и Сергиево-Посадского р-ов</t>
  </si>
  <si>
    <t>081-0003688</t>
  </si>
  <si>
    <t>Выполнение ПИР, СМР, ПНР, оборудование по Строительство МТП-10/0,4 кВ,ВЛЗ-10 кВ от ВЛЗ-10 кВ л.620 ПС №641 "Гранит", в т.ч. ПИР, МО, Пушкинский р-н, с. Царево</t>
  </si>
  <si>
    <t>I-137675</t>
  </si>
  <si>
    <t>Строительство МТП-10/0,4 кВ,ВЛЗ-10 кВ от ВЛЗ-10 кВ л.620 ПС №641 "Гранит", в т.ч. ПИР, МО, Пушкинский р-н, с. Царево</t>
  </si>
  <si>
    <t>081-0003693</t>
  </si>
  <si>
    <t>Выполнение ПИР, СМР, ПНР, оборудование по Монтаж ячеек ЩО-70 в РУ-0,4 кВ РП-311, строительство КЛ-0,4 кВ от сек.I, от сек.II  РП-311, ПС №823 "Кунья", в т.ч. ПИР, МО, Сергиево-Посадский р-н, п. Богородское, уч.78</t>
  </si>
  <si>
    <t>I-136662</t>
  </si>
  <si>
    <t>Монтаж ячеек ЩО-70 в РУ-0,4 кВ РП-311, строительство КЛ-0,4 кВ от сек.I, от сек.II  РП-311, ПС №823 "Кунья", в т.ч. ПИР, МО, Сергиево-Посадский р-н, п. Богородское, уч.78</t>
  </si>
  <si>
    <t>081-0003694</t>
  </si>
  <si>
    <t>Выполнение ПИР, СМР, ПНР, оборудование по Строительство ТП-10/0,4 кВ, ВЛЗ-10 кВ от ВЛЗ-10 кВ ПС №803 "Юркино 2", в т.ч. ПИР, МО, Талдомский р-н, восточнее г. Талдом</t>
  </si>
  <si>
    <t>I-136683</t>
  </si>
  <si>
    <t>Строительство ТП-10/0,4 кВ, ВЛЗ-10 кВ от ВЛЗ-10 кВ ПС №803 "Юркино 2", в т.ч. ПИР, МО, Талдомский р-н, восточнее г. Талдом</t>
  </si>
  <si>
    <t>081-0003698</t>
  </si>
  <si>
    <t>Выполнение ПИР, СМР, ПНР, оборудование по Строительство КТП-10/0,4 кВ, ВЛЗ-10 кВ от ВЛЗ-10 кВ (сооруж. по дог. №С8-13-302-416(934434) от 30.04.2013) ПС №20 "Алабушево", ВЛИ-0,38 кВ, в т.ч. ПИР,  МО, Солнечногорский р-н, д. Дедешино, мкр. 03, уч.22</t>
  </si>
  <si>
    <t>I-138704</t>
  </si>
  <si>
    <t>Строительство КТП-10/0,4 кВ, ВЛЗ-10 кВ от ВЛЗ-10 кВ (сооруж. по дог. №С8-13-302-416(934434) от 30.04.2013) ПС №20 "Алабушево", ВЛИ-0,38 кВ, в т.ч. ПИР,  МО, Солнечногорский р-н, д. Дедешино, мкр. 03, уч.22</t>
  </si>
  <si>
    <t>081-0003733</t>
  </si>
  <si>
    <t>Выполнение ПИР, СМР, ПНР, оборудование по Строительство КТПП-10/0,4 кВ, ТП-10/0,4 кВ, ВЛЗ-10 кВ, КЛ--0,38 кВ, ВЛИ-0,38 кВ, ПС №540 "Ярцево", в т.ч. ПИР, МО, Сергиево-Посадский р-н, д. Барканово, СНТ "Грошево", уч.35</t>
  </si>
  <si>
    <t>I-139088</t>
  </si>
  <si>
    <t>Строительство КТПП-10/0,4 кВ, ТП-10/0,4 кВ, ВЛЗ-10 кВ, КЛ--0,38 кВ, ВЛИ-0,38 кВ, ПС №540 "Ярцево", в т.ч. ПИР, МО, Сергиево-Посадский р-н, д. Барканово, СНТ "Грошево", уч.35</t>
  </si>
  <si>
    <t>081-0003636</t>
  </si>
  <si>
    <t>Выполнение ПИР, СМР, ПНР, оборудование по Строительство МТП-6/0,4 кВ, ВЛЗ-6 кВ от ВЛЗ-6 кВ ф.32 ПС №555 "Игнатово", ВЛИ-0,38 кВ, в т.ч. ПИР, МО, Дмитровский р-н, г. Дмитров, ул. Промышленная, д.24</t>
  </si>
  <si>
    <t>I-138235</t>
  </si>
  <si>
    <t>Строительство МТП-6/0,4 кВ, ВЛЗ-6 кВ от ВЛЗ-6 кВ ф.32 ПС №555 "Игнатово", ВЛИ-0,38 кВ, в т.ч. ПИР, МО, Дмитровский р-н, г. Дмитров, ул. Промышленная, д.24</t>
  </si>
  <si>
    <t>081-0003640</t>
  </si>
  <si>
    <t>Выполнение ПИР, СМР, ПНР, оборудование по Установка 2 ячеек в РУ-10 кВ ЦРП-23, стр-во БКТП с уст. тр-ров 2х400 кВА, КЛ-10 кВ (0,9 км), ПС 664 Аксаково, в т.ч. ПИР, МО, Митищинский р-н., с.п. Федоскинское, северо-восточнее д. Семенищево, уч.31</t>
  </si>
  <si>
    <t>I-138752</t>
  </si>
  <si>
    <t>Установка 2 ячеек в РУ-10 кВ ЦРП-23, стр-во БКТП с уст. тр-ров 2х400 кВА, КЛ-10 кВ (0,9 км), ПС 664 Аксаково, в т.ч. ПИР, МО, Митищинский р-н., с.п. Федоскинское, северо-восточнее д. Семенищево, уч.31</t>
  </si>
  <si>
    <t>081-0003641</t>
  </si>
  <si>
    <t>Выполнение ПИР по Установка ячеек III и IV секции ЗРУ-10 кВ, стр-во РП-6 кВ с установкой 8 ячеек, 2хКЛ-10 кВ, ПС № 25 Ново-Софрино</t>
  </si>
  <si>
    <t>I-138751</t>
  </si>
  <si>
    <t>Установка ячеек III и IV секции ЗРУ-10 кВ, стр-во РП-6 кВ с установкой 8 ячеек, 2хКЛ-10 кВ, ПС № 25 Ново-Софрино</t>
  </si>
  <si>
    <t>081-0003661</t>
  </si>
  <si>
    <t>Выполнение ПИР, СМР, ПНР, оборудование по объектам ТП СЭС Пушкинского и Дмитровского  р-ов</t>
  </si>
  <si>
    <t>081-0003637</t>
  </si>
  <si>
    <t>Выполнение ПИР по Установка 2 ячеек РУ-10 кВ РП № 18, стр-во 2хРКЛ-10 кВ, ПС 664 Аксаково, в т.ч. ПИР, МО, Дмитровский р-н, г/п Некрасовский, д.  Горки Сухаревские</t>
  </si>
  <si>
    <t>I-138753</t>
  </si>
  <si>
    <t>Установка 2 ячеек РУ-10 кВ РП № 18, стр-во 2хРКЛ-10 кВ, ПС 664 Аксаково, в т.ч. ПИР, МО, Дмитровский р-н, г/п Некрасовский, д.  Горки Сухаревские</t>
  </si>
  <si>
    <t>081-0003642</t>
  </si>
  <si>
    <t>Выполнение ПИР по Строительство РП-6 кВ, 2хПКЛ-6 кВ, установка 2 яч. РУ-6 кВ РП-6 кВ, ПС 336 Клязьма, в т.ч. ПИР, МО., Пушкинский р-н, с. Тарасовка, ул. Б. Тарасовская, вл. 2</t>
  </si>
  <si>
    <t>I-138754</t>
  </si>
  <si>
    <t>Строительство РП-6 кВ, 2хПКЛ-6 кВ, установка 2 яч. РУ-6 кВ РП-6 кВ, ПС 336 Клязьма, в т.ч. ПИР, МО., Пушкинский р-н, с. Тарасовка, ул. Б. Тарасовская, вл. 2</t>
  </si>
  <si>
    <t>081-0003667</t>
  </si>
  <si>
    <t>081-0003655</t>
  </si>
  <si>
    <t>Выполнение ПИР, СМР, ПНР, оборудование по Строительство КТП-6/0,4 кВ, ВЛЗ-6 кВ от ВЛЗ-6 кВ ф. Орлово ПС №116 "Солнечногорск", ВЛИ-0,38 кВ, в т.ч. ПИР, МО, Солнечногорский р-н, д. Воробьево, СНТ "Воробьево", уч.46</t>
  </si>
  <si>
    <t>I-138198</t>
  </si>
  <si>
    <t>Строительство КТП-6/0,4 кВ, ВЛЗ-6 кВ от ВЛЗ-6 кВ ф. Орлово ПС №116 "Солнечногорск", ВЛИ-0,38 кВ, в т.ч. ПИР, МО, Солнечногорский р-н, д. Воробьево, СНТ "Воробьево", уч.46</t>
  </si>
  <si>
    <t>081-0003658</t>
  </si>
  <si>
    <t>Выполнение ПИР по Установка 2 ячеек в ЗРУ-10 кВ, стр-во РП-10 кВ, 2хПКЛ-10 кВ, ПС 429 Шереметьево, в т.ч. ПИР, МО, Солнечногорский р-н, с.п. Луневское, в р-не д. Чашниково</t>
  </si>
  <si>
    <t>I-138749</t>
  </si>
  <si>
    <t>Установка 2 ячеек в ЗРУ-10 кВ, стр-во РП-10 кВ, 2хПКЛ-10 кВ, ПС 429 Шереметьево, в т.ч. ПИР, МО, Солнечногорский р-н, с.п. Луневское, в р-не д. Чашниково</t>
  </si>
  <si>
    <t>081-0003659</t>
  </si>
  <si>
    <t>Выполнение ПИР, СМР, ПНР, оборудование по Установка 2 ячеек в РУ-10 кВ РП-10 кВ «д. Голубое" (сооруж.по дог. 9005-409 и 9006-409 от 25.12.2007), ПС 438 Бакеево, в т.ч. ПИР, МО, Солнечногорский р-н, р.п. Андреевка</t>
  </si>
  <si>
    <t>I-138750</t>
  </si>
  <si>
    <t>Установка 2 ячеек в РУ-10 кВ РП-10 кВ «д. Голубое" (сооруж.по дог. 9005-409 и 9006-409 от 25.12.2007), ПС 438 Бакеево, в т.ч. ПИР, МО, Солнечногорский р-н, р.п. Андреевка</t>
  </si>
  <si>
    <t>081-0003778</t>
  </si>
  <si>
    <t>Выполнение ПИР, СМР, ПНР, оборудование по Строительство ТП-6/0,4 кВ, ВЛЗ-6 кВ от оп.5 ВЛЗ-6 кВ ф.1 ПС №467, ВЛИ-0,38 кВ, в т.ч. ПИР, МО, Талдомский р-н, д. Сорокино, д.45</t>
  </si>
  <si>
    <t>I-139555</t>
  </si>
  <si>
    <t>Строительство ТП-6/0,4 кВ, ВЛЗ-6 кВ от оп.5 ВЛЗ-6 кВ ф.1 ПС №467, ВЛИ-0,38 кВ, в т.ч. ПИР, МО, Талдомский р-н, д. Сорокино, д.45</t>
  </si>
  <si>
    <t>081-0003776</t>
  </si>
  <si>
    <t>Выполнение ПИР, СМР, ПНР, оборудование по Строительство ТП-10/0,4 кВ, КЛ-10 кВ от ВЛЗ-10 кВ л.632 ПС №197 "Хотьково", в т.ч. ПИР, МО, Сергиево-Посадский р-н, г. Хотьково, ул. 1-ая Больничная, д.12</t>
  </si>
  <si>
    <t>I-138204</t>
  </si>
  <si>
    <t>Строительство ТП-10/0,4 кВ, КЛ-10 кВ от ВЛЗ-10 кВ л.632 ПС №197 "Хотьково", в т.ч. ПИР, МО, Сергиево-Посадский р-н, г. Хотьково, ул. 1-ая Больничная, д.12</t>
  </si>
  <si>
    <t>081-0003780</t>
  </si>
  <si>
    <t>Выполнение ПИР, СМР, ПНР, оборудование по Строительство ВЛЗ-6 кВ от ВЛЗ-6 кВ ф.8 ПС №229 "Темпы", в т.ч. ПИР, МО, Талдомский р-н, д. Веретьево</t>
  </si>
  <si>
    <t>I-138190</t>
  </si>
  <si>
    <t>Строительство ВЛЗ-6 кВ от ВЛЗ-6 кВ ф.8 ПС №229 "Темпы", в т.ч. ПИР, МО, Талдомский р-н, д. Веретьево</t>
  </si>
  <si>
    <t>081-0003808</t>
  </si>
  <si>
    <t>Выполнение ПИР, СМР, ПНР, оборудование по объектам ТП СЭС Сергиево-Посадского и Пушкинского  р-ов</t>
  </si>
  <si>
    <t>081-0003804</t>
  </si>
  <si>
    <t>Выполнение ПИР, СМР, ПНР, оборудование по Монтаж и наладка ячейки с ВВ в РП-79, ПС №215 "Ново-Софрино", в т.ч. ПИР, МО, Пушкинский р-н, с. Рахманово, промзона</t>
  </si>
  <si>
    <t>I-139092</t>
  </si>
  <si>
    <t>Монтаж и наладка ячейки с ВВ в РП-79, ПС №215 "Ново-Софрино", в т.ч. ПИР, МО, Пушкинский р-н, с. Рахманово, промзона</t>
  </si>
  <si>
    <t>081-0003805</t>
  </si>
  <si>
    <t xml:space="preserve">Выполнение ПИР по Строительство ТП на 8 ячеек КСО-298,  ВЛЗ-10 кВ от оп. ВЛЗ-10 кВ л.681 ПС №215 "Ново-Софрино", КЛ-10 кВ, в т.ч. ПИР, МО, Пушкинский р-н, п. Софрино, ул. Заводская, ул. Клубная </t>
  </si>
  <si>
    <t>I-128248</t>
  </si>
  <si>
    <t xml:space="preserve">Строительство ТП на 8 ячеек КСО-298,  ВЛЗ-10 кВ от оп. ВЛЗ-10 кВ л.681 ПС №215 "Ново-Софрино", КЛ-10 кВ, в т.ч. ПИР, МО, Пушкинский р-н, п. Софрино, ул. Заводская, ул. Клубная </t>
  </si>
  <si>
    <t>081-0003777</t>
  </si>
  <si>
    <t>Выполнение ПИР, СМР, ПНР, оборудование по Строительство ВЛЗ-10 кВ от ВЛЗ-10 кВ л.530 ПС №667 "Кузьмино", в т.ч. ПИР, МО, Сергиево-Посадский р-н, д. Скорынино</t>
  </si>
  <si>
    <t>I-138219</t>
  </si>
  <si>
    <t>Строительство ВЛЗ-10 кВ от ВЛЗ-10 кВ л.530 ПС №667 "Кузьмино", в т.ч. ПИР, МО, Сергиево-Посадский р-н, д. Скорынино</t>
  </si>
  <si>
    <t>081-0003810</t>
  </si>
  <si>
    <t>Выполнение ПИР, СМР, ПНР, оборудование по объектам ТП СЭС Химкинского  р-на</t>
  </si>
  <si>
    <t>081-0003781</t>
  </si>
  <si>
    <t>Выполнение ПИР, СМР, ПНР, оборудование по Строительство ТП-6/0,4 кВ, ВЛЗ-6 кВ от ВЛЗ-6 кВ ф.ЛР-452+ТП-348 ПС №35 "Октябрьская", ВЛИ-0,38 кВ, в т.ч. ПИР,МО, Химкинский р-н, г. Сходня</t>
  </si>
  <si>
    <t>I-139499</t>
  </si>
  <si>
    <t>Строительство ТП-6/0,4 кВ, ВЛЗ-6 кВ от ВЛЗ-6 кВ ф.ЛР-452+ТП-348 ПС №35 "Октябрьская", ВЛИ-0,38 кВ, в т.ч. ПИР,МО, Химкинский р-н, г. Сходня</t>
  </si>
  <si>
    <t>081-0003783</t>
  </si>
  <si>
    <t>Выполнение ПИР, СМР, ПНР, оборудование по Монтаж ячеек с ВВ , ПС №429 "Шереметьево", в т.ч. ПИР, МО, Химкинский р-н, г. Химки, мкр. Ивакино</t>
  </si>
  <si>
    <t>I-139530</t>
  </si>
  <si>
    <t>Монтаж ячеек с ВВ , ПС №429 "Шереметьево", в т.ч. ПИР, МО, Химкинский р-н, г. Химки, мкр. Ивакино</t>
  </si>
  <si>
    <t>081-0003812</t>
  </si>
  <si>
    <t>Привлеченные средства/авансы от ТП</t>
  </si>
  <si>
    <t>081-0003789</t>
  </si>
  <si>
    <t>Выполнение ПИР, СМР, ПНР, оборудование по Строительство КТП-10/0,4 кВ, ВЛЗ-10 кВ от ВЛЗ-10 кВ ф. Дзержинский  ПС №71 "Поварово", ВЛИ-0,38 кВ, в т.ч. ПИР, МО, Солнечногорский р-н, д. Повадино, СНТ "Квант"</t>
  </si>
  <si>
    <t>I-139517</t>
  </si>
  <si>
    <t>Строительство КТП-10/0,4 кВ, ВЛЗ-10 кВ от ВЛЗ-10 кВ ф. Дзержинский  ПС №71 "Поварово", ВЛИ-0,38 кВ, в т.ч. ПИР, МО, Солнечногорский р-н, д. Повадино, СНТ "Квант"</t>
  </si>
  <si>
    <t>081-0003793</t>
  </si>
  <si>
    <t>Выполнение ПИР, СМР, ПНР, оборудование по Строительство ТП-10/0,4 кВ, ВЛЗ-10 кВ от ВЛЗ-10 кВ ф. ЦРП-43 ПС №329 "Осиновка", ВЛИ-0,38 кВ, в т.ч. ПИР, МО, Солнечногорский р-н, д. Шапкино, СНТ "Костино"</t>
  </si>
  <si>
    <t>I-139545</t>
  </si>
  <si>
    <t>Строительство ТП-10/0,4 кВ, ВЛЗ-10 кВ от ВЛЗ-10 кВ ф. ЦРП-43 ПС №329 "Осиновка", ВЛИ-0,38 кВ, в т.ч. ПИР, МО, Солнечногорский р-н, д. Шапкино, СНТ "Костино"</t>
  </si>
  <si>
    <t>081-0003795</t>
  </si>
  <si>
    <t>Выполнение ПИР, СМР, ПНР, оборудование по Строительство ТП-10/0,4 кВ, ВЛЗ-10 кВ от ВЛЗ-10 кВ ф. "ЦРП-42-РП-5" ПС №20 "Алабушево", ВЛИ-0,38 кВ, в т.ч. ПИР, МО, Солнечногорский р-н, п. Радищево, д.58 СНТ "Мелиоратор"</t>
  </si>
  <si>
    <t>I-139558</t>
  </si>
  <si>
    <t>Строительство ТП-10/0,4 кВ, ВЛЗ-10 кВ от ВЛЗ-10 кВ ф. "ЦРП-42-РП-5" ПС №20 "Алабушево", ВЛИ-0,38 кВ, в т.ч. ПИР, МО, Солнечногорский р-н, п. Радищево, д.58 СНТ "Мелиоратор"</t>
  </si>
  <si>
    <t>081-0003817</t>
  </si>
  <si>
    <t>Выполнение ПИР, СМР, ПНР, оборудование по объектам ТП СЭС  Дмитровского  р-на</t>
  </si>
  <si>
    <t>081-0003769</t>
  </si>
  <si>
    <t>Выполнение ПИР, СМР, ПНР, оборудование по Строительство МТП-6/0,4 кВ, ВЛЗ-6 кВ от ВЛЗ-6 кВ ф.1 ПС №691 "Лаврово", в т.ч. ПИР, МО, Дмитровский р-н, д. Федоровское</t>
  </si>
  <si>
    <t>I-138209</t>
  </si>
  <si>
    <t>Строительство МТП-6/0,4 кВ, ВЛЗ-6 кВ от ВЛЗ-6 кВ ф.1 ПС №691 "Лаврово", в т.ч. ПИР, МО, Дмитровский р-н, д. Федоровское</t>
  </si>
  <si>
    <t>081-0003798</t>
  </si>
  <si>
    <t>Выполнение ПИР, СМР, ПНР, оборудование по Строительство МТП-6/0,4 кВ, ВЛЗ-6 кВ от ВЛЗ-6 кВ ф.1 ПС №95 "Базарово", в т.ч. ПИР, МО, Дмитровский р-н, п. Икша, СНТ "Лужки"</t>
  </si>
  <si>
    <t>I-139137</t>
  </si>
  <si>
    <t>Строительство МТП-6/0,4 кВ, ВЛЗ-6 кВ от ВЛЗ-6 кВ ф.1 ПС №95 "Базарово", в т.ч. ПИР, МО, Дмитровский р-н, п. Икша, СНТ "Лужки"</t>
  </si>
  <si>
    <t>081-0003983</t>
  </si>
  <si>
    <t>Выполнение ПИР, СМР, ПНР, оборудование по объектам ТП СЭС  Дмитровского  р-на (приказ 1117)</t>
  </si>
  <si>
    <t>081-0003956</t>
  </si>
  <si>
    <t>Выполнение ПИР, СМР, ПНР, оборудование по Строительство ВЛИ-0,38 кВ от ТП-609, ПС №127 "Яхрома", в т.ч. ПИР, МО, Дмитровский р-н, г. Яхрома, пл. генерала Кузнецова</t>
  </si>
  <si>
    <t>I-140246</t>
  </si>
  <si>
    <t>Строительство ВЛИ-0,38 кВ от ТП-609, ПС №127 "Яхрома", в т.ч. ПИР, МО, Дмитровский р-н, г. Яхрома, пл. генерала Кузнецова</t>
  </si>
  <si>
    <t>081-0003957</t>
  </si>
  <si>
    <t>Выполнение ПИР, СМР, ПНР, оборудование по Строительство КЛ-0,4 кВ от 501, ВЛИ-0,38 кВ, ПС №127 "Яхрома", в т.ч. ПИР, МО, Дмитровский р-н, г. Яхрома, ул. Большевистская</t>
  </si>
  <si>
    <t>I-140256</t>
  </si>
  <si>
    <t>Строительство КЛ-0,4 кВ от 501, ВЛИ-0,38 кВ, ПС №127 "Яхрома", в т.ч. ПИР, МО, Дмитровский р-н, г. Яхрома, ул. Большевистская</t>
  </si>
  <si>
    <t>081-0004017</t>
  </si>
  <si>
    <t>Выполнение ПИР, СМР, ПНР, оборудование по объектам ТП СЭС Химкинского  р-на по пр.1159 от 30.10.2013</t>
  </si>
  <si>
    <t>081-0004018</t>
  </si>
  <si>
    <t xml:space="preserve">Выполнение ПИР, СМР, ПНР, оборудование по Строительство ТП, 2 КЛ-10 кВ от ТП (сооруж. по дог. №С8-13-302-8490(911555) от 01.10.2013), КЛ-10 кВ  от ТП-198 до ТП-195, установка яч. КСО-298П в ТП-198, ПС №444 "Бутаково", в т.ч. ПИР, МО, Химкинский р-н, г. Химки, пересечение  ул.9 Мая и ул. Дружбы </t>
  </si>
  <si>
    <t>I-141650</t>
  </si>
  <si>
    <t xml:space="preserve">Строительство ТП, 2 КЛ-10 кВ от ТП (сооруж. по дог. №С8-13-302-8490(911555) от 01.10.2013), КЛ-10 кВ  от ТП-198 до ТП-195, установка яч. КСО-298П в ТП-198, ПС №444 "Бутаково", в т.ч. ПИР, МО, Химкинский р-н, г. Химки, пересечение  ул.9 Мая и ул. Дружбы </t>
  </si>
  <si>
    <t>081-0004019</t>
  </si>
  <si>
    <t>Выполнение ПИР, СМР, ПНР, оборудование по Строительство ТП, 2-КЛ-10 кВ от ПС №444 "Бутаково", 4-КЛ-10 кВ от РП-103 до ТП-195, в т.ч. ПИР, МО, Химкинский р-н, г. Химки, ул. 9 Мая, вблизи д.8</t>
  </si>
  <si>
    <t>I-141649</t>
  </si>
  <si>
    <t>Строительство ТП, 2-КЛ-10 кВ от ПС №444 "Бутаково", 4-КЛ-10 кВ от РП-103 до ТП-195, в т.ч. ПИР, МО, Химкинский р-н, г. Химки, ул. 9 Мая, вблизи д.8</t>
  </si>
  <si>
    <t>081-0002060</t>
  </si>
  <si>
    <t>Выполнение ПИР и авторского надзора по ПС 110/35 кВ № 198 "Н. Подлипки" (1 этап 2 ПК)</t>
  </si>
  <si>
    <t>ПИР, Авторский надзор</t>
  </si>
  <si>
    <t>085-0004550</t>
  </si>
  <si>
    <t>Выполнение ПИР, СМР, ПНР, материалы, оборудование (за исключением замков, предоставляемых Заказчиком) по титулу: Реконструкция ТП-10371 с установкой сборки типа ШНН-14, в т.ч. ПИР: г.Москва, Зубовский пр-д, д.2, с.1</t>
  </si>
  <si>
    <t>I-124699</t>
  </si>
  <si>
    <t>Реконструкция ТП-10371 с установкой сборки типа ШНН-14, в т.ч. ПИР: г.Москва, Зубовский пр-д, д.2, с.1</t>
  </si>
  <si>
    <t>085-0003467</t>
  </si>
  <si>
    <t>Выполнение ПИР по титулу: Строительство нов. ТП взамен ТП-3364 по проекту "БКТП-2х1000" с тр-ми 2x630 кВА, в т.ч. ПИР: г.Москва, ул. Сайкина, д.11/2, стр.2</t>
  </si>
  <si>
    <t>Строительство нов. ТП взамен ТП-3364 по проекту "БКТП-2х1000" с тр-ми 2x630 кВА, в т.ч. ПИР: г.Москва, ул. Сайкина, д.11/2, стр.2</t>
  </si>
  <si>
    <t>085-0003171</t>
  </si>
  <si>
    <t>Выполнение СМР, ПНР, материалы по 5 объектам ВАО для нужд МКС – филиала ОАО "МОЭСК".</t>
  </si>
  <si>
    <t>085-0002630</t>
  </si>
  <si>
    <t>Справочно</t>
  </si>
  <si>
    <t>Выполнение СМР, ПНР, материалы  по титулу: Реконструкция 2КЛ 0,4 кВ от ТП-13148 А,Б - вв.52091, в т.ч. ПИР: г.Москва, Перовская, д.51</t>
  </si>
  <si>
    <t>I-119913</t>
  </si>
  <si>
    <t>Реконструкция 2КЛ 0,4 кВ от ТП-13148 А,Б - вв.52091, в т.ч. ПИР: г.Москва, Перовская, д.51</t>
  </si>
  <si>
    <t>812 от 28.05.2012</t>
  </si>
  <si>
    <t>085-0002631</t>
  </si>
  <si>
    <t>Выполнение СМР, ПНР, материалы  по титулу: Реконструкция КЛ 0,4 кВ ТП-13769Б - вв.67792, в т.ч. ПИР: г.Москва, Молдагуловой, д.11, к.2</t>
  </si>
  <si>
    <t>I-119914</t>
  </si>
  <si>
    <t>Реконструкция КЛ 0,4 кВ ТП-13769Б - вв.67792, в т.ч. ПИР: г.Москва, Молдагуловой, д.11, к.2</t>
  </si>
  <si>
    <t>977 от 25.06.2012</t>
  </si>
  <si>
    <t>085-0002632</t>
  </si>
  <si>
    <t>Выполнение СМР, ПНР, материалы  по титулу: Реконструкция КЛ 0,4 кВ от ТП 13144А - вв.65613, ТП-13144Б - вв.67034, в т.ч. ПИР: г.Москва, Братская, д.13, к.1, 2</t>
  </si>
  <si>
    <t>I-119915</t>
  </si>
  <si>
    <t>Реконструкция КЛ 0,4 кВ от ТП 13144А - вв.65613, ТП-13144Б - вв.67034, в т.ч. ПИР: г.Москва, Братская, д.13, к.1, 2</t>
  </si>
  <si>
    <t>815 от 28.05.2012</t>
  </si>
  <si>
    <t>085-0002634</t>
  </si>
  <si>
    <t>Выполнение СМР, ПНР, материалы  по титулу: Реконструкция КЛ 0,4 кВ от ТП-15273А до вв.73096, от ТП-15237Б - вв.73097, в т.ч. ПИР: г.Москва, Вешняковская ул., д.8, к.1</t>
  </si>
  <si>
    <t>I-119916</t>
  </si>
  <si>
    <t>Реконструкция КЛ 0,4 кВ от ТП-15273А до вв.73096, от ТП-15237Б - вв.73097, в т.ч. ПИР: г.Москва, Вешняковская ул., д.8, к.1</t>
  </si>
  <si>
    <t>978 от 25.06.2012</t>
  </si>
  <si>
    <t>085-0002635</t>
  </si>
  <si>
    <t>Выполнение СМР, ПНР, материалы  по титулу: Реконструкция КЛ 0,4 кВ от ТП-16568 до вв. 63431, 63432,  от вв.63670 до врезки в КЛ напр. ТП-13148 А - вв.63431, от вв. 63671 до врезки в КЛ напр.ТП-13148 Б - вв.63432, в т.ч. ПИР: г.Москва, 2-я Владимирская ул., д.52, к.1, к.2</t>
  </si>
  <si>
    <t>I-119917</t>
  </si>
  <si>
    <t>Реконструкция КЛ 0,4 кВ от ТП-16568 до вв. 63431, 63432,  от вв.63670 до врезки в КЛ напр. ТП-13148 А - вв.63431, от вв. 63671 до врезки в КЛ напр.ТП-13148 Б - вв.63432, в т.ч. ПИР: г.Москва, 2-я Владимирская ул., д.52, к.1, к.2</t>
  </si>
  <si>
    <t>1005 от 29.06.2012</t>
  </si>
  <si>
    <t>085-0003624</t>
  </si>
  <si>
    <t>Выполнение ПИР по титулу: Строительство нов. ТП взамен ТП-11491 по проекту "2БКТП-1000" с тр-ми 2x1000 кВА, КЛ-0,4 кВ от ТП-11491В - вв.7194, от ТП-14711 до вв.23620, вв.6819, вв.23620 - вв.6819, в т.ч. ПИР: г.Москва, ул. Новопесчаная, д.7, стр.2</t>
  </si>
  <si>
    <t>Строительство нов. ТП взамен ТП-11491 по проекту "2БКТП-1000" с тр-ми 2x1000 кВА, КЛ-0,4 кВ от ТП-11491В - вв.7194, от ТП-14711 до вв.23620, вв.6819, вв.23620 - вв.6819, в т.ч. ПИР: г.Москва, ул. Новопесчаная, д.7, стр.2</t>
  </si>
  <si>
    <t>085-0003508</t>
  </si>
  <si>
    <t>Выполнение ПИР по титулу: Реконструкция 2 РКЛ 10кВ ТП12982А,Б - ТП14648А,Б, в т.ч. ПИР: г.Москва, ул. Пулковская, д.3</t>
  </si>
  <si>
    <t>085-0003462</t>
  </si>
  <si>
    <t>853462</t>
  </si>
  <si>
    <t>Выполнение ПИР по титулу: Развитие сети г.Люберцы, Красная горка</t>
  </si>
  <si>
    <t>085-0003677</t>
  </si>
  <si>
    <t>Выполнение ПИР по трем титулам амортизации по реконструкции КЛ по ЦАО ИПР МКС для нужд МКС - филиала ОАО "МОЭСК"</t>
  </si>
  <si>
    <t>085-0003639</t>
  </si>
  <si>
    <t>Выполнение ПИР по титулу: Реконструкция КЛ-6 кВ ТП-1070 А - РП-4420 (с.2), ТП-460 А - ТП-1070 А, в т.ч. ПИР: г.Москва, ул. Ст. Басманная, д.17, Гороховский пер., д.4</t>
  </si>
  <si>
    <t>Реконструкция КЛ-6 кВ ТП-1070 А - РП-4420 (с.2), ТП-460 А - ТП-1070 А, в т.ч. ПИР: г.Москва, ул. Ст. Басманная, д.17, Гороховский пер., д.4</t>
  </si>
  <si>
    <t>085-0003640</t>
  </si>
  <si>
    <t>Выполнение ПИР по титулу: Реконструкция КЛ-6 кВ ТП-12366 А,Б - ТП-13201 А,Б, ТП-12366 А,Б - ТП-13202 А,Б, в т.ч. ПИР: г.Москва, ул. Ф.Энгельса, д.3/5</t>
  </si>
  <si>
    <t>Реконструкция КЛ-6 кВ ТП-12366 А,Б - ТП-13201 А,Б, ТП-12366 А,Б - ТП-13202 А,Б, в т.ч. ПИР: г.Москва, ул. Ф.Энгельса, д.3/5</t>
  </si>
  <si>
    <t>085-0003641</t>
  </si>
  <si>
    <t>Выполнение ПИР по титулу: Реконструкция КЛ-10 кВ от ТП-197 Б - ТП-804 Б, в т.ч. ПИР: г.Москва, Б.Ватин пер., д.5</t>
  </si>
  <si>
    <t>Реконструкция КЛ-10 кВ от ТП-197 Б - ТП-804 Б, в т.ч. ПИР: г.Москва, Б.Ватин пер., д.5</t>
  </si>
  <si>
    <t>085-0004326</t>
  </si>
  <si>
    <t>Выполнение ПИР по четырем объектам RAB ИПР МКС по адресам: г.Москва, Уланский пер., ул.Сретенка, ул. Цандера, ул. Поликарпова для нужд МКС - филиала ОАО "МОЭСК"</t>
  </si>
  <si>
    <t>085-0004123</t>
  </si>
  <si>
    <t>Выполнение ПИР по титулу: Реконструкция КЛ РП16026-РП19026, в т.ч. ПИР: г.Москва, Уланский пер., ул.Сретенка д.28/1</t>
  </si>
  <si>
    <t>Реконструкция КЛ РП16026-РП19026, в т.ч. ПИР: г.Москва, Уланский пер., ул.Сретенка д.28/1</t>
  </si>
  <si>
    <t>085-0004126</t>
  </si>
  <si>
    <t>Выполнение ПИР по титулу: Реконструкция КЛ 0,4кВ ТП18732А,Б-вв.72938, строительство нов. КЛ 0,4кВ ТП18732А,Б-вв.72939А, в т.ч. ПИР: г.Москва, ул. Цандера д.7</t>
  </si>
  <si>
    <t>085-0004313</t>
  </si>
  <si>
    <t>Выполнение ПИР по титулу: Реконструкция уч-ка ПКЛ ПС398А - РП1786(с1), в т.ч. ПИР: г.Москва, ул. Поликарпова, д.4</t>
  </si>
  <si>
    <t>I-127191</t>
  </si>
  <si>
    <t>Реконструкция уч-ка ПКЛ ПС398А - РП1786(с1), в т.ч. ПИР: г.Москва, ул. Поликарпова, д.4</t>
  </si>
  <si>
    <t>085-0004314</t>
  </si>
  <si>
    <t>Выполнение ПИР по титулу: Реконструкция ТП-24556 по тип. проекту ТК-400 с заменой тр-ов 2x1000в т.ч. ПИР: г.Москва</t>
  </si>
  <si>
    <t>085-0004328</t>
  </si>
  <si>
    <t>Выполнение ПИР по трем объектам RAB ИПР МКС по адресам: г.Москва, ул. Годовикова, ул. Станционная, ул. Шереметьевская для нужд МКС - филиала ОАО "МОЭСК"</t>
  </si>
  <si>
    <t>085-0004127</t>
  </si>
  <si>
    <t>Выполнение ПИР по титулу: Реконструкция участка 2 КЛ ТП3016А,Б - ТП3018А,Б, в т.ч. ПИР: г.Москва, ул. Годовикова, д.6-8</t>
  </si>
  <si>
    <t>085-0004145</t>
  </si>
  <si>
    <t>Выполнение ПИР по титулу: Реконструкция участка 4 КЛ до т.Б ТП11565А,Б - ТП10939А,Б, ТП11565А,Б - ТП23178А,Б, в т.ч. ПИР: г.Москва, ул. Станционная, д.16а</t>
  </si>
  <si>
    <t>085-0004147</t>
  </si>
  <si>
    <t>Выполнение ПИР по титулу: Реконструкция уч-ка 4 КЛ РП2519(с.1,с.2)-ПС46α,β ТП3844А,Б-ТП1896А,Б, в т.ч. ПИР: г.Москва, ул. Шереметьевская, д.85</t>
  </si>
  <si>
    <t>085-0003625</t>
  </si>
  <si>
    <t>Выполнение ПИР по титулу: Реконструкция ТП-10964 с тр-ми 2x1000 кВА, КЛ-0,4 кВ от ТП-10956 до ТП-10964, вв.87973, вв.24231, вв.24238, вв.24245, от ТП-10964 а,Б - вв.24255, в т.ч. ПИР: г.Москва, Ленинградский пр., д.75</t>
  </si>
  <si>
    <t>Реконструкция ТП-10964 с тр-ми 2x1000 кВА, КЛ-0,4 кВ от ТП-10956 до ТП-10964, вв.87973, вв.24231, вв.24238, вв.24245, от ТП-10964 а,Б - вв.24255, в т.ч. ПИР: г.Москва, Ленинградский пр., д.75</t>
  </si>
  <si>
    <t>085-0004424</t>
  </si>
  <si>
    <t>Выполнение ПИР по трем объектам RAB ИПР МКС по адресам: г.Москва, пер. Обуха, ул. Воронцовская, переход под Курской ж/д  в районе МКАД 32км для нужд МКС - филиала ОАО "МОЭСК"</t>
  </si>
  <si>
    <t>085-0004373</t>
  </si>
  <si>
    <t>Выполнение ПИР по титулу: Строительство нов. ТП взамен ТП 394 по проекту "2БКТП-630" с тр-ми 2x630 кВА, в т.ч. ПИР: г.Москва, пер. Обуха, д.3</t>
  </si>
  <si>
    <t>085-0004375</t>
  </si>
  <si>
    <t>Выполнение ПИР по титулу: Реконструкция ТП 19636 по индивидуальному проекту по схеме "2БКТП-630", в т.ч. ПИР: г. Москва, ул. Воронцовская, д.18</t>
  </si>
  <si>
    <t>085-0003541</t>
  </si>
  <si>
    <t>Выполнение ПИР по титулу: Реконструкция 8ПКЛ 10кВ РТП-18076 - ТЭЦ-26, РТП-18073 - ТЭЦ-26, РТП-18077 - ТЭЦ-26, РТП-19064 - ТЭЦ-26, в т.ч. ПИР: г.Москва, переход под Курской ж/д  в районе МКАД 32км</t>
  </si>
  <si>
    <t>Реконструкция 8ПКЛ 10кВ РТП-18076 - ТЭЦ-26, РТП-18073 - ТЭЦ-26, РТП-18077 - ТЭЦ-26, РТП-19064 - ТЭЦ-26, в т.ч. ПИР: г.Москва, переход под Курской ж/д  в районе МКАД 32км</t>
  </si>
  <si>
    <t>085-0004423</t>
  </si>
  <si>
    <t>Выполнение ПИР по двум объектам RAB ИПР МКС по адресам: г.Москва, ул.Юровская, ул. Жулебинская для нужд МКС - филиала ОАО "МОЭСК"</t>
  </si>
  <si>
    <t>085-0004369</t>
  </si>
  <si>
    <t>Выполнение ПИР по титулу: Реконструкция ВЛ 0,4 кВ МТП 23853 по адресу: г. Москва, ул.Юровская, д. 1-39; ул. Юровская, д.55; ул. Юровская, д.28-57.</t>
  </si>
  <si>
    <t>085-0004370</t>
  </si>
  <si>
    <t>Выполнение ПИР по титулу: Реконструкция ВЛ 6кВ ТП4707 по адресу: г. Москва, ул. Жулебинская, д.13, стр.7</t>
  </si>
  <si>
    <t>085-0004425</t>
  </si>
  <si>
    <t>Выполнение ПИР по четырем объектам RAB ИПР МКС по адресам: г.Москва, ул. Ореховый б-р, пр-д Черского, Путевой пр-д, ул. Ереванская для нужд МКС - филиала ОАО "МОЭСК"</t>
  </si>
  <si>
    <t>085-0004363</t>
  </si>
  <si>
    <t>Выполнение ПИР по титулу: Реконструкция участка КЛ 10кВ РТП15123-ПС785α,β, РТП17171-ПС785α,β, РТП15129-ПС785α,β, РТП15039-ПС785α,β, РТП15128-ПС785α,β, РТП15127-ПС785α,β, ТП19770А,Б-вв.101764, в т.ч. ПИР: г.Москва, ул. Ореховый б-р, напротив д.55</t>
  </si>
  <si>
    <t>085-0004364</t>
  </si>
  <si>
    <t>Выполнение ПИР по титулу: Реконструкция 3 КЛ 0,4 кВ ТП 20956 А – вв. 72546 – вв. 72544, вв. 72544 – вв. 73766, ТП 20956 Б – вв. 72545 – вв. 73767, в т.ч. ПИР: г.Москва, пр-д Черского, д. 21а, д. 17</t>
  </si>
  <si>
    <t>085-0004365</t>
  </si>
  <si>
    <t>Выполнение ПИР по титулу: Реконструкция 4 КЛ 0,4 кВ ТП 20957 А – вв. 54712, вв. 54244, вв. 57029; ТП 20957 Б – вв. 54712, вв. 54245, вв. 57030, в т.ч. ПИР: г.Москва, Путевой пр-д, д. 12</t>
  </si>
  <si>
    <t>085-0003655</t>
  </si>
  <si>
    <t>Выполнение ПИР по титулу: Реконструкция (демонтаж) ТП-13554, реконструкция КЛ-0,4 кВ ТП-27776 до вв.61497, 61498, 54904, 54905, 59567, 59268, 95965, 59566, 59292, 59293, 61090, 61091, 59571, 59572, 55387, в т.ч. ПИР: г.Москва, ул. Ереванская, д.24, к.1</t>
  </si>
  <si>
    <t>Реконструкция (демонтаж) ТП-13554, реконструкция КЛ-0,4 кВ ТП-27776 до вв.61497, 61498, 54904, 54905, 59567, 59268, 95965, 59566, 59292, 59293, 61090, 61091, 59571, 59572, 55387, в т.ч. ПИР: г.Москва, ул. Ереванская, д.24, к.1</t>
  </si>
  <si>
    <t>085-0004367</t>
  </si>
  <si>
    <t>Выполнение ПИР по титулу: Реконструкция КЛ 10кВ РП 16080-ПС 267, в т.ч. ПИР: г.Москва, Загородное ш., д.13</t>
  </si>
  <si>
    <t>085-0003117</t>
  </si>
  <si>
    <t>Выполнение ПИР по титулу: Реконструкция 4РКЛ 10кВ ТП-19236 - ТП-25886, ТП-22828 - ТП-25886, в т.ч. ПИР: г.Москва, Анадырский пр., Югорский пр.</t>
  </si>
  <si>
    <t>085-0004629</t>
  </si>
  <si>
    <t>854629</t>
  </si>
  <si>
    <t>Выполнение ПИР по титулу: Реконструкция ТП-14973 с установкой тр-ов 2х1000 кВА взамен 2х400 кВА, в т.ч. ПИР: г.Москва, ул.Академика Миллионщикова, д.1, с.1</t>
  </si>
  <si>
    <t>085-0004658</t>
  </si>
  <si>
    <t>854658</t>
  </si>
  <si>
    <t>Выполнение СМР, ПНР, материалы по титулу: Реконструкция КЛ 10кВ РТП-17163 - ПС-603αβΔγ, РТП-17164 - ПС-603αβΔγ, в т.ч. ПИР: г.Москва, Шипиловский пр., д.39, к.1</t>
  </si>
  <si>
    <t>I-124591</t>
  </si>
  <si>
    <t>Реконструкция КЛ 10кВ РТП-17163 - ПС-603αβΔγ, РТП-17164 - ПС-603αβΔγ, в т.ч. ПИР: г.Москва, Шипиловский пр., д.39, к.1</t>
  </si>
  <si>
    <t>2041 от 30.10.2013</t>
  </si>
  <si>
    <t>085-0004619</t>
  </si>
  <si>
    <t>854619</t>
  </si>
  <si>
    <t>Выполнение СМР, ПНР, материалы, оборудование по титулу: Реконструкция  РП  с установкой  телемеханики 15 р-н (№ 19171, 19172, 19180, 20188, 20190, 26181, 28041), 8 р-на (№ 3812,5407,5415,5422) (11шт).</t>
  </si>
  <si>
    <t>Реконструкция  РП  с установкой  телемеханики 15 р-н (№ 19171, 19172, 19180, 20188, 20190, 26181, 28041), 8 р-на (№ 3812,5407,5415,5422) (11шт).</t>
  </si>
  <si>
    <t>721 от 06.05.2011</t>
  </si>
  <si>
    <t>085-0004620</t>
  </si>
  <si>
    <t>854620</t>
  </si>
  <si>
    <t>Выполнение СМР, ПНР, материалы, оборудование по титулу: Реконструкция РП с установкой телемеханики 7 р-н (№11138, 15293, 17014, 18166, 3059, 4415, 5501, 11170, 17004, 17012, 18182) (11шт).</t>
  </si>
  <si>
    <t>Реконструкция РП с установкой телемеханики 7 р-н (№11138, 15293, 17014, 18166, 3059, 4415, 5501, 11170, 17004, 17012, 18182) (11шт).</t>
  </si>
  <si>
    <t>085-0002142</t>
  </si>
  <si>
    <t>Выполнение ПИР по титулу: Перекладка ПКЛ 10 кВ от РУ10кВ до РТП 2167-4164-4014-4301, Волгоградский пр.27, в т.ч. ПИР</t>
  </si>
  <si>
    <t>085-0004422</t>
  </si>
  <si>
    <t>Выполнение ПИР по четырем объектам RAB ИПР МКС по адресам: г.Москва, ул. Солянка, ул. Пруд Ключики для нужд МКС - филиала ОАО "МОЭСК"</t>
  </si>
  <si>
    <t>085-0004371</t>
  </si>
  <si>
    <t>Выполнение ПИР по титулу: Реконструкция 2КЛ 0,4 кВ ТП10921А-вв66757 и ТП10921Б-вв66758, в т.ч. ПИР: г. Москва, ул. Солянка, дом 12, стр.1</t>
  </si>
  <si>
    <t>085-0004372</t>
  </si>
  <si>
    <t>Выполнение ПИР по титулу: Реконструкция участка ПКЛ 10кВ ТЭЦ11-РТП10017, РП10014-ТП10664Б, ТЭЦ11-РП10126, ТЭЦ11Б-РП12235 по адресу: г. Москва, ул. Пруд Ключики, д. 12А</t>
  </si>
  <si>
    <t>085-0004374</t>
  </si>
  <si>
    <t>Выполнение ПИР по титулу: Реконструкция участка ПКЛ ПС 212 - РП14087с.1, в т.ч. ПИР: г.Москва</t>
  </si>
  <si>
    <t>085-0004379</t>
  </si>
  <si>
    <t>Выполнение ПИР по титулу: Реконструкция ПКЛ ТЭЦ 11 - РТП 11152α, в т.ч. ПИР: г.Москва</t>
  </si>
  <si>
    <t>085-0004587</t>
  </si>
  <si>
    <t>Выполнение ПИР по титулу: Реконструкция ТП-2956 по тип. проекту ТК-400 с заменой тр-ов 2x630в т.ч. ПИР: г.Москва</t>
  </si>
  <si>
    <t>085-0004592</t>
  </si>
  <si>
    <t>Выполнение ПИР по титулу: Перекладка ПКЛ-10 кВ: РП 11162 - ТП 370 по адресу: ул.Севанская д.64 - ул.Подольских курсантов владение 9</t>
  </si>
  <si>
    <t>085-0004821</t>
  </si>
  <si>
    <t>854821</t>
  </si>
  <si>
    <t>Выполнение СМР, ПНР, материалы по титулу: Реконструкция уч-ка ПКЛ ПС398А - РП1786(с1), в т.ч. ПИР: г.Москва, ул. Поликарпова, д.4</t>
  </si>
  <si>
    <t xml:space="preserve">Справочно </t>
  </si>
  <si>
    <t xml:space="preserve">План закупки ОАО "МОЭСК" на 2014 год </t>
  </si>
  <si>
    <t>План закупки ОАО "МОЭСК" 2014 года по способам закупок и видам деятельности</t>
  </si>
  <si>
    <t>062-0006718</t>
  </si>
  <si>
    <t>Оказание образовательных услуг  по повышению квалификации специалистов ОАО "МОЭСК"  в соответствии с планом внешнего обучения, разработанным по заявкам подразделений Исполнительного аппарата и филиалов на 2014 год</t>
  </si>
  <si>
    <t>Подготовка кадров и консультационные услуги из себестоимости</t>
  </si>
  <si>
    <t>062-0006717</t>
  </si>
  <si>
    <t>Оказание  услуг в виде обучающего семинара по подготовке оперативно-технологического персонала использованию автоматизированной системы диспетчерско-технологического управления PowerOn Fusion ( производства компании General Electric) (далее по тексту - "Семинар")</t>
  </si>
  <si>
    <t>Выполнение СМР, ПНР, материалы, оборудование по титулу: Развитие сети г.Люберцы, Красная горка</t>
  </si>
  <si>
    <t xml:space="preserve">п.5.11.4.15 Смена оператора повлечет за собой изменение телефонных номеров сотовой связи персонала ОАО "МОЭСК" 
</t>
  </si>
  <si>
    <t xml:space="preserve">п.5.11.4.15 Смена оператора повлечет за собой изменение телефонных номеров сотовой связи персонала ОАО "МОЭСК" </t>
  </si>
  <si>
    <t>Разработка Концепции Коммерческого учета в ОАО «МОЭСК» с учетом требований нормативных актов федерального и регионального уровней. Разработка и внедрение бизнес-процессов коммерческого учета в соответствии с Концепцией. Интеграция их с существующими бизнес-процессами.</t>
  </si>
  <si>
    <t>На основании мониторигнга рынка оказываемых услуг</t>
  </si>
  <si>
    <t>062-0006738</t>
  </si>
  <si>
    <t>Приобретение лицензий SAP для 2-й очереди автоматизации финансово-хозяйственной деятельности ОАО "МОЭСК"</t>
  </si>
  <si>
    <t>062-0006744</t>
  </si>
  <si>
    <t>Оказание консультационных услуг по независимому контролю качества проектов 2-й очереди автоматизации финансово-хозяйственной деятельности ОАО "МОЭСК"</t>
  </si>
  <si>
    <t>02010506041</t>
  </si>
  <si>
    <t>Консультационные услуги УФЗ</t>
  </si>
  <si>
    <t>062-0006740</t>
  </si>
  <si>
    <t>Создание автоматизированной системы экономической оценки заявок на выполнение подрядных работ ОАО "МОЭСК"</t>
  </si>
  <si>
    <t>Разработка и внедрение ПО</t>
  </si>
  <si>
    <t>062-0006741</t>
  </si>
  <si>
    <t>Создание автоматизированной системы управления имуществом ОАО "МОЭСК"</t>
  </si>
  <si>
    <t>062-0006742</t>
  </si>
  <si>
    <t>Создание автоматизированной системы бюджетного управления ОАО "МОЭСК"</t>
  </si>
  <si>
    <t>062-0006743</t>
  </si>
  <si>
    <t>Создание автоматизированной системы управления производственными активами ОАО "МОЭСК"</t>
  </si>
  <si>
    <t>062-0006739</t>
  </si>
  <si>
    <t>Приобретение лицензий SAP для 3-й очереди автоматизации финансово-хозяйственной деятельности ОАО "МОЭСК"</t>
  </si>
  <si>
    <t>062-0006745</t>
  </si>
  <si>
    <t>Оказание консультационных услуг по независимому контролю качества проектов 3-й очереди автоматизации финансово-хозяйственной деятельности ОАО "МОЭСК"</t>
  </si>
  <si>
    <t>062-0006746</t>
  </si>
  <si>
    <t>Комплексное сопровождение автоматизированной системы управления финансово-хозяйственной деятельности (АСУ ФХД) ОАО "МОЭСК"</t>
  </si>
  <si>
    <t>ТП</t>
  </si>
  <si>
    <t>Развитие системы управления активами в части разработки приложения для мобильных устройств, интеграция с системой паспортизации</t>
  </si>
  <si>
    <t>Оказание услуг по проведению расчета нормативной численности</t>
  </si>
  <si>
    <t>2017 (2018)</t>
  </si>
  <si>
    <t>Приказ №54 от 29.01.2014</t>
  </si>
  <si>
    <t>Приказ №1879 от 08.10.2013</t>
  </si>
  <si>
    <t>88 547 (этап)
1 303 909,46</t>
  </si>
  <si>
    <t>2015 (2018)</t>
  </si>
  <si>
    <t>ориентировочный расчет стоимости ПИР</t>
  </si>
  <si>
    <t>2012 (2014)</t>
  </si>
  <si>
    <t>2018 (2022)</t>
  </si>
  <si>
    <t>2015 (2019)</t>
  </si>
  <si>
    <t>2017 (2019)</t>
  </si>
  <si>
    <t>062-000100</t>
  </si>
  <si>
    <t>Поставка оборудования по титулу: "Реконструкция ПС 110 кВ Бронницы № 605" (трансформаторы силовые 63 МВА 110 кВ)</t>
  </si>
  <si>
    <t>I-106365</t>
  </si>
  <si>
    <t xml:space="preserve">Реконструкция ПС 110 кВ Бронницы №605 </t>
  </si>
  <si>
    <t>062-000101</t>
  </si>
  <si>
    <t>Поставка оборудования по титулу: "ПС Пущино" (трансформаторы силовые 63 МВА 110 кВ, оборудование связи, аккумуляторные батареи, оборудование АИИС КУЭ, КРУ 10 кВ, реакторы)</t>
  </si>
  <si>
    <t>I-124649</t>
  </si>
  <si>
    <t>ПС Пущино</t>
  </si>
  <si>
    <t>2015 (2020)</t>
  </si>
  <si>
    <t>062-000102</t>
  </si>
  <si>
    <t>Поставка оборудования по титулу: "ПС 110 кВ № 319 "Лаговская" (трансформаторы силовые 63 МВА 110 кВ)</t>
  </si>
  <si>
    <t>I-124661</t>
  </si>
  <si>
    <t>ПС 110 кВ № 319 "Лаговская"</t>
  </si>
  <si>
    <t>062-000103</t>
  </si>
  <si>
    <t xml:space="preserve">Поставка оборудования по титулу: "ПС-320 "Н.Домодедово", г. Домодедово (трансформаторы силовые 40 МВА 110 кВ) </t>
  </si>
  <si>
    <t>062-000104</t>
  </si>
  <si>
    <t>Поставка оборудования по титулу: "ПС 110 кВ № 379 "Хомутово" (трансформаторы силовые 40 МВА 110 кВ)</t>
  </si>
  <si>
    <t>I-124660</t>
  </si>
  <si>
    <t>ПС 110 кВ № 379 "Хомутово"</t>
  </si>
  <si>
    <t>062-000105</t>
  </si>
  <si>
    <t>Поставка оборудования по титулу: "ПС 110 кВ № 195 "Раменская" (трансформаторы силовые 40 МВА 110 кВ )</t>
  </si>
  <si>
    <t>I-124662</t>
  </si>
  <si>
    <t xml:space="preserve">ПС 110 кВ № 195 "Раменская" </t>
  </si>
  <si>
    <t>062-000106</t>
  </si>
  <si>
    <t>Поставка оборудования по титулу: "ПС 110 кВ №69 "Котельники" (трансформаторы силовые 80 МВА 110 кВ)</t>
  </si>
  <si>
    <t>I-116169</t>
  </si>
  <si>
    <t>ПС 110 кВ №69 "Котельники"</t>
  </si>
  <si>
    <t>062-000107</t>
  </si>
  <si>
    <t>Поставка оборудования по титулу: "ПС 35 кВ № 137 "Домодедово" (трансформаторы силовые 16 МВА 35 кВ)</t>
  </si>
  <si>
    <t>I-116171</t>
  </si>
  <si>
    <t>ПС 35 кВ № 137 "Домодедово"</t>
  </si>
  <si>
    <t>2014 (2016)</t>
  </si>
  <si>
    <t>062-000108</t>
  </si>
  <si>
    <t>Поставка оборудования ПС № 491  "Прудная" 110/10 кВ (трансформаторы силовые 25 МВА 110 кВ )</t>
  </si>
  <si>
    <t>062-000109</t>
  </si>
  <si>
    <t>Поставка оборудования Реконструкция ПС 110 кВ "Щапово", ЗРУ-10 кВ, монтаж яч., в т.ч. ПИР (оборудования связи)</t>
  </si>
  <si>
    <t>I-106383</t>
  </si>
  <si>
    <t>Реконструкция ПС 110 кВ "Щапово", ЗРУ-10 кВ, монтаж яч., в т.ч. ПИР</t>
  </si>
  <si>
    <t>062-000110</t>
  </si>
  <si>
    <t>Поставка оборудования ПС 220 кВ №  "Лесная" (трансформаторы вольтодобавочные 40 МВА)</t>
  </si>
  <si>
    <t>062-000111</t>
  </si>
  <si>
    <t>Поставка оборудования Реконструкция ПС 110 кВ №747 "Весенняя", МО, г.Климовск (оборудование РЗА, аккумуляторные батареи, щит собственнных нужд, оборудование АИИС КУЭ)</t>
  </si>
  <si>
    <t>прочие</t>
  </si>
  <si>
    <t>Реконструкция ПС 110 кВ №747 "Весенняя", МО, г.Климовск</t>
  </si>
  <si>
    <t>062-000112</t>
  </si>
  <si>
    <t>Поставка оборудования ПС № 226 Бор 110 кв (оборудования РЗА)</t>
  </si>
  <si>
    <t>I-102991</t>
  </si>
  <si>
    <t xml:space="preserve">ПС № 226 Бор 110 кв </t>
  </si>
  <si>
    <t>2013 (2014)</t>
  </si>
  <si>
    <t>062-000113</t>
  </si>
  <si>
    <t>Поставка оборудования Реконструкция ПС № 733 110 кВ  "Былово", замена тр-ров 2х10 на 2х40 МВА, рек. ОРУ-110 кВ, в т.ч. ПИР (щит собственных нужд)</t>
  </si>
  <si>
    <t>прочие ТП</t>
  </si>
  <si>
    <t>Реконструкция ПС № 733 110 кВ  "Былово", замена тр-ров 2х10 на 2х40 МВА, рек. ОРУ-110 кВ, в т.ч. ПИР</t>
  </si>
  <si>
    <t>062-000114</t>
  </si>
  <si>
    <t>Поставка оборудования Реконструкция ПС110 кВ "Болятино" № 309 (щит собственных нужд)</t>
  </si>
  <si>
    <t>062-000115</t>
  </si>
  <si>
    <t>Поставка оборудования по ПС 220 кВ № 676 "Уча" (шкафы , щиты  (ЗНТ 062-0006665), АСУ ТП (ЗНТ 062-0006731), КРУ-10 кВ)</t>
  </si>
  <si>
    <t>28.11.2013г.</t>
  </si>
  <si>
    <t>062-000116</t>
  </si>
  <si>
    <t xml:space="preserve">Поставка оборудования по ПС 110 кВ "Клязьма" (оборудование РЗА, ЩПТ,ЩСН, АСКУЭ, АСУ ТП, ТМ, выключатели 110 кВ, разъединители 35-110 кВ, ячейки 6 кВ, ОПН, силовые трансформаторы, ТТ и ТН 35-110 кВ, реакторы, АБ) </t>
  </si>
  <si>
    <t>I-111085</t>
  </si>
  <si>
    <t>ПС 110 кВ "Клязьма"</t>
  </si>
  <si>
    <t>28.10.2013г.</t>
  </si>
  <si>
    <t>062-000117</t>
  </si>
  <si>
    <t>Поставка оборудования по ПС № 255 "Костино" (ТТ, трансформаторы ТМГ, реакторы)</t>
  </si>
  <si>
    <t>2015 (2017)</t>
  </si>
  <si>
    <t>062-000118</t>
  </si>
  <si>
    <t>Поставка оборудования по ПС 35 кВ № 691 "Лаврово" (АБ, ЩПТ, ЩСН, оборудование РЗА, разъединители 35 кВ, ячейки 6 кВ, выключатели 35 кВ, ТТ и ТН 35-110 кВ, силовые трансформаторы)</t>
  </si>
  <si>
    <t>I-116516</t>
  </si>
  <si>
    <t>ПС 35 кВ № 691 "Лаврово"</t>
  </si>
  <si>
    <t>17.10.2013г.</t>
  </si>
  <si>
    <t>2015 (2016)</t>
  </si>
  <si>
    <t>062-000119</t>
  </si>
  <si>
    <t>Поставка оборудования РЗА для ПС "Чистая" (комплект из 18 аварийных терминалов и 54 шкафов)</t>
  </si>
  <si>
    <t>ПрочиеТП</t>
  </si>
  <si>
    <t>М</t>
  </si>
  <si>
    <t>I-103017</t>
  </si>
  <si>
    <t>ПС "Чистая" 110/10/6 кВ</t>
  </si>
  <si>
    <t>062-000120</t>
  </si>
  <si>
    <t>Поставка по ОТКЗ в районе эл. сети ПС "Н-Братцево" (разъединителей 110, 220 кВ, ОПН 220 кВ, кабель 220 кВ, муфты 220 кВ, реакторы 110, 220 кВ)</t>
  </si>
  <si>
    <t>062-000121</t>
  </si>
  <si>
    <t xml:space="preserve">Поставка оборудования по титулу: "ПС 110 кВ № 260 "Дедово" (2 этап) (трансформатор, реактор, выключатели, устройство комплектное распределительное, оборудование постоянного тока,  оборудование контроля показателей качества электроэнергии, телемеханика, оборудование собственных нужд, АСУ ТП, оборудование связи, оборудование оперативной блокировка разъеденителей)  </t>
  </si>
  <si>
    <t>I-002749</t>
  </si>
  <si>
    <t>ПС 110 кВ № 260 "Дедово" (2 этап)</t>
  </si>
  <si>
    <t>2197 от 01.11.2012</t>
  </si>
  <si>
    <t>2013 (2016)</t>
  </si>
  <si>
    <t>062-000122</t>
  </si>
  <si>
    <t>Поставка оборудования по титулу "Реконструкция ПС 220 кВ "Пресня"(2ПК)" (трансформаторы, реакторы, разъединители, ограничители, шкафы, щиты собственных нужд и пр. оборудование)</t>
  </si>
  <si>
    <t>062-000123</t>
  </si>
  <si>
    <t xml:space="preserve">Поставка оборудования по титулу: "ПС 35 кВ № 304 "Истра" (трансформаторы, аккумуляторные батареи, устройство зарядно-подзарядное, оборудование РЗА, оборудование постоянного тока, оборудование собственных нужд, аварийный запас терминалов  ) </t>
  </si>
  <si>
    <t xml:space="preserve">ПС 35 кВ № 304 "Истра" </t>
  </si>
  <si>
    <t>831 от 10.06.2013</t>
  </si>
  <si>
    <t>062-000124</t>
  </si>
  <si>
    <t>Поставка оборудования по титулу: "ПС  110 кВ №551 "Пернатово" (трансформаторы, реакторы, аккумуляторные батареи, устройство зарядно-подзарядное, оборудование РЗА, оборудование постоянного тока, телемеханика, оборудование собственных нужд, АСУ ТП, оборудование связи, АИИС КУЭ)</t>
  </si>
  <si>
    <t>1792 от 07.12.2011</t>
  </si>
  <si>
    <t>062-000125</t>
  </si>
  <si>
    <t>Поставка оборудования по титулу: "Реконструкция  ПС № 316 110/35 кВ  "Дарьино" (трансформаторы, реакторы, выключатели, аккумуляторные батареи, оборудование РЗА, телемеханика, оборудование постоянного тока, оборудование собственных нужд, оборудование контроля показателей качества электроэнергии, АСУ ТП, АИИС КУЭ, отопление, вентиляция и кондиционирование)</t>
  </si>
  <si>
    <t xml:space="preserve">"Реконструкция  ПС № 316 110/35 кВ  "Дарьино" </t>
  </si>
  <si>
    <t>1174 от 29.08.2011-1 этап/ 277 от 18.03.2013-1 этап 2 пк</t>
  </si>
  <si>
    <t>062-000126</t>
  </si>
  <si>
    <t xml:space="preserve">Поставка оборудования по титулу:  "ПС  110кВ № 683 "Ядрошино" (устройство комплектное распределительное, оборудование РЗА, оборудование постоянного тока, оборудование охранно-пожарное, телемеханика, ИИК, оборудование контроля показателей качества электроэнергии, оборудование собственных нужд, АСУ ТП, видеонаблюдение, оборудование связи)  </t>
  </si>
  <si>
    <t>I-111329</t>
  </si>
  <si>
    <t>ПС  110кВ № 683 "Ядрошино"</t>
  </si>
  <si>
    <t>№1777 от 05.12.2011</t>
  </si>
  <si>
    <t>2014 (2017)</t>
  </si>
  <si>
    <t>062-000127</t>
  </si>
  <si>
    <t xml:space="preserve">Поставка оборудования по титулу: "Реконструкция ПС 308 Наро-Фоминск (замена 2х трансформаторов)" (устройство комплектное распределительное, изоляторы, аккумуляторные батареи, оборудование РЗА, оборудование постоянного тока, оборудование охранно-пожарное, оборудование контроля показателей качества электроэнергии  АСУ ТП, АИИС КУЭ, отопление, вентиляция и кондиционирование ) </t>
  </si>
  <si>
    <t>1788 от 06.12.2011</t>
  </si>
  <si>
    <t>062-000128</t>
  </si>
  <si>
    <t>Поставка оборудованрия по титулу: "Реконструкция ПС № 724 "Збышки", замена тр-в" (телеманика)</t>
  </si>
  <si>
    <t>"Реконструкция ПС № 724 "Збышки", замена тр-в"</t>
  </si>
  <si>
    <t>505 от 15.04.2013</t>
  </si>
  <si>
    <t>2014 (2015)</t>
  </si>
  <si>
    <t>062-000129</t>
  </si>
  <si>
    <t>Поставка оборудования по титулу: "Реконструкция "КЛ 110 кВ Динамо - Гражданская № 1, № 2" (кабельная продукция и кабельная арматура,оборудование связи, телемеханики)</t>
  </si>
  <si>
    <t>062-000130</t>
  </si>
  <si>
    <t>Поставка оборудования по титулу: Реконструкция с увеличением пропускной способности КВЛ 110 кВ "Косино-Выхино 1,2" (оборудование связи и телемеханики)</t>
  </si>
  <si>
    <t>062-000131</t>
  </si>
  <si>
    <t xml:space="preserve">Поставка оборудования по титулу: Реконструкция КЛ 110 кВ "Елоховская-Лефортово 1, 2" (оборудование связи и телемеханики) </t>
  </si>
  <si>
    <t>062-000132</t>
  </si>
  <si>
    <t>Поставка оборудования по титулу: "Реконструкция кабельного участка КВЛ 110 кВ «Бескудниково – Красные Горки» (кабельная продукция и кабельная арматура)</t>
  </si>
  <si>
    <t>062-000133</t>
  </si>
  <si>
    <t>Поставка оборудования по титулу: "Реконструкция участка "КЛ 110 кВ Елоховская - Андроньевская 1, 2 с отпайкой на ПС Яузская" от ПС "Яуза" до колодца № 13" (Оборудование Телемеханики, Организации каналов связи, Контроля температуры кабеля, оборудование диагностики частичных разрядов))</t>
  </si>
  <si>
    <t>I-102958</t>
  </si>
  <si>
    <t>Реконструкция участка "КЛ 110 кВ Елоховская - Андроньевская 1, 2 с отпайкой на ПС Яузская" от ПС "Яуза" до колодца № 13"</t>
  </si>
  <si>
    <t>062-000134</t>
  </si>
  <si>
    <t>Поставка оборудования по титулу: "Реконструкция КЛ 110 кВ "Автозаводская - Южная № 3" (оборудование Телемеханики, организации каналов связи, Контроля температуры кабеля, оборудование диагностики частичных разрядов)</t>
  </si>
  <si>
    <t>I-111262</t>
  </si>
  <si>
    <t>Реконструкция КЛ 110 кВ "Автозаводская - Южная № 3"</t>
  </si>
  <si>
    <t>062-000135</t>
  </si>
  <si>
    <t>Поставка оборудования по титулу: "Реконструкция КЛ 110 кВ "ТЭЦ-12 - Маяковская 1, 2" и "КЛ 110 кВ СИТИ - Никитская 1, 2" (Оборудование Телемеханики, Организации каналов связи, Контроля температуры кабеля)</t>
  </si>
  <si>
    <t>I-100056</t>
  </si>
  <si>
    <t>Реконструкция КЛ 110 кВ "ТЭЦ-12 - Маяковская 1, 2" и "КЛ 110 кВ СИТИ - Никитская 1, 2"</t>
  </si>
  <si>
    <t>062-000136</t>
  </si>
  <si>
    <t>Реконструкция ПС 110 кВ №414 Кудиново (1 этап)(Силовые трансформаторы, КРУ-10 кВ, КРУ-6кВ, КТПБ (М), Трансформаторы напряжения, тока, разъединители , реакторы, выключатели и т.д., РЗА, Оборудование связи, телемеханики АИИСКУЭ)</t>
  </si>
  <si>
    <t>согласно опросного листа</t>
  </si>
  <si>
    <t>Реконструкция ПС 110 кВ №414 Кудиново
(1 этап)</t>
  </si>
  <si>
    <t>062-000137</t>
  </si>
  <si>
    <t>Реконструкция ПС 110 кВ №38 "Бережки" (Силовые трансформаторы, КРУ-10 кВ, КРУ-6 кВ, трансформаторы напряжения, тока, разъединители , реакторы, выключатели и т.д., РЗА, Оборудование связи, телемеханики АИИСКУЭ)</t>
  </si>
  <si>
    <t>I-116194</t>
  </si>
  <si>
    <t>Реконструкция ПС 110 кВ №38 "Бережки"</t>
  </si>
  <si>
    <t>062-000138</t>
  </si>
  <si>
    <t>Реконструкция ПС 110 кВ № 656 «Митяево» (Силовые трансформаторы, КРУ-10 кВ, КРУ-6 кВ, трансформаторы напряжения, тока, разъединители , реакторы, выключатели и т.д., РЗА, Оборудование связи, телемеханики АИИСКУЭ)</t>
  </si>
  <si>
    <t>Реконструкция ПС 110 кВ № 656 «Митяево»</t>
  </si>
  <si>
    <t>062-000139</t>
  </si>
  <si>
    <t>Реконструкция ПС №194 "Кислородная", установка 2-х реакторов, монтаж 10-ти яч. ВВ,СВ,ТН, ТСН, ДГР, в т.ч. ПИР, МО, г.Железнодорожный, Леоновское шоссе (КРУ 6-10 кВ, РЗА)</t>
  </si>
  <si>
    <t xml:space="preserve"> </t>
  </si>
  <si>
    <t>согласно задания заводу, опросных листов и проектных спецификаций</t>
  </si>
  <si>
    <t>I-116822</t>
  </si>
  <si>
    <t>Реконструкция ПС №194 "Кислородная", установка 2-х реакторов, монтаж 10-ти яч. ВВ,СВ,ТН, ТСН, ДГР, в т.ч. ПИР, МО, г.Железнодорожный, Леоновское шоссе</t>
  </si>
  <si>
    <t>062-000140</t>
  </si>
  <si>
    <t>Реконструкция ПС 110 кВ № 52«Двойня» (КРУ 6-10 кВ, КТПБ (М), рансформаторы напряжения, тока, разъединители , реакторы, выключатели и т.д., РЗА, Оборудование связи, телемеханики АИИСКУЭ)</t>
  </si>
  <si>
    <t>I-116104</t>
  </si>
  <si>
    <t>Реконструкция ПС 110 кВ № 52«Двойня»</t>
  </si>
  <si>
    <t>062-000141</t>
  </si>
  <si>
    <t>Строительство здания диспетчерского управления ВЭС с АСТУ" (Оборудование связи, телемеханики АИИСКУЭ, Щит диспетчерский мозаичный  Tewс нанесеной мнемосхемой ,Оборудование ОВК, ОПС и т.д.)</t>
  </si>
  <si>
    <t>опросных листов и проектных спецификаций</t>
  </si>
  <si>
    <t>I-103419</t>
  </si>
  <si>
    <t>Строительство здания диспетчерского управления ВЭС с АСТУ"</t>
  </si>
  <si>
    <t>приказ 896 от 18.10.11г.</t>
  </si>
  <si>
    <t>062-000142</t>
  </si>
  <si>
    <t>Поставка оборудования  по титулу "Сооружение заходов ВЛ 220 кВ "ЦАГИ-Руднево" и ВЛ 220 кВ "Ногинск-Руднево" на ПС 500 кВ "Каскадная": шкаф основной защиты линий ШЭЛСМ 4210, шкаф резервных защит линий и АУВ ШЭЛСМ 5230, оборудование РЗА</t>
  </si>
  <si>
    <t>Согласно задания заводу</t>
  </si>
  <si>
    <t>062-000143</t>
  </si>
  <si>
    <t>Поставка оборудования по титулу "Реконструкция ПС 110 кВ "Самарская": силовой транс. мощностью 125 МВА, ограничители перенапряжения 110 кВ типа ОПН, заземлитель однополюсный 110 кВ типа 3ОН, разъединитель 3-хполюсный 10 кВ, 4000А, типа РВРЗ,изолятор опорный 10 кВ ОСК, токопровод закрытый с проходными изоляторами типа ТЗК, Реактор токоограничивающий РТСТГ-10-4000-0,35У3, трансформаторы тока ТШЛ-20-1, ТЛО-10М9, выключатель  вакуумный VD4.12.32.32, VD4., панели вторичной коммутации в комплекте,оборудование РЗА.)</t>
  </si>
  <si>
    <t>ИА/ДУС</t>
  </si>
  <si>
    <t>ИА/служба промышленной безопасности ИА ОАО "МОЭСК"</t>
  </si>
  <si>
    <t>ИА/Департамент по связям с общественностью</t>
  </si>
  <si>
    <t>ИА/Учебный центр</t>
  </si>
  <si>
    <t>081-0004331</t>
  </si>
  <si>
    <t>083-0001490</t>
  </si>
  <si>
    <r>
      <t>МВт</t>
    </r>
    <r>
      <rPr>
        <sz val="14"/>
        <color rgb="FFFF0000"/>
        <rFont val="Times New Roman"/>
        <family val="1"/>
        <charset val="204"/>
      </rPr>
      <t/>
    </r>
  </si>
</sst>
</file>

<file path=xl/styles.xml><?xml version="1.0" encoding="utf-8"?>
<styleSheet xmlns="http://schemas.openxmlformats.org/spreadsheetml/2006/main">
  <numFmts count="29">
    <numFmt numFmtId="44" formatCode="_-* #,##0.00&quot;р.&quot;_-;\-* #,##0.00&quot;р.&quot;_-;_-* &quot;-&quot;??&quot;р.&quot;_-;_-@_-"/>
    <numFmt numFmtId="43" formatCode="_-* #,##0.00_р_._-;\-* #,##0.00_р_._-;_-* &quot;-&quot;??_р_._-;_-@_-"/>
    <numFmt numFmtId="164" formatCode="#,##0.000"/>
    <numFmt numFmtId="165" formatCode="[$-419]mmmm\ yyyy;@"/>
    <numFmt numFmtId="166" formatCode="[$-F400]h:mm:ss\ AM/PM"/>
    <numFmt numFmtId="167" formatCode="0.0"/>
    <numFmt numFmtId="168" formatCode="[$-F419]yyyy\,\ mmmm;@"/>
    <numFmt numFmtId="169" formatCode="_-* #,##0.00[$€-1]_-;\-* #,##0.00[$€-1]_-;_-* &quot;-&quot;??[$€-1]_-"/>
    <numFmt numFmtId="170" formatCode="#,##0.00000"/>
    <numFmt numFmtId="171" formatCode="_(&quot;р.&quot;* #,##0.00_);_(&quot;р.&quot;* \(#,##0.00\);_(&quot;р.&quot;* &quot;-&quot;??_);_(@_)"/>
    <numFmt numFmtId="172" formatCode="_-* #,##0_-;\-* #,##0_-;_-* &quot;-&quot;_-;_-@_-"/>
    <numFmt numFmtId="173" formatCode="_(* #,##0.00_);_(* \(#,##0.00\);_(* &quot;-&quot;??_);_(@_)"/>
    <numFmt numFmtId="174" formatCode="_-* #,##0.00_-;\-* #,##0.00_-;_-* &quot;-&quot;??_-;_-@_-"/>
    <numFmt numFmtId="175" formatCode="&quot;$&quot;#,##0_);[Red]\(&quot;$&quot;#,##0\)"/>
    <numFmt numFmtId="176" formatCode="_-&quot;Ј&quot;* #,##0.00_-;\-&quot;Ј&quot;* #,##0.00_-;_-&quot;Ј&quot;* &quot;-&quot;??_-;_-@_-"/>
    <numFmt numFmtId="177" formatCode="General_)"/>
    <numFmt numFmtId="178" formatCode="_-* #,##0\ _р_._-;\-* #,##0\ _р_._-;_-* &quot;-&quot;\ _р_._-;_-@_-"/>
    <numFmt numFmtId="179" formatCode="_-* #,##0.00\ _р_._-;\-* #,##0.00\ _р_._-;_-* &quot;-&quot;??\ _р_._-;_-@_-"/>
    <numFmt numFmtId="180" formatCode="_(* #,##0_);_(* \(#,##0\);_(* &quot;-&quot;_);_(@_)"/>
    <numFmt numFmtId="181" formatCode="_-* #,##0.00_р_._-;\-* #,##0.00_р_._-;_-* \-??_р_._-;_-@_-"/>
    <numFmt numFmtId="182" formatCode="[$-419]mmmm;@"/>
    <numFmt numFmtId="183" formatCode="0.0%"/>
    <numFmt numFmtId="184" formatCode="#,##0_ ;[Red]\-#,##0\ "/>
    <numFmt numFmtId="185" formatCode="0.000"/>
    <numFmt numFmtId="186" formatCode="#,##0.0"/>
    <numFmt numFmtId="187" formatCode="#,##0.00_р_."/>
    <numFmt numFmtId="188" formatCode="dd/mm/yy;@"/>
    <numFmt numFmtId="189" formatCode="#,##0_р_."/>
    <numFmt numFmtId="190" formatCode="0.00000"/>
  </numFmts>
  <fonts count="113">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sz val="10"/>
      <name val="Helv"/>
    </font>
    <font>
      <sz val="10"/>
      <color indexed="8"/>
      <name val="Times New Roman"/>
      <family val="2"/>
      <charset val="204"/>
    </font>
    <font>
      <sz val="8"/>
      <name val="Arial Cyr"/>
      <charset val="204"/>
    </font>
    <font>
      <sz val="10"/>
      <color indexed="8"/>
      <name val="Arial Cyr"/>
      <family val="2"/>
      <charset val="204"/>
    </font>
    <font>
      <sz val="10"/>
      <color theme="1"/>
      <name val="Times New Roman"/>
      <family val="2"/>
      <charset val="204"/>
    </font>
    <font>
      <sz val="11"/>
      <color theme="1"/>
      <name val="Calibri"/>
      <family val="2"/>
      <scheme val="minor"/>
    </font>
    <font>
      <sz val="10"/>
      <color theme="1"/>
      <name val="Arial Cyr"/>
      <family val="2"/>
      <charset val="204"/>
    </font>
    <font>
      <sz val="12"/>
      <color theme="1"/>
      <name val="Arial"/>
      <family val="2"/>
      <charset val="204"/>
    </font>
    <font>
      <sz val="11"/>
      <color rgb="FF006100"/>
      <name val="Calibri"/>
      <family val="2"/>
      <charset val="204"/>
      <scheme val="minor"/>
    </font>
    <font>
      <sz val="11"/>
      <color indexed="8"/>
      <name val="Calibri"/>
      <family val="2"/>
      <charset val="204"/>
    </font>
    <font>
      <sz val="8"/>
      <name val="Arial"/>
      <family val="2"/>
    </font>
    <font>
      <sz val="10"/>
      <name val="Times New Roman"/>
      <family val="1"/>
      <charset val="204"/>
    </font>
    <font>
      <b/>
      <sz val="11"/>
      <color theme="1"/>
      <name val="Calibri"/>
      <family val="2"/>
      <charset val="204"/>
      <scheme val="minor"/>
    </font>
    <font>
      <sz val="10"/>
      <name val="Arial Cyr"/>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charset val="204"/>
    </font>
    <font>
      <sz val="1"/>
      <color indexed="8"/>
      <name val="Courier"/>
      <family val="1"/>
      <charset val="204"/>
    </font>
    <font>
      <b/>
      <sz val="1"/>
      <color indexed="8"/>
      <name val="Courier"/>
      <family val="1"/>
      <charset val="204"/>
    </font>
    <font>
      <sz val="10"/>
      <name val="MS Sans Serif"/>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NTHarmonica"/>
      <charset val="204"/>
    </font>
    <font>
      <sz val="14"/>
      <name val="Times New Roman"/>
      <family val="1"/>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8"/>
      <name val="Optima"/>
      <family val="2"/>
    </font>
    <font>
      <sz val="8"/>
      <name val="Helv"/>
      <charset val="204"/>
    </font>
    <font>
      <b/>
      <sz val="11"/>
      <color indexed="63"/>
      <name val="Calibri"/>
      <family val="2"/>
      <charset val="204"/>
    </font>
    <font>
      <sz val="8"/>
      <name val="Helv"/>
    </font>
    <font>
      <b/>
      <sz val="10"/>
      <color indexed="8"/>
      <name val="Arial"/>
      <family val="2"/>
    </font>
    <font>
      <b/>
      <sz val="10"/>
      <color indexed="39"/>
      <name val="Arial"/>
      <family val="2"/>
    </font>
    <font>
      <sz val="10"/>
      <color indexed="8"/>
      <name val="Arial"/>
      <family val="2"/>
    </font>
    <font>
      <b/>
      <sz val="12"/>
      <color indexed="8"/>
      <name val="Arial"/>
      <family val="2"/>
      <charset val="204"/>
    </font>
    <font>
      <sz val="10"/>
      <color indexed="8"/>
      <name val="Arial"/>
      <family val="2"/>
      <charset val="204"/>
    </font>
    <font>
      <sz val="10"/>
      <color indexed="39"/>
      <name val="Arial"/>
      <family val="2"/>
    </font>
    <font>
      <sz val="19"/>
      <color indexed="48"/>
      <name val="Arial"/>
      <family val="2"/>
      <charset val="204"/>
    </font>
    <font>
      <sz val="10"/>
      <color indexed="10"/>
      <name val="Arial"/>
      <family val="2"/>
    </font>
    <font>
      <sz val="9"/>
      <color indexed="20"/>
      <name val="Arial"/>
      <family val="2"/>
    </font>
    <font>
      <sz val="9"/>
      <color indexed="48"/>
      <name val="Arial"/>
      <family val="2"/>
    </font>
    <font>
      <b/>
      <sz val="9"/>
      <color indexed="20"/>
      <name val="Arial"/>
      <family val="2"/>
    </font>
    <font>
      <b/>
      <sz val="18"/>
      <color indexed="56"/>
      <name val="Cambria"/>
      <family val="2"/>
      <charset val="204"/>
    </font>
    <font>
      <b/>
      <sz val="11"/>
      <color indexed="8"/>
      <name val="Calibri"/>
      <family val="2"/>
      <charset val="204"/>
    </font>
    <font>
      <sz val="11"/>
      <color indexed="10"/>
      <name val="Calibri"/>
      <family val="2"/>
      <charset val="204"/>
    </font>
    <font>
      <u/>
      <sz val="6.6"/>
      <color theme="10"/>
      <name val="Calibri"/>
      <family val="2"/>
      <charset val="204"/>
    </font>
    <font>
      <u/>
      <sz val="10"/>
      <color indexed="12"/>
      <name val="Arial Cyr"/>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b/>
      <sz val="14"/>
      <name val="Arial Cyr"/>
      <family val="2"/>
      <charset val="204"/>
    </font>
    <font>
      <b/>
      <sz val="12"/>
      <name val="Arial"/>
      <family val="2"/>
      <charset val="204"/>
    </font>
    <font>
      <b/>
      <sz val="14"/>
      <name val="Arial"/>
      <family val="2"/>
      <charset val="204"/>
    </font>
    <font>
      <sz val="12"/>
      <name val="Arial"/>
      <family val="2"/>
      <charset val="204"/>
    </font>
    <font>
      <sz val="11"/>
      <color indexed="8"/>
      <name val="Arial"/>
      <family val="2"/>
      <charset val="204"/>
    </font>
    <font>
      <sz val="12"/>
      <color theme="1"/>
      <name val="Calibri"/>
      <family val="2"/>
      <charset val="204"/>
      <scheme val="minor"/>
    </font>
    <font>
      <sz val="11"/>
      <color theme="1"/>
      <name val="Arial"/>
      <family val="2"/>
      <charset val="204"/>
    </font>
    <font>
      <sz val="11"/>
      <name val="Times New Roman Cyr"/>
      <family val="1"/>
      <charset val="204"/>
    </font>
    <font>
      <sz val="8"/>
      <name val="Arial"/>
      <family val="2"/>
      <charset val="204"/>
    </font>
    <font>
      <sz val="12"/>
      <color theme="1"/>
      <name val="Times New Roman"/>
      <family val="1"/>
      <charset val="204"/>
    </font>
    <font>
      <sz val="12"/>
      <name val="Times New Roman"/>
      <family val="1"/>
      <charset val="204"/>
    </font>
    <font>
      <sz val="11"/>
      <name val="Arial"/>
      <family val="2"/>
      <charset val="204"/>
    </font>
    <font>
      <sz val="11"/>
      <name val="Times New Roman"/>
      <family val="1"/>
      <charset val="204"/>
    </font>
    <font>
      <sz val="10"/>
      <name val="Calibri"/>
      <family val="2"/>
      <charset val="204"/>
      <scheme val="minor"/>
    </font>
    <font>
      <b/>
      <sz val="14"/>
      <name val="Times New Roman"/>
      <family val="1"/>
      <charset val="204"/>
    </font>
    <font>
      <b/>
      <sz val="11"/>
      <name val="Times New Roman"/>
      <family val="1"/>
      <charset val="204"/>
    </font>
    <font>
      <sz val="11"/>
      <name val="Calibri"/>
      <family val="2"/>
      <charset val="204"/>
      <scheme val="minor"/>
    </font>
    <font>
      <b/>
      <i/>
      <sz val="14"/>
      <name val="Times New Roman"/>
      <family val="1"/>
      <charset val="204"/>
    </font>
    <font>
      <i/>
      <sz val="14"/>
      <name val="Times New Roman"/>
      <family val="1"/>
      <charset val="204"/>
    </font>
    <font>
      <sz val="9"/>
      <name val="Times New Roman"/>
      <family val="1"/>
      <charset val="204"/>
    </font>
    <font>
      <sz val="20"/>
      <name val="Times New Roman"/>
      <family val="1"/>
      <charset val="204"/>
    </font>
    <font>
      <sz val="8"/>
      <name val="Times New Roman"/>
      <family val="1"/>
      <charset val="204"/>
    </font>
    <font>
      <b/>
      <sz val="16"/>
      <name val="Arial"/>
      <family val="2"/>
      <charset val="204"/>
    </font>
    <font>
      <sz val="16"/>
      <name val="Arial Cyr"/>
      <charset val="204"/>
    </font>
    <font>
      <b/>
      <sz val="8"/>
      <name val="Times New Roman"/>
      <family val="1"/>
    </font>
    <font>
      <b/>
      <sz val="10"/>
      <name val="Times New Roman"/>
      <family val="1"/>
    </font>
    <font>
      <b/>
      <sz val="10"/>
      <name val="Times New Roman"/>
      <family val="1"/>
      <charset val="204"/>
    </font>
    <font>
      <b/>
      <sz val="10"/>
      <name val="Arial Cyr"/>
      <charset val="204"/>
    </font>
    <font>
      <sz val="10"/>
      <name val="Times New Roman"/>
      <family val="1"/>
    </font>
    <font>
      <i/>
      <sz val="10"/>
      <name val="Arial Cyr"/>
      <charset val="204"/>
    </font>
    <font>
      <b/>
      <sz val="18"/>
      <name val="Times New Roman"/>
      <family val="1"/>
      <charset val="204"/>
    </font>
    <font>
      <sz val="8"/>
      <name val="MS Shell Dlg"/>
      <charset val="204"/>
    </font>
    <font>
      <b/>
      <sz val="24"/>
      <name val="Times New Roman"/>
      <family val="1"/>
      <charset val="204"/>
    </font>
    <font>
      <sz val="5"/>
      <name val="Times New Roman"/>
      <family val="1"/>
      <charset val="204"/>
    </font>
    <font>
      <sz val="14"/>
      <color theme="1"/>
      <name val="Times New Roman"/>
      <family val="1"/>
      <charset val="204"/>
    </font>
    <font>
      <sz val="11"/>
      <color theme="1"/>
      <name val="Times New Roman"/>
      <family val="1"/>
      <charset val="204"/>
    </font>
    <font>
      <sz val="14"/>
      <color rgb="FF000000"/>
      <name val="Times New Roman"/>
      <family val="1"/>
      <charset val="204"/>
    </font>
    <font>
      <sz val="10"/>
      <color theme="1"/>
      <name val="Times New Roman"/>
      <family val="1"/>
      <charset val="204"/>
    </font>
    <font>
      <sz val="14"/>
      <color rgb="FFFF0000"/>
      <name val="Times New Roman"/>
      <family val="1"/>
      <charset val="204"/>
    </font>
  </fonts>
  <fills count="83">
    <fill>
      <patternFill patternType="none"/>
    </fill>
    <fill>
      <patternFill patternType="gray125"/>
    </fill>
    <fill>
      <patternFill patternType="solid">
        <fgColor rgb="FFC6EFCE"/>
      </patternFill>
    </fill>
    <fill>
      <patternFill patternType="solid">
        <fgColor indexed="49"/>
      </patternFill>
    </fill>
    <fill>
      <patternFill patternType="solid">
        <fgColor indexed="9"/>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8DB4E3"/>
        <bgColor indexed="64"/>
      </patternFill>
    </fill>
    <fill>
      <patternFill patternType="solid">
        <fgColor rgb="FFCCFFCC"/>
        <bgColor indexed="64"/>
      </patternFill>
    </fill>
    <fill>
      <patternFill patternType="solid">
        <fgColor theme="3" tint="0.79998168889431442"/>
        <bgColor indexed="64"/>
      </patternFill>
    </fill>
    <fill>
      <patternFill patternType="solid">
        <fgColor rgb="FFFFFFFF"/>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60339">
    <xf numFmtId="0" fontId="0" fillId="0" borderId="0"/>
    <xf numFmtId="0" fontId="4" fillId="0" borderId="0"/>
    <xf numFmtId="0" fontId="4" fillId="0" borderId="0"/>
    <xf numFmtId="0" fontId="2" fillId="0" borderId="0"/>
    <xf numFmtId="0" fontId="8" fillId="0" borderId="0"/>
    <xf numFmtId="0" fontId="9" fillId="0" borderId="0"/>
    <xf numFmtId="0" fontId="2" fillId="0" borderId="0"/>
    <xf numFmtId="0" fontId="10" fillId="0" borderId="0"/>
    <xf numFmtId="0" fontId="2" fillId="0" borderId="0"/>
    <xf numFmtId="0" fontId="2" fillId="0" borderId="0"/>
    <xf numFmtId="0" fontId="7" fillId="0" borderId="0"/>
    <xf numFmtId="0" fontId="6" fillId="0" borderId="0"/>
    <xf numFmtId="0" fontId="10" fillId="0" borderId="0"/>
    <xf numFmtId="0" fontId="2" fillId="0" borderId="0"/>
    <xf numFmtId="0" fontId="3" fillId="0" borderId="0"/>
    <xf numFmtId="0" fontId="11" fillId="0" borderId="0"/>
    <xf numFmtId="0" fontId="6" fillId="0" borderId="0"/>
    <xf numFmtId="0" fontId="2" fillId="0" borderId="0"/>
    <xf numFmtId="0" fontId="1" fillId="0" borderId="0"/>
    <xf numFmtId="0" fontId="2" fillId="0" borderId="0"/>
    <xf numFmtId="0" fontId="3" fillId="0" borderId="0"/>
    <xf numFmtId="0" fontId="2" fillId="0" borderId="0"/>
    <xf numFmtId="0" fontId="3" fillId="0" borderId="0"/>
    <xf numFmtId="0" fontId="1" fillId="0" borderId="0"/>
    <xf numFmtId="0" fontId="2" fillId="0" borderId="0"/>
    <xf numFmtId="0" fontId="4" fillId="0" borderId="0"/>
    <xf numFmtId="0" fontId="4" fillId="0" borderId="0"/>
    <xf numFmtId="43" fontId="5" fillId="0" borderId="0" applyFont="0" applyFill="0" applyBorder="0" applyAlignment="0" applyProtection="0"/>
    <xf numFmtId="43" fontId="2" fillId="0" borderId="0" applyFont="0" applyFill="0" applyBorder="0" applyAlignment="0" applyProtection="0"/>
    <xf numFmtId="166" fontId="2" fillId="0" borderId="0"/>
    <xf numFmtId="166" fontId="1" fillId="0" borderId="0"/>
    <xf numFmtId="0" fontId="6" fillId="0" borderId="0"/>
    <xf numFmtId="0" fontId="1" fillId="0" borderId="0"/>
    <xf numFmtId="0" fontId="1" fillId="0" borderId="0"/>
    <xf numFmtId="0" fontId="1" fillId="0" borderId="0"/>
    <xf numFmtId="0" fontId="3" fillId="0" borderId="0"/>
    <xf numFmtId="0" fontId="6" fillId="0" borderId="0"/>
    <xf numFmtId="0" fontId="6" fillId="0" borderId="0"/>
    <xf numFmtId="4" fontId="14" fillId="3" borderId="2" applyNumberFormat="0" applyProtection="0">
      <alignment horizontal="left" vertical="center" indent="1"/>
    </xf>
    <xf numFmtId="169" fontId="1" fillId="0" borderId="0"/>
    <xf numFmtId="166" fontId="1" fillId="0" borderId="0"/>
    <xf numFmtId="0" fontId="32" fillId="0" borderId="0"/>
    <xf numFmtId="0" fontId="32" fillId="0" borderId="0"/>
    <xf numFmtId="0" fontId="4" fillId="0" borderId="0"/>
    <xf numFmtId="0" fontId="4" fillId="0" borderId="0"/>
    <xf numFmtId="0" fontId="4" fillId="0" borderId="0"/>
    <xf numFmtId="0" fontId="4" fillId="0" borderId="0"/>
    <xf numFmtId="0" fontId="4" fillId="0" borderId="0"/>
    <xf numFmtId="0" fontId="32" fillId="0" borderId="0"/>
    <xf numFmtId="0" fontId="32" fillId="0" borderId="0"/>
    <xf numFmtId="0" fontId="4" fillId="0" borderId="0"/>
    <xf numFmtId="0" fontId="4" fillId="0" borderId="0"/>
    <xf numFmtId="0" fontId="32" fillId="0" borderId="0"/>
    <xf numFmtId="0" fontId="32" fillId="0" borderId="0"/>
    <xf numFmtId="0" fontId="32" fillId="0" borderId="0"/>
    <xf numFmtId="0" fontId="32" fillId="0" borderId="0"/>
    <xf numFmtId="0" fontId="32" fillId="0" borderId="0"/>
    <xf numFmtId="0" fontId="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 fillId="0" borderId="0"/>
    <xf numFmtId="0" fontId="4" fillId="0" borderId="0"/>
    <xf numFmtId="0" fontId="4" fillId="0" borderId="0"/>
    <xf numFmtId="0" fontId="2" fillId="0" borderId="0"/>
    <xf numFmtId="0" fontId="2" fillId="0" borderId="0"/>
    <xf numFmtId="171" fontId="33" fillId="0" borderId="0">
      <protection locked="0"/>
    </xf>
    <xf numFmtId="171" fontId="33" fillId="0" borderId="0">
      <protection locked="0"/>
    </xf>
    <xf numFmtId="171" fontId="33" fillId="0" borderId="0">
      <protection locked="0"/>
    </xf>
    <xf numFmtId="0" fontId="34" fillId="0" borderId="0">
      <protection locked="0"/>
    </xf>
    <xf numFmtId="0" fontId="34" fillId="0" borderId="0">
      <protection locked="0"/>
    </xf>
    <xf numFmtId="0" fontId="33" fillId="0" borderId="13">
      <protection locked="0"/>
    </xf>
    <xf numFmtId="0" fontId="35" fillId="35" borderId="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4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4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4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4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166" fontId="31" fillId="14"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166" fontId="31" fillId="1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166"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66" fontId="31" fillId="26"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166" fontId="31" fillId="30"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166" fontId="31" fillId="34"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172" fontId="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4" fontId="3" fillId="0" borderId="0" applyFont="0" applyFill="0" applyBorder="0" applyAlignment="0" applyProtection="0"/>
    <xf numFmtId="175" fontId="35" fillId="0" borderId="0" applyFont="0" applyFill="0" applyBorder="0" applyAlignment="0" applyProtection="0"/>
    <xf numFmtId="176" fontId="3" fillId="0" borderId="0" applyFont="0" applyFill="0" applyBorder="0" applyAlignment="0" applyProtection="0"/>
    <xf numFmtId="14" fontId="40" fillId="0" borderId="0" applyFont="0" applyBorder="0">
      <alignment vertical="top"/>
    </xf>
    <xf numFmtId="169" fontId="41"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35" fillId="0" borderId="2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51" fillId="0" borderId="0"/>
    <xf numFmtId="0" fontId="4" fillId="0" borderId="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3" fillId="0" borderId="0" applyNumberFormat="0">
      <alignment horizontal="left"/>
    </xf>
    <xf numFmtId="3" fontId="17" fillId="0" borderId="0" applyFont="0" applyFill="0" applyBorder="0" applyAlignment="0"/>
    <xf numFmtId="4" fontId="54" fillId="55" borderId="23" applyNumberFormat="0" applyProtection="0">
      <alignment vertical="center"/>
    </xf>
    <xf numFmtId="4" fontId="55" fillId="57" borderId="23" applyNumberFormat="0" applyProtection="0">
      <alignment vertical="center"/>
    </xf>
    <xf numFmtId="4" fontId="54" fillId="57" borderId="23" applyNumberFormat="0" applyProtection="0">
      <alignment horizontal="left" vertical="center" indent="1"/>
    </xf>
    <xf numFmtId="0" fontId="54" fillId="57" borderId="23" applyNumberFormat="0" applyProtection="0">
      <alignment horizontal="left" vertical="top" indent="1"/>
    </xf>
    <xf numFmtId="4" fontId="54" fillId="58" borderId="0" applyNumberFormat="0" applyProtection="0">
      <alignment horizontal="left" vertical="center" indent="1"/>
    </xf>
    <xf numFmtId="4" fontId="56" fillId="37" borderId="23" applyNumberFormat="0" applyProtection="0">
      <alignment horizontal="right" vertical="center"/>
    </xf>
    <xf numFmtId="4" fontId="56" fillId="43" borderId="23" applyNumberFormat="0" applyProtection="0">
      <alignment horizontal="right" vertical="center"/>
    </xf>
    <xf numFmtId="4" fontId="56" fillId="50" borderId="23" applyNumberFormat="0" applyProtection="0">
      <alignment horizontal="right" vertical="center"/>
    </xf>
    <xf numFmtId="4" fontId="56" fillId="45" borderId="23" applyNumberFormat="0" applyProtection="0">
      <alignment horizontal="right" vertical="center"/>
    </xf>
    <xf numFmtId="4" fontId="56" fillId="48" borderId="23" applyNumberFormat="0" applyProtection="0">
      <alignment horizontal="right" vertical="center"/>
    </xf>
    <xf numFmtId="4" fontId="56" fillId="52" borderId="23" applyNumberFormat="0" applyProtection="0">
      <alignment horizontal="right" vertical="center"/>
    </xf>
    <xf numFmtId="4" fontId="56" fillId="51" borderId="23" applyNumberFormat="0" applyProtection="0">
      <alignment horizontal="right" vertical="center"/>
    </xf>
    <xf numFmtId="4" fontId="56" fillId="59" borderId="23" applyNumberFormat="0" applyProtection="0">
      <alignment horizontal="right" vertical="center"/>
    </xf>
    <xf numFmtId="4" fontId="56" fillId="44" borderId="23" applyNumberFormat="0" applyProtection="0">
      <alignment horizontal="right" vertical="center"/>
    </xf>
    <xf numFmtId="4" fontId="54" fillId="60" borderId="24" applyNumberFormat="0" applyProtection="0">
      <alignment horizontal="left" vertical="center" indent="1"/>
    </xf>
    <xf numFmtId="4" fontId="56" fillId="61" borderId="0" applyNumberFormat="0" applyProtection="0">
      <alignment horizontal="left" vertical="center" indent="1"/>
    </xf>
    <xf numFmtId="4" fontId="57" fillId="62" borderId="0" applyNumberFormat="0" applyProtection="0">
      <alignment horizontal="left" vertical="center" indent="1"/>
    </xf>
    <xf numFmtId="4" fontId="56" fillId="63" borderId="23" applyNumberFormat="0" applyProtection="0">
      <alignment horizontal="right" vertical="center"/>
    </xf>
    <xf numFmtId="4" fontId="58" fillId="61" borderId="0" applyNumberFormat="0" applyProtection="0">
      <alignment horizontal="left" vertical="center" indent="1"/>
    </xf>
    <xf numFmtId="4" fontId="58" fillId="58" borderId="0" applyNumberFormat="0" applyProtection="0">
      <alignment horizontal="left" vertical="center" indent="1"/>
    </xf>
    <xf numFmtId="0" fontId="3" fillId="62" borderId="23" applyNumberFormat="0" applyProtection="0">
      <alignment horizontal="left" vertical="center" indent="1"/>
    </xf>
    <xf numFmtId="0" fontId="3" fillId="62" borderId="23" applyNumberFormat="0" applyProtection="0">
      <alignment horizontal="left" vertical="top" indent="1"/>
    </xf>
    <xf numFmtId="0" fontId="3" fillId="58" borderId="23" applyNumberFormat="0" applyProtection="0">
      <alignment horizontal="left" vertical="center" indent="1"/>
    </xf>
    <xf numFmtId="0" fontId="3" fillId="58" borderId="23" applyNumberFormat="0" applyProtection="0">
      <alignment horizontal="left" vertical="top" indent="1"/>
    </xf>
    <xf numFmtId="0" fontId="3" fillId="64" borderId="23" applyNumberFormat="0" applyProtection="0">
      <alignment horizontal="left" vertical="center" indent="1"/>
    </xf>
    <xf numFmtId="0" fontId="3" fillId="64" borderId="23" applyNumberFormat="0" applyProtection="0">
      <alignment horizontal="left" vertical="top" indent="1"/>
    </xf>
    <xf numFmtId="0" fontId="3" fillId="65" borderId="23" applyNumberFormat="0" applyProtection="0">
      <alignment horizontal="left" vertical="center" indent="1"/>
    </xf>
    <xf numFmtId="0" fontId="3" fillId="65" borderId="23" applyNumberFormat="0" applyProtection="0">
      <alignment horizontal="left" vertical="top" indent="1"/>
    </xf>
    <xf numFmtId="0" fontId="13" fillId="0" borderId="0"/>
    <xf numFmtId="4" fontId="56" fillId="66" borderId="23" applyNumberFormat="0" applyProtection="0">
      <alignment vertical="center"/>
    </xf>
    <xf numFmtId="4" fontId="59" fillId="66" borderId="23" applyNumberFormat="0" applyProtection="0">
      <alignment vertical="center"/>
    </xf>
    <xf numFmtId="4" fontId="56" fillId="66" borderId="23" applyNumberFormat="0" applyProtection="0">
      <alignment horizontal="left" vertical="center" indent="1"/>
    </xf>
    <xf numFmtId="0" fontId="56" fillId="66" borderId="23" applyNumberFormat="0" applyProtection="0">
      <alignment horizontal="left" vertical="top" indent="1"/>
    </xf>
    <xf numFmtId="4" fontId="56" fillId="61" borderId="23" applyNumberFormat="0" applyProtection="0">
      <alignment horizontal="right" vertical="center"/>
    </xf>
    <xf numFmtId="4" fontId="59" fillId="61" borderId="23" applyNumberFormat="0" applyProtection="0">
      <alignment horizontal="right" vertical="center"/>
    </xf>
    <xf numFmtId="0" fontId="56" fillId="58" borderId="23" applyNumberFormat="0" applyProtection="0">
      <alignment horizontal="left" vertical="top" indent="1"/>
    </xf>
    <xf numFmtId="4" fontId="60" fillId="67" borderId="0" applyNumberFormat="0" applyProtection="0">
      <alignment horizontal="left" vertical="center" indent="1"/>
    </xf>
    <xf numFmtId="4" fontId="61" fillId="61" borderId="23" applyNumberFormat="0" applyProtection="0">
      <alignment horizontal="right" vertical="center"/>
    </xf>
    <xf numFmtId="0" fontId="62" fillId="68" borderId="0"/>
    <xf numFmtId="49" fontId="63" fillId="68" borderId="0"/>
    <xf numFmtId="49" fontId="64" fillId="68" borderId="25"/>
    <xf numFmtId="49" fontId="64" fillId="68" borderId="0"/>
    <xf numFmtId="0" fontId="62" fillId="4" borderId="25">
      <protection locked="0"/>
    </xf>
    <xf numFmtId="0" fontId="62" fillId="68" borderId="0"/>
    <xf numFmtId="0" fontId="64" fillId="69" borderId="0"/>
    <xf numFmtId="0" fontId="64" fillId="70" borderId="0"/>
    <xf numFmtId="0" fontId="64" fillId="71"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166" fontId="31" fillId="11"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166"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166" fontId="31" fillId="1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66" fontId="31" fillId="23"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166" fontId="31" fillId="27"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166" fontId="31" fillId="31" borderId="0" applyNumberFormat="0" applyBorder="0" applyAlignment="0" applyProtection="0"/>
    <xf numFmtId="177" fontId="2" fillId="0" borderId="27">
      <protection locked="0"/>
    </xf>
    <xf numFmtId="177" fontId="2" fillId="0" borderId="27">
      <protection locked="0"/>
    </xf>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166" fontId="24" fillId="7" borderId="7"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166" fontId="25" fillId="8" borderId="8"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166" fontId="26" fillId="8" borderId="7" applyNumberFormat="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4" fontId="17" fillId="0" borderId="0">
      <alignment horizontal="right"/>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0" fontId="70" fillId="0" borderId="0" applyBorder="0">
      <alignment horizontal="center" vertical="center" wrapText="1"/>
    </xf>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166"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166" fontId="20" fillId="0" borderId="5"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166" fontId="21" fillId="0" borderId="6"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66" fontId="21" fillId="0" borderId="0" applyNumberFormat="0" applyFill="0" applyBorder="0" applyAlignment="0" applyProtection="0"/>
    <xf numFmtId="0" fontId="71" fillId="0" borderId="28" applyBorder="0">
      <alignment horizontal="center" vertical="center" wrapText="1"/>
    </xf>
    <xf numFmtId="177" fontId="72" fillId="72" borderId="27"/>
    <xf numFmtId="4" fontId="73" fillId="57" borderId="1" applyBorder="0">
      <alignment horizontal="right"/>
    </xf>
    <xf numFmtId="49" fontId="74" fillId="0" borderId="0" applyBorder="0">
      <alignment vertical="center"/>
    </xf>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166" fontId="16" fillId="0" borderId="12" applyNumberFormat="0" applyFill="0" applyAlignment="0" applyProtection="0"/>
    <xf numFmtId="3" fontId="72" fillId="0" borderId="1" applyBorder="0">
      <alignment vertical="center"/>
    </xf>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166" fontId="28" fillId="9" borderId="10" applyNumberFormat="0" applyAlignment="0" applyProtection="0"/>
    <xf numFmtId="0" fontId="75" fillId="0" borderId="0">
      <alignment horizontal="center" vertical="top" wrapText="1"/>
    </xf>
    <xf numFmtId="0" fontId="76" fillId="0" borderId="0">
      <alignment horizontal="center" vertical="center" wrapText="1"/>
    </xf>
    <xf numFmtId="0" fontId="77" fillId="73" borderId="0" applyFill="0">
      <alignmen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6" fontId="18" fillId="0" borderId="0" applyNumberFormat="0" applyFill="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166" fontId="23" fillId="6" borderId="0" applyNumberFormat="0" applyBorder="0" applyAlignment="0" applyProtection="0"/>
    <xf numFmtId="168" fontId="2" fillId="0" borderId="0"/>
    <xf numFmtId="0" fontId="2" fillId="0" borderId="0"/>
    <xf numFmtId="170" fontId="2" fillId="0" borderId="0"/>
    <xf numFmtId="166" fontId="2" fillId="0" borderId="0"/>
    <xf numFmtId="0" fontId="13" fillId="0" borderId="0"/>
    <xf numFmtId="0" fontId="2" fillId="0" borderId="0"/>
    <xf numFmtId="166"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7" fillId="0" borderId="0"/>
    <xf numFmtId="0" fontId="3" fillId="0" borderId="0"/>
    <xf numFmtId="0" fontId="2"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3" fillId="0" borderId="0"/>
    <xf numFmtId="0" fontId="6"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6" fillId="0" borderId="0"/>
    <xf numFmtId="0" fontId="1" fillId="0" borderId="0"/>
    <xf numFmtId="0" fontId="10" fillId="0" borderId="0"/>
    <xf numFmtId="0" fontId="13"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166" fontId="1" fillId="0" borderId="0"/>
    <xf numFmtId="0" fontId="1" fillId="0" borderId="0"/>
    <xf numFmtId="0" fontId="1" fillId="0" borderId="0"/>
    <xf numFmtId="17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6" fillId="0" borderId="0"/>
    <xf numFmtId="0" fontId="6" fillId="0" borderId="0"/>
    <xf numFmtId="0" fontId="3" fillId="0" borderId="0"/>
    <xf numFmtId="166"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 fillId="0" borderId="0"/>
    <xf numFmtId="0" fontId="2" fillId="0" borderId="0"/>
    <xf numFmtId="0" fontId="80" fillId="0" borderId="0"/>
    <xf numFmtId="0" fontId="80" fillId="0" borderId="0"/>
    <xf numFmtId="0" fontId="80" fillId="0" borderId="0"/>
    <xf numFmtId="0" fontId="80" fillId="0" borderId="0"/>
    <xf numFmtId="0" fontId="80" fillId="0" borderId="0"/>
    <xf numFmtId="0" fontId="2" fillId="0" borderId="0"/>
    <xf numFmtId="0" fontId="2" fillId="0" borderId="0"/>
    <xf numFmtId="0" fontId="2" fillId="0" borderId="0"/>
    <xf numFmtId="0" fontId="2" fillId="0" borderId="0"/>
    <xf numFmtId="0" fontId="13" fillId="0" borderId="0"/>
    <xf numFmtId="0" fontId="6" fillId="0" borderId="0"/>
    <xf numFmtId="0" fontId="6" fillId="0" borderId="0"/>
    <xf numFmtId="0" fontId="6" fillId="0" borderId="0"/>
    <xf numFmtId="0" fontId="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3" fillId="0" borderId="0"/>
    <xf numFmtId="166"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166"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166" fontId="22" fillId="5" borderId="0" applyNumberFormat="0" applyBorder="0" applyAlignment="0" applyProtection="0"/>
    <xf numFmtId="167" fontId="81" fillId="57" borderId="3" applyNumberFormat="0" applyBorder="0" applyAlignment="0">
      <alignment vertical="center"/>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66" fontId="30" fillId="0" borderId="0" applyNumberFormat="0" applyFill="0" applyBorder="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56" borderId="2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56" borderId="2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56" borderId="2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166" fontId="27" fillId="0" borderId="9" applyNumberFormat="0" applyFill="0" applyAlignment="0" applyProtection="0"/>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32"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0" fontId="4" fillId="0" borderId="0"/>
    <xf numFmtId="0" fontId="4" fillId="0" borderId="0"/>
    <xf numFmtId="0" fontId="4" fillId="0" borderId="0"/>
    <xf numFmtId="0" fontId="4" fillId="0" borderId="0"/>
    <xf numFmtId="0" fontId="32" fillId="0" borderId="0"/>
    <xf numFmtId="38" fontId="82" fillId="0" borderId="0">
      <alignment vertical="top"/>
    </xf>
    <xf numFmtId="0" fontId="32" fillId="0" borderId="0"/>
    <xf numFmtId="38" fontId="82" fillId="0" borderId="0">
      <alignment vertical="top"/>
    </xf>
    <xf numFmtId="0" fontId="32" fillId="0" borderId="0"/>
    <xf numFmtId="38" fontId="82" fillId="0" borderId="0">
      <alignment vertical="top"/>
    </xf>
    <xf numFmtId="0" fontId="32"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32" fillId="0" borderId="0"/>
    <xf numFmtId="169" fontId="32"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66" fontId="29" fillId="0" borderId="0" applyNumberFormat="0" applyFill="0" applyBorder="0" applyAlignment="0" applyProtection="0"/>
    <xf numFmtId="49" fontId="77" fillId="0" borderId="0">
      <alignment horizontal="center"/>
    </xf>
    <xf numFmtId="178" fontId="2" fillId="0" borderId="0" applyFont="0" applyFill="0" applyBorder="0" applyAlignment="0" applyProtection="0"/>
    <xf numFmtId="179" fontId="2"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173" fontId="15" fillId="0" borderId="0" applyFont="0" applyFill="0" applyBorder="0" applyAlignment="0" applyProtection="0"/>
    <xf numFmtId="43" fontId="6" fillId="0" borderId="0" applyFont="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5" fillId="0" borderId="0" applyFont="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173" fontId="15" fillId="0" borderId="0" applyFont="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73" fontId="15" fillId="0" borderId="0" applyFont="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73" fontId="15" fillId="0" borderId="0" applyFont="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43" fontId="13" fillId="0" borderId="0" applyFont="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181" fontId="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73" fillId="73" borderId="0" applyBorder="0">
      <alignment horizontal="right"/>
    </xf>
    <xf numFmtId="4" fontId="73" fillId="73" borderId="29" applyBorder="0">
      <alignment horizontal="right"/>
    </xf>
    <xf numFmtId="4" fontId="73" fillId="74" borderId="30" applyBorder="0">
      <alignment horizontal="right"/>
    </xf>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166" fontId="12" fillId="2" borderId="0" applyNumberFormat="0" applyBorder="0" applyAlignment="0" applyProtection="0"/>
    <xf numFmtId="171" fontId="33" fillId="0" borderId="0">
      <protection locked="0"/>
    </xf>
    <xf numFmtId="0" fontId="17" fillId="0" borderId="1" applyBorder="0">
      <alignment horizontal="center" vertical="center" wrapText="1"/>
    </xf>
    <xf numFmtId="169" fontId="32" fillId="0" borderId="0"/>
    <xf numFmtId="169" fontId="32" fillId="0" borderId="0"/>
    <xf numFmtId="169" fontId="4" fillId="0" borderId="0"/>
    <xf numFmtId="169" fontId="4" fillId="0" borderId="0"/>
    <xf numFmtId="169" fontId="4" fillId="0" borderId="0"/>
    <xf numFmtId="169" fontId="4" fillId="0" borderId="0"/>
    <xf numFmtId="169" fontId="4" fillId="0" borderId="0"/>
    <xf numFmtId="169" fontId="32" fillId="0" borderId="0"/>
    <xf numFmtId="169" fontId="32" fillId="0" borderId="0"/>
    <xf numFmtId="169" fontId="4" fillId="0" borderId="0"/>
    <xf numFmtId="169" fontId="4" fillId="0" borderId="0"/>
    <xf numFmtId="169" fontId="32" fillId="0" borderId="0"/>
    <xf numFmtId="169" fontId="32" fillId="0" borderId="0"/>
    <xf numFmtId="169" fontId="32" fillId="0" borderId="0"/>
    <xf numFmtId="169" fontId="32" fillId="0" borderId="0"/>
    <xf numFmtId="169" fontId="32" fillId="0" borderId="0"/>
    <xf numFmtId="169" fontId="4"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32" fillId="0" borderId="0"/>
    <xf numFmtId="169" fontId="4" fillId="0" borderId="0"/>
    <xf numFmtId="169" fontId="4" fillId="0" borderId="0"/>
    <xf numFmtId="169" fontId="4" fillId="0" borderId="0"/>
    <xf numFmtId="169" fontId="2" fillId="0" borderId="0"/>
    <xf numFmtId="169" fontId="2" fillId="0" borderId="0"/>
    <xf numFmtId="169" fontId="34" fillId="0" borderId="0">
      <protection locked="0"/>
    </xf>
    <xf numFmtId="169" fontId="34" fillId="0" borderId="0">
      <protection locked="0"/>
    </xf>
    <xf numFmtId="169" fontId="33" fillId="0" borderId="13">
      <protection locked="0"/>
    </xf>
    <xf numFmtId="169" fontId="35" fillId="35" borderId="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3" fillId="36"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3" fillId="36"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3" fillId="36"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3" fillId="36"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2"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3" fillId="37"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3" fillId="37"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3" fillId="37"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3" fillId="37"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16"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3" fillId="38"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3" fillId="38"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3" fillId="38"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3" fillId="38"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0"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3" fillId="39"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3" fillId="39"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3" fillId="39"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4"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3" fillId="40"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3" fillId="40"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3" fillId="40"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28"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3" fillId="41"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3" fillId="41"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3" fillId="41"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 fillId="3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3" fillId="42"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3" fillId="42"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3"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3" fillId="43"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3" fillId="43"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3" fillId="43"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17"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3" fillId="44"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3" fillId="44"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3" fillId="44"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3" fillId="44"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1"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3" fillId="39"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3" fillId="39"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3" fillId="39"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5"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3" fillId="42"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3" fillId="42"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3" fillId="42"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29"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3" fillId="45"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3" fillId="45"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3" fillId="45"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1" fillId="33"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1" fillId="14"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6" fillId="46"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1" fillId="18"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6" fillId="43"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1" fillId="22" borderId="0" applyNumberFormat="0" applyBorder="0" applyAlignment="0" applyProtection="0"/>
    <xf numFmtId="169" fontId="36" fillId="44" borderId="0" applyNumberFormat="0" applyBorder="0" applyAlignment="0" applyProtection="0"/>
    <xf numFmtId="169" fontId="36" fillId="44"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1" fillId="26"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1" fillId="30"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1" fillId="34" borderId="0" applyNumberFormat="0" applyBorder="0" applyAlignment="0" applyProtection="0"/>
    <xf numFmtId="169" fontId="36" fillId="48" borderId="0" applyNumberFormat="0" applyBorder="0" applyAlignment="0" applyProtection="0"/>
    <xf numFmtId="169" fontId="36" fillId="48"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35" fillId="0" borderId="2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51" fillId="0" borderId="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13" fillId="56" borderId="21" applyNumberFormat="0" applyFon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54" fillId="57" borderId="23" applyNumberFormat="0" applyProtection="0">
      <alignment horizontal="left" vertical="top" indent="1"/>
    </xf>
    <xf numFmtId="169" fontId="3" fillId="62" borderId="23" applyNumberFormat="0" applyProtection="0">
      <alignment horizontal="left" vertical="center" indent="1"/>
    </xf>
    <xf numFmtId="169" fontId="3" fillId="62" borderId="23" applyNumberFormat="0" applyProtection="0">
      <alignment horizontal="left" vertical="top" indent="1"/>
    </xf>
    <xf numFmtId="169" fontId="3" fillId="58" borderId="23" applyNumberFormat="0" applyProtection="0">
      <alignment horizontal="left" vertical="center" indent="1"/>
    </xf>
    <xf numFmtId="169" fontId="3" fillId="58" borderId="23" applyNumberFormat="0" applyProtection="0">
      <alignment horizontal="left" vertical="top" indent="1"/>
    </xf>
    <xf numFmtId="169" fontId="3" fillId="64" borderId="23" applyNumberFormat="0" applyProtection="0">
      <alignment horizontal="left" vertical="center" indent="1"/>
    </xf>
    <xf numFmtId="169" fontId="3" fillId="64" borderId="23" applyNumberFormat="0" applyProtection="0">
      <alignment horizontal="left" vertical="top" indent="1"/>
    </xf>
    <xf numFmtId="169" fontId="3" fillId="65" borderId="23" applyNumberFormat="0" applyProtection="0">
      <alignment horizontal="left" vertical="center" indent="1"/>
    </xf>
    <xf numFmtId="169" fontId="3" fillId="65" borderId="23" applyNumberFormat="0" applyProtection="0">
      <alignment horizontal="left" vertical="top" indent="1"/>
    </xf>
    <xf numFmtId="169" fontId="13" fillId="0" borderId="0"/>
    <xf numFmtId="169" fontId="56" fillId="66" borderId="23" applyNumberFormat="0" applyProtection="0">
      <alignment horizontal="left" vertical="top" indent="1"/>
    </xf>
    <xf numFmtId="169" fontId="56" fillId="58" borderId="23" applyNumberFormat="0" applyProtection="0">
      <alignment horizontal="left" vertical="top" indent="1"/>
    </xf>
    <xf numFmtId="169" fontId="62" fillId="68" borderId="0"/>
    <xf numFmtId="169" fontId="62" fillId="4" borderId="25">
      <protection locked="0"/>
    </xf>
    <xf numFmtId="169" fontId="62" fillId="68" borderId="0"/>
    <xf numFmtId="169" fontId="64" fillId="69" borderId="0"/>
    <xf numFmtId="169" fontId="64" fillId="70" borderId="0"/>
    <xf numFmtId="169" fontId="64" fillId="71" borderId="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1" fillId="11"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6" fillId="49"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1" fillId="15"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6" fillId="50"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1" fillId="19"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6" fillId="51"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1" fillId="23"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6" fillId="4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1" fillId="27"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6" fillId="3"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1" fillId="31"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36" fillId="52" borderId="0" applyNumberFormat="0" applyBorder="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24" fillId="7" borderId="7" applyNumberFormat="0" applyAlignment="0" applyProtection="0"/>
    <xf numFmtId="169" fontId="47" fillId="41" borderId="14" applyNumberFormat="0" applyAlignment="0" applyProtection="0"/>
    <xf numFmtId="169" fontId="47" fillId="41" borderId="14" applyNumberFormat="0" applyAlignment="0" applyProtection="0"/>
    <xf numFmtId="169" fontId="47" fillId="41" borderId="14"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25" fillId="8" borderId="8" applyNumberFormat="0" applyAlignment="0" applyProtection="0"/>
    <xf numFmtId="169" fontId="52" fillId="53" borderId="22" applyNumberFormat="0" applyAlignment="0" applyProtection="0"/>
    <xf numFmtId="169" fontId="52" fillId="53" borderId="22" applyNumberFormat="0" applyAlignment="0" applyProtection="0"/>
    <xf numFmtId="169" fontId="52" fillId="53" borderId="22"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26" fillId="8" borderId="7" applyNumberFormat="0" applyAlignment="0" applyProtection="0"/>
    <xf numFmtId="169" fontId="38" fillId="53" borderId="14" applyNumberFormat="0" applyAlignment="0" applyProtection="0"/>
    <xf numFmtId="169" fontId="38" fillId="53" borderId="14" applyNumberFormat="0" applyAlignment="0" applyProtection="0"/>
    <xf numFmtId="169" fontId="38" fillId="53" borderId="14" applyNumberFormat="0" applyAlignment="0" applyProtection="0"/>
    <xf numFmtId="169" fontId="68" fillId="0" borderId="0" applyNumberFormat="0" applyFill="0" applyBorder="0" applyAlignment="0" applyProtection="0">
      <alignment vertical="top"/>
      <protection locked="0"/>
    </xf>
    <xf numFmtId="169" fontId="69" fillId="0" borderId="0" applyNumberFormat="0" applyFill="0" applyBorder="0" applyAlignment="0" applyProtection="0">
      <alignment vertical="top"/>
      <protection locked="0"/>
    </xf>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3" fillId="0" borderId="0"/>
    <xf numFmtId="169" fontId="3" fillId="0" borderId="0"/>
    <xf numFmtId="169" fontId="3"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19" fillId="0" borderId="4"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44" fillId="0" borderId="16"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20" fillId="0" borderId="5"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21" fillId="0" borderId="6"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46" fillId="0" borderId="18" applyNumberFormat="0" applyFill="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46" fillId="0" borderId="0" applyNumberFormat="0" applyFill="0" applyBorder="0" applyAlignment="0" applyProtection="0"/>
    <xf numFmtId="169" fontId="70" fillId="0" borderId="0" applyBorder="0">
      <alignment horizontal="center" vertical="center" wrapText="1"/>
    </xf>
    <xf numFmtId="169" fontId="71" fillId="0" borderId="28" applyBorder="0">
      <alignment horizontal="center" vertical="center" wrapText="1"/>
    </xf>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16" fillId="0" borderId="12"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66" fillId="0" borderId="26" applyNumberFormat="0" applyFill="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28" fillId="9" borderId="10" applyNumberFormat="0" applyAlignment="0" applyProtection="0"/>
    <xf numFmtId="169" fontId="39" fillId="54" borderId="15" applyNumberFormat="0" applyAlignment="0" applyProtection="0"/>
    <xf numFmtId="169" fontId="39" fillId="54" borderId="15" applyNumberFormat="0" applyAlignment="0" applyProtection="0"/>
    <xf numFmtId="169" fontId="39" fillId="54" borderId="15" applyNumberFormat="0" applyAlignment="0" applyProtection="0"/>
    <xf numFmtId="169" fontId="75" fillId="0" borderId="0">
      <alignment horizontal="center" vertical="top" wrapText="1"/>
    </xf>
    <xf numFmtId="169" fontId="76" fillId="0" borderId="0">
      <alignment horizontal="center" vertical="center" wrapText="1"/>
    </xf>
    <xf numFmtId="169" fontId="77" fillId="73" borderId="0" applyFill="0">
      <alignment wrapText="1"/>
    </xf>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1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23" fillId="6"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49" fillId="55" borderId="0" applyNumberFormat="0" applyBorder="0" applyAlignment="0" applyProtection="0"/>
    <xf numFmtId="169" fontId="1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6" fillId="0" borderId="0"/>
    <xf numFmtId="169" fontId="6"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78" fillId="0" borderId="0"/>
    <xf numFmtId="169" fontId="2" fillId="0" borderId="0"/>
    <xf numFmtId="169" fontId="2" fillId="0" borderId="0"/>
    <xf numFmtId="169" fontId="2" fillId="0" borderId="0"/>
    <xf numFmtId="169" fontId="3"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2"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6" fillId="0" borderId="0"/>
    <xf numFmtId="169" fontId="3" fillId="0" borderId="0"/>
    <xf numFmtId="169" fontId="3"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6" fillId="0" borderId="0"/>
    <xf numFmtId="169" fontId="6"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15" fillId="0" borderId="0"/>
    <xf numFmtId="169" fontId="15" fillId="0" borderId="0"/>
    <xf numFmtId="169" fontId="15" fillId="0" borderId="0"/>
    <xf numFmtId="169" fontId="15" fillId="0" borderId="0"/>
    <xf numFmtId="169" fontId="2" fillId="0" borderId="0"/>
    <xf numFmtId="169" fontId="2" fillId="0" borderId="0"/>
    <xf numFmtId="169" fontId="2" fillId="0" borderId="0"/>
    <xf numFmtId="169" fontId="2"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3" fillId="0" borderId="0"/>
    <xf numFmtId="169" fontId="2" fillId="0" borderId="0"/>
    <xf numFmtId="169" fontId="2" fillId="0" borderId="0"/>
    <xf numFmtId="169" fontId="2" fillId="0" borderId="0"/>
    <xf numFmtId="169" fontId="2"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6" fillId="0" borderId="0"/>
    <xf numFmtId="169" fontId="3" fillId="0" borderId="0"/>
    <xf numFmtId="169" fontId="3" fillId="0" borderId="0"/>
    <xf numFmtId="169" fontId="3"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3" fillId="0" borderId="0"/>
    <xf numFmtId="169" fontId="3" fillId="0" borderId="0"/>
    <xf numFmtId="169" fontId="3" fillId="0" borderId="0"/>
    <xf numFmtId="169" fontId="3" fillId="0" borderId="0"/>
    <xf numFmtId="169" fontId="3" fillId="0" borderId="0"/>
    <xf numFmtId="169" fontId="1" fillId="0" borderId="0"/>
    <xf numFmtId="169" fontId="1" fillId="0" borderId="0"/>
    <xf numFmtId="169" fontId="1" fillId="0" borderId="0"/>
    <xf numFmtId="169" fontId="1" fillId="0" borderId="0"/>
    <xf numFmtId="164"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6" fillId="0" borderId="0"/>
    <xf numFmtId="169" fontId="6" fillId="0" borderId="0"/>
    <xf numFmtId="169" fontId="6" fillId="0" borderId="0"/>
    <xf numFmtId="169" fontId="1" fillId="0" borderId="0"/>
    <xf numFmtId="169" fontId="1" fillId="0" borderId="0"/>
    <xf numFmtId="169" fontId="1" fillId="0" borderId="0"/>
    <xf numFmtId="169" fontId="1" fillId="0" borderId="0"/>
    <xf numFmtId="169" fontId="1"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6"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6"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6" fillId="0" borderId="0"/>
    <xf numFmtId="169" fontId="6" fillId="0" borderId="0"/>
    <xf numFmtId="169" fontId="6" fillId="0" borderId="0"/>
    <xf numFmtId="169" fontId="6" fillId="0" borderId="0"/>
    <xf numFmtId="169" fontId="6" fillId="0" borderId="0"/>
    <xf numFmtId="169" fontId="1" fillId="0" borderId="0"/>
    <xf numFmtId="169" fontId="1" fillId="0" borderId="0"/>
    <xf numFmtId="169" fontId="1" fillId="0" borderId="0"/>
    <xf numFmtId="169" fontId="1" fillId="0" borderId="0"/>
    <xf numFmtId="169" fontId="2"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6"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6"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6"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6" fillId="0" borderId="0"/>
    <xf numFmtId="169" fontId="6" fillId="0" borderId="0"/>
    <xf numFmtId="169" fontId="6" fillId="0" borderId="0"/>
    <xf numFmtId="169" fontId="6" fillId="0" borderId="0"/>
    <xf numFmtId="169" fontId="6" fillId="0" borderId="0"/>
    <xf numFmtId="169" fontId="2" fillId="0" borderId="0"/>
    <xf numFmtId="169" fontId="2" fillId="0" borderId="0"/>
    <xf numFmtId="169" fontId="2"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6"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6" fillId="0" borderId="0"/>
    <xf numFmtId="169" fontId="6" fillId="0" borderId="0"/>
    <xf numFmtId="169" fontId="3" fillId="0" borderId="0"/>
    <xf numFmtId="169" fontId="1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2"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13" fillId="0" borderId="0"/>
    <xf numFmtId="169" fontId="2" fillId="0" borderId="0"/>
    <xf numFmtId="169" fontId="2" fillId="0" borderId="0"/>
    <xf numFmtId="169" fontId="2" fillId="0" borderId="0"/>
    <xf numFmtId="169" fontId="2" fillId="0" borderId="0"/>
    <xf numFmtId="169" fontId="2" fillId="0" borderId="0"/>
    <xf numFmtId="169" fontId="2" fillId="0" borderId="0"/>
    <xf numFmtId="169" fontId="80" fillId="0" borderId="0"/>
    <xf numFmtId="169" fontId="80" fillId="0" borderId="0"/>
    <xf numFmtId="169" fontId="80" fillId="0" borderId="0"/>
    <xf numFmtId="169" fontId="80" fillId="0" borderId="0"/>
    <xf numFmtId="169" fontId="80" fillId="0" borderId="0"/>
    <xf numFmtId="169" fontId="80" fillId="0" borderId="0"/>
    <xf numFmtId="169" fontId="80" fillId="0" borderId="0"/>
    <xf numFmtId="169" fontId="80" fillId="0" borderId="0"/>
    <xf numFmtId="169" fontId="80" fillId="0" borderId="0"/>
    <xf numFmtId="169" fontId="80" fillId="0" borderId="0"/>
    <xf numFmtId="169" fontId="2" fillId="0" borderId="0"/>
    <xf numFmtId="169" fontId="80" fillId="0" borderId="0"/>
    <xf numFmtId="169" fontId="80" fillId="0" borderId="0"/>
    <xf numFmtId="169" fontId="80" fillId="0" borderId="0"/>
    <xf numFmtId="169" fontId="80" fillId="0" borderId="0"/>
    <xf numFmtId="169" fontId="80" fillId="0" borderId="0"/>
    <xf numFmtId="169" fontId="80" fillId="0" borderId="0"/>
    <xf numFmtId="169" fontId="80" fillId="0" borderId="0"/>
    <xf numFmtId="169" fontId="80" fillId="0" borderId="0"/>
    <xf numFmtId="169" fontId="2" fillId="0" borderId="0"/>
    <xf numFmtId="169" fontId="2" fillId="0" borderId="0"/>
    <xf numFmtId="169" fontId="80" fillId="0" borderId="0"/>
    <xf numFmtId="169" fontId="80" fillId="0" borderId="0"/>
    <xf numFmtId="169" fontId="80" fillId="0" borderId="0"/>
    <xf numFmtId="169" fontId="80" fillId="0" borderId="0"/>
    <xf numFmtId="169" fontId="80" fillId="0" borderId="0"/>
    <xf numFmtId="169" fontId="2" fillId="0" borderId="0"/>
    <xf numFmtId="169" fontId="2" fillId="0" borderId="0"/>
    <xf numFmtId="169" fontId="2" fillId="0" borderId="0"/>
    <xf numFmtId="169" fontId="2" fillId="0" borderId="0"/>
    <xf numFmtId="169" fontId="13" fillId="0" borderId="0"/>
    <xf numFmtId="169" fontId="6" fillId="0" borderId="0"/>
    <xf numFmtId="169" fontId="6" fillId="0" borderId="0"/>
    <xf numFmtId="169" fontId="6" fillId="0" borderId="0"/>
    <xf numFmtId="169" fontId="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 fillId="0" borderId="0"/>
    <xf numFmtId="169" fontId="2" fillId="0" borderId="0"/>
    <xf numFmtId="16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3" fillId="0" borderId="0"/>
    <xf numFmtId="169" fontId="1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22" fillId="5"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7" fillId="37" borderId="0" applyNumberFormat="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42" fillId="0" borderId="0" applyNumberFormat="0" applyFill="0" applyBorder="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56" borderId="2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56" borderId="2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56" borderId="2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13" fillId="10" borderId="11" applyNumberFormat="0" applyFont="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27" fillId="0" borderId="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8" fillId="0" borderId="19" applyNumberFormat="0" applyFill="0" applyAlignment="0" applyProtection="0"/>
    <xf numFmtId="169" fontId="4" fillId="0" borderId="0"/>
    <xf numFmtId="169" fontId="4" fillId="0" borderId="0"/>
    <xf numFmtId="169" fontId="4" fillId="0" borderId="0"/>
    <xf numFmtId="169" fontId="4" fillId="0" borderId="0"/>
    <xf numFmtId="169" fontId="4" fillId="0" borderId="0"/>
    <xf numFmtId="169" fontId="32" fillId="0" borderId="0"/>
    <xf numFmtId="169" fontId="32" fillId="0" borderId="0"/>
    <xf numFmtId="169" fontId="32" fillId="0" borderId="0"/>
    <xf numFmtId="169" fontId="32" fillId="0" borderId="0"/>
    <xf numFmtId="169" fontId="4" fillId="0" borderId="0"/>
    <xf numFmtId="169" fontId="4" fillId="0" borderId="0"/>
    <xf numFmtId="169" fontId="4" fillId="0" borderId="0"/>
    <xf numFmtId="169" fontId="32" fillId="0" borderId="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67" fillId="0" borderId="0" applyNumberFormat="0" applyFill="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12" fillId="2"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43" fillId="38" borderId="0" applyNumberFormat="0" applyBorder="0" applyAlignment="0" applyProtection="0"/>
    <xf numFmtId="169" fontId="17" fillId="0" borderId="1" applyBorder="0">
      <alignment horizontal="center" vertical="center" wrapText="1"/>
    </xf>
    <xf numFmtId="173"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4" fontId="58" fillId="61" borderId="0" applyNumberFormat="0" applyProtection="0">
      <alignment horizontal="left" vertical="center" indent="1"/>
    </xf>
    <xf numFmtId="4" fontId="58" fillId="58" borderId="0" applyNumberFormat="0" applyProtection="0">
      <alignment horizontal="left" vertical="center" indent="1"/>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17" fillId="0" borderId="0"/>
    <xf numFmtId="0" fontId="17" fillId="0" borderId="0"/>
    <xf numFmtId="0" fontId="2"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1" fillId="0" borderId="0"/>
    <xf numFmtId="0" fontId="1" fillId="0" borderId="0"/>
    <xf numFmtId="0" fontId="17" fillId="0" borderId="0"/>
    <xf numFmtId="0" fontId="3" fillId="0" borderId="0"/>
    <xf numFmtId="0" fontId="1"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3" fillId="0" borderId="0"/>
    <xf numFmtId="0" fontId="84" fillId="0" borderId="0"/>
    <xf numFmtId="0" fontId="17" fillId="0" borderId="0"/>
    <xf numFmtId="0" fontId="17" fillId="0" borderId="0"/>
    <xf numFmtId="0" fontId="17"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 fillId="0" borderId="0" applyFill="0" applyBorder="0" applyAlignment="0" applyProtection="0"/>
    <xf numFmtId="9" fontId="3" fillId="0" borderId="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180" fontId="13"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3" fontId="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ill="0" applyBorder="0" applyAlignment="0" applyProtection="0"/>
    <xf numFmtId="43" fontId="3"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0" fontId="3" fillId="0" borderId="0"/>
    <xf numFmtId="165" fontId="3" fillId="0" borderId="0"/>
    <xf numFmtId="165" fontId="3" fillId="0" borderId="0"/>
    <xf numFmtId="165" fontId="3" fillId="0" borderId="0"/>
    <xf numFmtId="165" fontId="3" fillId="0" borderId="0"/>
    <xf numFmtId="0" fontId="2" fillId="0" borderId="0"/>
    <xf numFmtId="165" fontId="1" fillId="0" borderId="0"/>
    <xf numFmtId="165" fontId="14" fillId="0" borderId="0"/>
    <xf numFmtId="0" fontId="3" fillId="0" borderId="0"/>
    <xf numFmtId="165" fontId="3" fillId="0" borderId="0"/>
    <xf numFmtId="165" fontId="3" fillId="0" borderId="0"/>
    <xf numFmtId="0" fontId="3" fillId="0" borderId="0"/>
    <xf numFmtId="0" fontId="1" fillId="0" borderId="0"/>
    <xf numFmtId="165" fontId="3" fillId="0" borderId="0"/>
    <xf numFmtId="165" fontId="1" fillId="0" borderId="0"/>
    <xf numFmtId="165" fontId="2" fillId="0" borderId="0"/>
    <xf numFmtId="0" fontId="4" fillId="0" borderId="0"/>
    <xf numFmtId="165" fontId="4" fillId="0" borderId="0"/>
    <xf numFmtId="173" fontId="3"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0" fontId="14" fillId="0" borderId="0"/>
    <xf numFmtId="0" fontId="82" fillId="0" borderId="0">
      <alignment horizontal="left"/>
    </xf>
    <xf numFmtId="0" fontId="4" fillId="0" borderId="0"/>
    <xf numFmtId="0" fontId="82" fillId="0" borderId="0">
      <alignment horizontal="left"/>
    </xf>
    <xf numFmtId="0" fontId="2" fillId="0" borderId="0"/>
    <xf numFmtId="0" fontId="2" fillId="0" borderId="0"/>
  </cellStyleXfs>
  <cellXfs count="795">
    <xf numFmtId="0" fontId="0" fillId="0" borderId="0" xfId="0"/>
    <xf numFmtId="0" fontId="83" fillId="0" borderId="0" xfId="0" applyFont="1" applyAlignment="1">
      <alignment horizontal="justify" vertical="center"/>
    </xf>
    <xf numFmtId="2" fontId="41" fillId="0" borderId="1" xfId="29106" applyNumberFormat="1" applyFont="1" applyFill="1" applyBorder="1" applyAlignment="1" applyProtection="1">
      <alignment horizontal="center" vertical="center" wrapText="1"/>
      <protection locked="0"/>
    </xf>
    <xf numFmtId="0" fontId="41" fillId="0" borderId="1" xfId="29106" applyFont="1" applyFill="1" applyBorder="1" applyAlignment="1" applyProtection="1">
      <alignment horizontal="center" vertical="center" wrapText="1"/>
      <protection locked="0"/>
    </xf>
    <xf numFmtId="1" fontId="41" fillId="0" borderId="1" xfId="59049" applyNumberFormat="1" applyFont="1" applyFill="1" applyBorder="1" applyAlignment="1" applyProtection="1">
      <alignment horizontal="center" vertical="center" wrapText="1"/>
    </xf>
    <xf numFmtId="3" fontId="41" fillId="0" borderId="1" xfId="59049" applyNumberFormat="1" applyFont="1" applyFill="1" applyBorder="1" applyAlignment="1" applyProtection="1">
      <alignment horizontal="center" vertical="center" wrapText="1"/>
    </xf>
    <xf numFmtId="0" fontId="41" fillId="0" borderId="0" xfId="0" applyFont="1" applyFill="1"/>
    <xf numFmtId="1" fontId="41" fillId="77" borderId="1" xfId="59049" applyNumberFormat="1" applyFont="1" applyFill="1" applyBorder="1" applyAlignment="1" applyProtection="1">
      <alignment horizontal="center" vertical="center" wrapText="1"/>
    </xf>
    <xf numFmtId="1" fontId="41" fillId="77" borderId="1" xfId="59049" applyNumberFormat="1" applyFont="1" applyFill="1" applyBorder="1" applyAlignment="1" applyProtection="1">
      <alignment horizontal="left" vertical="center" wrapText="1"/>
    </xf>
    <xf numFmtId="1" fontId="41" fillId="76" borderId="1" xfId="0" applyNumberFormat="1" applyFont="1" applyFill="1" applyBorder="1" applyAlignment="1">
      <alignment horizontal="center" vertical="top" wrapText="1"/>
    </xf>
    <xf numFmtId="1" fontId="41" fillId="75" borderId="1" xfId="60334" applyNumberFormat="1" applyFont="1" applyFill="1" applyBorder="1" applyAlignment="1">
      <alignment horizontal="center" vertical="top" wrapText="1"/>
    </xf>
    <xf numFmtId="1" fontId="41" fillId="75" borderId="1" xfId="0" applyNumberFormat="1" applyFont="1" applyFill="1" applyBorder="1" applyAlignment="1">
      <alignment horizontal="center" vertical="top" wrapText="1"/>
    </xf>
    <xf numFmtId="1" fontId="41" fillId="75" borderId="1" xfId="60337" applyNumberFormat="1" applyFont="1" applyFill="1" applyBorder="1" applyAlignment="1" applyProtection="1">
      <alignment horizontal="center" vertical="top" wrapText="1"/>
      <protection locked="0"/>
    </xf>
    <xf numFmtId="0" fontId="41" fillId="76" borderId="1" xfId="0" applyNumberFormat="1" applyFont="1" applyFill="1" applyBorder="1" applyAlignment="1">
      <alignment horizontal="left" vertical="top" wrapText="1"/>
    </xf>
    <xf numFmtId="0" fontId="41" fillId="75" borderId="1" xfId="25" applyNumberFormat="1" applyFont="1" applyFill="1" applyBorder="1" applyAlignment="1">
      <alignment horizontal="left" vertical="top" wrapText="1"/>
    </xf>
    <xf numFmtId="0" fontId="41" fillId="75" borderId="1" xfId="60334" applyNumberFormat="1" applyFont="1" applyFill="1" applyBorder="1" applyAlignment="1">
      <alignment horizontal="left" vertical="top" wrapText="1"/>
    </xf>
    <xf numFmtId="0" fontId="41" fillId="75" borderId="1" xfId="0" applyNumberFormat="1" applyFont="1" applyFill="1" applyBorder="1" applyAlignment="1">
      <alignment horizontal="left" vertical="top" wrapText="1"/>
    </xf>
    <xf numFmtId="0" fontId="41" fillId="75" borderId="1" xfId="60337" applyNumberFormat="1" applyFont="1" applyFill="1" applyBorder="1" applyAlignment="1">
      <alignment horizontal="left" vertical="top" wrapText="1"/>
    </xf>
    <xf numFmtId="0" fontId="41" fillId="75" borderId="1" xfId="0" applyNumberFormat="1" applyFont="1" applyFill="1" applyBorder="1" applyAlignment="1" applyProtection="1">
      <alignment horizontal="left" vertical="top" wrapText="1"/>
    </xf>
    <xf numFmtId="0" fontId="41" fillId="75" borderId="1" xfId="59049" applyNumberFormat="1" applyFont="1" applyFill="1" applyBorder="1" applyAlignment="1">
      <alignment horizontal="left" vertical="top" wrapText="1"/>
    </xf>
    <xf numFmtId="0" fontId="41" fillId="75" borderId="1" xfId="59049" applyNumberFormat="1" applyFont="1" applyFill="1" applyBorder="1" applyAlignment="1" applyProtection="1">
      <alignment horizontal="left" vertical="top" wrapText="1"/>
      <protection locked="0"/>
    </xf>
    <xf numFmtId="4" fontId="41" fillId="76" borderId="1" xfId="0" applyNumberFormat="1" applyFont="1" applyFill="1" applyBorder="1" applyAlignment="1">
      <alignment horizontal="center" vertical="top"/>
    </xf>
    <xf numFmtId="4" fontId="41" fillId="75" borderId="1" xfId="60334" applyNumberFormat="1" applyFont="1" applyFill="1" applyBorder="1" applyAlignment="1">
      <alignment horizontal="center" vertical="top"/>
    </xf>
    <xf numFmtId="4" fontId="41" fillId="75" borderId="1" xfId="0" applyNumberFormat="1" applyFont="1" applyFill="1" applyBorder="1" applyAlignment="1">
      <alignment horizontal="center" vertical="top"/>
    </xf>
    <xf numFmtId="4" fontId="41" fillId="75" borderId="1" xfId="60337" applyNumberFormat="1" applyFont="1" applyFill="1" applyBorder="1" applyAlignment="1">
      <alignment horizontal="center" vertical="top"/>
    </xf>
    <xf numFmtId="0" fontId="41" fillId="75" borderId="1" xfId="0" applyFont="1" applyFill="1" applyBorder="1" applyAlignment="1">
      <alignment horizontal="center" vertical="top"/>
    </xf>
    <xf numFmtId="187" fontId="41" fillId="75" borderId="1" xfId="60337" applyNumberFormat="1" applyFont="1" applyFill="1" applyBorder="1" applyAlignment="1">
      <alignment horizontal="center" vertical="top"/>
    </xf>
    <xf numFmtId="4" fontId="41" fillId="75" borderId="1" xfId="59049" applyNumberFormat="1" applyFont="1" applyFill="1" applyBorder="1" applyAlignment="1" applyProtection="1">
      <alignment horizontal="center" vertical="top"/>
      <protection locked="0"/>
    </xf>
    <xf numFmtId="4" fontId="41" fillId="75" borderId="1" xfId="0" applyNumberFormat="1" applyFont="1" applyFill="1" applyBorder="1" applyAlignment="1" applyProtection="1">
      <alignment horizontal="center" vertical="top"/>
    </xf>
    <xf numFmtId="0" fontId="41" fillId="75" borderId="1" xfId="0" applyNumberFormat="1" applyFont="1" applyFill="1" applyBorder="1" applyAlignment="1">
      <alignment horizontal="center" vertical="top" wrapText="1"/>
    </xf>
    <xf numFmtId="0" fontId="41" fillId="75" borderId="1" xfId="59049" applyNumberFormat="1" applyFont="1" applyFill="1" applyBorder="1" applyAlignment="1" applyProtection="1">
      <alignment horizontal="center" vertical="top" wrapText="1"/>
      <protection locked="0"/>
    </xf>
    <xf numFmtId="164" fontId="41" fillId="75" borderId="1" xfId="59049" applyNumberFormat="1" applyFont="1" applyFill="1" applyBorder="1" applyAlignment="1" applyProtection="1">
      <alignment horizontal="center" vertical="top" wrapText="1"/>
      <protection locked="0"/>
    </xf>
    <xf numFmtId="185" fontId="41" fillId="75" borderId="1" xfId="59049" applyNumberFormat="1" applyFont="1" applyFill="1" applyBorder="1" applyAlignment="1" applyProtection="1">
      <alignment horizontal="center" vertical="top" wrapText="1"/>
      <protection locked="0"/>
    </xf>
    <xf numFmtId="14" fontId="41" fillId="75" borderId="1" xfId="0" applyNumberFormat="1" applyFont="1" applyFill="1" applyBorder="1" applyAlignment="1" applyProtection="1">
      <alignment horizontal="center" vertical="top" wrapText="1"/>
    </xf>
    <xf numFmtId="4" fontId="41" fillId="75" borderId="1" xfId="0" applyNumberFormat="1" applyFont="1" applyFill="1" applyBorder="1" applyAlignment="1">
      <alignment horizontal="center" vertical="top" wrapText="1"/>
    </xf>
    <xf numFmtId="4" fontId="41" fillId="76" borderId="1" xfId="0" applyNumberFormat="1" applyFont="1" applyFill="1" applyBorder="1" applyAlignment="1">
      <alignment horizontal="center" vertical="top" wrapText="1"/>
    </xf>
    <xf numFmtId="4" fontId="41" fillId="75" borderId="1" xfId="60334" applyNumberFormat="1" applyFont="1" applyFill="1" applyBorder="1" applyAlignment="1">
      <alignment horizontal="center" vertical="top" wrapText="1"/>
    </xf>
    <xf numFmtId="4" fontId="41" fillId="75" borderId="1" xfId="60337" applyNumberFormat="1" applyFont="1" applyFill="1" applyBorder="1" applyAlignment="1">
      <alignment horizontal="center" vertical="top" wrapText="1"/>
    </xf>
    <xf numFmtId="0" fontId="41" fillId="75" borderId="1" xfId="0" applyFont="1" applyFill="1" applyBorder="1" applyAlignment="1">
      <alignment horizontal="center" vertical="top" wrapText="1"/>
    </xf>
    <xf numFmtId="4" fontId="41" fillId="75" borderId="1" xfId="59049" applyNumberFormat="1" applyFont="1" applyFill="1" applyBorder="1" applyAlignment="1" applyProtection="1">
      <alignment horizontal="center" vertical="top" wrapText="1"/>
      <protection locked="0"/>
    </xf>
    <xf numFmtId="4" fontId="41" fillId="75" borderId="1" xfId="0" applyNumberFormat="1" applyFont="1" applyFill="1" applyBorder="1" applyAlignment="1" applyProtection="1">
      <alignment horizontal="center" vertical="top" wrapText="1"/>
    </xf>
    <xf numFmtId="0" fontId="41" fillId="0" borderId="1" xfId="0" applyFont="1" applyFill="1" applyBorder="1" applyAlignment="1">
      <alignment horizontal="center" vertical="top" wrapText="1"/>
    </xf>
    <xf numFmtId="0" fontId="41" fillId="76" borderId="1" xfId="0" applyFont="1" applyFill="1" applyBorder="1" applyAlignment="1">
      <alignment horizontal="center" vertical="top" wrapText="1"/>
    </xf>
    <xf numFmtId="0" fontId="41" fillId="75" borderId="1" xfId="60334" applyFont="1" applyFill="1" applyBorder="1" applyAlignment="1">
      <alignment horizontal="center" vertical="top" wrapText="1"/>
    </xf>
    <xf numFmtId="49" fontId="41" fillId="75" borderId="1" xfId="60337" applyNumberFormat="1" applyFont="1" applyFill="1" applyBorder="1" applyAlignment="1">
      <alignment horizontal="center" vertical="top" wrapText="1"/>
    </xf>
    <xf numFmtId="49" fontId="41" fillId="75" borderId="1" xfId="0" applyNumberFormat="1" applyFont="1" applyFill="1" applyBorder="1" applyAlignment="1">
      <alignment horizontal="center" vertical="top" wrapText="1"/>
    </xf>
    <xf numFmtId="49" fontId="41" fillId="75" borderId="1" xfId="59049" applyNumberFormat="1" applyFont="1" applyFill="1" applyBorder="1" applyAlignment="1">
      <alignment horizontal="center" vertical="top" wrapText="1"/>
    </xf>
    <xf numFmtId="1" fontId="41" fillId="75" borderId="1" xfId="59049" applyNumberFormat="1" applyFont="1" applyFill="1" applyBorder="1" applyAlignment="1" applyProtection="1">
      <alignment horizontal="center" vertical="top" wrapText="1"/>
      <protection locked="0"/>
    </xf>
    <xf numFmtId="1" fontId="41" fillId="75" borderId="1" xfId="0" applyNumberFormat="1" applyFont="1" applyFill="1" applyBorder="1" applyAlignment="1" applyProtection="1">
      <alignment horizontal="center" vertical="top" wrapText="1"/>
      <protection locked="0"/>
    </xf>
    <xf numFmtId="14" fontId="41" fillId="0" borderId="1" xfId="0" applyNumberFormat="1" applyFont="1" applyFill="1" applyBorder="1" applyAlignment="1">
      <alignment horizontal="center" vertical="top"/>
    </xf>
    <xf numFmtId="14" fontId="41" fillId="76" borderId="1" xfId="0" applyNumberFormat="1" applyFont="1" applyFill="1" applyBorder="1" applyAlignment="1">
      <alignment horizontal="center" vertical="top"/>
    </xf>
    <xf numFmtId="14" fontId="41" fillId="75" borderId="1" xfId="0" applyNumberFormat="1" applyFont="1" applyFill="1" applyBorder="1" applyAlignment="1">
      <alignment horizontal="center" vertical="top" wrapText="1"/>
    </xf>
    <xf numFmtId="14" fontId="41" fillId="75" borderId="1" xfId="0" applyNumberFormat="1" applyFont="1" applyFill="1" applyBorder="1" applyAlignment="1">
      <alignment horizontal="center" vertical="top"/>
    </xf>
    <xf numFmtId="14" fontId="41" fillId="75" borderId="1" xfId="60333" applyNumberFormat="1" applyFont="1" applyFill="1" applyBorder="1" applyAlignment="1">
      <alignment horizontal="center" vertical="top"/>
    </xf>
    <xf numFmtId="14" fontId="41" fillId="75" borderId="1" xfId="60337" applyNumberFormat="1" applyFont="1" applyFill="1" applyBorder="1" applyAlignment="1" applyProtection="1">
      <alignment horizontal="center" vertical="top" wrapText="1"/>
      <protection locked="0"/>
    </xf>
    <xf numFmtId="14" fontId="41" fillId="0" borderId="1" xfId="3" applyNumberFormat="1" applyFont="1" applyFill="1" applyBorder="1" applyAlignment="1">
      <alignment horizontal="center" vertical="top"/>
    </xf>
    <xf numFmtId="0" fontId="41" fillId="75" borderId="1" xfId="60337" applyNumberFormat="1" applyFont="1" applyFill="1" applyBorder="1" applyAlignment="1">
      <alignment horizontal="center" vertical="top" wrapText="1"/>
    </xf>
    <xf numFmtId="0" fontId="41" fillId="76" borderId="1" xfId="0" applyFont="1" applyFill="1" applyBorder="1" applyAlignment="1">
      <alignment horizontal="left" vertical="top" wrapText="1"/>
    </xf>
    <xf numFmtId="4" fontId="41" fillId="75" borderId="1" xfId="25" applyNumberFormat="1" applyFont="1" applyFill="1" applyBorder="1" applyAlignment="1">
      <alignment horizontal="left" vertical="top" wrapText="1"/>
    </xf>
    <xf numFmtId="0" fontId="41" fillId="75" borderId="1" xfId="60334" applyFont="1" applyFill="1" applyBorder="1" applyAlignment="1">
      <alignment horizontal="left" vertical="top" wrapText="1"/>
    </xf>
    <xf numFmtId="0" fontId="41" fillId="75" borderId="1" xfId="0" applyFont="1" applyFill="1" applyBorder="1" applyAlignment="1">
      <alignment horizontal="left" vertical="top" wrapText="1"/>
    </xf>
    <xf numFmtId="0" fontId="41" fillId="75" borderId="1" xfId="0" applyFont="1" applyFill="1" applyBorder="1" applyAlignment="1" applyProtection="1">
      <alignment horizontal="left" vertical="top" wrapText="1"/>
    </xf>
    <xf numFmtId="0" fontId="41" fillId="75" borderId="1" xfId="0" applyFont="1" applyFill="1" applyBorder="1" applyAlignment="1">
      <alignment horizontal="left" vertical="top" wrapText="1" shrinkToFit="1"/>
    </xf>
    <xf numFmtId="1" fontId="41" fillId="75" borderId="1" xfId="0" applyNumberFormat="1" applyFont="1" applyFill="1" applyBorder="1" applyAlignment="1">
      <alignment horizontal="center" vertical="top"/>
    </xf>
    <xf numFmtId="0" fontId="41" fillId="75" borderId="1" xfId="0" applyNumberFormat="1" applyFont="1" applyFill="1" applyBorder="1" applyAlignment="1">
      <alignment horizontal="center" vertical="top"/>
    </xf>
    <xf numFmtId="0" fontId="15" fillId="75" borderId="1" xfId="0" applyFont="1" applyFill="1" applyBorder="1" applyAlignment="1">
      <alignment horizontal="center" vertical="top"/>
    </xf>
    <xf numFmtId="3" fontId="41" fillId="75" borderId="1" xfId="60337" applyNumberFormat="1" applyFont="1" applyFill="1" applyBorder="1" applyAlignment="1">
      <alignment horizontal="center" vertical="top" wrapText="1"/>
    </xf>
    <xf numFmtId="2" fontId="41" fillId="75" borderId="1" xfId="0" applyNumberFormat="1" applyFont="1" applyFill="1" applyBorder="1" applyAlignment="1" applyProtection="1">
      <alignment horizontal="center" vertical="top" wrapText="1"/>
      <protection locked="0"/>
    </xf>
    <xf numFmtId="3" fontId="41" fillId="75" borderId="1" xfId="0" applyNumberFormat="1" applyFont="1" applyFill="1" applyBorder="1" applyAlignment="1">
      <alignment horizontal="center" vertical="top" wrapText="1"/>
    </xf>
    <xf numFmtId="0" fontId="41" fillId="76" borderId="1" xfId="0" applyFont="1" applyFill="1" applyBorder="1" applyAlignment="1">
      <alignment horizontal="center" vertical="top"/>
    </xf>
    <xf numFmtId="0" fontId="41" fillId="76" borderId="1" xfId="0" applyNumberFormat="1" applyFont="1" applyFill="1" applyBorder="1" applyAlignment="1">
      <alignment horizontal="center" vertical="top"/>
    </xf>
    <xf numFmtId="3" fontId="41" fillId="75" borderId="1" xfId="0" applyNumberFormat="1" applyFont="1" applyFill="1" applyBorder="1" applyAlignment="1">
      <alignment horizontal="left" vertical="top" wrapText="1"/>
    </xf>
    <xf numFmtId="0" fontId="41" fillId="75" borderId="1" xfId="0" applyFont="1" applyFill="1" applyBorder="1" applyAlignment="1">
      <alignment vertical="top" wrapText="1"/>
    </xf>
    <xf numFmtId="49" fontId="41" fillId="75" borderId="1" xfId="0" applyNumberFormat="1" applyFont="1" applyFill="1" applyBorder="1" applyAlignment="1">
      <alignment horizontal="center" vertical="top"/>
    </xf>
    <xf numFmtId="1" fontId="41" fillId="75" borderId="1" xfId="59049" applyNumberFormat="1" applyFont="1" applyFill="1" applyBorder="1" applyAlignment="1">
      <alignment horizontal="center" vertical="top" wrapText="1"/>
    </xf>
    <xf numFmtId="4" fontId="41" fillId="75" borderId="1" xfId="0" applyNumberFormat="1" applyFont="1" applyFill="1" applyBorder="1" applyAlignment="1">
      <alignment horizontal="left" vertical="top" wrapText="1"/>
    </xf>
    <xf numFmtId="4" fontId="41" fillId="75" borderId="1" xfId="3" applyNumberFormat="1" applyFont="1" applyFill="1" applyBorder="1" applyAlignment="1">
      <alignment horizontal="center" vertical="top"/>
    </xf>
    <xf numFmtId="0" fontId="41" fillId="75" borderId="1" xfId="3" applyFont="1" applyFill="1" applyBorder="1" applyAlignment="1">
      <alignment horizontal="center" vertical="top"/>
    </xf>
    <xf numFmtId="14" fontId="41" fillId="75" borderId="1" xfId="3" applyNumberFormat="1" applyFont="1" applyFill="1" applyBorder="1" applyAlignment="1">
      <alignment horizontal="center" vertical="top"/>
    </xf>
    <xf numFmtId="0" fontId="41" fillId="75" borderId="1" xfId="3" applyFont="1" applyFill="1" applyBorder="1" applyAlignment="1">
      <alignment horizontal="center" vertical="top" wrapText="1"/>
    </xf>
    <xf numFmtId="0" fontId="41" fillId="75" borderId="1" xfId="3" applyFont="1" applyFill="1" applyBorder="1" applyAlignment="1">
      <alignment horizontal="left" vertical="top" wrapText="1"/>
    </xf>
    <xf numFmtId="1" fontId="41" fillId="75" borderId="1" xfId="3" applyNumberFormat="1" applyFont="1" applyFill="1" applyBorder="1" applyAlignment="1">
      <alignment horizontal="center" vertical="top"/>
    </xf>
    <xf numFmtId="0" fontId="41" fillId="75" borderId="1" xfId="3" applyNumberFormat="1" applyFont="1" applyFill="1" applyBorder="1" applyAlignment="1">
      <alignment horizontal="center" vertical="top"/>
    </xf>
    <xf numFmtId="0" fontId="41" fillId="75" borderId="1" xfId="3" applyNumberFormat="1" applyFont="1" applyFill="1" applyBorder="1" applyAlignment="1">
      <alignment horizontal="left" vertical="top" wrapText="1"/>
    </xf>
    <xf numFmtId="0" fontId="41" fillId="75" borderId="1" xfId="3" applyNumberFormat="1" applyFont="1" applyFill="1" applyBorder="1" applyAlignment="1">
      <alignment horizontal="center" vertical="top" wrapText="1"/>
    </xf>
    <xf numFmtId="2" fontId="41" fillId="75" borderId="1" xfId="3" applyNumberFormat="1" applyFont="1" applyFill="1" applyBorder="1" applyAlignment="1">
      <alignment horizontal="center" vertical="top"/>
    </xf>
    <xf numFmtId="0" fontId="41" fillId="75" borderId="1" xfId="60333" applyFont="1" applyFill="1" applyBorder="1" applyAlignment="1">
      <alignment horizontal="left" vertical="top" wrapText="1"/>
    </xf>
    <xf numFmtId="1" fontId="41" fillId="75" borderId="1" xfId="60333" applyNumberFormat="1" applyFont="1" applyFill="1" applyBorder="1" applyAlignment="1">
      <alignment horizontal="center" vertical="top"/>
    </xf>
    <xf numFmtId="0" fontId="41" fillId="75" borderId="1" xfId="60333" applyFont="1" applyFill="1" applyBorder="1" applyAlignment="1">
      <alignment horizontal="center" vertical="top" wrapText="1"/>
    </xf>
    <xf numFmtId="0" fontId="41" fillId="75" borderId="1" xfId="60333" applyNumberFormat="1" applyFont="1" applyFill="1" applyBorder="1" applyAlignment="1">
      <alignment horizontal="center" vertical="top"/>
    </xf>
    <xf numFmtId="0" fontId="41" fillId="75" borderId="1" xfId="0" applyFont="1" applyFill="1" applyBorder="1" applyAlignment="1" applyProtection="1">
      <alignment vertical="top" wrapText="1"/>
      <protection locked="0"/>
    </xf>
    <xf numFmtId="1" fontId="41" fillId="77" borderId="1" xfId="59049" applyNumberFormat="1" applyFont="1" applyFill="1" applyBorder="1" applyAlignment="1" applyProtection="1">
      <alignment horizontal="center" vertical="top" wrapText="1"/>
    </xf>
    <xf numFmtId="3" fontId="41" fillId="75" borderId="1" xfId="60337" applyNumberFormat="1" applyFont="1" applyFill="1" applyBorder="1" applyAlignment="1" applyProtection="1">
      <alignment horizontal="center" vertical="top" wrapText="1"/>
      <protection locked="0"/>
    </xf>
    <xf numFmtId="0" fontId="41" fillId="75" borderId="1" xfId="0" applyFont="1" applyFill="1" applyBorder="1"/>
    <xf numFmtId="0" fontId="90" fillId="75" borderId="0" xfId="0" applyFont="1" applyFill="1"/>
    <xf numFmtId="49" fontId="41" fillId="75" borderId="1" xfId="60334" applyNumberFormat="1" applyFont="1" applyFill="1" applyBorder="1" applyAlignment="1">
      <alignment horizontal="left" vertical="top" wrapText="1"/>
    </xf>
    <xf numFmtId="0" fontId="41" fillId="75" borderId="1" xfId="60336" applyFont="1" applyFill="1" applyBorder="1" applyAlignment="1">
      <alignment horizontal="center" vertical="top" wrapText="1"/>
    </xf>
    <xf numFmtId="14" fontId="41" fillId="75" borderId="1" xfId="60336" applyNumberFormat="1" applyFont="1" applyFill="1" applyBorder="1" applyAlignment="1">
      <alignment horizontal="center" vertical="top"/>
    </xf>
    <xf numFmtId="0" fontId="41" fillId="75" borderId="1" xfId="0" applyNumberFormat="1" applyFont="1" applyFill="1" applyBorder="1" applyAlignment="1">
      <alignment wrapText="1"/>
    </xf>
    <xf numFmtId="0" fontId="41" fillId="75" borderId="1" xfId="60336" applyNumberFormat="1" applyFont="1" applyFill="1" applyBorder="1" applyAlignment="1">
      <alignment horizontal="left" vertical="top" wrapText="1"/>
    </xf>
    <xf numFmtId="0" fontId="41" fillId="75" borderId="1" xfId="60336" applyFont="1" applyFill="1" applyBorder="1" applyAlignment="1">
      <alignment horizontal="left" vertical="top" wrapText="1"/>
    </xf>
    <xf numFmtId="49" fontId="41" fillId="75" borderId="1" xfId="3" applyNumberFormat="1" applyFont="1" applyFill="1" applyBorder="1" applyAlignment="1">
      <alignment horizontal="center" vertical="top"/>
    </xf>
    <xf numFmtId="3" fontId="88" fillId="77" borderId="1" xfId="59049" applyNumberFormat="1" applyFont="1" applyFill="1" applyBorder="1" applyAlignment="1" applyProtection="1">
      <alignment horizontal="center" vertical="center" wrapText="1"/>
    </xf>
    <xf numFmtId="4" fontId="41" fillId="76" borderId="1" xfId="60337" applyNumberFormat="1" applyFont="1" applyFill="1" applyBorder="1" applyAlignment="1">
      <alignment horizontal="center" vertical="top"/>
    </xf>
    <xf numFmtId="2" fontId="41" fillId="76" borderId="1" xfId="3" applyNumberFormat="1" applyFont="1" applyFill="1" applyBorder="1" applyAlignment="1">
      <alignment horizontal="center" vertical="top"/>
    </xf>
    <xf numFmtId="4" fontId="41" fillId="76" borderId="1" xfId="3" applyNumberFormat="1" applyFont="1" applyFill="1" applyBorder="1" applyAlignment="1">
      <alignment horizontal="center" vertical="top"/>
    </xf>
    <xf numFmtId="4" fontId="41" fillId="75" borderId="1" xfId="60333" applyNumberFormat="1" applyFont="1" applyFill="1" applyBorder="1" applyAlignment="1">
      <alignment horizontal="center" vertical="top"/>
    </xf>
    <xf numFmtId="0" fontId="41" fillId="75" borderId="1" xfId="60333" applyNumberFormat="1" applyFont="1" applyFill="1" applyBorder="1" applyAlignment="1">
      <alignment horizontal="center" vertical="top" wrapText="1"/>
    </xf>
    <xf numFmtId="0" fontId="41" fillId="75" borderId="1" xfId="60333" applyFont="1" applyFill="1" applyBorder="1" applyAlignment="1">
      <alignment horizontal="center" vertical="top"/>
    </xf>
    <xf numFmtId="4" fontId="41" fillId="75" borderId="1" xfId="60333" applyNumberFormat="1" applyFont="1" applyFill="1" applyBorder="1" applyAlignment="1">
      <alignment horizontal="center" vertical="top" wrapText="1"/>
    </xf>
    <xf numFmtId="185" fontId="41" fillId="75" borderId="1" xfId="3" applyNumberFormat="1" applyFont="1" applyFill="1" applyBorder="1" applyAlignment="1">
      <alignment horizontal="center" vertical="top"/>
    </xf>
    <xf numFmtId="0" fontId="41" fillId="76" borderId="1" xfId="60334" applyFont="1" applyFill="1" applyBorder="1" applyAlignment="1">
      <alignment horizontal="center" vertical="top" wrapText="1"/>
    </xf>
    <xf numFmtId="1" fontId="41" fillId="76" borderId="1" xfId="60334" applyNumberFormat="1" applyFont="1" applyFill="1" applyBorder="1" applyAlignment="1">
      <alignment horizontal="center" vertical="top" wrapText="1"/>
    </xf>
    <xf numFmtId="0" fontId="41" fillId="76" borderId="1" xfId="60334" applyNumberFormat="1" applyFont="1" applyFill="1" applyBorder="1" applyAlignment="1">
      <alignment horizontal="left" vertical="top" wrapText="1"/>
    </xf>
    <xf numFmtId="4" fontId="41" fillId="76" borderId="1" xfId="60334" applyNumberFormat="1" applyFont="1" applyFill="1" applyBorder="1" applyAlignment="1">
      <alignment horizontal="center" vertical="top" wrapText="1"/>
    </xf>
    <xf numFmtId="14" fontId="41" fillId="76" borderId="1" xfId="0" applyNumberFormat="1" applyFont="1" applyFill="1" applyBorder="1" applyAlignment="1">
      <alignment horizontal="center" vertical="top" wrapText="1"/>
    </xf>
    <xf numFmtId="0" fontId="41" fillId="76" borderId="1" xfId="60334" applyFont="1" applyFill="1" applyBorder="1" applyAlignment="1">
      <alignment horizontal="left" vertical="top" wrapText="1"/>
    </xf>
    <xf numFmtId="9" fontId="41" fillId="76" borderId="1" xfId="0" applyNumberFormat="1" applyFont="1" applyFill="1" applyBorder="1" applyAlignment="1">
      <alignment horizontal="center" vertical="top" wrapText="1"/>
    </xf>
    <xf numFmtId="49" fontId="41" fillId="76" borderId="1" xfId="0" applyNumberFormat="1" applyFont="1" applyFill="1" applyBorder="1" applyAlignment="1">
      <alignment horizontal="center" vertical="top" wrapText="1"/>
    </xf>
    <xf numFmtId="0" fontId="41" fillId="76" borderId="1" xfId="0" applyFont="1" applyFill="1" applyBorder="1" applyAlignment="1" applyProtection="1">
      <alignment horizontal="center" vertical="top" wrapText="1"/>
    </xf>
    <xf numFmtId="0" fontId="41" fillId="76" borderId="1" xfId="0" applyNumberFormat="1" applyFont="1" applyFill="1" applyBorder="1" applyAlignment="1" applyProtection="1">
      <alignment horizontal="left" vertical="top" wrapText="1"/>
    </xf>
    <xf numFmtId="4" fontId="41" fillId="76" borderId="1" xfId="60337" applyNumberFormat="1" applyFont="1" applyFill="1" applyBorder="1" applyAlignment="1">
      <alignment horizontal="center" vertical="top" wrapText="1"/>
    </xf>
    <xf numFmtId="49" fontId="41" fillId="76" borderId="1" xfId="60337" applyNumberFormat="1" applyFont="1" applyFill="1" applyBorder="1" applyAlignment="1">
      <alignment horizontal="center" vertical="top" wrapText="1"/>
    </xf>
    <xf numFmtId="0" fontId="41" fillId="76" borderId="1" xfId="0" applyFont="1" applyFill="1" applyBorder="1" applyAlignment="1" applyProtection="1">
      <alignment horizontal="left" vertical="top" wrapText="1"/>
    </xf>
    <xf numFmtId="3" fontId="41" fillId="76" borderId="1" xfId="60337" applyNumberFormat="1" applyFont="1" applyFill="1" applyBorder="1" applyAlignment="1">
      <alignment horizontal="center" vertical="top" wrapText="1"/>
    </xf>
    <xf numFmtId="0" fontId="41" fillId="78" borderId="1" xfId="60334" applyFont="1" applyFill="1" applyBorder="1" applyAlignment="1">
      <alignment horizontal="center" vertical="top" wrapText="1"/>
    </xf>
    <xf numFmtId="1" fontId="41" fillId="78" borderId="1" xfId="60334" applyNumberFormat="1" applyFont="1" applyFill="1" applyBorder="1" applyAlignment="1">
      <alignment horizontal="center" vertical="top" wrapText="1"/>
    </xf>
    <xf numFmtId="0" fontId="41" fillId="78" borderId="1" xfId="0" applyFont="1" applyFill="1" applyBorder="1" applyAlignment="1">
      <alignment horizontal="center" vertical="top" wrapText="1"/>
    </xf>
    <xf numFmtId="14" fontId="41" fillId="78" borderId="1" xfId="0" applyNumberFormat="1" applyFont="1" applyFill="1" applyBorder="1" applyAlignment="1">
      <alignment horizontal="center" vertical="top" wrapText="1"/>
    </xf>
    <xf numFmtId="9" fontId="41" fillId="78" borderId="1" xfId="0" applyNumberFormat="1" applyFont="1" applyFill="1" applyBorder="1" applyAlignment="1">
      <alignment horizontal="center" vertical="top" wrapText="1"/>
    </xf>
    <xf numFmtId="0" fontId="41" fillId="78" borderId="1" xfId="0" applyNumberFormat="1" applyFont="1" applyFill="1" applyBorder="1" applyAlignment="1" applyProtection="1">
      <alignment horizontal="left" vertical="top" wrapText="1"/>
    </xf>
    <xf numFmtId="0" fontId="41" fillId="78" borderId="1" xfId="60334" applyNumberFormat="1" applyFont="1" applyFill="1" applyBorder="1" applyAlignment="1" applyProtection="1">
      <alignment horizontal="left" vertical="top" wrapText="1"/>
    </xf>
    <xf numFmtId="164" fontId="41" fillId="75" borderId="1" xfId="0" applyNumberFormat="1" applyFont="1" applyFill="1" applyBorder="1" applyAlignment="1">
      <alignment horizontal="center" vertical="top"/>
    </xf>
    <xf numFmtId="1" fontId="41" fillId="78" borderId="1" xfId="0" applyNumberFormat="1" applyFont="1" applyFill="1" applyBorder="1" applyAlignment="1">
      <alignment horizontal="center" vertical="top" wrapText="1"/>
    </xf>
    <xf numFmtId="49" fontId="41" fillId="75" borderId="1" xfId="0" applyNumberFormat="1" applyFont="1" applyFill="1" applyBorder="1" applyAlignment="1">
      <alignment horizontal="left" vertical="top" wrapText="1"/>
    </xf>
    <xf numFmtId="9" fontId="41" fillId="75" borderId="1" xfId="0" applyNumberFormat="1" applyFont="1" applyFill="1" applyBorder="1" applyAlignment="1">
      <alignment horizontal="center" vertical="top" wrapText="1"/>
    </xf>
    <xf numFmtId="0" fontId="41" fillId="78" borderId="1" xfId="0" applyFont="1" applyFill="1" applyBorder="1" applyAlignment="1" applyProtection="1">
      <alignment horizontal="center" vertical="top" wrapText="1"/>
    </xf>
    <xf numFmtId="0" fontId="41" fillId="78" borderId="1" xfId="0" applyNumberFormat="1" applyFont="1" applyFill="1" applyBorder="1" applyAlignment="1">
      <alignment horizontal="left" vertical="top" wrapText="1"/>
    </xf>
    <xf numFmtId="0" fontId="41" fillId="76" borderId="1" xfId="0" applyNumberFormat="1" applyFont="1" applyFill="1" applyBorder="1" applyAlignment="1" applyProtection="1">
      <alignment horizontal="center" vertical="top" wrapText="1"/>
    </xf>
    <xf numFmtId="1" fontId="41" fillId="76" borderId="1" xfId="0" applyNumberFormat="1" applyFont="1" applyFill="1" applyBorder="1" applyAlignment="1" applyProtection="1">
      <alignment horizontal="center" vertical="top" wrapText="1"/>
    </xf>
    <xf numFmtId="49" fontId="41" fillId="76" borderId="1" xfId="59049" applyNumberFormat="1" applyFont="1" applyFill="1" applyBorder="1" applyAlignment="1">
      <alignment horizontal="center" vertical="top" wrapText="1"/>
    </xf>
    <xf numFmtId="14" fontId="41" fillId="76" borderId="1" xfId="60337" applyNumberFormat="1" applyFont="1" applyFill="1" applyBorder="1" applyAlignment="1">
      <alignment horizontal="center" vertical="top" wrapText="1"/>
    </xf>
    <xf numFmtId="0" fontId="41" fillId="76" borderId="1" xfId="0" applyFont="1" applyFill="1" applyBorder="1" applyAlignment="1">
      <alignment horizontal="left" vertical="top" wrapText="1" shrinkToFit="1"/>
    </xf>
    <xf numFmtId="1" fontId="41" fillId="76" borderId="1" xfId="0" applyNumberFormat="1" applyFont="1" applyFill="1" applyBorder="1" applyAlignment="1">
      <alignment horizontal="center" vertical="top"/>
    </xf>
    <xf numFmtId="0" fontId="15" fillId="76" borderId="1" xfId="0" applyFont="1" applyFill="1" applyBorder="1" applyAlignment="1">
      <alignment horizontal="center" vertical="top"/>
    </xf>
    <xf numFmtId="0" fontId="41" fillId="76" borderId="1" xfId="3" applyFont="1" applyFill="1" applyBorder="1" applyAlignment="1">
      <alignment vertical="top" wrapText="1"/>
    </xf>
    <xf numFmtId="0" fontId="41" fillId="76" borderId="1" xfId="3" applyNumberFormat="1" applyFont="1" applyFill="1" applyBorder="1" applyAlignment="1">
      <alignment horizontal="left" vertical="top" wrapText="1"/>
    </xf>
    <xf numFmtId="0" fontId="41" fillId="76" borderId="1" xfId="3" applyFont="1" applyFill="1" applyBorder="1" applyAlignment="1">
      <alignment horizontal="left" vertical="top" wrapText="1"/>
    </xf>
    <xf numFmtId="0" fontId="41" fillId="76" borderId="1" xfId="3" applyNumberFormat="1" applyFont="1" applyFill="1" applyBorder="1" applyAlignment="1">
      <alignment horizontal="center" vertical="top"/>
    </xf>
    <xf numFmtId="0" fontId="41" fillId="76" borderId="1" xfId="3" applyFont="1" applyFill="1" applyBorder="1" applyAlignment="1">
      <alignment horizontal="center" vertical="top" wrapText="1"/>
    </xf>
    <xf numFmtId="0" fontId="41" fillId="76" borderId="1" xfId="3" applyFont="1" applyFill="1" applyBorder="1" applyAlignment="1">
      <alignment horizontal="center" vertical="top"/>
    </xf>
    <xf numFmtId="49" fontId="41" fillId="76" borderId="1" xfId="3" applyNumberFormat="1" applyFont="1" applyFill="1" applyBorder="1" applyAlignment="1">
      <alignment horizontal="center" vertical="top"/>
    </xf>
    <xf numFmtId="4" fontId="41" fillId="78" borderId="1" xfId="0" applyNumberFormat="1" applyFont="1" applyFill="1" applyBorder="1" applyAlignment="1">
      <alignment horizontal="center" vertical="top"/>
    </xf>
    <xf numFmtId="0" fontId="41" fillId="78" borderId="1" xfId="0" applyNumberFormat="1" applyFont="1" applyFill="1" applyBorder="1" applyAlignment="1">
      <alignment horizontal="center" vertical="top" wrapText="1"/>
    </xf>
    <xf numFmtId="0" fontId="41" fillId="78" borderId="1" xfId="0" applyFont="1" applyFill="1" applyBorder="1" applyAlignment="1">
      <alignment horizontal="center" vertical="top"/>
    </xf>
    <xf numFmtId="2" fontId="41" fillId="79" borderId="1" xfId="25" applyNumberFormat="1" applyFont="1" applyFill="1" applyBorder="1" applyAlignment="1" applyProtection="1">
      <alignment horizontal="center" vertical="top" wrapText="1"/>
    </xf>
    <xf numFmtId="4" fontId="41" fillId="79" borderId="1" xfId="60334" applyNumberFormat="1" applyFont="1" applyFill="1" applyBorder="1" applyAlignment="1">
      <alignment horizontal="center" vertical="top" wrapText="1"/>
    </xf>
    <xf numFmtId="0" fontId="41" fillId="75" borderId="1" xfId="25" applyFont="1" applyFill="1" applyBorder="1" applyAlignment="1">
      <alignment horizontal="left" vertical="top" wrapText="1"/>
    </xf>
    <xf numFmtId="14" fontId="41" fillId="76" borderId="1" xfId="60336" applyNumberFormat="1" applyFont="1" applyFill="1" applyBorder="1" applyAlignment="1">
      <alignment horizontal="center" vertical="top" wrapText="1"/>
    </xf>
    <xf numFmtId="14" fontId="41" fillId="0" borderId="1" xfId="60336" applyNumberFormat="1" applyFont="1" applyFill="1" applyBorder="1" applyAlignment="1">
      <alignment horizontal="center" vertical="top"/>
    </xf>
    <xf numFmtId="1" fontId="41" fillId="75" borderId="1" xfId="60336" applyNumberFormat="1" applyFont="1" applyFill="1" applyBorder="1" applyAlignment="1">
      <alignment horizontal="center" vertical="top"/>
    </xf>
    <xf numFmtId="14" fontId="41" fillId="75" borderId="1" xfId="0" applyNumberFormat="1" applyFont="1" applyFill="1" applyBorder="1" applyAlignment="1">
      <alignment horizontal="left" vertical="top" wrapText="1"/>
    </xf>
    <xf numFmtId="49" fontId="41" fillId="75" borderId="1" xfId="3" applyNumberFormat="1" applyFont="1" applyFill="1" applyBorder="1" applyAlignment="1">
      <alignment horizontal="center" vertical="top" wrapText="1"/>
    </xf>
    <xf numFmtId="185" fontId="41" fillId="76" borderId="1" xfId="3" applyNumberFormat="1" applyFont="1" applyFill="1" applyBorder="1" applyAlignment="1">
      <alignment horizontal="center" vertical="top"/>
    </xf>
    <xf numFmtId="167" fontId="41" fillId="76" borderId="1" xfId="3" applyNumberFormat="1" applyFont="1" applyFill="1" applyBorder="1" applyAlignment="1">
      <alignment horizontal="center" vertical="top"/>
    </xf>
    <xf numFmtId="14" fontId="41" fillId="76" borderId="1" xfId="3" applyNumberFormat="1" applyFont="1" applyFill="1" applyBorder="1" applyAlignment="1">
      <alignment horizontal="center" vertical="top"/>
    </xf>
    <xf numFmtId="1" fontId="41" fillId="76" borderId="1" xfId="3" applyNumberFormat="1" applyFont="1" applyFill="1" applyBorder="1" applyAlignment="1">
      <alignment horizontal="center" vertical="top"/>
    </xf>
    <xf numFmtId="0" fontId="41" fillId="79" borderId="1" xfId="3" applyFont="1" applyFill="1" applyBorder="1" applyAlignment="1">
      <alignment vertical="top" wrapText="1"/>
    </xf>
    <xf numFmtId="0" fontId="41" fillId="79" borderId="1" xfId="3" applyNumberFormat="1" applyFont="1" applyFill="1" applyBorder="1" applyAlignment="1">
      <alignment horizontal="left" vertical="top" wrapText="1"/>
    </xf>
    <xf numFmtId="4" fontId="41" fillId="79" borderId="1" xfId="3" applyNumberFormat="1" applyFont="1" applyFill="1" applyBorder="1" applyAlignment="1">
      <alignment horizontal="center" vertical="top"/>
    </xf>
    <xf numFmtId="185" fontId="41" fillId="79" borderId="1" xfId="3" applyNumberFormat="1" applyFont="1" applyFill="1" applyBorder="1" applyAlignment="1">
      <alignment horizontal="center" vertical="top"/>
    </xf>
    <xf numFmtId="167" fontId="41" fillId="79" borderId="1" xfId="3" applyNumberFormat="1" applyFont="1" applyFill="1" applyBorder="1" applyAlignment="1">
      <alignment horizontal="center" vertical="top"/>
    </xf>
    <xf numFmtId="0" fontId="41" fillId="79" borderId="1" xfId="0" applyFont="1" applyFill="1" applyBorder="1" applyAlignment="1">
      <alignment horizontal="center" vertical="top" wrapText="1"/>
    </xf>
    <xf numFmtId="14" fontId="41" fillId="79" borderId="1" xfId="60337" applyNumberFormat="1" applyFont="1" applyFill="1" applyBorder="1" applyAlignment="1">
      <alignment horizontal="center" vertical="top"/>
    </xf>
    <xf numFmtId="14" fontId="41" fillId="79" borderId="1" xfId="3" applyNumberFormat="1" applyFont="1" applyFill="1" applyBorder="1" applyAlignment="1">
      <alignment horizontal="center" vertical="top"/>
    </xf>
    <xf numFmtId="0" fontId="41" fillId="79" borderId="1" xfId="3" applyFont="1" applyFill="1" applyBorder="1" applyAlignment="1">
      <alignment horizontal="left" vertical="top" wrapText="1"/>
    </xf>
    <xf numFmtId="1" fontId="41" fillId="79" borderId="1" xfId="3" applyNumberFormat="1" applyFont="1" applyFill="1" applyBorder="1" applyAlignment="1">
      <alignment horizontal="center" vertical="top"/>
    </xf>
    <xf numFmtId="0" fontId="41" fillId="79" borderId="1" xfId="3" applyFont="1" applyFill="1" applyBorder="1" applyAlignment="1">
      <alignment horizontal="center" vertical="top" wrapText="1"/>
    </xf>
    <xf numFmtId="0" fontId="41" fillId="79" borderId="1" xfId="3" applyFont="1" applyFill="1" applyBorder="1" applyAlignment="1">
      <alignment horizontal="center" vertical="top"/>
    </xf>
    <xf numFmtId="49" fontId="41" fillId="79" borderId="1" xfId="3" applyNumberFormat="1" applyFont="1" applyFill="1" applyBorder="1" applyAlignment="1">
      <alignment horizontal="center" vertical="top"/>
    </xf>
    <xf numFmtId="14" fontId="41" fillId="79" borderId="1" xfId="0" applyNumberFormat="1" applyFont="1" applyFill="1" applyBorder="1" applyAlignment="1">
      <alignment horizontal="center" vertical="top"/>
    </xf>
    <xf numFmtId="9" fontId="41" fillId="79" borderId="1" xfId="0" applyNumberFormat="1" applyFont="1" applyFill="1" applyBorder="1" applyAlignment="1">
      <alignment horizontal="center" vertical="top" wrapText="1"/>
    </xf>
    <xf numFmtId="49" fontId="41" fillId="76" borderId="1" xfId="0" applyNumberFormat="1" applyFont="1" applyFill="1" applyBorder="1" applyAlignment="1">
      <alignment horizontal="left" vertical="top" wrapText="1"/>
    </xf>
    <xf numFmtId="4" fontId="41" fillId="76" borderId="1" xfId="60334" applyNumberFormat="1" applyFont="1" applyFill="1" applyBorder="1" applyAlignment="1">
      <alignment horizontal="center" vertical="top"/>
    </xf>
    <xf numFmtId="0" fontId="41" fillId="75" borderId="1" xfId="60337" applyFont="1" applyFill="1" applyBorder="1" applyAlignment="1">
      <alignment horizontal="left" vertical="top" wrapText="1"/>
    </xf>
    <xf numFmtId="0" fontId="41" fillId="76" borderId="1" xfId="60336" applyFont="1" applyFill="1" applyBorder="1" applyAlignment="1">
      <alignment horizontal="left" vertical="top" wrapText="1"/>
    </xf>
    <xf numFmtId="49" fontId="41" fillId="0" borderId="1" xfId="59049" applyNumberFormat="1" applyFont="1" applyFill="1" applyBorder="1" applyAlignment="1" applyProtection="1">
      <alignment horizontal="center" vertical="center" wrapText="1"/>
    </xf>
    <xf numFmtId="49" fontId="41" fillId="76" borderId="1" xfId="60334" applyNumberFormat="1" applyFont="1" applyFill="1" applyBorder="1" applyAlignment="1">
      <alignment horizontal="left" vertical="top" wrapText="1"/>
    </xf>
    <xf numFmtId="49" fontId="41" fillId="79" borderId="1" xfId="3" applyNumberFormat="1" applyFont="1" applyFill="1" applyBorder="1" applyAlignment="1">
      <alignment horizontal="left" vertical="top" wrapText="1"/>
    </xf>
    <xf numFmtId="49" fontId="41" fillId="76" borderId="1" xfId="3" applyNumberFormat="1" applyFont="1" applyFill="1" applyBorder="1" applyAlignment="1">
      <alignment horizontal="left" vertical="top" wrapText="1"/>
    </xf>
    <xf numFmtId="49" fontId="41" fillId="77" borderId="1" xfId="59049" applyNumberFormat="1" applyFont="1" applyFill="1" applyBorder="1" applyAlignment="1" applyProtection="1">
      <alignment horizontal="center" vertical="center" wrapText="1"/>
    </xf>
    <xf numFmtId="49" fontId="41" fillId="75" borderId="1" xfId="3" applyNumberFormat="1" applyFont="1" applyFill="1" applyBorder="1" applyAlignment="1">
      <alignment horizontal="left" vertical="top" wrapText="1"/>
    </xf>
    <xf numFmtId="0" fontId="41" fillId="75" borderId="1" xfId="60333" applyNumberFormat="1" applyFont="1" applyFill="1" applyBorder="1" applyAlignment="1">
      <alignment horizontal="left" vertical="top" wrapText="1"/>
    </xf>
    <xf numFmtId="0" fontId="41" fillId="75" borderId="1" xfId="60337" applyNumberFormat="1" applyFont="1" applyFill="1" applyBorder="1" applyAlignment="1" applyProtection="1">
      <alignment horizontal="left" vertical="top" wrapText="1"/>
    </xf>
    <xf numFmtId="0" fontId="41" fillId="75" borderId="1" xfId="60336" applyNumberFormat="1" applyFont="1" applyFill="1" applyBorder="1" applyAlignment="1" applyProtection="1">
      <alignment horizontal="left" vertical="top" wrapText="1"/>
    </xf>
    <xf numFmtId="0" fontId="41" fillId="76" borderId="1" xfId="60336" applyNumberFormat="1" applyFont="1" applyFill="1" applyBorder="1" applyAlignment="1" applyProtection="1">
      <alignment horizontal="left" vertical="top" wrapText="1"/>
    </xf>
    <xf numFmtId="49" fontId="41" fillId="76" borderId="1" xfId="0" applyNumberFormat="1" applyFont="1" applyFill="1" applyBorder="1" applyAlignment="1" applyProtection="1">
      <alignment horizontal="left" vertical="top" wrapText="1"/>
    </xf>
    <xf numFmtId="0" fontId="41" fillId="76" borderId="1" xfId="60334" applyNumberFormat="1" applyFont="1" applyFill="1" applyBorder="1" applyAlignment="1" applyProtection="1">
      <alignment horizontal="left" vertical="top" wrapText="1"/>
    </xf>
    <xf numFmtId="49" fontId="41" fillId="75" borderId="1" xfId="60333" applyNumberFormat="1" applyFont="1" applyFill="1" applyBorder="1" applyAlignment="1">
      <alignment horizontal="left" vertical="top" wrapText="1"/>
    </xf>
    <xf numFmtId="0" fontId="41" fillId="75" borderId="0" xfId="0" applyFont="1" applyFill="1" applyBorder="1" applyAlignment="1">
      <alignment horizontal="center" vertical="center"/>
    </xf>
    <xf numFmtId="0" fontId="41" fillId="76" borderId="1" xfId="3" applyNumberFormat="1" applyFont="1" applyFill="1" applyBorder="1" applyAlignment="1">
      <alignment horizontal="center" vertical="top" wrapText="1"/>
    </xf>
    <xf numFmtId="0" fontId="41" fillId="76" borderId="1" xfId="0" applyNumberFormat="1" applyFont="1" applyFill="1" applyBorder="1" applyAlignment="1">
      <alignment horizontal="center" vertical="top" wrapText="1"/>
    </xf>
    <xf numFmtId="0" fontId="97" fillId="75" borderId="0" xfId="14187" applyFont="1" applyFill="1"/>
    <xf numFmtId="0" fontId="2" fillId="75" borderId="0" xfId="14187" applyFont="1" applyFill="1"/>
    <xf numFmtId="3" fontId="101" fillId="75" borderId="0" xfId="14187" applyNumberFormat="1" applyFont="1" applyFill="1"/>
    <xf numFmtId="1" fontId="2" fillId="75" borderId="0" xfId="14187" applyNumberFormat="1" applyFont="1" applyFill="1"/>
    <xf numFmtId="0" fontId="101" fillId="75" borderId="0" xfId="14187" applyFont="1" applyFill="1"/>
    <xf numFmtId="3" fontId="102" fillId="75" borderId="1" xfId="25" applyNumberFormat="1" applyFont="1" applyFill="1" applyBorder="1" applyAlignment="1" applyProtection="1">
      <alignment horizontal="right" vertical="center" wrapText="1"/>
    </xf>
    <xf numFmtId="183" fontId="102" fillId="75" borderId="1" xfId="25" applyNumberFormat="1" applyFont="1" applyFill="1" applyBorder="1" applyAlignment="1" applyProtection="1">
      <alignment horizontal="right" vertical="center" wrapText="1"/>
    </xf>
    <xf numFmtId="0" fontId="102" fillId="75" borderId="35" xfId="60338" applyFont="1" applyFill="1" applyBorder="1" applyAlignment="1">
      <alignment horizontal="center" vertical="top"/>
    </xf>
    <xf numFmtId="0" fontId="102" fillId="75" borderId="1" xfId="60338" applyNumberFormat="1" applyFont="1" applyFill="1" applyBorder="1" applyAlignment="1">
      <alignment horizontal="left" vertical="center" wrapText="1"/>
    </xf>
    <xf numFmtId="3" fontId="102" fillId="75" borderId="1" xfId="60338" applyNumberFormat="1" applyFont="1" applyFill="1" applyBorder="1" applyAlignment="1">
      <alignment horizontal="right" vertical="center" wrapText="1"/>
    </xf>
    <xf numFmtId="0" fontId="2" fillId="75" borderId="0" xfId="14187" applyFont="1" applyFill="1" applyBorder="1"/>
    <xf numFmtId="0" fontId="2" fillId="75" borderId="0" xfId="14187" applyFont="1" applyFill="1" applyBorder="1" applyAlignment="1">
      <alignment horizontal="center" vertical="center" wrapText="1"/>
    </xf>
    <xf numFmtId="190" fontId="2" fillId="75" borderId="0" xfId="14187" applyNumberFormat="1" applyFont="1" applyFill="1"/>
    <xf numFmtId="0" fontId="98" fillId="75" borderId="0" xfId="60338" applyFont="1" applyFill="1" applyBorder="1" applyAlignment="1">
      <alignment horizontal="center" vertical="top" wrapText="1"/>
    </xf>
    <xf numFmtId="0" fontId="98" fillId="75" borderId="0" xfId="60338" applyFont="1" applyFill="1" applyBorder="1" applyAlignment="1">
      <alignment horizontal="center" vertical="center" wrapText="1"/>
    </xf>
    <xf numFmtId="0" fontId="103" fillId="75" borderId="0" xfId="14187" applyFont="1" applyFill="1"/>
    <xf numFmtId="3" fontId="2" fillId="75" borderId="0" xfId="14187" applyNumberFormat="1" applyFont="1" applyFill="1"/>
    <xf numFmtId="1" fontId="102" fillId="75" borderId="1" xfId="25" applyNumberFormat="1" applyFont="1" applyFill="1" applyBorder="1" applyAlignment="1" applyProtection="1">
      <alignment horizontal="center" vertical="center" wrapText="1"/>
    </xf>
    <xf numFmtId="0" fontId="102" fillId="75" borderId="1" xfId="60338" applyFont="1" applyFill="1" applyBorder="1" applyAlignment="1">
      <alignment horizontal="center" vertical="top"/>
    </xf>
    <xf numFmtId="0" fontId="99" fillId="76" borderId="1" xfId="60338" applyFont="1" applyFill="1" applyBorder="1" applyAlignment="1">
      <alignment horizontal="left" vertical="center" wrapText="1"/>
    </xf>
    <xf numFmtId="3" fontId="100" fillId="76" borderId="1" xfId="60338" applyNumberFormat="1" applyFont="1" applyFill="1" applyBorder="1" applyAlignment="1">
      <alignment horizontal="right" vertical="center" wrapText="1"/>
    </xf>
    <xf numFmtId="183" fontId="100" fillId="76" borderId="1" xfId="25" applyNumberFormat="1" applyFont="1" applyFill="1" applyBorder="1" applyAlignment="1" applyProtection="1">
      <alignment horizontal="right" vertical="center" wrapText="1"/>
    </xf>
    <xf numFmtId="188" fontId="41" fillId="75" borderId="1" xfId="0" applyNumberFormat="1" applyFont="1" applyFill="1" applyBorder="1" applyAlignment="1">
      <alignment horizontal="center" vertical="top"/>
    </xf>
    <xf numFmtId="4" fontId="41" fillId="77" borderId="1" xfId="60334" applyNumberFormat="1" applyFont="1" applyFill="1" applyBorder="1" applyAlignment="1">
      <alignment horizontal="center" vertical="top" wrapText="1"/>
    </xf>
    <xf numFmtId="0" fontId="41" fillId="79" borderId="1" xfId="0" applyNumberFormat="1" applyFont="1" applyFill="1" applyBorder="1" applyAlignment="1">
      <alignment horizontal="left" vertical="top" wrapText="1"/>
    </xf>
    <xf numFmtId="4" fontId="41" fillId="79" borderId="1" xfId="0" applyNumberFormat="1" applyFont="1" applyFill="1" applyBorder="1" applyAlignment="1">
      <alignment horizontal="center" vertical="top"/>
    </xf>
    <xf numFmtId="4" fontId="41" fillId="79" borderId="1" xfId="0" applyNumberFormat="1" applyFont="1" applyFill="1" applyBorder="1" applyAlignment="1">
      <alignment horizontal="center" vertical="top" wrapText="1"/>
    </xf>
    <xf numFmtId="0" fontId="41" fillId="79" borderId="1" xfId="0" applyFont="1" applyFill="1" applyBorder="1" applyAlignment="1">
      <alignment horizontal="left" vertical="top" wrapText="1"/>
    </xf>
    <xf numFmtId="0" fontId="41" fillId="79" borderId="1" xfId="0" applyNumberFormat="1" applyFont="1" applyFill="1" applyBorder="1" applyAlignment="1">
      <alignment horizontal="center" vertical="top" wrapText="1"/>
    </xf>
    <xf numFmtId="0" fontId="15" fillId="79" borderId="1" xfId="3" applyFont="1" applyFill="1" applyBorder="1" applyAlignment="1">
      <alignment vertical="top"/>
    </xf>
    <xf numFmtId="0" fontId="15" fillId="79" borderId="1" xfId="3" applyFont="1" applyFill="1" applyBorder="1" applyAlignment="1">
      <alignment vertical="top" wrapText="1"/>
    </xf>
    <xf numFmtId="0" fontId="15" fillId="76" borderId="1" xfId="3" applyFont="1" applyFill="1" applyBorder="1" applyAlignment="1">
      <alignment vertical="top"/>
    </xf>
    <xf numFmtId="0" fontId="15" fillId="76" borderId="1" xfId="3" applyFont="1" applyFill="1" applyBorder="1" applyAlignment="1">
      <alignment vertical="top" wrapText="1"/>
    </xf>
    <xf numFmtId="0" fontId="15" fillId="75" borderId="1" xfId="3" applyFont="1" applyFill="1" applyBorder="1" applyAlignment="1">
      <alignment vertical="top" wrapText="1"/>
    </xf>
    <xf numFmtId="0" fontId="15" fillId="75" borderId="1" xfId="0" applyNumberFormat="1" applyFont="1" applyFill="1" applyBorder="1" applyAlignment="1">
      <alignment horizontal="center" vertical="top"/>
    </xf>
    <xf numFmtId="0" fontId="86" fillId="75" borderId="0" xfId="0" applyFont="1" applyFill="1"/>
    <xf numFmtId="0" fontId="86" fillId="75" borderId="1" xfId="0" applyFont="1" applyFill="1" applyBorder="1" applyAlignment="1">
      <alignment vertical="top"/>
    </xf>
    <xf numFmtId="0" fontId="15" fillId="75" borderId="1" xfId="3" applyFont="1" applyFill="1" applyBorder="1" applyAlignment="1">
      <alignment vertical="top"/>
    </xf>
    <xf numFmtId="0" fontId="95" fillId="75" borderId="1" xfId="60336" applyFont="1" applyFill="1" applyBorder="1" applyAlignment="1">
      <alignment horizontal="left" vertical="top" wrapText="1"/>
    </xf>
    <xf numFmtId="0" fontId="86" fillId="75" borderId="1" xfId="0" applyFont="1" applyFill="1" applyBorder="1"/>
    <xf numFmtId="49" fontId="41" fillId="0" borderId="1" xfId="59049" applyNumberFormat="1" applyFont="1" applyFill="1" applyBorder="1" applyAlignment="1" applyProtection="1">
      <alignment horizontal="center" vertical="center" wrapText="1"/>
      <protection locked="0"/>
    </xf>
    <xf numFmtId="4" fontId="41" fillId="0" borderId="1" xfId="59049" applyNumberFormat="1" applyFont="1" applyFill="1" applyBorder="1" applyAlignment="1" applyProtection="1">
      <alignment horizontal="center" vertical="center" wrapText="1"/>
      <protection locked="0"/>
    </xf>
    <xf numFmtId="49" fontId="85" fillId="75" borderId="1" xfId="59049" applyNumberFormat="1" applyFont="1" applyFill="1" applyBorder="1" applyAlignment="1" applyProtection="1">
      <alignment horizontal="center" vertical="center" wrapText="1"/>
      <protection locked="0"/>
    </xf>
    <xf numFmtId="1" fontId="85" fillId="75" borderId="1" xfId="59049" applyNumberFormat="1" applyFont="1" applyFill="1" applyBorder="1" applyAlignment="1" applyProtection="1">
      <alignment horizontal="center" vertical="center" wrapText="1"/>
      <protection locked="0"/>
    </xf>
    <xf numFmtId="0" fontId="86" fillId="75" borderId="1" xfId="0" applyFont="1" applyFill="1" applyBorder="1" applyAlignment="1">
      <alignment horizontal="left" vertical="top" wrapText="1"/>
    </xf>
    <xf numFmtId="168" fontId="41" fillId="75" borderId="1" xfId="0" applyNumberFormat="1" applyFont="1" applyFill="1" applyBorder="1" applyAlignment="1">
      <alignment horizontal="center" vertical="top" wrapText="1"/>
    </xf>
    <xf numFmtId="14" fontId="41" fillId="75" borderId="1" xfId="0" applyNumberFormat="1" applyFont="1" applyFill="1" applyBorder="1" applyAlignment="1" applyProtection="1">
      <alignment horizontal="center" vertical="top"/>
    </xf>
    <xf numFmtId="49" fontId="41" fillId="75" borderId="1" xfId="60334" applyNumberFormat="1" applyFont="1" applyFill="1" applyBorder="1" applyAlignment="1">
      <alignment horizontal="center" vertical="top" wrapText="1"/>
    </xf>
    <xf numFmtId="4" fontId="41" fillId="75" borderId="1" xfId="60332" applyNumberFormat="1" applyFont="1" applyFill="1" applyBorder="1" applyAlignment="1">
      <alignment horizontal="center" vertical="top" wrapText="1"/>
    </xf>
    <xf numFmtId="0" fontId="41" fillId="75" borderId="1" xfId="0" quotePrefix="1" applyFont="1" applyFill="1" applyBorder="1" applyAlignment="1">
      <alignment horizontal="center" vertical="top" wrapText="1"/>
    </xf>
    <xf numFmtId="49" fontId="41" fillId="75" borderId="1" xfId="59049" applyNumberFormat="1" applyFont="1" applyFill="1" applyBorder="1" applyAlignment="1">
      <alignment horizontal="left" vertical="top" wrapText="1"/>
    </xf>
    <xf numFmtId="0" fontId="41" fillId="75" borderId="1" xfId="0" applyNumberFormat="1" applyFont="1" applyFill="1" applyBorder="1" applyAlignment="1" applyProtection="1">
      <alignment horizontal="center" vertical="top" wrapText="1"/>
    </xf>
    <xf numFmtId="1" fontId="41" fillId="75" borderId="1" xfId="0" applyNumberFormat="1" applyFont="1" applyFill="1" applyBorder="1" applyAlignment="1" applyProtection="1">
      <alignment horizontal="center" vertical="top" wrapText="1"/>
    </xf>
    <xf numFmtId="0" fontId="41" fillId="75" borderId="1" xfId="0" applyNumberFormat="1" applyFont="1" applyFill="1" applyBorder="1" applyAlignment="1">
      <alignment horizontal="left" vertical="top" wrapText="1" shrinkToFit="1"/>
    </xf>
    <xf numFmtId="3" fontId="41" fillId="75" borderId="1" xfId="0" applyNumberFormat="1" applyFont="1" applyFill="1" applyBorder="1" applyAlignment="1">
      <alignment horizontal="center" vertical="top"/>
    </xf>
    <xf numFmtId="49" fontId="41" fillId="75" borderId="1" xfId="60334" applyNumberFormat="1" applyFont="1" applyFill="1" applyBorder="1" applyAlignment="1">
      <alignment horizontal="center" vertical="top"/>
    </xf>
    <xf numFmtId="4" fontId="41" fillId="75" borderId="1" xfId="59049" applyNumberFormat="1" applyFont="1" applyFill="1" applyBorder="1" applyAlignment="1">
      <alignment horizontal="center" vertical="top"/>
    </xf>
    <xf numFmtId="0" fontId="90" fillId="75" borderId="0" xfId="0" applyFont="1" applyFill="1" applyBorder="1" applyAlignment="1">
      <alignment horizontal="center" vertical="center"/>
    </xf>
    <xf numFmtId="0" fontId="90" fillId="75" borderId="0" xfId="0" applyFont="1" applyFill="1" applyAlignment="1">
      <alignment horizontal="center" vertical="center"/>
    </xf>
    <xf numFmtId="0" fontId="90" fillId="75" borderId="0" xfId="0" applyFont="1" applyFill="1" applyBorder="1"/>
    <xf numFmtId="0" fontId="41" fillId="75" borderId="1" xfId="0" applyFont="1" applyFill="1" applyBorder="1" applyAlignment="1">
      <alignment horizontal="center" vertical="top" wrapText="1" shrinkToFit="1"/>
    </xf>
    <xf numFmtId="4" fontId="88" fillId="75" borderId="1" xfId="0" applyNumberFormat="1" applyFont="1" applyFill="1" applyBorder="1" applyAlignment="1">
      <alignment horizontal="center" vertical="top" wrapText="1"/>
    </xf>
    <xf numFmtId="3" fontId="41" fillId="75" borderId="1" xfId="0" applyNumberFormat="1" applyFont="1" applyFill="1" applyBorder="1" applyAlignment="1">
      <alignment horizontal="center" vertical="top" wrapText="1" shrinkToFit="1"/>
    </xf>
    <xf numFmtId="187" fontId="41" fillId="75" borderId="1" xfId="0" applyNumberFormat="1" applyFont="1" applyFill="1" applyBorder="1" applyAlignment="1">
      <alignment horizontal="center" vertical="top" wrapText="1" shrinkToFit="1"/>
    </xf>
    <xf numFmtId="0" fontId="86" fillId="75" borderId="0" xfId="0" applyFont="1" applyFill="1" applyBorder="1" applyAlignment="1">
      <alignment horizontal="center" vertical="center"/>
    </xf>
    <xf numFmtId="0" fontId="86" fillId="75" borderId="0" xfId="0" applyFont="1" applyFill="1" applyAlignment="1">
      <alignment horizontal="center" vertical="center"/>
    </xf>
    <xf numFmtId="0" fontId="86" fillId="75" borderId="0" xfId="0" applyFont="1" applyFill="1" applyBorder="1"/>
    <xf numFmtId="0" fontId="15" fillId="75" borderId="0" xfId="0" applyFont="1" applyFill="1" applyBorder="1" applyAlignment="1">
      <alignment horizontal="center" vertical="center" wrapText="1"/>
    </xf>
    <xf numFmtId="0" fontId="15" fillId="75" borderId="0" xfId="0" applyFont="1" applyFill="1" applyAlignment="1">
      <alignment horizontal="center" vertical="center" wrapText="1"/>
    </xf>
    <xf numFmtId="0" fontId="90" fillId="75" borderId="0" xfId="0" applyFont="1" applyFill="1" applyBorder="1" applyAlignment="1">
      <alignment wrapText="1"/>
    </xf>
    <xf numFmtId="0" fontId="90" fillId="75" borderId="0" xfId="0" applyFont="1" applyFill="1" applyAlignment="1">
      <alignment wrapText="1"/>
    </xf>
    <xf numFmtId="0" fontId="105" fillId="75" borderId="1" xfId="60336" applyFont="1" applyFill="1" applyBorder="1" applyAlignment="1">
      <alignment horizontal="left" vertical="top" wrapText="1"/>
    </xf>
    <xf numFmtId="0" fontId="2" fillId="75" borderId="0" xfId="3" applyFont="1" applyFill="1" applyBorder="1"/>
    <xf numFmtId="0" fontId="2" fillId="75" borderId="0" xfId="3" applyFont="1" applyFill="1"/>
    <xf numFmtId="0" fontId="41" fillId="75" borderId="1" xfId="60335" applyFont="1" applyFill="1" applyBorder="1" applyAlignment="1">
      <alignment horizontal="center" vertical="top" wrapText="1"/>
    </xf>
    <xf numFmtId="0" fontId="41" fillId="75" borderId="1" xfId="60335" applyFont="1" applyFill="1" applyBorder="1" applyAlignment="1">
      <alignment horizontal="left" vertical="top" wrapText="1"/>
    </xf>
    <xf numFmtId="0" fontId="87" fillId="75" borderId="0" xfId="0" applyFont="1" applyFill="1" applyBorder="1" applyAlignment="1">
      <alignment horizontal="center" vertical="center" wrapText="1"/>
    </xf>
    <xf numFmtId="0" fontId="87" fillId="75" borderId="34" xfId="0" applyFont="1" applyFill="1" applyBorder="1" applyAlignment="1">
      <alignment horizontal="center" vertical="center" wrapText="1"/>
    </xf>
    <xf numFmtId="0" fontId="87" fillId="75" borderId="1" xfId="0" applyFont="1" applyFill="1" applyBorder="1" applyAlignment="1">
      <alignment horizontal="center" vertical="center" wrapText="1"/>
    </xf>
    <xf numFmtId="0" fontId="87" fillId="75" borderId="0" xfId="0" applyFont="1" applyFill="1" applyBorder="1" applyAlignment="1">
      <alignment wrapText="1"/>
    </xf>
    <xf numFmtId="0" fontId="87" fillId="75" borderId="34" xfId="0" applyFont="1" applyFill="1" applyBorder="1" applyAlignment="1">
      <alignment wrapText="1"/>
    </xf>
    <xf numFmtId="0" fontId="87" fillId="75" borderId="1" xfId="0" applyFont="1" applyFill="1" applyBorder="1" applyAlignment="1">
      <alignment wrapText="1"/>
    </xf>
    <xf numFmtId="0" fontId="87" fillId="75" borderId="0" xfId="0" applyFont="1" applyFill="1" applyBorder="1"/>
    <xf numFmtId="0" fontId="87" fillId="75" borderId="34" xfId="0" applyFont="1" applyFill="1" applyBorder="1"/>
    <xf numFmtId="0" fontId="87" fillId="75" borderId="1" xfId="0" applyFont="1" applyFill="1" applyBorder="1"/>
    <xf numFmtId="0" fontId="86" fillId="75" borderId="0" xfId="0" applyFont="1" applyFill="1" applyBorder="1" applyAlignment="1">
      <alignment horizontal="center" vertical="center" wrapText="1"/>
    </xf>
    <xf numFmtId="0" fontId="86" fillId="75" borderId="0" xfId="0" applyFont="1" applyFill="1" applyAlignment="1">
      <alignment horizontal="center" vertical="center" wrapText="1"/>
    </xf>
    <xf numFmtId="2" fontId="41" fillId="75" borderId="1" xfId="0" applyNumberFormat="1" applyFont="1" applyFill="1" applyBorder="1" applyAlignment="1">
      <alignment horizontal="center" vertical="top" wrapText="1"/>
    </xf>
    <xf numFmtId="2" fontId="86" fillId="75" borderId="0" xfId="0" applyNumberFormat="1" applyFont="1" applyFill="1" applyBorder="1" applyAlignment="1">
      <alignment horizontal="center" vertical="center" wrapText="1"/>
    </xf>
    <xf numFmtId="2" fontId="86" fillId="75" borderId="0" xfId="0" applyNumberFormat="1" applyFont="1" applyFill="1" applyAlignment="1">
      <alignment horizontal="center" vertical="center" wrapText="1"/>
    </xf>
    <xf numFmtId="0" fontId="90" fillId="75" borderId="1" xfId="0" applyFont="1" applyFill="1" applyBorder="1" applyAlignment="1">
      <alignment horizontal="left" vertical="top" wrapText="1"/>
    </xf>
    <xf numFmtId="0" fontId="90" fillId="75" borderId="1" xfId="0" applyFont="1" applyFill="1" applyBorder="1" applyAlignment="1">
      <alignment horizontal="center" vertical="top"/>
    </xf>
    <xf numFmtId="0" fontId="88" fillId="75" borderId="1" xfId="0" applyFont="1" applyFill="1" applyBorder="1" applyAlignment="1">
      <alignment horizontal="center" vertical="top"/>
    </xf>
    <xf numFmtId="3" fontId="88" fillId="75" borderId="1" xfId="0" applyNumberFormat="1" applyFont="1" applyFill="1" applyBorder="1" applyAlignment="1">
      <alignment horizontal="center" vertical="top"/>
    </xf>
    <xf numFmtId="0" fontId="90" fillId="75" borderId="0" xfId="0" applyFont="1" applyFill="1" applyAlignment="1">
      <alignment horizontal="center"/>
    </xf>
    <xf numFmtId="0" fontId="104" fillId="75" borderId="0" xfId="0" applyFont="1" applyFill="1" applyAlignment="1">
      <alignment horizontal="left" vertical="center"/>
    </xf>
    <xf numFmtId="0" fontId="41" fillId="79" borderId="1" xfId="0" applyNumberFormat="1" applyFont="1" applyFill="1" applyBorder="1" applyAlignment="1" applyProtection="1">
      <alignment horizontal="left" vertical="top" wrapText="1"/>
    </xf>
    <xf numFmtId="14" fontId="41" fillId="76" borderId="1" xfId="3" applyNumberFormat="1" applyFont="1" applyFill="1" applyBorder="1" applyAlignment="1">
      <alignment horizontal="center" vertical="top" wrapText="1"/>
    </xf>
    <xf numFmtId="0" fontId="41" fillId="76" borderId="1" xfId="60337" applyNumberFormat="1" applyFont="1" applyFill="1" applyBorder="1" applyAlignment="1">
      <alignment horizontal="center" vertical="top" wrapText="1"/>
    </xf>
    <xf numFmtId="0" fontId="41" fillId="75" borderId="1" xfId="25" applyNumberFormat="1" applyFont="1" applyFill="1" applyBorder="1" applyAlignment="1">
      <alignment horizontal="center" vertical="top" wrapText="1"/>
    </xf>
    <xf numFmtId="4" fontId="41" fillId="75" borderId="1" xfId="60334" applyNumberFormat="1" applyFont="1" applyFill="1" applyBorder="1" applyAlignment="1" applyProtection="1">
      <alignment horizontal="center" vertical="top"/>
    </xf>
    <xf numFmtId="0" fontId="93" fillId="75" borderId="1" xfId="60334" applyFont="1" applyFill="1" applyBorder="1" applyAlignment="1">
      <alignment horizontal="left" vertical="top" wrapText="1"/>
    </xf>
    <xf numFmtId="0" fontId="86" fillId="75" borderId="1" xfId="0" applyFont="1" applyFill="1" applyBorder="1" applyAlignment="1">
      <alignment horizontal="center" vertical="top" wrapText="1"/>
    </xf>
    <xf numFmtId="0" fontId="41" fillId="75" borderId="1" xfId="59049" applyNumberFormat="1" applyFont="1" applyFill="1" applyBorder="1" applyAlignment="1" applyProtection="1">
      <alignment horizontal="left" vertical="top" wrapText="1"/>
    </xf>
    <xf numFmtId="3" fontId="41" fillId="75" borderId="1" xfId="0" applyNumberFormat="1" applyFont="1" applyFill="1" applyBorder="1" applyAlignment="1" applyProtection="1">
      <alignment horizontal="center" vertical="top" wrapText="1"/>
      <protection locked="0"/>
    </xf>
    <xf numFmtId="0" fontId="94" fillId="75" borderId="1" xfId="0" applyFont="1" applyFill="1" applyBorder="1" applyAlignment="1">
      <alignment horizontal="left" vertical="top" wrapText="1"/>
    </xf>
    <xf numFmtId="0" fontId="15" fillId="75" borderId="1" xfId="0" applyFont="1" applyFill="1" applyBorder="1" applyAlignment="1">
      <alignment horizontal="center" vertical="top" wrapText="1"/>
    </xf>
    <xf numFmtId="186" fontId="41" fillId="75" borderId="1" xfId="0" applyNumberFormat="1" applyFont="1" applyFill="1" applyBorder="1" applyAlignment="1">
      <alignment horizontal="center" vertical="top"/>
    </xf>
    <xf numFmtId="1" fontId="41" fillId="75" borderId="1" xfId="60337" applyNumberFormat="1" applyFont="1" applyFill="1" applyBorder="1" applyAlignment="1">
      <alignment horizontal="center" vertical="top" wrapText="1"/>
    </xf>
    <xf numFmtId="49" fontId="15" fillId="75" borderId="1" xfId="60337" applyNumberFormat="1" applyFont="1" applyFill="1" applyBorder="1" applyAlignment="1">
      <alignment horizontal="center" vertical="top" wrapText="1"/>
    </xf>
    <xf numFmtId="164" fontId="41" fillId="75" borderId="1" xfId="0" applyNumberFormat="1" applyFont="1" applyFill="1" applyBorder="1" applyAlignment="1">
      <alignment horizontal="center" vertical="top" wrapText="1"/>
    </xf>
    <xf numFmtId="1" fontId="41" fillId="75" borderId="1" xfId="60337" applyNumberFormat="1" applyFont="1" applyFill="1" applyBorder="1" applyAlignment="1">
      <alignment horizontal="center" vertical="top"/>
    </xf>
    <xf numFmtId="14" fontId="41" fillId="75" borderId="1" xfId="60337" applyNumberFormat="1" applyFont="1" applyFill="1" applyBorder="1" applyAlignment="1">
      <alignment horizontal="center" vertical="top" wrapText="1"/>
    </xf>
    <xf numFmtId="14" fontId="41" fillId="75" borderId="1" xfId="60337" applyNumberFormat="1" applyFont="1" applyFill="1" applyBorder="1" applyAlignment="1" applyProtection="1">
      <alignment horizontal="center" vertical="top" wrapText="1"/>
    </xf>
    <xf numFmtId="0" fontId="41" fillId="75" borderId="1" xfId="59049" applyNumberFormat="1" applyFont="1" applyFill="1" applyBorder="1" applyAlignment="1">
      <alignment horizontal="center" vertical="top" wrapText="1"/>
    </xf>
    <xf numFmtId="182" fontId="41" fillId="75" borderId="1" xfId="59049" applyNumberFormat="1" applyFont="1" applyFill="1" applyBorder="1" applyAlignment="1">
      <alignment horizontal="center" vertical="top" wrapText="1"/>
    </xf>
    <xf numFmtId="0" fontId="41" fillId="75" borderId="1" xfId="3" applyFont="1" applyFill="1" applyBorder="1" applyAlignment="1">
      <alignment vertical="top" wrapText="1"/>
    </xf>
    <xf numFmtId="167" fontId="41" fillId="75" borderId="1" xfId="3" applyNumberFormat="1" applyFont="1" applyFill="1" applyBorder="1" applyAlignment="1">
      <alignment horizontal="center" vertical="top"/>
    </xf>
    <xf numFmtId="14" fontId="41" fillId="75" borderId="1" xfId="3" applyNumberFormat="1" applyFont="1" applyFill="1" applyBorder="1" applyAlignment="1">
      <alignment horizontal="center" vertical="top" wrapText="1"/>
    </xf>
    <xf numFmtId="0" fontId="41" fillId="75" borderId="1" xfId="0" applyFont="1" applyFill="1" applyBorder="1" applyAlignment="1" applyProtection="1">
      <alignment horizontal="center" vertical="top" wrapText="1"/>
    </xf>
    <xf numFmtId="0" fontId="15" fillId="75" borderId="1" xfId="0" applyNumberFormat="1" applyFont="1" applyFill="1" applyBorder="1" applyAlignment="1">
      <alignment horizontal="left" vertical="top" wrapText="1"/>
    </xf>
    <xf numFmtId="49" fontId="41" fillId="75" borderId="1" xfId="60333" applyNumberFormat="1" applyFont="1" applyFill="1" applyBorder="1" applyAlignment="1" applyProtection="1">
      <alignment horizontal="left" vertical="top" wrapText="1"/>
    </xf>
    <xf numFmtId="0" fontId="84" fillId="75" borderId="1" xfId="60333" applyNumberFormat="1" applyFont="1" applyFill="1" applyBorder="1" applyAlignment="1">
      <alignment horizontal="left" vertical="top" wrapText="1"/>
    </xf>
    <xf numFmtId="0" fontId="84" fillId="75" borderId="1" xfId="60333" applyFont="1" applyFill="1" applyBorder="1" applyAlignment="1">
      <alignment horizontal="left" vertical="top"/>
    </xf>
    <xf numFmtId="0" fontId="84" fillId="75" borderId="1" xfId="60333" applyNumberFormat="1" applyFont="1" applyFill="1" applyBorder="1" applyAlignment="1">
      <alignment horizontal="center" vertical="top"/>
    </xf>
    <xf numFmtId="3" fontId="41" fillId="75" borderId="1" xfId="60333" applyNumberFormat="1" applyFont="1" applyFill="1" applyBorder="1" applyAlignment="1">
      <alignment horizontal="center" vertical="top" wrapText="1"/>
    </xf>
    <xf numFmtId="1" fontId="41" fillId="75" borderId="1" xfId="60333" applyNumberFormat="1" applyFont="1" applyFill="1" applyBorder="1" applyAlignment="1">
      <alignment horizontal="center" vertical="top" wrapText="1"/>
    </xf>
    <xf numFmtId="0" fontId="41" fillId="75" borderId="1" xfId="60333" applyNumberFormat="1" applyFont="1" applyFill="1" applyBorder="1" applyAlignment="1" applyProtection="1">
      <alignment horizontal="left" vertical="top" wrapText="1"/>
    </xf>
    <xf numFmtId="43" fontId="41" fillId="75" borderId="1" xfId="60332" applyFont="1" applyFill="1" applyBorder="1" applyAlignment="1">
      <alignment horizontal="center" vertical="top"/>
    </xf>
    <xf numFmtId="0" fontId="86" fillId="75" borderId="1" xfId="0" applyFont="1" applyFill="1" applyBorder="1" applyAlignment="1">
      <alignment horizontal="center" vertical="top"/>
    </xf>
    <xf numFmtId="49" fontId="41" fillId="75" borderId="1" xfId="59049" applyNumberFormat="1" applyFont="1" applyFill="1" applyBorder="1" applyAlignment="1" applyProtection="1">
      <alignment horizontal="left" vertical="top" wrapText="1"/>
      <protection locked="0"/>
    </xf>
    <xf numFmtId="1" fontId="41" fillId="75" borderId="1" xfId="59049" applyNumberFormat="1" applyFont="1" applyFill="1" applyBorder="1" applyAlignment="1" applyProtection="1">
      <alignment horizontal="left" vertical="top" wrapText="1"/>
      <protection locked="0"/>
    </xf>
    <xf numFmtId="1" fontId="86" fillId="75" borderId="1" xfId="59049" applyNumberFormat="1" applyFont="1" applyFill="1" applyBorder="1" applyAlignment="1" applyProtection="1">
      <alignment horizontal="center" vertical="top" wrapText="1"/>
      <protection locked="0"/>
    </xf>
    <xf numFmtId="14" fontId="41" fillId="75" borderId="1" xfId="60336" applyNumberFormat="1" applyFont="1" applyFill="1" applyBorder="1" applyAlignment="1">
      <alignment horizontal="center" vertical="top" wrapText="1"/>
    </xf>
    <xf numFmtId="0" fontId="41" fillId="75" borderId="1" xfId="60337" applyNumberFormat="1" applyFont="1" applyFill="1" applyBorder="1" applyAlignment="1">
      <alignment horizontal="center" vertical="top"/>
    </xf>
    <xf numFmtId="0" fontId="41" fillId="75" borderId="1" xfId="60337" applyNumberFormat="1" applyFont="1" applyFill="1" applyBorder="1" applyAlignment="1" applyProtection="1">
      <alignment horizontal="left" vertical="top" wrapText="1"/>
      <protection locked="0"/>
    </xf>
    <xf numFmtId="0" fontId="41" fillId="75" borderId="1" xfId="0" applyNumberFormat="1" applyFont="1" applyFill="1" applyBorder="1" applyAlignment="1" applyProtection="1">
      <alignment horizontal="left" vertical="top" wrapText="1"/>
      <protection locked="0"/>
    </xf>
    <xf numFmtId="1" fontId="41" fillId="75" borderId="1" xfId="0" applyNumberFormat="1" applyFont="1" applyFill="1" applyBorder="1" applyAlignment="1" applyProtection="1">
      <alignment horizontal="left" vertical="top" wrapText="1"/>
      <protection locked="0"/>
    </xf>
    <xf numFmtId="1" fontId="15" fillId="75" borderId="1" xfId="0" applyNumberFormat="1" applyFont="1" applyFill="1" applyBorder="1" applyAlignment="1" applyProtection="1">
      <alignment horizontal="center" vertical="top" wrapText="1"/>
      <protection locked="0"/>
    </xf>
    <xf numFmtId="9" fontId="41" fillId="75" borderId="1" xfId="0" applyNumberFormat="1" applyFont="1" applyFill="1" applyBorder="1" applyAlignment="1" applyProtection="1">
      <alignment horizontal="left" vertical="top" wrapText="1"/>
    </xf>
    <xf numFmtId="4" fontId="41" fillId="75" borderId="1" xfId="59049" applyNumberFormat="1" applyFont="1" applyFill="1" applyBorder="1" applyAlignment="1">
      <alignment horizontal="center" vertical="top" wrapText="1"/>
    </xf>
    <xf numFmtId="14" fontId="41" fillId="75" borderId="1" xfId="59049" applyNumberFormat="1" applyFont="1" applyFill="1" applyBorder="1" applyAlignment="1">
      <alignment horizontal="center" vertical="top"/>
    </xf>
    <xf numFmtId="0" fontId="41" fillId="75" borderId="1" xfId="59049" applyNumberFormat="1" applyFont="1" applyFill="1" applyBorder="1" applyAlignment="1">
      <alignment horizontal="center" vertical="top"/>
    </xf>
    <xf numFmtId="0" fontId="15" fillId="75" borderId="1" xfId="59049" applyNumberFormat="1" applyFont="1" applyFill="1" applyBorder="1" applyAlignment="1">
      <alignment horizontal="center" vertical="top"/>
    </xf>
    <xf numFmtId="1" fontId="41" fillId="75" borderId="1" xfId="0" applyNumberFormat="1" applyFont="1" applyFill="1" applyBorder="1" applyAlignment="1" applyProtection="1">
      <alignment horizontal="center" vertical="top"/>
    </xf>
    <xf numFmtId="0" fontId="41" fillId="75" borderId="1" xfId="0" applyNumberFormat="1" applyFont="1" applyFill="1" applyBorder="1" applyAlignment="1" applyProtection="1">
      <alignment horizontal="left" vertical="top" wrapText="1" shrinkToFit="1"/>
    </xf>
    <xf numFmtId="0" fontId="15" fillId="75" borderId="1" xfId="60337" applyNumberFormat="1" applyFont="1" applyFill="1" applyBorder="1" applyAlignment="1">
      <alignment horizontal="center" vertical="top" wrapText="1"/>
    </xf>
    <xf numFmtId="0" fontId="86" fillId="75" borderId="1" xfId="0" applyNumberFormat="1" applyFont="1" applyFill="1" applyBorder="1" applyAlignment="1">
      <alignment horizontal="center" vertical="top" wrapText="1"/>
    </xf>
    <xf numFmtId="14" fontId="86" fillId="75" borderId="1" xfId="0" applyNumberFormat="1" applyFont="1" applyFill="1" applyBorder="1" applyAlignment="1">
      <alignment horizontal="center" vertical="top" wrapText="1"/>
    </xf>
    <xf numFmtId="2" fontId="41" fillId="75" borderId="1" xfId="3" applyNumberFormat="1" applyFont="1" applyFill="1" applyBorder="1" applyAlignment="1">
      <alignment horizontal="center" vertical="top" wrapText="1"/>
    </xf>
    <xf numFmtId="4" fontId="88" fillId="75" borderId="1" xfId="0" applyNumberFormat="1" applyFont="1" applyFill="1" applyBorder="1" applyAlignment="1">
      <alignment horizontal="center" vertical="top"/>
    </xf>
    <xf numFmtId="9" fontId="41" fillId="75" borderId="1" xfId="0" applyNumberFormat="1" applyFont="1" applyFill="1" applyBorder="1" applyAlignment="1">
      <alignment horizontal="left" vertical="top" wrapText="1"/>
    </xf>
    <xf numFmtId="1" fontId="15" fillId="75" borderId="1" xfId="59049" applyNumberFormat="1" applyFont="1" applyFill="1" applyBorder="1" applyAlignment="1" applyProtection="1">
      <alignment horizontal="center" vertical="top" wrapText="1"/>
      <protection locked="0"/>
    </xf>
    <xf numFmtId="189" fontId="41" fillId="75" borderId="1" xfId="0" applyNumberFormat="1" applyFont="1" applyFill="1" applyBorder="1" applyAlignment="1">
      <alignment horizontal="center" vertical="top" wrapText="1"/>
    </xf>
    <xf numFmtId="4" fontId="41" fillId="75" borderId="1" xfId="0" applyNumberFormat="1" applyFont="1" applyFill="1" applyBorder="1" applyAlignment="1">
      <alignment vertical="top"/>
    </xf>
    <xf numFmtId="1" fontId="41" fillId="75" borderId="1" xfId="0" applyNumberFormat="1" applyFont="1" applyFill="1" applyBorder="1" applyAlignment="1">
      <alignment vertical="top"/>
    </xf>
    <xf numFmtId="0" fontId="91" fillId="75" borderId="1" xfId="0" applyFont="1" applyFill="1" applyBorder="1" applyAlignment="1">
      <alignment horizontal="left" vertical="top" wrapText="1"/>
    </xf>
    <xf numFmtId="49" fontId="41" fillId="75" borderId="1" xfId="59049" applyNumberFormat="1" applyFont="1" applyFill="1" applyBorder="1" applyAlignment="1" applyProtection="1">
      <alignment horizontal="center" vertical="center" wrapText="1"/>
      <protection locked="0"/>
    </xf>
    <xf numFmtId="1" fontId="102" fillId="75" borderId="1" xfId="25" applyNumberFormat="1" applyFont="1" applyFill="1" applyBorder="1" applyAlignment="1" applyProtection="1">
      <alignment horizontal="left" vertical="center" wrapText="1"/>
    </xf>
    <xf numFmtId="1" fontId="98" fillId="80" borderId="1" xfId="25" applyNumberFormat="1" applyFont="1" applyFill="1" applyBorder="1" applyAlignment="1" applyProtection="1">
      <alignment horizontal="center" vertical="center" wrapText="1"/>
    </xf>
    <xf numFmtId="0" fontId="99" fillId="76" borderId="1" xfId="60338" applyFont="1" applyFill="1" applyBorder="1" applyAlignment="1">
      <alignment horizontal="center" vertical="top" wrapText="1"/>
    </xf>
    <xf numFmtId="49" fontId="41" fillId="78" borderId="1" xfId="60334" applyNumberFormat="1" applyFont="1" applyFill="1" applyBorder="1" applyAlignment="1">
      <alignment horizontal="left" vertical="top" wrapText="1"/>
    </xf>
    <xf numFmtId="0" fontId="41" fillId="78" borderId="1" xfId="60334" applyNumberFormat="1" applyFont="1" applyFill="1" applyBorder="1" applyAlignment="1">
      <alignment horizontal="left" vertical="top" wrapText="1"/>
    </xf>
    <xf numFmtId="0" fontId="88" fillId="78" borderId="1" xfId="0" applyFont="1" applyFill="1" applyBorder="1" applyAlignment="1">
      <alignment horizontal="left" vertical="top" wrapText="1"/>
    </xf>
    <xf numFmtId="0" fontId="41" fillId="78" borderId="1" xfId="0" applyFont="1" applyFill="1" applyBorder="1" applyAlignment="1">
      <alignment horizontal="left" vertical="top" wrapText="1"/>
    </xf>
    <xf numFmtId="0" fontId="86" fillId="78" borderId="1" xfId="0" applyFont="1" applyFill="1" applyBorder="1" applyAlignment="1">
      <alignment horizontal="center" vertical="top" wrapText="1"/>
    </xf>
    <xf numFmtId="0" fontId="86" fillId="76" borderId="1" xfId="0" applyFont="1" applyFill="1" applyBorder="1" applyAlignment="1">
      <alignment horizontal="center" vertical="top" wrapText="1"/>
    </xf>
    <xf numFmtId="0" fontId="88" fillId="75" borderId="1" xfId="0" applyFont="1" applyFill="1" applyBorder="1" applyAlignment="1">
      <alignment horizontal="left" vertical="top" wrapText="1"/>
    </xf>
    <xf numFmtId="49" fontId="41" fillId="78" borderId="1" xfId="0" applyNumberFormat="1" applyFont="1" applyFill="1" applyBorder="1" applyAlignment="1">
      <alignment horizontal="left" vertical="top" wrapText="1"/>
    </xf>
    <xf numFmtId="0" fontId="86" fillId="76" borderId="1" xfId="0" applyFont="1" applyFill="1" applyBorder="1" applyAlignment="1">
      <alignment vertical="top"/>
    </xf>
    <xf numFmtId="49" fontId="95" fillId="76" borderId="1" xfId="0" applyNumberFormat="1" applyFont="1" applyFill="1" applyBorder="1" applyAlignment="1">
      <alignment horizontal="left" vertical="top" wrapText="1"/>
    </xf>
    <xf numFmtId="4" fontId="41" fillId="76" borderId="1" xfId="59049" applyNumberFormat="1" applyFont="1" applyFill="1" applyBorder="1" applyAlignment="1">
      <alignment horizontal="center" vertical="top"/>
    </xf>
    <xf numFmtId="4" fontId="41" fillId="76" borderId="1" xfId="59049" applyNumberFormat="1" applyFont="1" applyFill="1" applyBorder="1" applyAlignment="1">
      <alignment horizontal="center" vertical="top" wrapText="1"/>
    </xf>
    <xf numFmtId="0" fontId="86" fillId="76" borderId="1" xfId="0" applyFont="1" applyFill="1" applyBorder="1" applyAlignment="1">
      <alignment horizontal="center" vertical="top"/>
    </xf>
    <xf numFmtId="0" fontId="88" fillId="75" borderId="1" xfId="0" applyNumberFormat="1" applyFont="1" applyFill="1" applyBorder="1" applyAlignment="1">
      <alignment horizontal="left" vertical="top" wrapText="1"/>
    </xf>
    <xf numFmtId="0" fontId="84" fillId="75" borderId="1" xfId="0" applyFont="1" applyFill="1" applyBorder="1" applyAlignment="1">
      <alignment horizontal="center" vertical="top" wrapText="1"/>
    </xf>
    <xf numFmtId="0" fontId="86" fillId="75" borderId="1" xfId="0" applyFont="1" applyFill="1" applyBorder="1" applyAlignment="1">
      <alignment vertical="top" wrapText="1"/>
    </xf>
    <xf numFmtId="0" fontId="15" fillId="75" borderId="1" xfId="0" applyNumberFormat="1" applyFont="1" applyFill="1" applyBorder="1" applyAlignment="1">
      <alignment horizontal="center" vertical="top" wrapText="1"/>
    </xf>
    <xf numFmtId="0" fontId="41" fillId="75" borderId="1" xfId="60336" applyFont="1" applyFill="1" applyBorder="1" applyAlignment="1">
      <alignment horizontal="center" vertical="top"/>
    </xf>
    <xf numFmtId="14" fontId="41" fillId="75" borderId="1" xfId="60336" applyNumberFormat="1" applyFont="1" applyFill="1" applyBorder="1" applyAlignment="1" applyProtection="1">
      <alignment horizontal="center" vertical="top"/>
    </xf>
    <xf numFmtId="0" fontId="41" fillId="79" borderId="1" xfId="60336" applyFont="1" applyFill="1" applyBorder="1" applyAlignment="1">
      <alignment horizontal="center" vertical="top"/>
    </xf>
    <xf numFmtId="0" fontId="41" fillId="79" borderId="1" xfId="60336" applyFont="1" applyFill="1" applyBorder="1" applyAlignment="1">
      <alignment horizontal="left" vertical="top" wrapText="1"/>
    </xf>
    <xf numFmtId="1" fontId="41" fillId="79" borderId="1" xfId="60336" applyNumberFormat="1" applyFont="1" applyFill="1" applyBorder="1" applyAlignment="1">
      <alignment horizontal="center" vertical="top"/>
    </xf>
    <xf numFmtId="0" fontId="41" fillId="79" borderId="1" xfId="60336" applyNumberFormat="1" applyFont="1" applyFill="1" applyBorder="1" applyAlignment="1">
      <alignment horizontal="left" vertical="top" wrapText="1"/>
    </xf>
    <xf numFmtId="0" fontId="41" fillId="79" borderId="1" xfId="60336" applyNumberFormat="1" applyFont="1" applyFill="1" applyBorder="1" applyAlignment="1" applyProtection="1">
      <alignment horizontal="left" vertical="top" wrapText="1"/>
    </xf>
    <xf numFmtId="0" fontId="41" fillId="79" borderId="1" xfId="60336" applyFont="1" applyFill="1" applyBorder="1" applyAlignment="1">
      <alignment horizontal="center" vertical="top" wrapText="1"/>
    </xf>
    <xf numFmtId="0" fontId="95" fillId="79" borderId="1" xfId="60336" applyFont="1" applyFill="1" applyBorder="1" applyAlignment="1">
      <alignment horizontal="left" vertical="top" wrapText="1"/>
    </xf>
    <xf numFmtId="0" fontId="41" fillId="76" borderId="1" xfId="60336" applyFont="1" applyFill="1" applyBorder="1" applyAlignment="1">
      <alignment horizontal="center" vertical="top"/>
    </xf>
    <xf numFmtId="1" fontId="41" fillId="76" borderId="1" xfId="60336" applyNumberFormat="1" applyFont="1" applyFill="1" applyBorder="1" applyAlignment="1">
      <alignment horizontal="center" vertical="top"/>
    </xf>
    <xf numFmtId="0" fontId="41" fillId="76" borderId="1" xfId="60336" applyNumberFormat="1" applyFont="1" applyFill="1" applyBorder="1" applyAlignment="1">
      <alignment horizontal="left" vertical="top" wrapText="1"/>
    </xf>
    <xf numFmtId="0" fontId="41" fillId="76" borderId="1" xfId="60336" applyFont="1" applyFill="1" applyBorder="1" applyAlignment="1">
      <alignment horizontal="center" vertical="top" wrapText="1"/>
    </xf>
    <xf numFmtId="0" fontId="95" fillId="76" borderId="1" xfId="60336" applyFont="1" applyFill="1" applyBorder="1" applyAlignment="1">
      <alignment horizontal="left" vertical="top" wrapText="1"/>
    </xf>
    <xf numFmtId="0" fontId="86" fillId="76" borderId="1" xfId="0" applyFont="1" applyFill="1" applyBorder="1" applyAlignment="1">
      <alignment vertical="top" wrapText="1"/>
    </xf>
    <xf numFmtId="1" fontId="41" fillId="78" borderId="1" xfId="0" applyNumberFormat="1" applyFont="1" applyFill="1" applyBorder="1" applyAlignment="1">
      <alignment horizontal="center" vertical="top"/>
    </xf>
    <xf numFmtId="14" fontId="41" fillId="78" borderId="1" xfId="0" applyNumberFormat="1" applyFont="1" applyFill="1" applyBorder="1" applyAlignment="1">
      <alignment horizontal="center" vertical="top"/>
    </xf>
    <xf numFmtId="0" fontId="86" fillId="78" borderId="1" xfId="0" applyFont="1" applyFill="1" applyBorder="1" applyAlignment="1">
      <alignment vertical="top"/>
    </xf>
    <xf numFmtId="0" fontId="86" fillId="78" borderId="1" xfId="0" applyFont="1" applyFill="1" applyBorder="1" applyAlignment="1">
      <alignment vertical="top" wrapText="1"/>
    </xf>
    <xf numFmtId="0" fontId="107" fillId="75" borderId="1" xfId="0" applyFont="1" applyFill="1" applyBorder="1" applyAlignment="1">
      <alignment horizontal="left" vertical="top" wrapText="1"/>
    </xf>
    <xf numFmtId="49" fontId="93" fillId="75" borderId="1" xfId="0" applyNumberFormat="1" applyFont="1" applyFill="1" applyBorder="1" applyAlignment="1">
      <alignment horizontal="left" vertical="top" wrapText="1"/>
    </xf>
    <xf numFmtId="0" fontId="41" fillId="75" borderId="1" xfId="0" applyFont="1" applyFill="1" applyBorder="1" applyAlignment="1">
      <alignment horizontal="center" vertical="center" wrapText="1"/>
    </xf>
    <xf numFmtId="14" fontId="41" fillId="76" borderId="1" xfId="60336" applyNumberFormat="1" applyFont="1" applyFill="1" applyBorder="1" applyAlignment="1" applyProtection="1">
      <alignment horizontal="center" vertical="top"/>
    </xf>
    <xf numFmtId="186" fontId="41" fillId="75" borderId="1" xfId="0" applyNumberFormat="1" applyFont="1" applyFill="1" applyBorder="1" applyAlignment="1">
      <alignment horizontal="center" vertical="top" wrapText="1"/>
    </xf>
    <xf numFmtId="4" fontId="41" fillId="75" borderId="1" xfId="0" applyNumberFormat="1" applyFont="1" applyFill="1" applyBorder="1" applyAlignment="1">
      <alignment vertical="top" wrapText="1"/>
    </xf>
    <xf numFmtId="14" fontId="41" fillId="75" borderId="1" xfId="0" applyNumberFormat="1" applyFont="1" applyFill="1" applyBorder="1" applyAlignment="1">
      <alignment vertical="top" wrapText="1"/>
    </xf>
    <xf numFmtId="3" fontId="41" fillId="75" borderId="1" xfId="0" applyNumberFormat="1" applyFont="1" applyFill="1" applyBorder="1" applyAlignment="1">
      <alignment vertical="top" wrapText="1"/>
    </xf>
    <xf numFmtId="9" fontId="41" fillId="75" borderId="1" xfId="0" applyNumberFormat="1" applyFont="1" applyFill="1" applyBorder="1" applyAlignment="1">
      <alignment vertical="top" wrapText="1"/>
    </xf>
    <xf numFmtId="4" fontId="88" fillId="75" borderId="1" xfId="0" applyNumberFormat="1" applyFont="1" applyFill="1" applyBorder="1" applyAlignment="1">
      <alignment vertical="top" wrapText="1"/>
    </xf>
    <xf numFmtId="2" fontId="41" fillId="75" borderId="1" xfId="0" applyNumberFormat="1" applyFont="1" applyFill="1" applyBorder="1" applyAlignment="1">
      <alignment vertical="top" wrapText="1"/>
    </xf>
    <xf numFmtId="0" fontId="41" fillId="75" borderId="1" xfId="0" applyFont="1" applyFill="1" applyBorder="1" applyAlignment="1">
      <alignment horizontal="right" vertical="top" wrapText="1"/>
    </xf>
    <xf numFmtId="4" fontId="41" fillId="75" borderId="1" xfId="0" quotePrefix="1" applyNumberFormat="1" applyFont="1" applyFill="1" applyBorder="1" applyAlignment="1">
      <alignment horizontal="center" vertical="top"/>
    </xf>
    <xf numFmtId="0" fontId="41" fillId="75" borderId="1" xfId="0" quotePrefix="1" applyNumberFormat="1" applyFont="1" applyFill="1" applyBorder="1" applyAlignment="1">
      <alignment horizontal="center" vertical="top" wrapText="1"/>
    </xf>
    <xf numFmtId="0" fontId="41" fillId="75" borderId="1" xfId="0" quotePrefix="1" applyFont="1" applyFill="1" applyBorder="1" applyAlignment="1">
      <alignment horizontal="left" vertical="top" wrapText="1"/>
    </xf>
    <xf numFmtId="0" fontId="86" fillId="75" borderId="1" xfId="0" quotePrefix="1" applyFont="1" applyFill="1" applyBorder="1" applyAlignment="1">
      <alignment horizontal="center" vertical="top" wrapText="1"/>
    </xf>
    <xf numFmtId="0" fontId="93" fillId="75" borderId="1" xfId="0" applyFont="1" applyFill="1" applyBorder="1" applyAlignment="1">
      <alignment vertical="top"/>
    </xf>
    <xf numFmtId="0" fontId="93" fillId="75" borderId="1" xfId="0" applyFont="1" applyFill="1" applyBorder="1" applyAlignment="1">
      <alignment horizontal="center" vertical="top"/>
    </xf>
    <xf numFmtId="0" fontId="93" fillId="75" borderId="1" xfId="0" applyFont="1" applyFill="1" applyBorder="1" applyAlignment="1">
      <alignment horizontal="center" vertical="top" wrapText="1"/>
    </xf>
    <xf numFmtId="187" fontId="41" fillId="75" borderId="1" xfId="0" applyNumberFormat="1" applyFont="1" applyFill="1" applyBorder="1" applyAlignment="1">
      <alignment horizontal="center" vertical="top"/>
    </xf>
    <xf numFmtId="0" fontId="86" fillId="75" borderId="1" xfId="0" applyFont="1" applyFill="1" applyBorder="1" applyAlignment="1">
      <alignment horizontal="left" vertical="top"/>
    </xf>
    <xf numFmtId="1" fontId="15" fillId="75" borderId="1" xfId="0" applyNumberFormat="1" applyFont="1" applyFill="1" applyBorder="1" applyAlignment="1" applyProtection="1">
      <alignment horizontal="center" vertical="top"/>
      <protection locked="0"/>
    </xf>
    <xf numFmtId="0" fontId="15" fillId="75" borderId="1" xfId="0" applyFont="1" applyFill="1" applyBorder="1" applyAlignment="1" applyProtection="1">
      <alignment horizontal="center" vertical="top"/>
      <protection locked="0"/>
    </xf>
    <xf numFmtId="1" fontId="41" fillId="75" borderId="1" xfId="0" applyNumberFormat="1" applyFont="1" applyFill="1" applyBorder="1" applyAlignment="1" applyProtection="1">
      <alignment horizontal="center" vertical="top"/>
      <protection locked="0"/>
    </xf>
    <xf numFmtId="4" fontId="41" fillId="75" borderId="1" xfId="60336" applyNumberFormat="1" applyFont="1" applyFill="1" applyBorder="1" applyAlignment="1">
      <alignment horizontal="center" vertical="top"/>
    </xf>
    <xf numFmtId="4" fontId="41" fillId="76" borderId="1" xfId="0" applyNumberFormat="1" applyFont="1" applyFill="1" applyBorder="1" applyAlignment="1" applyProtection="1">
      <alignment horizontal="center" vertical="top"/>
    </xf>
    <xf numFmtId="2" fontId="41" fillId="76" borderId="1" xfId="3" applyNumberFormat="1" applyFont="1" applyFill="1" applyBorder="1" applyAlignment="1">
      <alignment horizontal="center" vertical="top" wrapText="1"/>
    </xf>
    <xf numFmtId="0" fontId="15" fillId="75" borderId="1" xfId="0" applyFont="1" applyFill="1" applyBorder="1" applyAlignment="1">
      <alignment vertical="top" wrapText="1"/>
    </xf>
    <xf numFmtId="0" fontId="41" fillId="75" borderId="1" xfId="0" applyFont="1" applyFill="1" applyBorder="1" applyAlignment="1">
      <alignment horizontal="justify" vertical="top" wrapText="1"/>
    </xf>
    <xf numFmtId="0" fontId="15" fillId="75" borderId="1" xfId="0" applyFont="1" applyFill="1" applyBorder="1" applyAlignment="1">
      <alignment horizontal="justify" vertical="top"/>
    </xf>
    <xf numFmtId="0" fontId="15" fillId="75" borderId="1" xfId="0" applyFont="1" applyFill="1" applyBorder="1" applyAlignment="1">
      <alignment vertical="top"/>
    </xf>
    <xf numFmtId="49" fontId="41" fillId="75" borderId="1" xfId="0" applyNumberFormat="1" applyFont="1" applyFill="1" applyBorder="1" applyAlignment="1">
      <alignment vertical="top" wrapText="1"/>
    </xf>
    <xf numFmtId="2" fontId="41" fillId="75" borderId="1" xfId="0" applyNumberFormat="1" applyFont="1" applyFill="1" applyBorder="1" applyAlignment="1">
      <alignment horizontal="left" vertical="top" wrapText="1"/>
    </xf>
    <xf numFmtId="0" fontId="41" fillId="75" borderId="1" xfId="0" applyFont="1" applyFill="1" applyBorder="1" applyAlignment="1">
      <alignment vertical="top"/>
    </xf>
    <xf numFmtId="49" fontId="41" fillId="75" borderId="1" xfId="0" applyNumberFormat="1" applyFont="1" applyFill="1" applyBorder="1" applyAlignment="1">
      <alignment vertical="top"/>
    </xf>
    <xf numFmtId="0" fontId="41" fillId="75" borderId="1" xfId="0" applyFont="1" applyFill="1" applyBorder="1" applyAlignment="1">
      <alignment horizontal="left" vertical="top"/>
    </xf>
    <xf numFmtId="165" fontId="41" fillId="75" borderId="1" xfId="0" applyNumberFormat="1" applyFont="1" applyFill="1" applyBorder="1" applyAlignment="1">
      <alignment vertical="top"/>
    </xf>
    <xf numFmtId="3" fontId="41" fillId="75" borderId="1" xfId="0" applyNumberFormat="1" applyFont="1" applyFill="1" applyBorder="1" applyAlignment="1">
      <alignment vertical="top"/>
    </xf>
    <xf numFmtId="188" fontId="41" fillId="75" borderId="1" xfId="0" applyNumberFormat="1" applyFont="1" applyFill="1" applyBorder="1" applyAlignment="1">
      <alignment vertical="top"/>
    </xf>
    <xf numFmtId="14" fontId="41" fillId="75" borderId="1" xfId="0" applyNumberFormat="1" applyFont="1" applyFill="1" applyBorder="1" applyAlignment="1">
      <alignment vertical="top"/>
    </xf>
    <xf numFmtId="0" fontId="41" fillId="0" borderId="0" xfId="0" applyFont="1" applyAlignment="1">
      <alignment wrapText="1"/>
    </xf>
    <xf numFmtId="0" fontId="41" fillId="0" borderId="0" xfId="0" applyFont="1"/>
    <xf numFmtId="49" fontId="41" fillId="0" borderId="0" xfId="0" applyNumberFormat="1" applyFont="1"/>
    <xf numFmtId="3" fontId="41" fillId="0" borderId="0" xfId="0" applyNumberFormat="1" applyFont="1"/>
    <xf numFmtId="4" fontId="41" fillId="0" borderId="0" xfId="0" applyNumberFormat="1" applyFont="1"/>
    <xf numFmtId="186" fontId="41" fillId="0" borderId="0" xfId="0" applyNumberFormat="1" applyFont="1" applyFill="1"/>
    <xf numFmtId="14" fontId="41" fillId="0" borderId="0" xfId="0" applyNumberFormat="1" applyFont="1"/>
    <xf numFmtId="188" fontId="41" fillId="0" borderId="0" xfId="0" applyNumberFormat="1" applyFont="1"/>
    <xf numFmtId="0" fontId="41" fillId="0" borderId="0" xfId="0" applyFont="1" applyAlignment="1">
      <alignment horizontal="center" wrapText="1"/>
    </xf>
    <xf numFmtId="0" fontId="41" fillId="0" borderId="0" xfId="0" applyFont="1" applyAlignment="1">
      <alignment horizontal="left"/>
    </xf>
    <xf numFmtId="165" fontId="41" fillId="0" borderId="0" xfId="0" applyNumberFormat="1" applyFont="1"/>
    <xf numFmtId="0" fontId="41" fillId="0" borderId="0" xfId="0" applyFont="1" applyAlignment="1"/>
    <xf numFmtId="4" fontId="108" fillId="0" borderId="1" xfId="0" applyNumberFormat="1" applyFont="1" applyBorder="1" applyAlignment="1">
      <alignment horizontal="center" vertical="top"/>
    </xf>
    <xf numFmtId="0" fontId="108" fillId="0" borderId="1" xfId="0" applyFont="1" applyBorder="1" applyAlignment="1">
      <alignment horizontal="left" vertical="top" wrapText="1"/>
    </xf>
    <xf numFmtId="0" fontId="109" fillId="0" borderId="1" xfId="0" applyFont="1" applyBorder="1" applyAlignment="1">
      <alignment vertical="top" wrapText="1"/>
    </xf>
    <xf numFmtId="0" fontId="109" fillId="75" borderId="1" xfId="0" applyFont="1" applyFill="1" applyBorder="1" applyAlignment="1">
      <alignment horizontal="center" vertical="top" wrapText="1"/>
    </xf>
    <xf numFmtId="4" fontId="108" fillId="75" borderId="1" xfId="0" applyNumberFormat="1" applyFont="1" applyFill="1" applyBorder="1" applyAlignment="1">
      <alignment vertical="top"/>
    </xf>
    <xf numFmtId="4" fontId="41" fillId="0" borderId="1" xfId="0" applyNumberFormat="1" applyFont="1" applyFill="1" applyBorder="1" applyAlignment="1">
      <alignment horizontal="center" vertical="top"/>
    </xf>
    <xf numFmtId="0" fontId="108" fillId="75" borderId="1" xfId="0" applyFont="1" applyFill="1" applyBorder="1" applyAlignment="1">
      <alignment vertical="top" wrapText="1"/>
    </xf>
    <xf numFmtId="49" fontId="108" fillId="75" borderId="1" xfId="0" applyNumberFormat="1" applyFont="1" applyFill="1" applyBorder="1" applyAlignment="1">
      <alignment horizontal="left" vertical="top" wrapText="1"/>
    </xf>
    <xf numFmtId="0" fontId="41" fillId="75" borderId="1" xfId="60334" applyNumberFormat="1" applyFont="1" applyFill="1" applyBorder="1" applyAlignment="1" applyProtection="1">
      <alignment horizontal="left" vertical="top" wrapText="1"/>
    </xf>
    <xf numFmtId="0" fontId="41" fillId="75" borderId="1" xfId="0" applyFont="1" applyFill="1" applyBorder="1" applyAlignment="1" applyProtection="1">
      <alignment horizontal="left" vertical="top" wrapText="1"/>
      <protection locked="0"/>
    </xf>
    <xf numFmtId="0" fontId="41" fillId="75" borderId="1" xfId="3" applyNumberFormat="1" applyFont="1" applyFill="1" applyBorder="1" applyAlignment="1" applyProtection="1">
      <alignment horizontal="left" vertical="top" wrapText="1"/>
    </xf>
    <xf numFmtId="0" fontId="108" fillId="75" borderId="1" xfId="0" applyNumberFormat="1" applyFont="1" applyFill="1" applyBorder="1" applyAlignment="1">
      <alignment horizontal="left" vertical="top" wrapText="1"/>
    </xf>
    <xf numFmtId="43" fontId="41" fillId="75" borderId="1" xfId="60332" applyFont="1" applyFill="1" applyBorder="1" applyAlignment="1">
      <alignment horizontal="left" vertical="top" wrapText="1"/>
    </xf>
    <xf numFmtId="49" fontId="108" fillId="75" borderId="1" xfId="3" applyNumberFormat="1" applyFont="1" applyFill="1" applyBorder="1" applyAlignment="1">
      <alignment horizontal="left" vertical="top" wrapText="1"/>
    </xf>
    <xf numFmtId="4" fontId="108" fillId="75" borderId="1" xfId="0" applyNumberFormat="1" applyFont="1" applyFill="1" applyBorder="1" applyAlignment="1">
      <alignment horizontal="center" vertical="top"/>
    </xf>
    <xf numFmtId="0" fontId="108" fillId="75" borderId="1" xfId="0" applyNumberFormat="1" applyFont="1" applyFill="1" applyBorder="1" applyAlignment="1">
      <alignment horizontal="center" vertical="top" wrapText="1"/>
    </xf>
    <xf numFmtId="0" fontId="108" fillId="75" borderId="1" xfId="0" applyFont="1" applyFill="1" applyBorder="1" applyAlignment="1">
      <alignment horizontal="center" vertical="top" wrapText="1"/>
    </xf>
    <xf numFmtId="4" fontId="108" fillId="0" borderId="1" xfId="59049" applyNumberFormat="1" applyFont="1" applyFill="1" applyBorder="1" applyAlignment="1">
      <alignment horizontal="center" vertical="top"/>
    </xf>
    <xf numFmtId="4" fontId="41" fillId="0" borderId="1" xfId="60337" applyNumberFormat="1" applyFont="1" applyFill="1" applyBorder="1" applyAlignment="1">
      <alignment horizontal="center" vertical="top"/>
    </xf>
    <xf numFmtId="165" fontId="41" fillId="76" borderId="1" xfId="0" applyNumberFormat="1" applyFont="1" applyFill="1" applyBorder="1" applyAlignment="1">
      <alignment horizontal="center" vertical="top" wrapText="1"/>
    </xf>
    <xf numFmtId="0" fontId="41" fillId="0" borderId="1" xfId="0" applyFont="1" applyFill="1" applyBorder="1" applyAlignment="1">
      <alignment horizontal="center" vertical="top"/>
    </xf>
    <xf numFmtId="0" fontId="41" fillId="0" borderId="1" xfId="0" applyNumberFormat="1" applyFont="1" applyFill="1" applyBorder="1" applyAlignment="1">
      <alignment horizontal="center" vertical="top" wrapText="1"/>
    </xf>
    <xf numFmtId="165" fontId="86" fillId="78" borderId="1" xfId="0" applyNumberFormat="1" applyFont="1" applyFill="1" applyBorder="1" applyAlignment="1">
      <alignment horizontal="center" vertical="top" wrapText="1"/>
    </xf>
    <xf numFmtId="165" fontId="86" fillId="75" borderId="1" xfId="0" applyNumberFormat="1" applyFont="1" applyFill="1" applyBorder="1" applyAlignment="1">
      <alignment horizontal="center" vertical="top" wrapText="1"/>
    </xf>
    <xf numFmtId="4" fontId="41" fillId="0" borderId="1" xfId="0" applyNumberFormat="1" applyFont="1" applyBorder="1" applyAlignment="1">
      <alignment horizontal="center" vertical="top" wrapText="1"/>
    </xf>
    <xf numFmtId="2" fontId="108" fillId="0" borderId="1" xfId="0" applyNumberFormat="1" applyFont="1" applyBorder="1" applyAlignment="1">
      <alignment horizontal="center" vertical="top" wrapText="1"/>
    </xf>
    <xf numFmtId="0" fontId="108" fillId="0" borderId="1" xfId="0" applyFont="1" applyBorder="1" applyAlignment="1">
      <alignment horizontal="center" vertical="top" wrapText="1"/>
    </xf>
    <xf numFmtId="49" fontId="108" fillId="75" borderId="1" xfId="0" applyNumberFormat="1" applyFont="1" applyFill="1" applyBorder="1" applyAlignment="1">
      <alignment horizontal="center" vertical="top" wrapText="1"/>
    </xf>
    <xf numFmtId="1" fontId="108" fillId="0" borderId="1" xfId="0" applyNumberFormat="1" applyFont="1" applyBorder="1" applyAlignment="1">
      <alignment horizontal="center" vertical="top" wrapText="1"/>
    </xf>
    <xf numFmtId="49" fontId="108" fillId="0" borderId="1" xfId="0" applyNumberFormat="1" applyFont="1" applyBorder="1" applyAlignment="1">
      <alignment horizontal="center" vertical="top"/>
    </xf>
    <xf numFmtId="4" fontId="108" fillId="0" borderId="1" xfId="0" applyNumberFormat="1" applyFont="1" applyBorder="1" applyAlignment="1">
      <alignment horizontal="center" vertical="top" wrapText="1"/>
    </xf>
    <xf numFmtId="0" fontId="108" fillId="0" borderId="1" xfId="0" applyNumberFormat="1" applyFont="1" applyBorder="1" applyAlignment="1">
      <alignment horizontal="left" vertical="top" wrapText="1"/>
    </xf>
    <xf numFmtId="49" fontId="108" fillId="0" borderId="1" xfId="0" applyNumberFormat="1" applyFont="1" applyBorder="1" applyAlignment="1">
      <alignment horizontal="center" vertical="top" wrapText="1"/>
    </xf>
    <xf numFmtId="14" fontId="41" fillId="0" borderId="1" xfId="0" applyNumberFormat="1" applyFont="1" applyBorder="1" applyAlignment="1" applyProtection="1">
      <alignment horizontal="center" vertical="top" wrapText="1"/>
    </xf>
    <xf numFmtId="14" fontId="41" fillId="0" borderId="1" xfId="0" applyNumberFormat="1" applyFont="1" applyBorder="1" applyAlignment="1">
      <alignment horizontal="center" vertical="top"/>
    </xf>
    <xf numFmtId="0" fontId="41" fillId="0" borderId="1" xfId="0" applyNumberFormat="1" applyFont="1" applyFill="1" applyBorder="1" applyAlignment="1">
      <alignment horizontal="left" vertical="center" wrapText="1"/>
    </xf>
    <xf numFmtId="0" fontId="41" fillId="75" borderId="1" xfId="0" applyFont="1" applyFill="1" applyBorder="1" applyAlignment="1">
      <alignment horizontal="left" vertical="center" wrapText="1"/>
    </xf>
    <xf numFmtId="4" fontId="41" fillId="75" borderId="1" xfId="0" applyNumberFormat="1" applyFont="1" applyFill="1" applyBorder="1" applyAlignment="1">
      <alignment horizontal="center" vertical="center" wrapText="1"/>
    </xf>
    <xf numFmtId="4" fontId="41" fillId="75" borderId="1" xfId="60332" applyNumberFormat="1" applyFont="1" applyFill="1" applyBorder="1" applyAlignment="1">
      <alignment horizontal="center" vertical="center"/>
    </xf>
    <xf numFmtId="164" fontId="41" fillId="75" borderId="1" xfId="0" applyNumberFormat="1" applyFont="1" applyFill="1" applyBorder="1" applyAlignment="1">
      <alignment horizontal="center" vertical="center" wrapText="1"/>
    </xf>
    <xf numFmtId="186" fontId="41" fillId="75" borderId="1" xfId="0" applyNumberFormat="1" applyFont="1" applyFill="1" applyBorder="1" applyAlignment="1">
      <alignment horizontal="center" vertical="center" wrapText="1"/>
    </xf>
    <xf numFmtId="4" fontId="41" fillId="0" borderId="1" xfId="60332" applyNumberFormat="1" applyFont="1" applyFill="1" applyBorder="1" applyAlignment="1">
      <alignment horizontal="center" vertical="center"/>
    </xf>
    <xf numFmtId="4" fontId="41" fillId="0" borderId="1" xfId="0" applyNumberFormat="1" applyFont="1" applyFill="1" applyBorder="1" applyAlignment="1">
      <alignment horizontal="center" vertical="center" wrapText="1"/>
    </xf>
    <xf numFmtId="0" fontId="41" fillId="75" borderId="1" xfId="0" applyNumberFormat="1" applyFont="1" applyFill="1" applyBorder="1" applyAlignment="1">
      <alignment horizontal="center" vertical="center" wrapText="1"/>
    </xf>
    <xf numFmtId="14" fontId="41" fillId="75" borderId="1" xfId="0" applyNumberFormat="1" applyFont="1" applyFill="1" applyBorder="1" applyAlignment="1">
      <alignment horizontal="center" vertical="center"/>
    </xf>
    <xf numFmtId="0" fontId="41" fillId="75" borderId="1" xfId="0" applyNumberFormat="1" applyFont="1" applyFill="1" applyBorder="1" applyAlignment="1">
      <alignment horizontal="left" vertical="center" wrapText="1"/>
    </xf>
    <xf numFmtId="165" fontId="41" fillId="75" borderId="1" xfId="0" applyNumberFormat="1" applyFont="1" applyFill="1" applyBorder="1" applyAlignment="1">
      <alignment horizontal="center" vertical="center" wrapText="1"/>
    </xf>
    <xf numFmtId="3" fontId="41" fillId="75" borderId="1" xfId="0" applyNumberFormat="1" applyFont="1" applyFill="1" applyBorder="1" applyAlignment="1">
      <alignment horizontal="center" vertical="center" wrapText="1"/>
    </xf>
    <xf numFmtId="1" fontId="41" fillId="75" borderId="1" xfId="0" applyNumberFormat="1" applyFont="1" applyFill="1" applyBorder="1" applyAlignment="1">
      <alignment horizontal="center" vertical="center" wrapText="1"/>
    </xf>
    <xf numFmtId="49" fontId="41" fillId="75" borderId="1" xfId="0" applyNumberFormat="1" applyFont="1" applyFill="1" applyBorder="1" applyAlignment="1">
      <alignment horizontal="left" vertical="center" wrapText="1"/>
    </xf>
    <xf numFmtId="164" fontId="41" fillId="75" borderId="1" xfId="0" applyNumberFormat="1" applyFont="1" applyFill="1" applyBorder="1" applyAlignment="1">
      <alignment horizontal="center" vertical="center"/>
    </xf>
    <xf numFmtId="4" fontId="41" fillId="75" borderId="1" xfId="0" applyNumberFormat="1" applyFont="1" applyFill="1" applyBorder="1" applyAlignment="1">
      <alignment horizontal="center" vertical="center"/>
    </xf>
    <xf numFmtId="0" fontId="41" fillId="81" borderId="1" xfId="0" applyFont="1" applyFill="1" applyBorder="1" applyAlignment="1">
      <alignment horizontal="center" vertical="center"/>
    </xf>
    <xf numFmtId="0" fontId="41" fillId="81" borderId="1" xfId="0" applyFont="1" applyFill="1" applyBorder="1" applyAlignment="1">
      <alignment horizontal="center" vertical="center" wrapText="1"/>
    </xf>
    <xf numFmtId="1" fontId="41" fillId="81" borderId="1" xfId="0" applyNumberFormat="1" applyFont="1" applyFill="1" applyBorder="1" applyAlignment="1">
      <alignment horizontal="center" vertical="center"/>
    </xf>
    <xf numFmtId="0" fontId="41" fillId="81" borderId="1" xfId="0" applyNumberFormat="1" applyFont="1" applyFill="1" applyBorder="1" applyAlignment="1">
      <alignment horizontal="left" vertical="center" wrapText="1"/>
    </xf>
    <xf numFmtId="4" fontId="41" fillId="81" borderId="1" xfId="0" applyNumberFormat="1" applyFont="1" applyFill="1" applyBorder="1" applyAlignment="1">
      <alignment horizontal="center" vertical="center"/>
    </xf>
    <xf numFmtId="0" fontId="41" fillId="81" borderId="1" xfId="60332" applyNumberFormat="1" applyFont="1" applyFill="1" applyBorder="1" applyAlignment="1">
      <alignment horizontal="center" vertical="center" wrapText="1"/>
    </xf>
    <xf numFmtId="164" fontId="41" fillId="81" borderId="1" xfId="60332" applyNumberFormat="1" applyFont="1" applyFill="1" applyBorder="1" applyAlignment="1">
      <alignment horizontal="center" vertical="center"/>
    </xf>
    <xf numFmtId="164" fontId="41" fillId="81" borderId="1" xfId="60332" applyNumberFormat="1" applyFont="1" applyFill="1" applyBorder="1" applyAlignment="1">
      <alignment horizontal="center" vertical="center" wrapText="1"/>
    </xf>
    <xf numFmtId="186" fontId="41" fillId="81" borderId="1" xfId="0" applyNumberFormat="1" applyFont="1" applyFill="1" applyBorder="1" applyAlignment="1">
      <alignment horizontal="center" vertical="center"/>
    </xf>
    <xf numFmtId="4" fontId="41" fillId="81" borderId="1" xfId="60332" applyNumberFormat="1" applyFont="1" applyFill="1" applyBorder="1" applyAlignment="1">
      <alignment horizontal="center" vertical="center"/>
    </xf>
    <xf numFmtId="4" fontId="41" fillId="81" borderId="1" xfId="0" applyNumberFormat="1" applyFont="1" applyFill="1" applyBorder="1" applyAlignment="1">
      <alignment horizontal="center" vertical="center" wrapText="1"/>
    </xf>
    <xf numFmtId="4" fontId="41" fillId="0" borderId="1" xfId="0" applyNumberFormat="1" applyFont="1" applyFill="1" applyBorder="1" applyAlignment="1">
      <alignment horizontal="center" vertical="center"/>
    </xf>
    <xf numFmtId="14" fontId="41" fillId="81" borderId="1" xfId="0" applyNumberFormat="1" applyFont="1" applyFill="1" applyBorder="1" applyAlignment="1">
      <alignment horizontal="center" vertical="center"/>
    </xf>
    <xf numFmtId="4" fontId="41" fillId="81" borderId="1" xfId="0" applyNumberFormat="1" applyFont="1" applyFill="1" applyBorder="1" applyAlignment="1">
      <alignment horizontal="left" vertical="center" wrapText="1"/>
    </xf>
    <xf numFmtId="1" fontId="41" fillId="81" borderId="1" xfId="0" applyNumberFormat="1" applyFont="1" applyFill="1" applyBorder="1" applyAlignment="1">
      <alignment horizontal="center" vertical="center" wrapText="1"/>
    </xf>
    <xf numFmtId="0" fontId="41" fillId="81" borderId="1" xfId="0" applyFont="1" applyFill="1" applyBorder="1" applyAlignment="1">
      <alignment horizontal="left" vertical="center" wrapText="1"/>
    </xf>
    <xf numFmtId="9" fontId="41" fillId="81" borderId="1" xfId="0" applyNumberFormat="1" applyFont="1" applyFill="1" applyBorder="1" applyAlignment="1">
      <alignment horizontal="center" vertical="center" wrapText="1"/>
    </xf>
    <xf numFmtId="3" fontId="41" fillId="81" borderId="1" xfId="0" applyNumberFormat="1" applyFont="1" applyFill="1" applyBorder="1" applyAlignment="1">
      <alignment horizontal="left" vertical="center" wrapText="1"/>
    </xf>
    <xf numFmtId="165" fontId="41" fillId="81" borderId="1" xfId="0" applyNumberFormat="1" applyFont="1" applyFill="1" applyBorder="1" applyAlignment="1">
      <alignment horizontal="left" vertical="center" wrapText="1"/>
    </xf>
    <xf numFmtId="0" fontId="41" fillId="76" borderId="1" xfId="0" applyFont="1" applyFill="1" applyBorder="1" applyAlignment="1">
      <alignment horizontal="center" vertical="center"/>
    </xf>
    <xf numFmtId="0" fontId="41" fillId="76" borderId="1" xfId="0" applyFont="1" applyFill="1" applyBorder="1" applyAlignment="1">
      <alignment horizontal="center" vertical="center" wrapText="1"/>
    </xf>
    <xf numFmtId="1" fontId="41" fillId="76" borderId="1" xfId="0" applyNumberFormat="1" applyFont="1" applyFill="1" applyBorder="1" applyAlignment="1">
      <alignment horizontal="center" vertical="center" wrapText="1"/>
    </xf>
    <xf numFmtId="0" fontId="41" fillId="76" borderId="1" xfId="0" applyNumberFormat="1" applyFont="1" applyFill="1" applyBorder="1" applyAlignment="1">
      <alignment horizontal="left" vertical="center" wrapText="1"/>
    </xf>
    <xf numFmtId="4" fontId="41" fillId="76" borderId="1" xfId="0" applyNumberFormat="1" applyFont="1" applyFill="1" applyBorder="1" applyAlignment="1">
      <alignment horizontal="center" vertical="center"/>
    </xf>
    <xf numFmtId="0" fontId="41" fillId="76" borderId="1" xfId="60332" applyNumberFormat="1" applyFont="1" applyFill="1" applyBorder="1" applyAlignment="1">
      <alignment horizontal="center" vertical="center" wrapText="1"/>
    </xf>
    <xf numFmtId="164" fontId="41" fillId="76" borderId="1" xfId="60332" applyNumberFormat="1" applyFont="1" applyFill="1" applyBorder="1" applyAlignment="1">
      <alignment horizontal="center" vertical="center"/>
    </xf>
    <xf numFmtId="164" fontId="41" fillId="76" borderId="1" xfId="60332" applyNumberFormat="1" applyFont="1" applyFill="1" applyBorder="1" applyAlignment="1">
      <alignment horizontal="center" vertical="center" wrapText="1"/>
    </xf>
    <xf numFmtId="186" fontId="41" fillId="76" borderId="1" xfId="0" applyNumberFormat="1" applyFont="1" applyFill="1" applyBorder="1" applyAlignment="1">
      <alignment horizontal="center" vertical="center"/>
    </xf>
    <xf numFmtId="4" fontId="41" fillId="76" borderId="1" xfId="60332" applyNumberFormat="1" applyFont="1" applyFill="1" applyBorder="1" applyAlignment="1">
      <alignment horizontal="center" vertical="center"/>
    </xf>
    <xf numFmtId="4" fontId="41" fillId="76" borderId="1" xfId="0" applyNumberFormat="1" applyFont="1" applyFill="1" applyBorder="1" applyAlignment="1">
      <alignment horizontal="center" vertical="center" wrapText="1"/>
    </xf>
    <xf numFmtId="14" fontId="41" fillId="76" borderId="1" xfId="0" applyNumberFormat="1" applyFont="1" applyFill="1" applyBorder="1" applyAlignment="1">
      <alignment horizontal="center" vertical="center"/>
    </xf>
    <xf numFmtId="0" fontId="41" fillId="76" borderId="1" xfId="0" applyNumberFormat="1" applyFont="1" applyFill="1" applyBorder="1" applyAlignment="1">
      <alignment horizontal="center" vertical="center" wrapText="1"/>
    </xf>
    <xf numFmtId="0" fontId="41" fillId="76" borderId="1" xfId="0" applyFont="1" applyFill="1" applyBorder="1" applyAlignment="1">
      <alignment horizontal="left" vertical="center" wrapText="1"/>
    </xf>
    <xf numFmtId="165" fontId="41" fillId="76" borderId="1" xfId="0" applyNumberFormat="1" applyFont="1" applyFill="1" applyBorder="1" applyAlignment="1">
      <alignment horizontal="left" vertical="center" wrapText="1"/>
    </xf>
    <xf numFmtId="3" fontId="41" fillId="76" borderId="1" xfId="0" applyNumberFormat="1" applyFont="1" applyFill="1" applyBorder="1" applyAlignment="1">
      <alignment horizontal="left" vertical="center" wrapText="1"/>
    </xf>
    <xf numFmtId="165" fontId="41" fillId="76" borderId="1" xfId="0" applyNumberFormat="1" applyFont="1" applyFill="1" applyBorder="1" applyAlignment="1">
      <alignment horizontal="center" vertical="center"/>
    </xf>
    <xf numFmtId="3" fontId="41" fillId="76" borderId="1" xfId="0" applyNumberFormat="1" applyFont="1" applyFill="1" applyBorder="1" applyAlignment="1">
      <alignment horizontal="center" vertical="center"/>
    </xf>
    <xf numFmtId="0" fontId="41" fillId="76" borderId="1" xfId="0" applyNumberFormat="1" applyFont="1" applyFill="1" applyBorder="1" applyAlignment="1">
      <alignment horizontal="center" vertical="center"/>
    </xf>
    <xf numFmtId="49" fontId="41" fillId="76" borderId="1" xfId="0" applyNumberFormat="1" applyFont="1" applyFill="1" applyBorder="1" applyAlignment="1">
      <alignment horizontal="left" vertical="center" wrapText="1"/>
    </xf>
    <xf numFmtId="164" fontId="41" fillId="76" borderId="1" xfId="0" applyNumberFormat="1" applyFont="1" applyFill="1" applyBorder="1" applyAlignment="1">
      <alignment horizontal="center" vertical="center"/>
    </xf>
    <xf numFmtId="164" fontId="41" fillId="76" borderId="32" xfId="0" applyNumberFormat="1" applyFont="1" applyFill="1" applyBorder="1" applyAlignment="1">
      <alignment horizontal="center" vertical="center"/>
    </xf>
    <xf numFmtId="186" fontId="41" fillId="76" borderId="32" xfId="0" applyNumberFormat="1" applyFont="1" applyFill="1" applyBorder="1" applyAlignment="1">
      <alignment horizontal="center" vertical="center"/>
    </xf>
    <xf numFmtId="165" fontId="41" fillId="76" borderId="1" xfId="0" applyNumberFormat="1" applyFont="1" applyFill="1" applyBorder="1" applyAlignment="1">
      <alignment horizontal="center" vertical="center" wrapText="1"/>
    </xf>
    <xf numFmtId="3" fontId="41" fillId="76" borderId="1" xfId="0" applyNumberFormat="1" applyFont="1" applyFill="1" applyBorder="1" applyAlignment="1">
      <alignment horizontal="center" vertical="center" wrapText="1"/>
    </xf>
    <xf numFmtId="14" fontId="41" fillId="75" borderId="1" xfId="0" applyNumberFormat="1" applyFont="1" applyFill="1" applyBorder="1" applyAlignment="1">
      <alignment horizontal="center" vertical="center" wrapText="1"/>
    </xf>
    <xf numFmtId="0" fontId="41" fillId="75" borderId="1" xfId="0" applyFont="1" applyFill="1" applyBorder="1" applyAlignment="1">
      <alignment horizontal="center" vertical="center"/>
    </xf>
    <xf numFmtId="9" fontId="41" fillId="75" borderId="1" xfId="0" applyNumberFormat="1" applyFont="1" applyFill="1" applyBorder="1" applyAlignment="1">
      <alignment horizontal="center" vertical="center" wrapText="1"/>
    </xf>
    <xf numFmtId="3" fontId="41" fillId="75" borderId="1" xfId="0" applyNumberFormat="1" applyFont="1" applyFill="1" applyBorder="1" applyAlignment="1">
      <alignment horizontal="left" vertical="center" wrapText="1"/>
    </xf>
    <xf numFmtId="165" fontId="41" fillId="75" borderId="1" xfId="0" applyNumberFormat="1" applyFont="1" applyFill="1" applyBorder="1" applyAlignment="1">
      <alignment horizontal="center" vertical="center"/>
    </xf>
    <xf numFmtId="3" fontId="41" fillId="75" borderId="1" xfId="0" applyNumberFormat="1" applyFont="1" applyFill="1" applyBorder="1" applyAlignment="1">
      <alignment horizontal="center" vertical="center"/>
    </xf>
    <xf numFmtId="165" fontId="41" fillId="81" borderId="1" xfId="0" applyNumberFormat="1" applyFont="1" applyFill="1" applyBorder="1" applyAlignment="1">
      <alignment horizontal="center" vertical="center"/>
    </xf>
    <xf numFmtId="0" fontId="41" fillId="0" borderId="1" xfId="0" applyFont="1" applyFill="1" applyBorder="1" applyAlignment="1">
      <alignment horizontal="center" vertical="center"/>
    </xf>
    <xf numFmtId="0" fontId="41" fillId="0" borderId="1" xfId="0" applyFont="1" applyFill="1" applyBorder="1" applyAlignment="1">
      <alignment horizontal="center" vertical="center" wrapText="1"/>
    </xf>
    <xf numFmtId="1" fontId="41" fillId="0" borderId="1" xfId="0" applyNumberFormat="1" applyFont="1" applyFill="1" applyBorder="1" applyAlignment="1">
      <alignment horizontal="center" vertical="center" wrapText="1"/>
    </xf>
    <xf numFmtId="0" fontId="41" fillId="0" borderId="1" xfId="60332" applyNumberFormat="1" applyFont="1" applyFill="1" applyBorder="1" applyAlignment="1">
      <alignment horizontal="center" vertical="center" wrapText="1"/>
    </xf>
    <xf numFmtId="164" fontId="41" fillId="0" borderId="1" xfId="60332" applyNumberFormat="1" applyFont="1" applyFill="1" applyBorder="1" applyAlignment="1">
      <alignment horizontal="center" vertical="center"/>
    </xf>
    <xf numFmtId="164" fontId="41" fillId="0" borderId="1" xfId="60332" applyNumberFormat="1" applyFont="1" applyFill="1" applyBorder="1" applyAlignment="1">
      <alignment horizontal="center" vertical="center" wrapText="1"/>
    </xf>
    <xf numFmtId="186" fontId="41" fillId="0" borderId="1" xfId="0" applyNumberFormat="1" applyFont="1" applyFill="1" applyBorder="1" applyAlignment="1">
      <alignment horizontal="center" vertical="center"/>
    </xf>
    <xf numFmtId="14" fontId="41" fillId="0" borderId="1" xfId="0" applyNumberFormat="1" applyFont="1" applyFill="1" applyBorder="1" applyAlignment="1">
      <alignment horizontal="center" vertical="center"/>
    </xf>
    <xf numFmtId="0" fontId="41" fillId="0" borderId="1" xfId="0" applyNumberFormat="1" applyFont="1" applyFill="1" applyBorder="1" applyAlignment="1">
      <alignment horizontal="center" vertical="center" wrapText="1"/>
    </xf>
    <xf numFmtId="0" fontId="41" fillId="0" borderId="1" xfId="0" applyFont="1" applyFill="1" applyBorder="1" applyAlignment="1">
      <alignment horizontal="left" vertical="center" wrapText="1"/>
    </xf>
    <xf numFmtId="165" fontId="41" fillId="0" borderId="1" xfId="0" applyNumberFormat="1" applyFont="1" applyFill="1" applyBorder="1" applyAlignment="1">
      <alignment horizontal="left" vertical="center" wrapText="1"/>
    </xf>
    <xf numFmtId="3" fontId="41" fillId="0" borderId="1" xfId="0" applyNumberFormat="1" applyFont="1" applyFill="1" applyBorder="1" applyAlignment="1">
      <alignment horizontal="left" vertical="center" wrapText="1"/>
    </xf>
    <xf numFmtId="165" fontId="41" fillId="0" borderId="1" xfId="0" applyNumberFormat="1" applyFont="1" applyFill="1" applyBorder="1" applyAlignment="1">
      <alignment horizontal="center" vertical="center"/>
    </xf>
    <xf numFmtId="3" fontId="41" fillId="0" borderId="1" xfId="0" applyNumberFormat="1" applyFont="1" applyFill="1" applyBorder="1" applyAlignment="1">
      <alignment horizontal="center" vertical="center"/>
    </xf>
    <xf numFmtId="0" fontId="41" fillId="0" borderId="1" xfId="0" applyNumberFormat="1" applyFont="1" applyFill="1" applyBorder="1" applyAlignment="1">
      <alignment horizontal="center" vertical="center"/>
    </xf>
    <xf numFmtId="0" fontId="41" fillId="81" borderId="1" xfId="0" applyNumberFormat="1" applyFont="1" applyFill="1" applyBorder="1" applyAlignment="1">
      <alignment horizontal="center" vertical="center"/>
    </xf>
    <xf numFmtId="0" fontId="41" fillId="81" borderId="1" xfId="0" applyNumberFormat="1" applyFont="1" applyFill="1" applyBorder="1" applyAlignment="1">
      <alignment horizontal="center" vertical="center" wrapText="1"/>
    </xf>
    <xf numFmtId="49" fontId="41" fillId="81" borderId="1" xfId="0" applyNumberFormat="1" applyFont="1" applyFill="1" applyBorder="1" applyAlignment="1">
      <alignment horizontal="left" vertical="center" wrapText="1"/>
    </xf>
    <xf numFmtId="164" fontId="41" fillId="81" borderId="1" xfId="0" applyNumberFormat="1" applyFont="1" applyFill="1" applyBorder="1" applyAlignment="1">
      <alignment horizontal="center" vertical="center"/>
    </xf>
    <xf numFmtId="165" fontId="41" fillId="81" borderId="1" xfId="0" applyNumberFormat="1" applyFont="1" applyFill="1" applyBorder="1" applyAlignment="1">
      <alignment horizontal="center" vertical="center" wrapText="1"/>
    </xf>
    <xf numFmtId="3" fontId="41" fillId="81" borderId="1" xfId="0" applyNumberFormat="1" applyFont="1" applyFill="1" applyBorder="1" applyAlignment="1">
      <alignment horizontal="center" vertical="center" wrapText="1"/>
    </xf>
    <xf numFmtId="165" fontId="41" fillId="0" borderId="1" xfId="0" applyNumberFormat="1" applyFont="1" applyFill="1" applyBorder="1" applyAlignment="1">
      <alignment horizontal="center" vertical="center" wrapText="1"/>
    </xf>
    <xf numFmtId="49" fontId="41" fillId="0" borderId="1" xfId="0" applyNumberFormat="1" applyFont="1" applyFill="1" applyBorder="1" applyAlignment="1">
      <alignment horizontal="left" vertical="center" wrapText="1"/>
    </xf>
    <xf numFmtId="164" fontId="41" fillId="0" borderId="1" xfId="0" applyNumberFormat="1" applyFont="1" applyFill="1" applyBorder="1" applyAlignment="1">
      <alignment horizontal="center" vertical="center" wrapText="1"/>
    </xf>
    <xf numFmtId="4" fontId="41" fillId="0" borderId="1" xfId="0" applyNumberFormat="1" applyFont="1" applyBorder="1" applyAlignment="1">
      <alignment horizontal="center" vertical="center"/>
    </xf>
    <xf numFmtId="4" fontId="41" fillId="0" borderId="1" xfId="0" applyNumberFormat="1" applyFont="1" applyBorder="1" applyAlignment="1">
      <alignment horizontal="center" vertical="center" wrapText="1"/>
    </xf>
    <xf numFmtId="3" fontId="41" fillId="0" borderId="1" xfId="0" applyNumberFormat="1" applyFont="1" applyFill="1" applyBorder="1" applyAlignment="1">
      <alignment horizontal="center" vertical="center" wrapText="1"/>
    </xf>
    <xf numFmtId="0" fontId="108" fillId="82" borderId="1" xfId="0" applyFont="1" applyFill="1" applyBorder="1" applyAlignment="1">
      <alignment horizontal="center" vertical="center" wrapText="1"/>
    </xf>
    <xf numFmtId="0" fontId="41" fillId="76" borderId="1" xfId="60334" applyNumberFormat="1" applyFont="1" applyFill="1" applyBorder="1" applyAlignment="1">
      <alignment horizontal="left" vertical="center" wrapText="1"/>
    </xf>
    <xf numFmtId="188" fontId="41" fillId="75" borderId="1" xfId="0" applyNumberFormat="1" applyFont="1" applyFill="1" applyBorder="1" applyAlignment="1">
      <alignment horizontal="center" vertical="center"/>
    </xf>
    <xf numFmtId="4" fontId="41" fillId="75" borderId="1" xfId="60332" applyNumberFormat="1" applyFont="1" applyFill="1" applyBorder="1" applyAlignment="1">
      <alignment horizontal="center" vertical="center" wrapText="1"/>
    </xf>
    <xf numFmtId="4" fontId="41" fillId="0" borderId="1" xfId="60332" applyNumberFormat="1" applyFont="1" applyFill="1" applyBorder="1" applyAlignment="1">
      <alignment horizontal="center" vertical="center" wrapText="1"/>
    </xf>
    <xf numFmtId="0" fontId="108" fillId="75" borderId="1" xfId="0" applyFont="1" applyFill="1" applyBorder="1" applyAlignment="1">
      <alignment horizontal="center" vertical="top"/>
    </xf>
    <xf numFmtId="0" fontId="108" fillId="75" borderId="1" xfId="0" applyFont="1" applyFill="1" applyBorder="1" applyAlignment="1">
      <alignment horizontal="justify" vertical="top" wrapText="1"/>
    </xf>
    <xf numFmtId="4" fontId="108" fillId="75" borderId="1" xfId="0" applyNumberFormat="1" applyFont="1" applyFill="1" applyBorder="1" applyAlignment="1">
      <alignment horizontal="right" vertical="top"/>
    </xf>
    <xf numFmtId="4" fontId="41" fillId="75" borderId="1" xfId="60334" applyNumberFormat="1" applyFont="1" applyFill="1" applyBorder="1" applyAlignment="1">
      <alignment horizontal="right" vertical="top" wrapText="1"/>
    </xf>
    <xf numFmtId="14" fontId="108" fillId="75" borderId="1" xfId="0" applyNumberFormat="1" applyFont="1" applyFill="1" applyBorder="1" applyAlignment="1">
      <alignment horizontal="center" vertical="top" wrapText="1"/>
    </xf>
    <xf numFmtId="0" fontId="108" fillId="75" borderId="1" xfId="0" applyFont="1" applyFill="1" applyBorder="1" applyAlignment="1">
      <alignment horizontal="left" vertical="top" wrapText="1"/>
    </xf>
    <xf numFmtId="1" fontId="108" fillId="75" borderId="1" xfId="0" applyNumberFormat="1" applyFont="1" applyFill="1" applyBorder="1" applyAlignment="1">
      <alignment horizontal="center" vertical="top"/>
    </xf>
    <xf numFmtId="14" fontId="108" fillId="75" borderId="1" xfId="0" applyNumberFormat="1" applyFont="1" applyFill="1" applyBorder="1" applyAlignment="1">
      <alignment horizontal="center" vertical="top"/>
    </xf>
    <xf numFmtId="9" fontId="108" fillId="75" borderId="1" xfId="0" applyNumberFormat="1" applyFont="1" applyFill="1" applyBorder="1" applyAlignment="1">
      <alignment horizontal="center" vertical="top" wrapText="1"/>
    </xf>
    <xf numFmtId="0" fontId="111" fillId="75" borderId="1" xfId="0" applyFont="1" applyFill="1" applyBorder="1" applyAlignment="1">
      <alignment horizontal="justify" vertical="top"/>
    </xf>
    <xf numFmtId="186" fontId="41" fillId="75" borderId="1" xfId="0" applyNumberFormat="1" applyFont="1" applyFill="1" applyBorder="1" applyAlignment="1">
      <alignment horizontal="center" vertical="center"/>
    </xf>
    <xf numFmtId="186" fontId="41" fillId="0" borderId="1" xfId="0" applyNumberFormat="1" applyFont="1" applyFill="1" applyBorder="1" applyAlignment="1">
      <alignment horizontal="center" vertical="center" wrapText="1"/>
    </xf>
    <xf numFmtId="188" fontId="41" fillId="75" borderId="1" xfId="0" applyNumberFormat="1" applyFont="1" applyFill="1" applyBorder="1" applyAlignment="1">
      <alignment horizontal="center" vertical="center" wrapText="1"/>
    </xf>
    <xf numFmtId="14" fontId="86" fillId="75" borderId="1" xfId="0" applyNumberFormat="1" applyFont="1" applyFill="1" applyBorder="1"/>
    <xf numFmtId="0" fontId="41" fillId="75" borderId="0" xfId="0" applyFont="1" applyFill="1" applyBorder="1"/>
    <xf numFmtId="0" fontId="41" fillId="75" borderId="0" xfId="0" applyFont="1" applyFill="1" applyBorder="1" applyAlignment="1">
      <alignment wrapText="1"/>
    </xf>
    <xf numFmtId="0" fontId="41" fillId="75" borderId="0" xfId="0" applyFont="1" applyFill="1" applyBorder="1" applyAlignment="1">
      <alignment vertical="center" wrapText="1"/>
    </xf>
    <xf numFmtId="0" fontId="41" fillId="75" borderId="0" xfId="0" applyFont="1" applyFill="1" applyBorder="1" applyAlignment="1" applyProtection="1">
      <alignment horizontal="center"/>
    </xf>
    <xf numFmtId="0" fontId="84" fillId="75" borderId="0" xfId="0" applyFont="1" applyFill="1" applyBorder="1" applyAlignment="1">
      <alignment horizontal="center" vertical="center" wrapText="1"/>
    </xf>
    <xf numFmtId="0" fontId="15" fillId="75" borderId="0" xfId="3" applyFont="1" applyFill="1" applyBorder="1"/>
    <xf numFmtId="0" fontId="86" fillId="75" borderId="0" xfId="0" applyFont="1" applyFill="1" applyBorder="1" applyAlignment="1">
      <alignment vertical="top"/>
    </xf>
    <xf numFmtId="0" fontId="84" fillId="75" borderId="0" xfId="60333" applyFont="1" applyFill="1" applyBorder="1" applyAlignment="1">
      <alignment horizontal="left"/>
    </xf>
    <xf numFmtId="0" fontId="93" fillId="75" borderId="0" xfId="0" applyFont="1" applyFill="1" applyBorder="1"/>
    <xf numFmtId="0" fontId="86" fillId="75" borderId="0" xfId="0" applyFont="1" applyFill="1" applyBorder="1" applyAlignment="1">
      <alignment horizontal="left"/>
    </xf>
    <xf numFmtId="0" fontId="15" fillId="75" borderId="0" xfId="0" applyFont="1" applyFill="1" applyBorder="1" applyAlignment="1">
      <alignment vertical="top"/>
    </xf>
    <xf numFmtId="0" fontId="15" fillId="75" borderId="0" xfId="0" applyFont="1" applyFill="1" applyBorder="1" applyAlignment="1">
      <alignment vertical="top" wrapText="1"/>
    </xf>
    <xf numFmtId="0" fontId="41" fillId="75" borderId="1" xfId="3" applyFont="1" applyFill="1" applyBorder="1" applyAlignment="1">
      <alignment vertical="top"/>
    </xf>
    <xf numFmtId="0" fontId="41" fillId="0" borderId="0" xfId="0" applyFont="1" applyFill="1" applyBorder="1"/>
    <xf numFmtId="0" fontId="41" fillId="75" borderId="31" xfId="0" applyFont="1" applyFill="1" applyBorder="1" applyAlignment="1">
      <alignment horizontal="center" vertical="center" wrapText="1"/>
    </xf>
    <xf numFmtId="0" fontId="41" fillId="75" borderId="31" xfId="0" applyNumberFormat="1" applyFont="1" applyFill="1" applyBorder="1" applyAlignment="1">
      <alignment horizontal="center" vertical="center" wrapText="1"/>
    </xf>
    <xf numFmtId="1" fontId="41" fillId="75" borderId="31" xfId="0" applyNumberFormat="1" applyFont="1" applyFill="1" applyBorder="1" applyAlignment="1">
      <alignment horizontal="center" vertical="center" wrapText="1"/>
    </xf>
    <xf numFmtId="0" fontId="41" fillId="0" borderId="31" xfId="0" applyNumberFormat="1" applyFont="1" applyFill="1" applyBorder="1" applyAlignment="1">
      <alignment horizontal="left" vertical="center" wrapText="1"/>
    </xf>
    <xf numFmtId="0" fontId="41" fillId="75" borderId="31" xfId="0" applyNumberFormat="1" applyFont="1" applyFill="1" applyBorder="1" applyAlignment="1">
      <alignment horizontal="left" vertical="center" wrapText="1"/>
    </xf>
    <xf numFmtId="49" fontId="41" fillId="75" borderId="31" xfId="0" applyNumberFormat="1" applyFont="1" applyFill="1" applyBorder="1" applyAlignment="1">
      <alignment horizontal="left" vertical="center" wrapText="1"/>
    </xf>
    <xf numFmtId="4" fontId="41" fillId="75" borderId="31" xfId="60332" applyNumberFormat="1" applyFont="1" applyFill="1" applyBorder="1" applyAlignment="1">
      <alignment horizontal="center" vertical="center"/>
    </xf>
    <xf numFmtId="164" fontId="41" fillId="75" borderId="31" xfId="0" applyNumberFormat="1" applyFont="1" applyFill="1" applyBorder="1" applyAlignment="1">
      <alignment horizontal="center" vertical="center"/>
    </xf>
    <xf numFmtId="186" fontId="41" fillId="75" borderId="31" xfId="0" applyNumberFormat="1" applyFont="1" applyFill="1" applyBorder="1" applyAlignment="1">
      <alignment horizontal="center" vertical="center"/>
    </xf>
    <xf numFmtId="4" fontId="41" fillId="75" borderId="31" xfId="0" applyNumberFormat="1" applyFont="1" applyFill="1" applyBorder="1" applyAlignment="1">
      <alignment horizontal="center" vertical="center"/>
    </xf>
    <xf numFmtId="4" fontId="41" fillId="75" borderId="31" xfId="0" applyNumberFormat="1" applyFont="1" applyFill="1" applyBorder="1" applyAlignment="1">
      <alignment horizontal="center" vertical="center" wrapText="1"/>
    </xf>
    <xf numFmtId="4" fontId="41" fillId="0" borderId="31" xfId="60332" applyNumberFormat="1" applyFont="1" applyFill="1" applyBorder="1" applyAlignment="1">
      <alignment horizontal="center" vertical="center"/>
    </xf>
    <xf numFmtId="4" fontId="41" fillId="0" borderId="31" xfId="0" applyNumberFormat="1" applyFont="1" applyFill="1" applyBorder="1" applyAlignment="1">
      <alignment horizontal="center" vertical="center" wrapText="1"/>
    </xf>
    <xf numFmtId="14" fontId="41" fillId="75" borderId="31" xfId="0" applyNumberFormat="1" applyFont="1" applyFill="1" applyBorder="1" applyAlignment="1">
      <alignment horizontal="center" vertical="center"/>
    </xf>
    <xf numFmtId="165" fontId="41" fillId="75" borderId="31" xfId="0" applyNumberFormat="1" applyFont="1" applyFill="1" applyBorder="1" applyAlignment="1">
      <alignment horizontal="center" vertical="center" wrapText="1"/>
    </xf>
    <xf numFmtId="3" fontId="41" fillId="75" borderId="31" xfId="0" applyNumberFormat="1" applyFont="1" applyFill="1" applyBorder="1" applyAlignment="1">
      <alignment horizontal="center" vertical="center" wrapText="1"/>
    </xf>
    <xf numFmtId="164" fontId="41" fillId="0" borderId="1" xfId="0" applyNumberFormat="1" applyFont="1" applyFill="1" applyBorder="1" applyAlignment="1">
      <alignment horizontal="center" vertical="center"/>
    </xf>
    <xf numFmtId="0" fontId="41" fillId="75" borderId="32" xfId="0" applyFont="1" applyFill="1" applyBorder="1" applyAlignment="1">
      <alignment horizontal="center" vertical="center" wrapText="1"/>
    </xf>
    <xf numFmtId="0" fontId="41" fillId="75" borderId="32" xfId="0" applyNumberFormat="1" applyFont="1" applyFill="1" applyBorder="1" applyAlignment="1">
      <alignment horizontal="center" vertical="center" wrapText="1"/>
    </xf>
    <xf numFmtId="1" fontId="41" fillId="75" borderId="32" xfId="0" applyNumberFormat="1" applyFont="1" applyFill="1" applyBorder="1" applyAlignment="1">
      <alignment horizontal="center" vertical="center" wrapText="1"/>
    </xf>
    <xf numFmtId="0" fontId="41" fillId="0" borderId="32" xfId="0" applyNumberFormat="1" applyFont="1" applyFill="1" applyBorder="1" applyAlignment="1">
      <alignment horizontal="left" vertical="center" wrapText="1"/>
    </xf>
    <xf numFmtId="0" fontId="41" fillId="75" borderId="32" xfId="0" applyNumberFormat="1" applyFont="1" applyFill="1" applyBorder="1" applyAlignment="1">
      <alignment horizontal="left" vertical="center" wrapText="1"/>
    </xf>
    <xf numFmtId="49" fontId="41" fillId="75" borderId="32" xfId="0" applyNumberFormat="1" applyFont="1" applyFill="1" applyBorder="1" applyAlignment="1">
      <alignment horizontal="left" vertical="center" wrapText="1"/>
    </xf>
    <xf numFmtId="4" fontId="41" fillId="75" borderId="32" xfId="60332" applyNumberFormat="1" applyFont="1" applyFill="1" applyBorder="1" applyAlignment="1">
      <alignment horizontal="center" vertical="center"/>
    </xf>
    <xf numFmtId="164" fontId="41" fillId="75" borderId="32" xfId="0" applyNumberFormat="1" applyFont="1" applyFill="1" applyBorder="1" applyAlignment="1">
      <alignment horizontal="center" vertical="center"/>
    </xf>
    <xf numFmtId="186" fontId="41" fillId="75" borderId="32" xfId="0" applyNumberFormat="1" applyFont="1" applyFill="1" applyBorder="1" applyAlignment="1">
      <alignment horizontal="center" vertical="center"/>
    </xf>
    <xf numFmtId="4" fontId="41" fillId="75" borderId="32" xfId="0" applyNumberFormat="1" applyFont="1" applyFill="1" applyBorder="1" applyAlignment="1">
      <alignment horizontal="center" vertical="center"/>
    </xf>
    <xf numFmtId="4" fontId="41" fillId="75" borderId="32" xfId="0" applyNumberFormat="1" applyFont="1" applyFill="1" applyBorder="1" applyAlignment="1">
      <alignment horizontal="center" vertical="center" wrapText="1"/>
    </xf>
    <xf numFmtId="4" fontId="41" fillId="0" borderId="32" xfId="60332" applyNumberFormat="1" applyFont="1" applyFill="1" applyBorder="1" applyAlignment="1">
      <alignment horizontal="center" vertical="center"/>
    </xf>
    <xf numFmtId="4" fontId="41" fillId="0" borderId="32" xfId="0" applyNumberFormat="1" applyFont="1" applyFill="1" applyBorder="1" applyAlignment="1">
      <alignment horizontal="center" vertical="center" wrapText="1"/>
    </xf>
    <xf numFmtId="14" fontId="41" fillId="75" borderId="32" xfId="0" applyNumberFormat="1" applyFont="1" applyFill="1" applyBorder="1" applyAlignment="1">
      <alignment horizontal="center" vertical="center"/>
    </xf>
    <xf numFmtId="165" fontId="41" fillId="75" borderId="32" xfId="0" applyNumberFormat="1" applyFont="1" applyFill="1" applyBorder="1" applyAlignment="1">
      <alignment horizontal="center" vertical="center" wrapText="1"/>
    </xf>
    <xf numFmtId="3" fontId="41" fillId="75" borderId="32" xfId="0" applyNumberFormat="1" applyFont="1" applyFill="1" applyBorder="1" applyAlignment="1">
      <alignment horizontal="center" vertical="center" wrapText="1"/>
    </xf>
    <xf numFmtId="0" fontId="41" fillId="76" borderId="31" xfId="0" applyFont="1" applyFill="1" applyBorder="1" applyAlignment="1">
      <alignment horizontal="center" vertical="center" wrapText="1"/>
    </xf>
    <xf numFmtId="0" fontId="41" fillId="76" borderId="31" xfId="0" applyNumberFormat="1" applyFont="1" applyFill="1" applyBorder="1" applyAlignment="1">
      <alignment horizontal="center" vertical="center" wrapText="1"/>
    </xf>
    <xf numFmtId="1" fontId="41" fillId="76" borderId="31" xfId="0" applyNumberFormat="1" applyFont="1" applyFill="1" applyBorder="1" applyAlignment="1">
      <alignment horizontal="center" vertical="center" wrapText="1"/>
    </xf>
    <xf numFmtId="0" fontId="41" fillId="76" borderId="31" xfId="0" applyNumberFormat="1" applyFont="1" applyFill="1" applyBorder="1" applyAlignment="1">
      <alignment horizontal="left" vertical="center" wrapText="1"/>
    </xf>
    <xf numFmtId="49" fontId="41" fillId="76" borderId="31" xfId="0" applyNumberFormat="1" applyFont="1" applyFill="1" applyBorder="1" applyAlignment="1">
      <alignment horizontal="left" vertical="center" wrapText="1"/>
    </xf>
    <xf numFmtId="4" fontId="41" fillId="76" borderId="31" xfId="60332" applyNumberFormat="1" applyFont="1" applyFill="1" applyBorder="1" applyAlignment="1">
      <alignment horizontal="center" vertical="center"/>
    </xf>
    <xf numFmtId="164" fontId="41" fillId="76" borderId="31" xfId="0" applyNumberFormat="1" applyFont="1" applyFill="1" applyBorder="1" applyAlignment="1">
      <alignment horizontal="center" vertical="center"/>
    </xf>
    <xf numFmtId="164" fontId="41" fillId="76" borderId="33" xfId="0" applyNumberFormat="1" applyFont="1" applyFill="1" applyBorder="1" applyAlignment="1">
      <alignment horizontal="center" vertical="center"/>
    </xf>
    <xf numFmtId="186" fontId="41" fillId="76" borderId="33" xfId="0" applyNumberFormat="1" applyFont="1" applyFill="1" applyBorder="1" applyAlignment="1">
      <alignment horizontal="center" vertical="center"/>
    </xf>
    <xf numFmtId="4" fontId="41" fillId="76" borderId="31" xfId="0" applyNumberFormat="1" applyFont="1" applyFill="1" applyBorder="1" applyAlignment="1">
      <alignment horizontal="center" vertical="center"/>
    </xf>
    <xf numFmtId="4" fontId="41" fillId="76" borderId="31" xfId="0" applyNumberFormat="1" applyFont="1" applyFill="1" applyBorder="1" applyAlignment="1">
      <alignment horizontal="center" vertical="center" wrapText="1"/>
    </xf>
    <xf numFmtId="14" fontId="41" fillId="76" borderId="31" xfId="0" applyNumberFormat="1" applyFont="1" applyFill="1" applyBorder="1" applyAlignment="1">
      <alignment horizontal="center" vertical="center"/>
    </xf>
    <xf numFmtId="165" fontId="41" fillId="76" borderId="31" xfId="0" applyNumberFormat="1" applyFont="1" applyFill="1" applyBorder="1" applyAlignment="1">
      <alignment horizontal="center" vertical="center" wrapText="1"/>
    </xf>
    <xf numFmtId="3" fontId="41" fillId="76" borderId="31" xfId="0" applyNumberFormat="1" applyFont="1" applyFill="1" applyBorder="1" applyAlignment="1">
      <alignment horizontal="center" vertical="center" wrapText="1"/>
    </xf>
    <xf numFmtId="0" fontId="41" fillId="81" borderId="32" xfId="0" applyFont="1" applyFill="1" applyBorder="1" applyAlignment="1">
      <alignment horizontal="center" vertical="center"/>
    </xf>
    <xf numFmtId="0" fontId="41" fillId="81" borderId="32" xfId="0" applyFont="1" applyFill="1" applyBorder="1" applyAlignment="1">
      <alignment horizontal="center" vertical="center" wrapText="1"/>
    </xf>
    <xf numFmtId="1" fontId="41" fillId="81" borderId="32" xfId="0" applyNumberFormat="1" applyFont="1" applyFill="1" applyBorder="1" applyAlignment="1">
      <alignment horizontal="center" vertical="center"/>
    </xf>
    <xf numFmtId="0" fontId="41" fillId="81" borderId="32" xfId="0" applyNumberFormat="1" applyFont="1" applyFill="1" applyBorder="1" applyAlignment="1">
      <alignment horizontal="left" vertical="center" wrapText="1"/>
    </xf>
    <xf numFmtId="4" fontId="41" fillId="81" borderId="32" xfId="0" applyNumberFormat="1" applyFont="1" applyFill="1" applyBorder="1" applyAlignment="1">
      <alignment horizontal="center" vertical="center"/>
    </xf>
    <xf numFmtId="0" fontId="41" fillId="81" borderId="32" xfId="60332" applyNumberFormat="1" applyFont="1" applyFill="1" applyBorder="1" applyAlignment="1">
      <alignment horizontal="center" vertical="center" wrapText="1"/>
    </xf>
    <xf numFmtId="164" fontId="41" fillId="81" borderId="32" xfId="60332" applyNumberFormat="1" applyFont="1" applyFill="1" applyBorder="1" applyAlignment="1">
      <alignment horizontal="center" vertical="center"/>
    </xf>
    <xf numFmtId="164" fontId="41" fillId="81" borderId="32" xfId="60332" applyNumberFormat="1" applyFont="1" applyFill="1" applyBorder="1" applyAlignment="1">
      <alignment horizontal="center" vertical="center" wrapText="1"/>
    </xf>
    <xf numFmtId="186" fontId="41" fillId="81" borderId="32" xfId="0" applyNumberFormat="1" applyFont="1" applyFill="1" applyBorder="1" applyAlignment="1">
      <alignment horizontal="center" vertical="center"/>
    </xf>
    <xf numFmtId="4" fontId="41" fillId="81" borderId="32" xfId="60332" applyNumberFormat="1" applyFont="1" applyFill="1" applyBorder="1" applyAlignment="1">
      <alignment horizontal="center" vertical="center"/>
    </xf>
    <xf numFmtId="4" fontId="41" fillId="81" borderId="32" xfId="0" applyNumberFormat="1" applyFont="1" applyFill="1" applyBorder="1" applyAlignment="1">
      <alignment horizontal="center" vertical="center" wrapText="1"/>
    </xf>
    <xf numFmtId="4" fontId="41" fillId="0" borderId="32" xfId="0" applyNumberFormat="1" applyFont="1" applyFill="1" applyBorder="1" applyAlignment="1">
      <alignment horizontal="center" vertical="center"/>
    </xf>
    <xf numFmtId="14" fontId="41" fillId="81" borderId="32" xfId="0" applyNumberFormat="1" applyFont="1" applyFill="1" applyBorder="1" applyAlignment="1">
      <alignment horizontal="center" vertical="center"/>
    </xf>
    <xf numFmtId="4" fontId="41" fillId="81" borderId="32" xfId="0" applyNumberFormat="1" applyFont="1" applyFill="1" applyBorder="1" applyAlignment="1">
      <alignment horizontal="left" vertical="center" wrapText="1"/>
    </xf>
    <xf numFmtId="1" fontId="41" fillId="81" borderId="32" xfId="0" applyNumberFormat="1" applyFont="1" applyFill="1" applyBorder="1" applyAlignment="1">
      <alignment horizontal="center" vertical="center" wrapText="1"/>
    </xf>
    <xf numFmtId="0" fontId="41" fillId="81" borderId="32" xfId="0" applyFont="1" applyFill="1" applyBorder="1" applyAlignment="1">
      <alignment horizontal="left" vertical="center" wrapText="1"/>
    </xf>
    <xf numFmtId="9" fontId="41" fillId="81" borderId="32" xfId="0" applyNumberFormat="1" applyFont="1" applyFill="1" applyBorder="1" applyAlignment="1">
      <alignment horizontal="center" vertical="center" wrapText="1"/>
    </xf>
    <xf numFmtId="3" fontId="41" fillId="81" borderId="32" xfId="0" applyNumberFormat="1" applyFont="1" applyFill="1" applyBorder="1" applyAlignment="1">
      <alignment horizontal="left" vertical="center" wrapText="1"/>
    </xf>
    <xf numFmtId="165" fontId="41" fillId="81" borderId="32" xfId="0" applyNumberFormat="1" applyFont="1" applyFill="1" applyBorder="1" applyAlignment="1">
      <alignment horizontal="left" vertical="center" wrapText="1"/>
    </xf>
    <xf numFmtId="165" fontId="41" fillId="81" borderId="32" xfId="0" applyNumberFormat="1" applyFont="1" applyFill="1" applyBorder="1" applyAlignment="1">
      <alignment horizontal="center" vertical="center"/>
    </xf>
    <xf numFmtId="0" fontId="41" fillId="0" borderId="31" xfId="0" applyFont="1" applyFill="1" applyBorder="1" applyAlignment="1">
      <alignment horizontal="center" vertical="center" wrapText="1"/>
    </xf>
    <xf numFmtId="0" fontId="41" fillId="0" borderId="31" xfId="0" applyNumberFormat="1" applyFont="1" applyFill="1" applyBorder="1" applyAlignment="1">
      <alignment horizontal="center" vertical="center" wrapText="1"/>
    </xf>
    <xf numFmtId="1" fontId="41" fillId="0" borderId="31" xfId="0" applyNumberFormat="1" applyFont="1" applyFill="1" applyBorder="1" applyAlignment="1">
      <alignment horizontal="center" vertical="center" wrapText="1"/>
    </xf>
    <xf numFmtId="49" fontId="41" fillId="0" borderId="31" xfId="0" applyNumberFormat="1" applyFont="1" applyFill="1" applyBorder="1" applyAlignment="1">
      <alignment horizontal="left" vertical="center" wrapText="1"/>
    </xf>
    <xf numFmtId="164" fontId="41" fillId="0" borderId="31" xfId="0" applyNumberFormat="1" applyFont="1" applyFill="1" applyBorder="1" applyAlignment="1">
      <alignment horizontal="center" vertical="center"/>
    </xf>
    <xf numFmtId="186" fontId="41" fillId="0" borderId="31" xfId="0" applyNumberFormat="1" applyFont="1" applyFill="1" applyBorder="1" applyAlignment="1">
      <alignment horizontal="center" vertical="center"/>
    </xf>
    <xf numFmtId="4" fontId="41" fillId="0" borderId="31" xfId="0" applyNumberFormat="1" applyFont="1" applyFill="1" applyBorder="1" applyAlignment="1">
      <alignment horizontal="center" vertical="center"/>
    </xf>
    <xf numFmtId="14" fontId="41" fillId="0" borderId="31" xfId="0" applyNumberFormat="1" applyFont="1" applyFill="1" applyBorder="1" applyAlignment="1">
      <alignment horizontal="center" vertical="center"/>
    </xf>
    <xf numFmtId="165" fontId="41" fillId="0" borderId="31" xfId="0" applyNumberFormat="1" applyFont="1" applyFill="1" applyBorder="1" applyAlignment="1">
      <alignment horizontal="center" vertical="center" wrapText="1"/>
    </xf>
    <xf numFmtId="3" fontId="41" fillId="0" borderId="31" xfId="0" applyNumberFormat="1" applyFont="1" applyFill="1" applyBorder="1" applyAlignment="1">
      <alignment horizontal="center" vertical="center" wrapText="1"/>
    </xf>
    <xf numFmtId="0" fontId="41" fillId="0" borderId="32" xfId="0" applyFont="1" applyFill="1" applyBorder="1" applyAlignment="1">
      <alignment horizontal="center" vertical="center" wrapText="1"/>
    </xf>
    <xf numFmtId="0" fontId="41" fillId="0" borderId="32" xfId="0" applyNumberFormat="1" applyFont="1" applyFill="1" applyBorder="1" applyAlignment="1">
      <alignment horizontal="center" vertical="center" wrapText="1"/>
    </xf>
    <xf numFmtId="1" fontId="41" fillId="0" borderId="32" xfId="0" applyNumberFormat="1" applyFont="1" applyFill="1" applyBorder="1" applyAlignment="1">
      <alignment horizontal="center" vertical="center" wrapText="1"/>
    </xf>
    <xf numFmtId="49" fontId="41" fillId="0" borderId="32" xfId="0" applyNumberFormat="1" applyFont="1" applyFill="1" applyBorder="1" applyAlignment="1">
      <alignment horizontal="left" vertical="center" wrapText="1"/>
    </xf>
    <xf numFmtId="164" fontId="41" fillId="0" borderId="32" xfId="0" applyNumberFormat="1" applyFont="1" applyFill="1" applyBorder="1" applyAlignment="1">
      <alignment horizontal="center" vertical="center"/>
    </xf>
    <xf numFmtId="186" fontId="41" fillId="0" borderId="32" xfId="0" applyNumberFormat="1" applyFont="1" applyFill="1" applyBorder="1" applyAlignment="1">
      <alignment horizontal="center" vertical="center"/>
    </xf>
    <xf numFmtId="14" fontId="41" fillId="0" borderId="32" xfId="0" applyNumberFormat="1" applyFont="1" applyFill="1" applyBorder="1" applyAlignment="1">
      <alignment horizontal="center" vertical="center"/>
    </xf>
    <xf numFmtId="165" fontId="41" fillId="0" borderId="32" xfId="0" applyNumberFormat="1" applyFont="1" applyFill="1" applyBorder="1" applyAlignment="1">
      <alignment horizontal="center" vertical="center" wrapText="1"/>
    </xf>
    <xf numFmtId="3" fontId="41" fillId="0" borderId="32" xfId="0" applyNumberFormat="1" applyFont="1" applyFill="1" applyBorder="1" applyAlignment="1">
      <alignment horizontal="center" vertical="center" wrapText="1"/>
    </xf>
    <xf numFmtId="0" fontId="108" fillId="82" borderId="32" xfId="0" applyFont="1" applyFill="1" applyBorder="1" applyAlignment="1">
      <alignment horizontal="center" vertical="center" wrapText="1"/>
    </xf>
    <xf numFmtId="0" fontId="41" fillId="81" borderId="32" xfId="0" applyNumberFormat="1" applyFont="1" applyFill="1" applyBorder="1" applyAlignment="1">
      <alignment horizontal="center" vertical="center" wrapText="1"/>
    </xf>
    <xf numFmtId="49" fontId="41" fillId="81" borderId="32" xfId="60334" applyNumberFormat="1" applyFont="1" applyFill="1" applyBorder="1" applyAlignment="1">
      <alignment horizontal="left" vertical="center" wrapText="1"/>
    </xf>
    <xf numFmtId="0" fontId="41" fillId="81" borderId="32" xfId="60334" applyNumberFormat="1" applyFont="1" applyFill="1" applyBorder="1" applyAlignment="1">
      <alignment horizontal="left" vertical="center" wrapText="1"/>
    </xf>
    <xf numFmtId="165" fontId="41" fillId="81" borderId="32" xfId="0" applyNumberFormat="1" applyFont="1" applyFill="1" applyBorder="1" applyAlignment="1">
      <alignment horizontal="center" vertical="center" wrapText="1"/>
    </xf>
    <xf numFmtId="3" fontId="41" fillId="81" borderId="32" xfId="0" applyNumberFormat="1" applyFont="1" applyFill="1" applyBorder="1" applyAlignment="1">
      <alignment horizontal="center" vertical="center" wrapText="1"/>
    </xf>
    <xf numFmtId="186" fontId="41" fillId="75" borderId="32" xfId="0" applyNumberFormat="1" applyFont="1" applyFill="1" applyBorder="1" applyAlignment="1">
      <alignment vertical="center"/>
    </xf>
    <xf numFmtId="188" fontId="41" fillId="75" borderId="32" xfId="0" applyNumberFormat="1" applyFont="1" applyFill="1" applyBorder="1" applyAlignment="1">
      <alignment horizontal="center" vertical="center"/>
    </xf>
    <xf numFmtId="0" fontId="41" fillId="75" borderId="32" xfId="0" applyFont="1" applyFill="1" applyBorder="1" applyAlignment="1">
      <alignment horizontal="left" vertical="center" wrapText="1"/>
    </xf>
    <xf numFmtId="0" fontId="41" fillId="75" borderId="32" xfId="0" applyFont="1" applyFill="1" applyBorder="1" applyAlignment="1">
      <alignment horizontal="center" vertical="center"/>
    </xf>
    <xf numFmtId="9" fontId="41" fillId="75" borderId="32" xfId="0" applyNumberFormat="1" applyFont="1" applyFill="1" applyBorder="1" applyAlignment="1">
      <alignment horizontal="center" vertical="center" wrapText="1"/>
    </xf>
    <xf numFmtId="3" fontId="41" fillId="75" borderId="32" xfId="0" applyNumberFormat="1" applyFont="1" applyFill="1" applyBorder="1" applyAlignment="1">
      <alignment horizontal="left" vertical="center" wrapText="1"/>
    </xf>
    <xf numFmtId="165" fontId="41" fillId="75" borderId="32" xfId="0" applyNumberFormat="1" applyFont="1" applyFill="1" applyBorder="1" applyAlignment="1">
      <alignment horizontal="center" vertical="center"/>
    </xf>
    <xf numFmtId="3" fontId="41" fillId="75" borderId="32" xfId="0" applyNumberFormat="1" applyFont="1" applyFill="1" applyBorder="1" applyAlignment="1">
      <alignment horizontal="center" vertical="center"/>
    </xf>
    <xf numFmtId="188" fontId="41" fillId="0" borderId="1" xfId="0" applyNumberFormat="1" applyFont="1" applyFill="1" applyBorder="1" applyAlignment="1">
      <alignment horizontal="center" vertical="center"/>
    </xf>
    <xf numFmtId="1" fontId="41" fillId="0" borderId="1" xfId="0" applyNumberFormat="1" applyFont="1" applyFill="1" applyBorder="1" applyAlignment="1">
      <alignment horizontal="center" vertical="top" wrapText="1"/>
    </xf>
    <xf numFmtId="0" fontId="41" fillId="75" borderId="1" xfId="60334" applyNumberFormat="1" applyFont="1" applyFill="1" applyBorder="1" applyAlignment="1">
      <alignment vertical="top" wrapText="1"/>
    </xf>
    <xf numFmtId="4" fontId="41" fillId="0" borderId="1" xfId="0" applyNumberFormat="1" applyFont="1" applyFill="1" applyBorder="1" applyAlignment="1">
      <alignment horizontal="center" vertical="top" wrapText="1"/>
    </xf>
    <xf numFmtId="0" fontId="88" fillId="75" borderId="1" xfId="0" applyNumberFormat="1" applyFont="1" applyFill="1" applyBorder="1" applyAlignment="1">
      <alignment horizontal="center" vertical="top" wrapText="1"/>
    </xf>
    <xf numFmtId="165" fontId="41" fillId="75" borderId="1" xfId="0" applyNumberFormat="1" applyFont="1" applyFill="1" applyBorder="1" applyAlignment="1">
      <alignment horizontal="center" vertical="top" wrapText="1"/>
    </xf>
    <xf numFmtId="0" fontId="41" fillId="75" borderId="1" xfId="60334" applyNumberFormat="1" applyFont="1" applyFill="1" applyBorder="1" applyAlignment="1" applyProtection="1">
      <alignment vertical="top" wrapText="1"/>
      <protection locked="0"/>
    </xf>
    <xf numFmtId="188" fontId="41" fillId="0" borderId="1" xfId="0" applyNumberFormat="1" applyFont="1" applyFill="1" applyBorder="1" applyAlignment="1">
      <alignment horizontal="center" vertical="top" wrapText="1"/>
    </xf>
    <xf numFmtId="0" fontId="41" fillId="75" borderId="1" xfId="0" applyNumberFormat="1" applyFont="1" applyFill="1" applyBorder="1" applyAlignment="1">
      <alignment vertical="top" wrapText="1"/>
    </xf>
    <xf numFmtId="0" fontId="41" fillId="75" borderId="1" xfId="60334" applyNumberFormat="1" applyFont="1" applyFill="1" applyBorder="1" applyAlignment="1">
      <alignment horizontal="center" vertical="top" wrapText="1"/>
    </xf>
    <xf numFmtId="0" fontId="88" fillId="75" borderId="1" xfId="0" applyFont="1" applyFill="1" applyBorder="1" applyAlignment="1">
      <alignment horizontal="center" vertical="top" wrapText="1"/>
    </xf>
    <xf numFmtId="0" fontId="41" fillId="0" borderId="1" xfId="0" applyFont="1" applyBorder="1" applyAlignment="1">
      <alignment horizontal="center" vertical="top" wrapText="1"/>
    </xf>
    <xf numFmtId="188" fontId="41" fillId="0" borderId="1" xfId="0" applyNumberFormat="1" applyFont="1" applyBorder="1" applyAlignment="1">
      <alignment horizontal="center" vertical="top" wrapText="1"/>
    </xf>
    <xf numFmtId="1" fontId="41" fillId="0" borderId="1" xfId="59116" applyNumberFormat="1" applyFont="1" applyFill="1" applyBorder="1" applyAlignment="1">
      <alignment horizontal="center" vertical="top" wrapText="1"/>
    </xf>
    <xf numFmtId="3" fontId="41" fillId="75" borderId="1" xfId="8" applyNumberFormat="1" applyFont="1" applyFill="1" applyBorder="1" applyAlignment="1" applyProtection="1">
      <alignment vertical="top" wrapText="1"/>
      <protection locked="0"/>
    </xf>
    <xf numFmtId="3" fontId="41" fillId="0" borderId="1" xfId="8" applyNumberFormat="1" applyFont="1" applyFill="1" applyBorder="1" applyAlignment="1" applyProtection="1">
      <alignment horizontal="center" vertical="top" wrapText="1"/>
      <protection locked="0"/>
    </xf>
    <xf numFmtId="165" fontId="41" fillId="0" borderId="1" xfId="0" applyNumberFormat="1" applyFont="1" applyBorder="1" applyAlignment="1">
      <alignment horizontal="center" vertical="top" wrapText="1"/>
    </xf>
    <xf numFmtId="2" fontId="41" fillId="0" borderId="1" xfId="9" applyNumberFormat="1" applyFont="1" applyFill="1" applyBorder="1" applyAlignment="1">
      <alignment horizontal="center" vertical="top" wrapText="1"/>
    </xf>
    <xf numFmtId="186" fontId="41" fillId="0" borderId="1" xfId="0" applyNumberFormat="1" applyFont="1" applyFill="1" applyBorder="1" applyAlignment="1">
      <alignment horizontal="center" vertical="top" wrapText="1"/>
    </xf>
    <xf numFmtId="0" fontId="41" fillId="75" borderId="0" xfId="0" applyFont="1" applyFill="1" applyBorder="1" applyAlignment="1">
      <alignment horizontal="center" vertical="top" wrapText="1"/>
    </xf>
    <xf numFmtId="0" fontId="41" fillId="0" borderId="1" xfId="60334" applyNumberFormat="1" applyFont="1" applyFill="1" applyBorder="1" applyAlignment="1" applyProtection="1">
      <alignment horizontal="center" vertical="top" wrapText="1"/>
      <protection locked="0"/>
    </xf>
    <xf numFmtId="0" fontId="41" fillId="75" borderId="1" xfId="59116" applyFont="1" applyFill="1" applyBorder="1" applyAlignment="1" applyProtection="1">
      <alignment vertical="top" wrapText="1"/>
      <protection locked="0"/>
    </xf>
    <xf numFmtId="0" fontId="41" fillId="0" borderId="1" xfId="59116" applyFont="1" applyFill="1" applyBorder="1" applyAlignment="1" applyProtection="1">
      <alignment horizontal="center" vertical="top" wrapText="1"/>
      <protection locked="0"/>
    </xf>
    <xf numFmtId="0" fontId="86" fillId="0" borderId="1" xfId="0" applyFont="1" applyFill="1" applyBorder="1" applyAlignment="1" applyProtection="1">
      <alignment horizontal="center" vertical="top" wrapText="1"/>
      <protection locked="0"/>
    </xf>
    <xf numFmtId="165" fontId="41" fillId="0" borderId="1" xfId="0" applyNumberFormat="1" applyFont="1" applyFill="1" applyBorder="1" applyAlignment="1" applyProtection="1">
      <alignment horizontal="center" vertical="top" wrapText="1"/>
      <protection locked="0"/>
    </xf>
    <xf numFmtId="14" fontId="41" fillId="0" borderId="1" xfId="59116" applyNumberFormat="1" applyFont="1" applyFill="1" applyBorder="1" applyAlignment="1">
      <alignment horizontal="center" vertical="top" wrapText="1"/>
    </xf>
    <xf numFmtId="3" fontId="84" fillId="75" borderId="1" xfId="0" applyNumberFormat="1" applyFont="1" applyFill="1" applyBorder="1" applyAlignment="1">
      <alignment vertical="top" wrapText="1"/>
    </xf>
    <xf numFmtId="3" fontId="41" fillId="0" borderId="1" xfId="0" applyNumberFormat="1" applyFont="1" applyFill="1" applyBorder="1" applyAlignment="1">
      <alignment horizontal="center" vertical="top" wrapText="1"/>
    </xf>
    <xf numFmtId="165" fontId="41" fillId="0" borderId="1" xfId="0" applyNumberFormat="1" applyFont="1" applyFill="1" applyBorder="1" applyAlignment="1">
      <alignment horizontal="center" vertical="top" wrapText="1"/>
    </xf>
    <xf numFmtId="1" fontId="41" fillId="0" borderId="1" xfId="59049" applyNumberFormat="1" applyFont="1" applyFill="1" applyBorder="1" applyAlignment="1" applyProtection="1">
      <alignment horizontal="center" vertical="top" wrapText="1"/>
    </xf>
    <xf numFmtId="1" fontId="41" fillId="75" borderId="1" xfId="59049" applyNumberFormat="1" applyFont="1" applyFill="1" applyBorder="1" applyAlignment="1" applyProtection="1">
      <alignment vertical="top" wrapText="1"/>
    </xf>
    <xf numFmtId="49" fontId="41" fillId="0" borderId="1" xfId="60334" applyNumberFormat="1" applyFont="1" applyFill="1" applyBorder="1" applyAlignment="1">
      <alignment horizontal="center" vertical="top" wrapText="1"/>
    </xf>
    <xf numFmtId="0" fontId="41" fillId="0" borderId="1" xfId="60334" applyNumberFormat="1" applyFont="1" applyFill="1" applyBorder="1" applyAlignment="1">
      <alignment horizontal="center" vertical="top" wrapText="1"/>
    </xf>
    <xf numFmtId="0" fontId="88" fillId="0" borderId="1" xfId="0" applyFont="1" applyFill="1" applyBorder="1" applyAlignment="1">
      <alignment horizontal="center" vertical="top" wrapText="1"/>
    </xf>
    <xf numFmtId="14" fontId="41" fillId="0" borderId="1" xfId="0" applyNumberFormat="1" applyFont="1" applyFill="1" applyBorder="1" applyAlignment="1">
      <alignment horizontal="center" vertical="top" wrapText="1"/>
    </xf>
    <xf numFmtId="165" fontId="86" fillId="0" borderId="1" xfId="0" applyNumberFormat="1" applyFont="1" applyFill="1" applyBorder="1" applyAlignment="1">
      <alignment horizontal="center" vertical="top" wrapText="1"/>
    </xf>
    <xf numFmtId="3" fontId="41" fillId="0" borderId="1" xfId="60332" applyNumberFormat="1" applyFont="1" applyFill="1" applyBorder="1" applyAlignment="1">
      <alignment horizontal="center" vertical="top" wrapText="1"/>
    </xf>
    <xf numFmtId="4" fontId="41" fillId="0" borderId="1" xfId="59049" applyNumberFormat="1" applyFont="1" applyFill="1" applyBorder="1" applyAlignment="1" applyProtection="1">
      <alignment horizontal="center" vertical="top" wrapText="1"/>
    </xf>
    <xf numFmtId="49" fontId="86" fillId="0" borderId="1" xfId="0" applyNumberFormat="1" applyFont="1" applyFill="1" applyBorder="1" applyAlignment="1">
      <alignment horizontal="center" vertical="top" wrapText="1"/>
    </xf>
    <xf numFmtId="4" fontId="41" fillId="0" borderId="1" xfId="60332" applyNumberFormat="1" applyFont="1" applyFill="1" applyBorder="1" applyAlignment="1">
      <alignment horizontal="center" vertical="top"/>
    </xf>
    <xf numFmtId="0" fontId="41" fillId="0" borderId="1" xfId="0" applyNumberFormat="1" applyFont="1" applyFill="1" applyBorder="1" applyAlignment="1">
      <alignment horizontal="left" vertical="top" wrapText="1"/>
    </xf>
    <xf numFmtId="3" fontId="41" fillId="0" borderId="1" xfId="59049" applyNumberFormat="1" applyFont="1" applyFill="1" applyBorder="1" applyAlignment="1" applyProtection="1">
      <alignment horizontal="center" vertical="top" wrapText="1"/>
    </xf>
    <xf numFmtId="188" fontId="41" fillId="0" borderId="1" xfId="0" applyNumberFormat="1" applyFont="1" applyFill="1" applyBorder="1" applyAlignment="1">
      <alignment horizontal="center" vertical="top"/>
    </xf>
    <xf numFmtId="165" fontId="41" fillId="0" borderId="1" xfId="0" applyNumberFormat="1" applyFont="1" applyFill="1" applyBorder="1" applyAlignment="1">
      <alignment horizontal="center" vertical="top"/>
    </xf>
    <xf numFmtId="3" fontId="41" fillId="0" borderId="1" xfId="0" applyNumberFormat="1" applyFont="1" applyFill="1" applyBorder="1" applyAlignment="1">
      <alignment horizontal="center" vertical="top"/>
    </xf>
    <xf numFmtId="188" fontId="41" fillId="81" borderId="1" xfId="0" applyNumberFormat="1" applyFont="1" applyFill="1" applyBorder="1" applyAlignment="1">
      <alignment horizontal="center" vertical="center"/>
    </xf>
    <xf numFmtId="188" fontId="41" fillId="76" borderId="1" xfId="0" applyNumberFormat="1" applyFont="1" applyFill="1" applyBorder="1" applyAlignment="1">
      <alignment horizontal="center" vertical="center"/>
    </xf>
    <xf numFmtId="188" fontId="41" fillId="79" borderId="1" xfId="0" applyNumberFormat="1" applyFont="1" applyFill="1" applyBorder="1" applyAlignment="1">
      <alignment horizontal="center" vertical="top"/>
    </xf>
    <xf numFmtId="188" fontId="41" fillId="76" borderId="1" xfId="3" applyNumberFormat="1" applyFont="1" applyFill="1" applyBorder="1" applyAlignment="1">
      <alignment horizontal="center" vertical="top"/>
    </xf>
    <xf numFmtId="188" fontId="41" fillId="75" borderId="1" xfId="3" applyNumberFormat="1" applyFont="1" applyFill="1" applyBorder="1" applyAlignment="1">
      <alignment horizontal="center" vertical="top"/>
    </xf>
    <xf numFmtId="188" fontId="41" fillId="75" borderId="1" xfId="0" applyNumberFormat="1" applyFont="1" applyFill="1" applyBorder="1" applyAlignment="1">
      <alignment horizontal="center" vertical="top" wrapText="1"/>
    </xf>
    <xf numFmtId="188" fontId="41" fillId="0" borderId="31" xfId="0" applyNumberFormat="1" applyFont="1" applyFill="1" applyBorder="1" applyAlignment="1">
      <alignment horizontal="center" vertical="center"/>
    </xf>
    <xf numFmtId="188" fontId="41" fillId="75" borderId="31" xfId="0" applyNumberFormat="1" applyFont="1" applyFill="1" applyBorder="1" applyAlignment="1">
      <alignment horizontal="center" vertical="center"/>
    </xf>
    <xf numFmtId="188" fontId="41" fillId="75" borderId="1" xfId="0" applyNumberFormat="1" applyFont="1" applyFill="1" applyBorder="1" applyAlignment="1">
      <alignment vertical="top" wrapText="1"/>
    </xf>
    <xf numFmtId="0" fontId="96" fillId="75" borderId="0" xfId="14187" applyFont="1" applyFill="1" applyBorder="1" applyAlignment="1">
      <alignment horizontal="center" vertical="center" wrapText="1"/>
    </xf>
    <xf numFmtId="0" fontId="0" fillId="0" borderId="0" xfId="0" applyAlignment="1">
      <alignment wrapText="1"/>
    </xf>
    <xf numFmtId="0" fontId="98" fillId="80" borderId="1" xfId="25" applyFont="1" applyFill="1" applyBorder="1" applyAlignment="1" applyProtection="1">
      <alignment horizontal="center" vertical="center" wrapText="1"/>
    </xf>
    <xf numFmtId="49" fontId="85" fillId="75" borderId="1" xfId="59049" applyNumberFormat="1" applyFont="1" applyFill="1" applyBorder="1" applyAlignment="1" applyProtection="1">
      <alignment horizontal="center" vertical="center" wrapText="1"/>
      <protection locked="0"/>
    </xf>
    <xf numFmtId="182" fontId="85" fillId="75" borderId="1" xfId="59049" applyNumberFormat="1" applyFont="1" applyFill="1" applyBorder="1" applyAlignment="1" applyProtection="1">
      <alignment horizontal="center" vertical="center" wrapText="1"/>
      <protection locked="0"/>
    </xf>
    <xf numFmtId="4" fontId="85" fillId="75" borderId="1" xfId="59049" applyNumberFormat="1" applyFont="1" applyFill="1" applyBorder="1" applyAlignment="1" applyProtection="1">
      <alignment horizontal="center" vertical="center" wrapText="1"/>
      <protection locked="0"/>
    </xf>
    <xf numFmtId="0" fontId="41" fillId="0" borderId="1" xfId="0" applyFont="1" applyFill="1" applyBorder="1" applyAlignment="1" applyProtection="1">
      <alignment horizontal="center" vertical="center" wrapText="1"/>
      <protection locked="0"/>
    </xf>
    <xf numFmtId="184" fontId="41" fillId="0" borderId="1" xfId="0" applyNumberFormat="1" applyFont="1" applyFill="1" applyBorder="1" applyAlignment="1" applyProtection="1">
      <alignment horizontal="center" vertical="center" wrapText="1"/>
      <protection locked="0"/>
    </xf>
    <xf numFmtId="182" fontId="41" fillId="0" borderId="1" xfId="59049" applyNumberFormat="1" applyFont="1" applyFill="1" applyBorder="1" applyAlignment="1" applyProtection="1">
      <alignment horizontal="center" vertical="center" wrapText="1"/>
      <protection locked="0"/>
    </xf>
    <xf numFmtId="184" fontId="41" fillId="0" borderId="31" xfId="0" applyNumberFormat="1" applyFont="1" applyFill="1" applyBorder="1" applyAlignment="1" applyProtection="1">
      <alignment horizontal="center" vertical="center" wrapText="1"/>
      <protection locked="0"/>
    </xf>
    <xf numFmtId="184" fontId="41" fillId="0" borderId="32" xfId="0" applyNumberFormat="1" applyFont="1" applyFill="1" applyBorder="1" applyAlignment="1" applyProtection="1">
      <alignment horizontal="center" vertical="center" wrapText="1"/>
      <protection locked="0"/>
    </xf>
    <xf numFmtId="3" fontId="41" fillId="0" borderId="1" xfId="0" applyNumberFormat="1" applyFont="1" applyFill="1" applyBorder="1" applyAlignment="1" applyProtection="1">
      <alignment horizontal="center" vertical="center" wrapText="1"/>
      <protection locked="0"/>
    </xf>
    <xf numFmtId="165" fontId="41" fillId="0" borderId="1" xfId="0" applyNumberFormat="1" applyFont="1" applyFill="1" applyBorder="1" applyAlignment="1" applyProtection="1">
      <alignment horizontal="center" vertical="center" wrapText="1"/>
      <protection locked="0"/>
    </xf>
    <xf numFmtId="49" fontId="41" fillId="0" borderId="1" xfId="59049" applyNumberFormat="1" applyFont="1" applyFill="1" applyBorder="1" applyAlignment="1" applyProtection="1">
      <alignment horizontal="center" vertical="center" wrapText="1"/>
      <protection locked="0"/>
    </xf>
    <xf numFmtId="49" fontId="41" fillId="0" borderId="1" xfId="0" applyNumberFormat="1" applyFont="1" applyFill="1" applyBorder="1" applyAlignment="1" applyProtection="1">
      <alignment horizontal="center" vertical="center" wrapText="1"/>
      <protection locked="0"/>
    </xf>
    <xf numFmtId="3" fontId="41" fillId="0" borderId="1" xfId="28" applyNumberFormat="1" applyFont="1" applyFill="1" applyBorder="1" applyAlignment="1" applyProtection="1">
      <alignment horizontal="center" vertical="center" wrapText="1"/>
      <protection locked="0"/>
    </xf>
    <xf numFmtId="14" fontId="41" fillId="0" borderId="1" xfId="59049" applyNumberFormat="1" applyFont="1" applyFill="1" applyBorder="1" applyAlignment="1" applyProtection="1">
      <alignment horizontal="center" vertical="center" wrapText="1"/>
      <protection locked="0"/>
    </xf>
    <xf numFmtId="4" fontId="41" fillId="0" borderId="1" xfId="59049" applyNumberFormat="1" applyFont="1" applyFill="1" applyBorder="1" applyAlignment="1" applyProtection="1">
      <alignment horizontal="center" vertical="center" wrapText="1"/>
      <protection locked="0"/>
    </xf>
    <xf numFmtId="186" fontId="41" fillId="0" borderId="1" xfId="59049" applyNumberFormat="1" applyFont="1" applyFill="1" applyBorder="1" applyAlignment="1" applyProtection="1">
      <alignment horizontal="center" vertical="center" wrapText="1"/>
      <protection locked="0"/>
    </xf>
    <xf numFmtId="188" fontId="41" fillId="0" borderId="1" xfId="59049" applyNumberFormat="1" applyFont="1" applyFill="1" applyBorder="1" applyAlignment="1" applyProtection="1">
      <alignment horizontal="center" vertical="center" wrapText="1"/>
      <protection locked="0"/>
    </xf>
    <xf numFmtId="4" fontId="41" fillId="75" borderId="1" xfId="59049" applyNumberFormat="1" applyFont="1" applyFill="1" applyBorder="1" applyAlignment="1" applyProtection="1">
      <alignment horizontal="center" vertical="center" wrapText="1"/>
      <protection locked="0"/>
    </xf>
    <xf numFmtId="0" fontId="106" fillId="0" borderId="0" xfId="0" applyFont="1" applyFill="1" applyAlignment="1">
      <alignment horizontal="left" vertical="center" wrapText="1"/>
    </xf>
    <xf numFmtId="0" fontId="106" fillId="0" borderId="0" xfId="0" applyFont="1" applyAlignment="1">
      <alignment horizontal="left" vertical="center" wrapText="1"/>
    </xf>
    <xf numFmtId="49" fontId="106" fillId="0" borderId="0" xfId="0" applyNumberFormat="1" applyFont="1" applyAlignment="1">
      <alignment horizontal="left" vertical="center" wrapText="1"/>
    </xf>
    <xf numFmtId="49" fontId="41" fillId="0" borderId="31" xfId="59049" applyNumberFormat="1" applyFont="1" applyFill="1" applyBorder="1" applyAlignment="1" applyProtection="1">
      <alignment horizontal="center" vertical="center" wrapText="1"/>
      <protection locked="0"/>
    </xf>
    <xf numFmtId="49" fontId="41" fillId="0" borderId="33" xfId="59049" applyNumberFormat="1" applyFont="1" applyFill="1" applyBorder="1" applyAlignment="1" applyProtection="1">
      <alignment horizontal="center" vertical="center" wrapText="1"/>
      <protection locked="0"/>
    </xf>
    <xf numFmtId="49" fontId="41" fillId="0" borderId="32" xfId="59049" applyNumberFormat="1" applyFont="1" applyFill="1" applyBorder="1" applyAlignment="1" applyProtection="1">
      <alignment horizontal="center" vertical="center" wrapText="1"/>
      <protection locked="0"/>
    </xf>
  </cellXfs>
  <cellStyles count="60339">
    <cellStyle name=" 1" xfId="1"/>
    <cellStyle name=" 1 2" xfId="2"/>
    <cellStyle name="_149_942 - Отчет об исполнении ГКПЗ ОАО АЭК Комиэнерго за 2006 год" xfId="41"/>
    <cellStyle name="_149_942 - Отчет об исполнении ГКПЗ ОАО АЭК Комиэнерго за 2006 год 2" xfId="42"/>
    <cellStyle name="_149_942 - Отчет об исполнении ГКПЗ ОАО АЭК Комиэнерго за 2006 год 2 2" xfId="30553"/>
    <cellStyle name="_149_942 - Отчет об исполнении ГКПЗ ОАО АЭК Комиэнерго за 2006 год 3" xfId="30554"/>
    <cellStyle name="_Альбом  от 25.08.06 недействующая редакция" xfId="43"/>
    <cellStyle name="_Альбом  от 25.08.06 недействующая редакция 2" xfId="30555"/>
    <cellStyle name="_Альбом бюджетных форм   от 23.08.05" xfId="44"/>
    <cellStyle name="_Альбом бюджетных форм   от 23.08.05 2" xfId="30556"/>
    <cellStyle name="_Альбом бюджетных форм   от 25.08.05" xfId="45"/>
    <cellStyle name="_Альбом бюджетных форм   от 25.08.05 2" xfId="30557"/>
    <cellStyle name="_Альбом бюджетных форм от 18.07.06" xfId="46"/>
    <cellStyle name="_Альбом бюджетных форм от 18.07.06 2" xfId="30558"/>
    <cellStyle name="_АРМ_БП_РСК_V6.1.unprotec" xfId="47"/>
    <cellStyle name="_АРМ_БП_РСК_V6.1.unprotec 2" xfId="30559"/>
    <cellStyle name="_Бюджетные формы.Расходы v.3.1" xfId="48"/>
    <cellStyle name="_Бюджетные формы.Расходы v.3.1 2" xfId="30560"/>
    <cellStyle name="_Инвест ТЗ" xfId="49"/>
    <cellStyle name="_Инвест ТЗ 2" xfId="30561"/>
    <cellStyle name="_Инвест ТЗ АВТОМАТИЗАЦИЯ  1.06.06   Ф" xfId="50"/>
    <cellStyle name="_Инвест ТЗ АВТОМАТИЗАЦИЯ  1.06.06   Ф 2" xfId="30562"/>
    <cellStyle name="_Инвест ТЗ АВТОМАТИЗАЦИЯ  31.05.06   Ф нов" xfId="51"/>
    <cellStyle name="_Инвест ТЗ АВТОМАТИЗАЦИЯ  31.05.06   Ф нов 2" xfId="30563"/>
    <cellStyle name="_ИСП 2006 свод" xfId="52"/>
    <cellStyle name="_ИСП 2006 свод 2" xfId="53"/>
    <cellStyle name="_ИСП 2006 свод 2 2" xfId="30564"/>
    <cellStyle name="_ИСП 2006 свод 3" xfId="30565"/>
    <cellStyle name="_Классификаторы" xfId="54"/>
    <cellStyle name="_Классификаторы 2" xfId="30566"/>
    <cellStyle name="_классификаторы УБМ (изменения)" xfId="55"/>
    <cellStyle name="_классификаторы УБМ (изменения) 2" xfId="30567"/>
    <cellStyle name="_Книга1" xfId="59050"/>
    <cellStyle name="_Книга1_Копия АРМ_БП_РСК_V10 0_20100213" xfId="59051"/>
    <cellStyle name="_Книга3 (8)" xfId="56"/>
    <cellStyle name="_Книга3 (8) 2" xfId="30568"/>
    <cellStyle name="_Книга5" xfId="57"/>
    <cellStyle name="_Книга5 2" xfId="30569"/>
    <cellStyle name="_МОЭСК корректировка ГКПЗ 2006 обраб" xfId="58"/>
    <cellStyle name="_МОЭСК корректировка ГКПЗ 2006 обраб 2" xfId="59"/>
    <cellStyle name="_МОЭСК корректировка ГКПЗ 2006 обраб 2 2" xfId="30570"/>
    <cellStyle name="_МОЭСК корректировка ГКПЗ 2006 обраб 3" xfId="30571"/>
    <cellStyle name="_МОЭСК отчет ГД за 2006" xfId="60"/>
    <cellStyle name="_МОЭСК отчет ГД за 2006 2" xfId="61"/>
    <cellStyle name="_МОЭСК отчет ГД за 2006 2 2" xfId="30572"/>
    <cellStyle name="_МОЭСК отчет ГД за 2006 3" xfId="30573"/>
    <cellStyle name="_МРСК Сибири отчет за 2006" xfId="62"/>
    <cellStyle name="_МРСК Сибири отчет за 2006 2" xfId="63"/>
    <cellStyle name="_МРСК Сибири отчет за 2006 2 2" xfId="30574"/>
    <cellStyle name="_МРСК Сибири отчет за 2006 3" xfId="30575"/>
    <cellStyle name="_МРСК ЦиСК отчет за 2006" xfId="64"/>
    <cellStyle name="_МРСК ЦиСК отчет за 2006 2" xfId="65"/>
    <cellStyle name="_МРСК ЦиСК отчет за 2006 2 2" xfId="30576"/>
    <cellStyle name="_МРСК ЦиСК отчет за 2006 3" xfId="30577"/>
    <cellStyle name="_Отчет в МРСК_1149_2006_Псковэнерго (V.3)" xfId="66"/>
    <cellStyle name="_Отчет в МРСК_1149_2006_Псковэнерго (V.3) 2" xfId="67"/>
    <cellStyle name="_Отчет в МРСК_1149_2006_Псковэнерго (V.3) 2 2" xfId="30578"/>
    <cellStyle name="_Отчет в МРСК_1149_2006_Псковэнерго (V.3) 3" xfId="30579"/>
    <cellStyle name="_Отчет исполнения ГКПЗ за 2006г" xfId="68"/>
    <cellStyle name="_Отчет исполнения ГКПЗ за 2006г 2" xfId="69"/>
    <cellStyle name="_Отчет исполнения ГКПЗ за 2006г 2 2" xfId="30580"/>
    <cellStyle name="_Отчет исполнения ГКПЗ за 2006г 3" xfId="30581"/>
    <cellStyle name="_Отчет ЛЭ_2006_по форме МРСК" xfId="70"/>
    <cellStyle name="_Отчет ЛЭ_2006_по форме МРСК 2" xfId="71"/>
    <cellStyle name="_Отчет ЛЭ_2006_по форме МРСК 2 2" xfId="30582"/>
    <cellStyle name="_Отчет ЛЭ_2006_по форме МРСК 3" xfId="30583"/>
    <cellStyle name="_Отчет МРСК С-З за 2006 год" xfId="72"/>
    <cellStyle name="_Отчет МРСК С-З за 2006 год 2" xfId="73"/>
    <cellStyle name="_Отчет МРСК С-З за 2006 год 2 2" xfId="30584"/>
    <cellStyle name="_Отчет МРСК С-З за 2006 год 3" xfId="30585"/>
    <cellStyle name="_Отчет о выполнении ГКПЗ за 2006" xfId="74"/>
    <cellStyle name="_Отчет о выполнении ГКПЗ за 2006 2" xfId="75"/>
    <cellStyle name="_Отчет о выполнении ГКПЗ за 2006 2 2" xfId="30586"/>
    <cellStyle name="_Отчет о выполнении ГКПЗ за 2006 3" xfId="30587"/>
    <cellStyle name="_отчет об исполнении ГКПЗ ОАО Колэнерго(МРСК) 2006г." xfId="76"/>
    <cellStyle name="_отчет об исполнении ГКПЗ ОАО Колэнерго(МРСК) 2006г. 2" xfId="77"/>
    <cellStyle name="_отчет об исполнении ГКПЗ ОАО Колэнерго(МРСК) 2006г. 2 2" xfId="30588"/>
    <cellStyle name="_отчет об исполнении ГКПЗ ОАО Колэнерго(МРСК) 2006г. 3" xfId="30589"/>
    <cellStyle name="_Прил 4_Формат-РСК_29.11.06_new finalприм" xfId="78"/>
    <cellStyle name="_Прил 4_Формат-РСК_29.11.06_new finalприм 2" xfId="30590"/>
    <cellStyle name="_Формат ДПН (предложения ФСК) 01.02.08г. Сравнение" xfId="79"/>
    <cellStyle name="_Формат ДПН (предложения ФСК) 01.02.08г. Сравнение 2" xfId="30591"/>
    <cellStyle name="_Формат-РСК_2007_12 02 06_м" xfId="80"/>
    <cellStyle name="_Формат-РСК_2007_12 02 06_м 2" xfId="30592"/>
    <cellStyle name="_ЮСК отчет за 2006" xfId="81"/>
    <cellStyle name="_ЮСК отчет за 2006 2" xfId="82"/>
    <cellStyle name="_ЮСК отчет за 2006 2 2" xfId="30593"/>
    <cellStyle name="_ЮСК отчет за 2006 3" xfId="30594"/>
    <cellStyle name="’ћѓћ‚›‰" xfId="88"/>
    <cellStyle name="’ћѓћ‚›‰ 2" xfId="30597"/>
    <cellStyle name="”ќђќ‘ћ‚›‰" xfId="83"/>
    <cellStyle name="”љ‘ђћ‚ђќќ›‰" xfId="84"/>
    <cellStyle name="„…ќ…†ќ›‰" xfId="85"/>
    <cellStyle name="‡ђѓћ‹ћ‚ћљ1" xfId="86"/>
    <cellStyle name="‡ђѓћ‹ћ‚ћљ1 2" xfId="30595"/>
    <cellStyle name="‡ђѓћ‹ћ‚ћљ2" xfId="87"/>
    <cellStyle name="‡ђѓћ‹ћ‚ћљ2 2" xfId="30596"/>
    <cellStyle name="1Normal" xfId="89"/>
    <cellStyle name="1Normal 2" xfId="30598"/>
    <cellStyle name="20% - Accent1 10" xfId="90"/>
    <cellStyle name="20% - Accent1 10 2" xfId="30599"/>
    <cellStyle name="20% - Accent1 11" xfId="91"/>
    <cellStyle name="20% - Accent1 11 2" xfId="30600"/>
    <cellStyle name="20% - Accent1 12" xfId="92"/>
    <cellStyle name="20% - Accent1 12 2" xfId="30601"/>
    <cellStyle name="20% - Accent1 13" xfId="93"/>
    <cellStyle name="20% - Accent1 13 2" xfId="30602"/>
    <cellStyle name="20% - Accent1 2" xfId="94"/>
    <cellStyle name="20% - Accent1 2 2" xfId="30603"/>
    <cellStyle name="20% - Accent1 3" xfId="95"/>
    <cellStyle name="20% - Accent1 3 2" xfId="30604"/>
    <cellStyle name="20% - Accent1 4" xfId="96"/>
    <cellStyle name="20% - Accent1 4 2" xfId="30605"/>
    <cellStyle name="20% - Accent1 5" xfId="97"/>
    <cellStyle name="20% - Accent1 5 2" xfId="30606"/>
    <cellStyle name="20% - Accent1 6" xfId="98"/>
    <cellStyle name="20% - Accent1 6 2" xfId="30607"/>
    <cellStyle name="20% - Accent1 7" xfId="99"/>
    <cellStyle name="20% - Accent1 7 2" xfId="30608"/>
    <cellStyle name="20% - Accent1 8" xfId="100"/>
    <cellStyle name="20% - Accent1 8 2" xfId="30609"/>
    <cellStyle name="20% - Accent1 9" xfId="101"/>
    <cellStyle name="20% - Accent1 9 2" xfId="30610"/>
    <cellStyle name="20% - Accent2 10" xfId="102"/>
    <cellStyle name="20% - Accent2 10 2" xfId="30611"/>
    <cellStyle name="20% - Accent2 11" xfId="103"/>
    <cellStyle name="20% - Accent2 11 2" xfId="30612"/>
    <cellStyle name="20% - Accent2 12" xfId="104"/>
    <cellStyle name="20% - Accent2 12 2" xfId="30613"/>
    <cellStyle name="20% - Accent2 13" xfId="105"/>
    <cellStyle name="20% - Accent2 13 2" xfId="30614"/>
    <cellStyle name="20% - Accent2 2" xfId="106"/>
    <cellStyle name="20% - Accent2 2 2" xfId="30615"/>
    <cellStyle name="20% - Accent2 3" xfId="107"/>
    <cellStyle name="20% - Accent2 3 2" xfId="30616"/>
    <cellStyle name="20% - Accent2 4" xfId="108"/>
    <cellStyle name="20% - Accent2 4 2" xfId="30617"/>
    <cellStyle name="20% - Accent2 5" xfId="109"/>
    <cellStyle name="20% - Accent2 5 2" xfId="30618"/>
    <cellStyle name="20% - Accent2 6" xfId="110"/>
    <cellStyle name="20% - Accent2 6 2" xfId="30619"/>
    <cellStyle name="20% - Accent2 7" xfId="111"/>
    <cellStyle name="20% - Accent2 7 2" xfId="30620"/>
    <cellStyle name="20% - Accent2 8" xfId="112"/>
    <cellStyle name="20% - Accent2 8 2" xfId="30621"/>
    <cellStyle name="20% - Accent2 9" xfId="113"/>
    <cellStyle name="20% - Accent2 9 2" xfId="30622"/>
    <cellStyle name="20% - Accent3 10" xfId="114"/>
    <cellStyle name="20% - Accent3 10 2" xfId="30623"/>
    <cellStyle name="20% - Accent3 11" xfId="115"/>
    <cellStyle name="20% - Accent3 11 2" xfId="30624"/>
    <cellStyle name="20% - Accent3 12" xfId="116"/>
    <cellStyle name="20% - Accent3 12 2" xfId="30625"/>
    <cellStyle name="20% - Accent3 13" xfId="117"/>
    <cellStyle name="20% - Accent3 13 2" xfId="30626"/>
    <cellStyle name="20% - Accent3 2" xfId="118"/>
    <cellStyle name="20% - Accent3 2 2" xfId="30627"/>
    <cellStyle name="20% - Accent3 3" xfId="119"/>
    <cellStyle name="20% - Accent3 3 2" xfId="30628"/>
    <cellStyle name="20% - Accent3 4" xfId="120"/>
    <cellStyle name="20% - Accent3 4 2" xfId="30629"/>
    <cellStyle name="20% - Accent3 5" xfId="121"/>
    <cellStyle name="20% - Accent3 5 2" xfId="30630"/>
    <cellStyle name="20% - Accent3 6" xfId="122"/>
    <cellStyle name="20% - Accent3 6 2" xfId="30631"/>
    <cellStyle name="20% - Accent3 7" xfId="123"/>
    <cellStyle name="20% - Accent3 7 2" xfId="30632"/>
    <cellStyle name="20% - Accent3 8" xfId="124"/>
    <cellStyle name="20% - Accent3 8 2" xfId="30633"/>
    <cellStyle name="20% - Accent3 9" xfId="125"/>
    <cellStyle name="20% - Accent3 9 2" xfId="30634"/>
    <cellStyle name="20% - Accent4 10" xfId="126"/>
    <cellStyle name="20% - Accent4 10 2" xfId="30635"/>
    <cellStyle name="20% - Accent4 11" xfId="127"/>
    <cellStyle name="20% - Accent4 11 2" xfId="30636"/>
    <cellStyle name="20% - Accent4 12" xfId="128"/>
    <cellStyle name="20% - Accent4 12 2" xfId="30637"/>
    <cellStyle name="20% - Accent4 13" xfId="129"/>
    <cellStyle name="20% - Accent4 13 2" xfId="30638"/>
    <cellStyle name="20% - Accent4 2" xfId="130"/>
    <cellStyle name="20% - Accent4 2 2" xfId="30639"/>
    <cellStyle name="20% - Accent4 3" xfId="131"/>
    <cellStyle name="20% - Accent4 3 2" xfId="30640"/>
    <cellStyle name="20% - Accent4 4" xfId="132"/>
    <cellStyle name="20% - Accent4 4 2" xfId="30641"/>
    <cellStyle name="20% - Accent4 5" xfId="133"/>
    <cellStyle name="20% - Accent4 5 2" xfId="30642"/>
    <cellStyle name="20% - Accent4 6" xfId="134"/>
    <cellStyle name="20% - Accent4 6 2" xfId="30643"/>
    <cellStyle name="20% - Accent4 7" xfId="135"/>
    <cellStyle name="20% - Accent4 7 2" xfId="30644"/>
    <cellStyle name="20% - Accent4 8" xfId="136"/>
    <cellStyle name="20% - Accent4 8 2" xfId="30645"/>
    <cellStyle name="20% - Accent4 9" xfId="137"/>
    <cellStyle name="20% - Accent4 9 2" xfId="30646"/>
    <cellStyle name="20% - Accent5 10" xfId="138"/>
    <cellStyle name="20% - Accent5 10 2" xfId="30647"/>
    <cellStyle name="20% - Accent5 11" xfId="139"/>
    <cellStyle name="20% - Accent5 11 2" xfId="30648"/>
    <cellStyle name="20% - Accent5 12" xfId="140"/>
    <cellStyle name="20% - Accent5 12 2" xfId="30649"/>
    <cellStyle name="20% - Accent5 13" xfId="141"/>
    <cellStyle name="20% - Accent5 13 2" xfId="30650"/>
    <cellStyle name="20% - Accent5 2" xfId="142"/>
    <cellStyle name="20% - Accent5 2 2" xfId="30651"/>
    <cellStyle name="20% - Accent5 3" xfId="143"/>
    <cellStyle name="20% - Accent5 3 2" xfId="30652"/>
    <cellStyle name="20% - Accent5 4" xfId="144"/>
    <cellStyle name="20% - Accent5 4 2" xfId="30653"/>
    <cellStyle name="20% - Accent5 5" xfId="145"/>
    <cellStyle name="20% - Accent5 5 2" xfId="30654"/>
    <cellStyle name="20% - Accent5 6" xfId="146"/>
    <cellStyle name="20% - Accent5 6 2" xfId="30655"/>
    <cellStyle name="20% - Accent5 7" xfId="147"/>
    <cellStyle name="20% - Accent5 7 2" xfId="30656"/>
    <cellStyle name="20% - Accent5 8" xfId="148"/>
    <cellStyle name="20% - Accent5 8 2" xfId="30657"/>
    <cellStyle name="20% - Accent5 9" xfId="149"/>
    <cellStyle name="20% - Accent5 9 2" xfId="30658"/>
    <cellStyle name="20% - Accent6 10" xfId="150"/>
    <cellStyle name="20% - Accent6 10 2" xfId="30659"/>
    <cellStyle name="20% - Accent6 11" xfId="151"/>
    <cellStyle name="20% - Accent6 11 2" xfId="30660"/>
    <cellStyle name="20% - Accent6 12" xfId="152"/>
    <cellStyle name="20% - Accent6 12 2" xfId="30661"/>
    <cellStyle name="20% - Accent6 13" xfId="153"/>
    <cellStyle name="20% - Accent6 13 2" xfId="30662"/>
    <cellStyle name="20% - Accent6 2" xfId="154"/>
    <cellStyle name="20% - Accent6 2 2" xfId="30663"/>
    <cellStyle name="20% - Accent6 3" xfId="155"/>
    <cellStyle name="20% - Accent6 3 2" xfId="30664"/>
    <cellStyle name="20% - Accent6 4" xfId="156"/>
    <cellStyle name="20% - Accent6 4 2" xfId="30665"/>
    <cellStyle name="20% - Accent6 5" xfId="157"/>
    <cellStyle name="20% - Accent6 5 2" xfId="30666"/>
    <cellStyle name="20% - Accent6 6" xfId="158"/>
    <cellStyle name="20% - Accent6 6 2" xfId="30667"/>
    <cellStyle name="20% - Accent6 7" xfId="159"/>
    <cellStyle name="20% - Accent6 7 2" xfId="30668"/>
    <cellStyle name="20% - Accent6 8" xfId="160"/>
    <cellStyle name="20% - Accent6 8 2" xfId="30669"/>
    <cellStyle name="20% - Accent6 9" xfId="161"/>
    <cellStyle name="20% - Accent6 9 2" xfId="30670"/>
    <cellStyle name="20% - Акцент1 10" xfId="162"/>
    <cellStyle name="20% - Акцент1 10 2" xfId="163"/>
    <cellStyle name="20% - Акцент1 10 2 2" xfId="164"/>
    <cellStyle name="20% - Акцент1 10 2 2 2" xfId="30671"/>
    <cellStyle name="20% - Акцент1 10 2 3" xfId="30672"/>
    <cellStyle name="20% - Акцент1 10 3" xfId="165"/>
    <cellStyle name="20% - Акцент1 10 3 2" xfId="30673"/>
    <cellStyle name="20% - Акцент1 10 4" xfId="30674"/>
    <cellStyle name="20% - Акцент1 11" xfId="166"/>
    <cellStyle name="20% - Акцент1 11 2" xfId="167"/>
    <cellStyle name="20% - Акцент1 11 2 2" xfId="168"/>
    <cellStyle name="20% - Акцент1 11 2 2 2" xfId="30675"/>
    <cellStyle name="20% - Акцент1 11 2 3" xfId="30676"/>
    <cellStyle name="20% - Акцент1 11 3" xfId="169"/>
    <cellStyle name="20% - Акцент1 11 3 2" xfId="30677"/>
    <cellStyle name="20% - Акцент1 11 4" xfId="30678"/>
    <cellStyle name="20% - Акцент1 12" xfId="170"/>
    <cellStyle name="20% - Акцент1 12 2" xfId="171"/>
    <cellStyle name="20% - Акцент1 12 2 2" xfId="172"/>
    <cellStyle name="20% - Акцент1 12 2 2 2" xfId="30679"/>
    <cellStyle name="20% - Акцент1 12 2 3" xfId="30680"/>
    <cellStyle name="20% - Акцент1 12 3" xfId="173"/>
    <cellStyle name="20% - Акцент1 12 3 2" xfId="30681"/>
    <cellStyle name="20% - Акцент1 12 4" xfId="30682"/>
    <cellStyle name="20% - Акцент1 13" xfId="174"/>
    <cellStyle name="20% - Акцент1 13 2" xfId="175"/>
    <cellStyle name="20% - Акцент1 13 2 2" xfId="176"/>
    <cellStyle name="20% - Акцент1 13 2 2 2" xfId="30683"/>
    <cellStyle name="20% - Акцент1 13 2 3" xfId="30684"/>
    <cellStyle name="20% - Акцент1 13 3" xfId="177"/>
    <cellStyle name="20% - Акцент1 13 3 2" xfId="30685"/>
    <cellStyle name="20% - Акцент1 13 4" xfId="30686"/>
    <cellStyle name="20% - Акцент1 14" xfId="178"/>
    <cellStyle name="20% - Акцент1 14 2" xfId="179"/>
    <cellStyle name="20% - Акцент1 14 2 2" xfId="180"/>
    <cellStyle name="20% - Акцент1 14 2 2 2" xfId="30687"/>
    <cellStyle name="20% - Акцент1 14 2 3" xfId="30688"/>
    <cellStyle name="20% - Акцент1 14 3" xfId="181"/>
    <cellStyle name="20% - Акцент1 14 3 2" xfId="30689"/>
    <cellStyle name="20% - Акцент1 14 4" xfId="30690"/>
    <cellStyle name="20% - Акцент1 15" xfId="182"/>
    <cellStyle name="20% - Акцент1 15 2" xfId="183"/>
    <cellStyle name="20% - Акцент1 15 2 2" xfId="184"/>
    <cellStyle name="20% - Акцент1 15 2 2 2" xfId="30691"/>
    <cellStyle name="20% - Акцент1 15 2 3" xfId="30692"/>
    <cellStyle name="20% - Акцент1 15 3" xfId="185"/>
    <cellStyle name="20% - Акцент1 15 3 2" xfId="30693"/>
    <cellStyle name="20% - Акцент1 15 4" xfId="30694"/>
    <cellStyle name="20% - Акцент1 16" xfId="186"/>
    <cellStyle name="20% - Акцент1 16 2" xfId="187"/>
    <cellStyle name="20% - Акцент1 16 2 2" xfId="188"/>
    <cellStyle name="20% - Акцент1 16 2 2 2" xfId="30695"/>
    <cellStyle name="20% - Акцент1 16 2 3" xfId="30696"/>
    <cellStyle name="20% - Акцент1 16 3" xfId="189"/>
    <cellStyle name="20% - Акцент1 16 3 2" xfId="30697"/>
    <cellStyle name="20% - Акцент1 16 4" xfId="30698"/>
    <cellStyle name="20% - Акцент1 17" xfId="190"/>
    <cellStyle name="20% - Акцент1 17 2" xfId="191"/>
    <cellStyle name="20% - Акцент1 17 2 2" xfId="192"/>
    <cellStyle name="20% - Акцент1 17 2 2 2" xfId="30699"/>
    <cellStyle name="20% - Акцент1 17 2 3" xfId="30700"/>
    <cellStyle name="20% - Акцент1 17 3" xfId="193"/>
    <cellStyle name="20% - Акцент1 17 3 2" xfId="30701"/>
    <cellStyle name="20% - Акцент1 17 4" xfId="30702"/>
    <cellStyle name="20% - Акцент1 18" xfId="194"/>
    <cellStyle name="20% - Акцент1 18 2" xfId="195"/>
    <cellStyle name="20% - Акцент1 18 2 2" xfId="30703"/>
    <cellStyle name="20% - Акцент1 18 3" xfId="30704"/>
    <cellStyle name="20% - Акцент1 19" xfId="196"/>
    <cellStyle name="20% - Акцент1 19 2" xfId="30705"/>
    <cellStyle name="20% - Акцент1 2" xfId="197"/>
    <cellStyle name="20% - Акцент1 2 10" xfId="198"/>
    <cellStyle name="20% - Акцент1 2 10 2" xfId="199"/>
    <cellStyle name="20% - Акцент1 2 10 2 2" xfId="200"/>
    <cellStyle name="20% - Акцент1 2 10 2 2 2" xfId="30706"/>
    <cellStyle name="20% - Акцент1 2 10 2 3" xfId="30707"/>
    <cellStyle name="20% - Акцент1 2 10 3" xfId="201"/>
    <cellStyle name="20% - Акцент1 2 10 3 2" xfId="30708"/>
    <cellStyle name="20% - Акцент1 2 10 4" xfId="30709"/>
    <cellStyle name="20% - Акцент1 2 11" xfId="202"/>
    <cellStyle name="20% - Акцент1 2 11 2" xfId="203"/>
    <cellStyle name="20% - Акцент1 2 11 2 2" xfId="204"/>
    <cellStyle name="20% - Акцент1 2 11 2 2 2" xfId="30710"/>
    <cellStyle name="20% - Акцент1 2 11 2 3" xfId="30711"/>
    <cellStyle name="20% - Акцент1 2 11 3" xfId="205"/>
    <cellStyle name="20% - Акцент1 2 11 3 2" xfId="30712"/>
    <cellStyle name="20% - Акцент1 2 11 4" xfId="30713"/>
    <cellStyle name="20% - Акцент1 2 12" xfId="206"/>
    <cellStyle name="20% - Акцент1 2 12 2" xfId="207"/>
    <cellStyle name="20% - Акцент1 2 12 2 2" xfId="208"/>
    <cellStyle name="20% - Акцент1 2 12 2 2 2" xfId="30714"/>
    <cellStyle name="20% - Акцент1 2 12 2 3" xfId="30715"/>
    <cellStyle name="20% - Акцент1 2 12 3" xfId="209"/>
    <cellStyle name="20% - Акцент1 2 12 3 2" xfId="30716"/>
    <cellStyle name="20% - Акцент1 2 12 4" xfId="30717"/>
    <cellStyle name="20% - Акцент1 2 13" xfId="210"/>
    <cellStyle name="20% - Акцент1 2 13 2" xfId="211"/>
    <cellStyle name="20% - Акцент1 2 13 2 2" xfId="212"/>
    <cellStyle name="20% - Акцент1 2 13 2 2 2" xfId="30718"/>
    <cellStyle name="20% - Акцент1 2 13 2 3" xfId="30719"/>
    <cellStyle name="20% - Акцент1 2 13 3" xfId="213"/>
    <cellStyle name="20% - Акцент1 2 13 3 2" xfId="30720"/>
    <cellStyle name="20% - Акцент1 2 13 4" xfId="30721"/>
    <cellStyle name="20% - Акцент1 2 14" xfId="214"/>
    <cellStyle name="20% - Акцент1 2 14 2" xfId="215"/>
    <cellStyle name="20% - Акцент1 2 14 2 2" xfId="216"/>
    <cellStyle name="20% - Акцент1 2 14 2 2 2" xfId="30722"/>
    <cellStyle name="20% - Акцент1 2 14 2 3" xfId="30723"/>
    <cellStyle name="20% - Акцент1 2 14 3" xfId="217"/>
    <cellStyle name="20% - Акцент1 2 14 3 2" xfId="30724"/>
    <cellStyle name="20% - Акцент1 2 14 4" xfId="30725"/>
    <cellStyle name="20% - Акцент1 2 15" xfId="218"/>
    <cellStyle name="20% - Акцент1 2 15 2" xfId="219"/>
    <cellStyle name="20% - Акцент1 2 15 2 2" xfId="220"/>
    <cellStyle name="20% - Акцент1 2 15 2 2 2" xfId="30726"/>
    <cellStyle name="20% - Акцент1 2 15 2 3" xfId="30727"/>
    <cellStyle name="20% - Акцент1 2 15 3" xfId="221"/>
    <cellStyle name="20% - Акцент1 2 15 3 2" xfId="30728"/>
    <cellStyle name="20% - Акцент1 2 15 4" xfId="30729"/>
    <cellStyle name="20% - Акцент1 2 16" xfId="222"/>
    <cellStyle name="20% - Акцент1 2 16 2" xfId="223"/>
    <cellStyle name="20% - Акцент1 2 16 2 2" xfId="224"/>
    <cellStyle name="20% - Акцент1 2 16 2 2 2" xfId="30730"/>
    <cellStyle name="20% - Акцент1 2 16 2 3" xfId="30731"/>
    <cellStyle name="20% - Акцент1 2 16 3" xfId="225"/>
    <cellStyle name="20% - Акцент1 2 16 3 2" xfId="30732"/>
    <cellStyle name="20% - Акцент1 2 16 4" xfId="30733"/>
    <cellStyle name="20% - Акцент1 2 17" xfId="226"/>
    <cellStyle name="20% - Акцент1 2 17 2" xfId="227"/>
    <cellStyle name="20% - Акцент1 2 17 2 2" xfId="228"/>
    <cellStyle name="20% - Акцент1 2 17 2 2 2" xfId="30734"/>
    <cellStyle name="20% - Акцент1 2 17 2 3" xfId="30735"/>
    <cellStyle name="20% - Акцент1 2 17 3" xfId="229"/>
    <cellStyle name="20% - Акцент1 2 17 3 2" xfId="30736"/>
    <cellStyle name="20% - Акцент1 2 17 4" xfId="30737"/>
    <cellStyle name="20% - Акцент1 2 18" xfId="230"/>
    <cellStyle name="20% - Акцент1 2 18 2" xfId="231"/>
    <cellStyle name="20% - Акцент1 2 18 2 2" xfId="232"/>
    <cellStyle name="20% - Акцент1 2 18 2 2 2" xfId="30738"/>
    <cellStyle name="20% - Акцент1 2 18 2 3" xfId="30739"/>
    <cellStyle name="20% - Акцент1 2 18 3" xfId="233"/>
    <cellStyle name="20% - Акцент1 2 18 3 2" xfId="30740"/>
    <cellStyle name="20% - Акцент1 2 18 4" xfId="30741"/>
    <cellStyle name="20% - Акцент1 2 19" xfId="234"/>
    <cellStyle name="20% - Акцент1 2 19 2" xfId="235"/>
    <cellStyle name="20% - Акцент1 2 19 2 2" xfId="236"/>
    <cellStyle name="20% - Акцент1 2 19 2 2 2" xfId="30742"/>
    <cellStyle name="20% - Акцент1 2 19 2 3" xfId="30743"/>
    <cellStyle name="20% - Акцент1 2 19 3" xfId="237"/>
    <cellStyle name="20% - Акцент1 2 19 3 2" xfId="30744"/>
    <cellStyle name="20% - Акцент1 2 19 4" xfId="30745"/>
    <cellStyle name="20% - Акцент1 2 2" xfId="238"/>
    <cellStyle name="20% - Акцент1 2 2 2" xfId="30746"/>
    <cellStyle name="20% - Акцент1 2 20" xfId="239"/>
    <cellStyle name="20% - Акцент1 2 20 2" xfId="240"/>
    <cellStyle name="20% - Акцент1 2 20 2 2" xfId="241"/>
    <cellStyle name="20% - Акцент1 2 20 2 2 2" xfId="30747"/>
    <cellStyle name="20% - Акцент1 2 20 2 3" xfId="30748"/>
    <cellStyle name="20% - Акцент1 2 20 3" xfId="242"/>
    <cellStyle name="20% - Акцент1 2 20 3 2" xfId="30749"/>
    <cellStyle name="20% - Акцент1 2 20 4" xfId="30750"/>
    <cellStyle name="20% - Акцент1 2 21" xfId="243"/>
    <cellStyle name="20% - Акцент1 2 21 2" xfId="244"/>
    <cellStyle name="20% - Акцент1 2 21 2 2" xfId="245"/>
    <cellStyle name="20% - Акцент1 2 21 2 2 2" xfId="30751"/>
    <cellStyle name="20% - Акцент1 2 21 2 3" xfId="30752"/>
    <cellStyle name="20% - Акцент1 2 21 3" xfId="246"/>
    <cellStyle name="20% - Акцент1 2 21 3 2" xfId="30753"/>
    <cellStyle name="20% - Акцент1 2 21 4" xfId="30754"/>
    <cellStyle name="20% - Акцент1 2 22" xfId="247"/>
    <cellStyle name="20% - Акцент1 2 22 2" xfId="248"/>
    <cellStyle name="20% - Акцент1 2 22 2 2" xfId="249"/>
    <cellStyle name="20% - Акцент1 2 22 2 2 2" xfId="30755"/>
    <cellStyle name="20% - Акцент1 2 22 2 3" xfId="30756"/>
    <cellStyle name="20% - Акцент1 2 22 3" xfId="250"/>
    <cellStyle name="20% - Акцент1 2 22 3 2" xfId="30757"/>
    <cellStyle name="20% - Акцент1 2 22 4" xfId="30758"/>
    <cellStyle name="20% - Акцент1 2 23" xfId="251"/>
    <cellStyle name="20% - Акцент1 2 23 2" xfId="252"/>
    <cellStyle name="20% - Акцент1 2 23 2 2" xfId="253"/>
    <cellStyle name="20% - Акцент1 2 23 2 2 2" xfId="30759"/>
    <cellStyle name="20% - Акцент1 2 23 2 3" xfId="30760"/>
    <cellStyle name="20% - Акцент1 2 23 3" xfId="254"/>
    <cellStyle name="20% - Акцент1 2 23 3 2" xfId="30761"/>
    <cellStyle name="20% - Акцент1 2 23 4" xfId="30762"/>
    <cellStyle name="20% - Акцент1 2 24" xfId="255"/>
    <cellStyle name="20% - Акцент1 2 24 2" xfId="256"/>
    <cellStyle name="20% - Акцент1 2 24 2 2" xfId="257"/>
    <cellStyle name="20% - Акцент1 2 24 2 2 2" xfId="30763"/>
    <cellStyle name="20% - Акцент1 2 24 2 3" xfId="30764"/>
    <cellStyle name="20% - Акцент1 2 24 3" xfId="258"/>
    <cellStyle name="20% - Акцент1 2 24 3 2" xfId="30765"/>
    <cellStyle name="20% - Акцент1 2 24 4" xfId="30766"/>
    <cellStyle name="20% - Акцент1 2 25" xfId="30767"/>
    <cellStyle name="20% - Акцент1 2 3" xfId="259"/>
    <cellStyle name="20% - Акцент1 2 3 2" xfId="260"/>
    <cellStyle name="20% - Акцент1 2 3 2 2" xfId="261"/>
    <cellStyle name="20% - Акцент1 2 3 2 2 2" xfId="30768"/>
    <cellStyle name="20% - Акцент1 2 3 2 3" xfId="30769"/>
    <cellStyle name="20% - Акцент1 2 3 3" xfId="262"/>
    <cellStyle name="20% - Акцент1 2 3 3 2" xfId="30770"/>
    <cellStyle name="20% - Акцент1 2 3 4" xfId="30771"/>
    <cellStyle name="20% - Акцент1 2 4" xfId="263"/>
    <cellStyle name="20% - Акцент1 2 4 2" xfId="264"/>
    <cellStyle name="20% - Акцент1 2 4 2 2" xfId="265"/>
    <cellStyle name="20% - Акцент1 2 4 2 2 2" xfId="30772"/>
    <cellStyle name="20% - Акцент1 2 4 2 3" xfId="30773"/>
    <cellStyle name="20% - Акцент1 2 4 3" xfId="266"/>
    <cellStyle name="20% - Акцент1 2 4 3 2" xfId="30774"/>
    <cellStyle name="20% - Акцент1 2 4 4" xfId="30775"/>
    <cellStyle name="20% - Акцент1 2 5" xfId="267"/>
    <cellStyle name="20% - Акцент1 2 5 2" xfId="268"/>
    <cellStyle name="20% - Акцент1 2 5 2 2" xfId="269"/>
    <cellStyle name="20% - Акцент1 2 5 2 2 2" xfId="30776"/>
    <cellStyle name="20% - Акцент1 2 5 2 3" xfId="30777"/>
    <cellStyle name="20% - Акцент1 2 5 3" xfId="270"/>
    <cellStyle name="20% - Акцент1 2 5 3 2" xfId="30778"/>
    <cellStyle name="20% - Акцент1 2 5 4" xfId="30779"/>
    <cellStyle name="20% - Акцент1 2 6" xfId="271"/>
    <cellStyle name="20% - Акцент1 2 6 2" xfId="272"/>
    <cellStyle name="20% - Акцент1 2 6 2 2" xfId="273"/>
    <cellStyle name="20% - Акцент1 2 6 2 2 2" xfId="30780"/>
    <cellStyle name="20% - Акцент1 2 6 2 3" xfId="30781"/>
    <cellStyle name="20% - Акцент1 2 6 3" xfId="274"/>
    <cellStyle name="20% - Акцент1 2 6 3 2" xfId="30782"/>
    <cellStyle name="20% - Акцент1 2 6 4" xfId="30783"/>
    <cellStyle name="20% - Акцент1 2 7" xfId="275"/>
    <cellStyle name="20% - Акцент1 2 7 2" xfId="276"/>
    <cellStyle name="20% - Акцент1 2 7 2 2" xfId="277"/>
    <cellStyle name="20% - Акцент1 2 7 2 2 2" xfId="30784"/>
    <cellStyle name="20% - Акцент1 2 7 2 3" xfId="30785"/>
    <cellStyle name="20% - Акцент1 2 7 3" xfId="278"/>
    <cellStyle name="20% - Акцент1 2 7 3 2" xfId="30786"/>
    <cellStyle name="20% - Акцент1 2 7 4" xfId="30787"/>
    <cellStyle name="20% - Акцент1 2 8" xfId="279"/>
    <cellStyle name="20% - Акцент1 2 8 2" xfId="280"/>
    <cellStyle name="20% - Акцент1 2 8 2 2" xfId="281"/>
    <cellStyle name="20% - Акцент1 2 8 2 2 2" xfId="30788"/>
    <cellStyle name="20% - Акцент1 2 8 2 3" xfId="30789"/>
    <cellStyle name="20% - Акцент1 2 8 3" xfId="282"/>
    <cellStyle name="20% - Акцент1 2 8 3 2" xfId="30790"/>
    <cellStyle name="20% - Акцент1 2 8 4" xfId="30791"/>
    <cellStyle name="20% - Акцент1 2 9" xfId="283"/>
    <cellStyle name="20% - Акцент1 2 9 2" xfId="284"/>
    <cellStyle name="20% - Акцент1 2 9 2 2" xfId="285"/>
    <cellStyle name="20% - Акцент1 2 9 2 2 2" xfId="30792"/>
    <cellStyle name="20% - Акцент1 2 9 2 3" xfId="30793"/>
    <cellStyle name="20% - Акцент1 2 9 3" xfId="286"/>
    <cellStyle name="20% - Акцент1 2 9 3 2" xfId="30794"/>
    <cellStyle name="20% - Акцент1 2 9 4" xfId="30795"/>
    <cellStyle name="20% - Акцент1 3" xfId="287"/>
    <cellStyle name="20% - Акцент1 3 10" xfId="288"/>
    <cellStyle name="20% - Акцент1 3 10 2" xfId="289"/>
    <cellStyle name="20% - Акцент1 3 10 2 2" xfId="290"/>
    <cellStyle name="20% - Акцент1 3 10 2 2 2" xfId="30796"/>
    <cellStyle name="20% - Акцент1 3 10 2 3" xfId="30797"/>
    <cellStyle name="20% - Акцент1 3 10 3" xfId="291"/>
    <cellStyle name="20% - Акцент1 3 10 3 2" xfId="30798"/>
    <cellStyle name="20% - Акцент1 3 10 4" xfId="30799"/>
    <cellStyle name="20% - Акцент1 3 11" xfId="292"/>
    <cellStyle name="20% - Акцент1 3 11 2" xfId="293"/>
    <cellStyle name="20% - Акцент1 3 11 2 2" xfId="294"/>
    <cellStyle name="20% - Акцент1 3 11 2 2 2" xfId="30800"/>
    <cellStyle name="20% - Акцент1 3 11 2 3" xfId="30801"/>
    <cellStyle name="20% - Акцент1 3 11 3" xfId="295"/>
    <cellStyle name="20% - Акцент1 3 11 3 2" xfId="30802"/>
    <cellStyle name="20% - Акцент1 3 11 4" xfId="30803"/>
    <cellStyle name="20% - Акцент1 3 12" xfId="296"/>
    <cellStyle name="20% - Акцент1 3 12 2" xfId="297"/>
    <cellStyle name="20% - Акцент1 3 12 2 2" xfId="298"/>
    <cellStyle name="20% - Акцент1 3 12 2 2 2" xfId="30804"/>
    <cellStyle name="20% - Акцент1 3 12 2 3" xfId="30805"/>
    <cellStyle name="20% - Акцент1 3 12 3" xfId="299"/>
    <cellStyle name="20% - Акцент1 3 12 3 2" xfId="30806"/>
    <cellStyle name="20% - Акцент1 3 12 4" xfId="30807"/>
    <cellStyle name="20% - Акцент1 3 13" xfId="300"/>
    <cellStyle name="20% - Акцент1 3 13 2" xfId="301"/>
    <cellStyle name="20% - Акцент1 3 13 2 2" xfId="302"/>
    <cellStyle name="20% - Акцент1 3 13 2 2 2" xfId="30808"/>
    <cellStyle name="20% - Акцент1 3 13 2 3" xfId="30809"/>
    <cellStyle name="20% - Акцент1 3 13 3" xfId="303"/>
    <cellStyle name="20% - Акцент1 3 13 3 2" xfId="30810"/>
    <cellStyle name="20% - Акцент1 3 13 4" xfId="30811"/>
    <cellStyle name="20% - Акцент1 3 14" xfId="304"/>
    <cellStyle name="20% - Акцент1 3 14 2" xfId="305"/>
    <cellStyle name="20% - Акцент1 3 14 2 2" xfId="306"/>
    <cellStyle name="20% - Акцент1 3 14 2 2 2" xfId="30812"/>
    <cellStyle name="20% - Акцент1 3 14 2 3" xfId="30813"/>
    <cellStyle name="20% - Акцент1 3 14 3" xfId="307"/>
    <cellStyle name="20% - Акцент1 3 14 3 2" xfId="30814"/>
    <cellStyle name="20% - Акцент1 3 14 4" xfId="30815"/>
    <cellStyle name="20% - Акцент1 3 15" xfId="308"/>
    <cellStyle name="20% - Акцент1 3 15 2" xfId="309"/>
    <cellStyle name="20% - Акцент1 3 15 2 2" xfId="310"/>
    <cellStyle name="20% - Акцент1 3 15 2 2 2" xfId="30816"/>
    <cellStyle name="20% - Акцент1 3 15 2 3" xfId="30817"/>
    <cellStyle name="20% - Акцент1 3 15 3" xfId="311"/>
    <cellStyle name="20% - Акцент1 3 15 3 2" xfId="30818"/>
    <cellStyle name="20% - Акцент1 3 15 4" xfId="30819"/>
    <cellStyle name="20% - Акцент1 3 16" xfId="312"/>
    <cellStyle name="20% - Акцент1 3 16 2" xfId="313"/>
    <cellStyle name="20% - Акцент1 3 16 2 2" xfId="314"/>
    <cellStyle name="20% - Акцент1 3 16 2 2 2" xfId="30820"/>
    <cellStyle name="20% - Акцент1 3 16 2 3" xfId="30821"/>
    <cellStyle name="20% - Акцент1 3 16 3" xfId="315"/>
    <cellStyle name="20% - Акцент1 3 16 3 2" xfId="30822"/>
    <cellStyle name="20% - Акцент1 3 16 4" xfId="30823"/>
    <cellStyle name="20% - Акцент1 3 17" xfId="316"/>
    <cellStyle name="20% - Акцент1 3 17 2" xfId="317"/>
    <cellStyle name="20% - Акцент1 3 17 2 2" xfId="318"/>
    <cellStyle name="20% - Акцент1 3 17 2 2 2" xfId="30824"/>
    <cellStyle name="20% - Акцент1 3 17 2 3" xfId="30825"/>
    <cellStyle name="20% - Акцент1 3 17 3" xfId="319"/>
    <cellStyle name="20% - Акцент1 3 17 3 2" xfId="30826"/>
    <cellStyle name="20% - Акцент1 3 17 4" xfId="30827"/>
    <cellStyle name="20% - Акцент1 3 18" xfId="320"/>
    <cellStyle name="20% - Акцент1 3 18 2" xfId="321"/>
    <cellStyle name="20% - Акцент1 3 18 2 2" xfId="322"/>
    <cellStyle name="20% - Акцент1 3 18 2 2 2" xfId="30828"/>
    <cellStyle name="20% - Акцент1 3 18 2 3" xfId="30829"/>
    <cellStyle name="20% - Акцент1 3 18 3" xfId="323"/>
    <cellStyle name="20% - Акцент1 3 18 3 2" xfId="30830"/>
    <cellStyle name="20% - Акцент1 3 18 4" xfId="30831"/>
    <cellStyle name="20% - Акцент1 3 19" xfId="324"/>
    <cellStyle name="20% - Акцент1 3 19 2" xfId="325"/>
    <cellStyle name="20% - Акцент1 3 19 2 2" xfId="326"/>
    <cellStyle name="20% - Акцент1 3 19 2 2 2" xfId="30832"/>
    <cellStyle name="20% - Акцент1 3 19 2 3" xfId="30833"/>
    <cellStyle name="20% - Акцент1 3 19 3" xfId="327"/>
    <cellStyle name="20% - Акцент1 3 19 3 2" xfId="30834"/>
    <cellStyle name="20% - Акцент1 3 19 4" xfId="30835"/>
    <cellStyle name="20% - Акцент1 3 2" xfId="328"/>
    <cellStyle name="20% - Акцент1 3 2 2" xfId="30836"/>
    <cellStyle name="20% - Акцент1 3 20" xfId="329"/>
    <cellStyle name="20% - Акцент1 3 20 2" xfId="330"/>
    <cellStyle name="20% - Акцент1 3 20 2 2" xfId="331"/>
    <cellStyle name="20% - Акцент1 3 20 2 2 2" xfId="30837"/>
    <cellStyle name="20% - Акцент1 3 20 2 3" xfId="30838"/>
    <cellStyle name="20% - Акцент1 3 20 3" xfId="332"/>
    <cellStyle name="20% - Акцент1 3 20 3 2" xfId="30839"/>
    <cellStyle name="20% - Акцент1 3 20 4" xfId="30840"/>
    <cellStyle name="20% - Акцент1 3 21" xfId="333"/>
    <cellStyle name="20% - Акцент1 3 21 2" xfId="334"/>
    <cellStyle name="20% - Акцент1 3 21 2 2" xfId="335"/>
    <cellStyle name="20% - Акцент1 3 21 2 2 2" xfId="30841"/>
    <cellStyle name="20% - Акцент1 3 21 2 3" xfId="30842"/>
    <cellStyle name="20% - Акцент1 3 21 3" xfId="336"/>
    <cellStyle name="20% - Акцент1 3 21 3 2" xfId="30843"/>
    <cellStyle name="20% - Акцент1 3 21 4" xfId="30844"/>
    <cellStyle name="20% - Акцент1 3 22" xfId="337"/>
    <cellStyle name="20% - Акцент1 3 22 2" xfId="338"/>
    <cellStyle name="20% - Акцент1 3 22 2 2" xfId="339"/>
    <cellStyle name="20% - Акцент1 3 22 2 2 2" xfId="30845"/>
    <cellStyle name="20% - Акцент1 3 22 2 3" xfId="30846"/>
    <cellStyle name="20% - Акцент1 3 22 3" xfId="340"/>
    <cellStyle name="20% - Акцент1 3 22 3 2" xfId="30847"/>
    <cellStyle name="20% - Акцент1 3 22 4" xfId="30848"/>
    <cellStyle name="20% - Акцент1 3 23" xfId="341"/>
    <cellStyle name="20% - Акцент1 3 23 2" xfId="342"/>
    <cellStyle name="20% - Акцент1 3 23 2 2" xfId="343"/>
    <cellStyle name="20% - Акцент1 3 23 2 2 2" xfId="30849"/>
    <cellStyle name="20% - Акцент1 3 23 2 3" xfId="30850"/>
    <cellStyle name="20% - Акцент1 3 23 3" xfId="344"/>
    <cellStyle name="20% - Акцент1 3 23 3 2" xfId="30851"/>
    <cellStyle name="20% - Акцент1 3 23 4" xfId="30852"/>
    <cellStyle name="20% - Акцент1 3 24" xfId="345"/>
    <cellStyle name="20% - Акцент1 3 24 2" xfId="346"/>
    <cellStyle name="20% - Акцент1 3 24 2 2" xfId="347"/>
    <cellStyle name="20% - Акцент1 3 24 2 2 2" xfId="30853"/>
    <cellStyle name="20% - Акцент1 3 24 2 3" xfId="30854"/>
    <cellStyle name="20% - Акцент1 3 24 3" xfId="348"/>
    <cellStyle name="20% - Акцент1 3 24 3 2" xfId="30855"/>
    <cellStyle name="20% - Акцент1 3 24 4" xfId="30856"/>
    <cellStyle name="20% - Акцент1 3 25" xfId="30857"/>
    <cellStyle name="20% - Акцент1 3 3" xfId="349"/>
    <cellStyle name="20% - Акцент1 3 3 2" xfId="350"/>
    <cellStyle name="20% - Акцент1 3 3 2 2" xfId="351"/>
    <cellStyle name="20% - Акцент1 3 3 2 2 2" xfId="30858"/>
    <cellStyle name="20% - Акцент1 3 3 2 3" xfId="30859"/>
    <cellStyle name="20% - Акцент1 3 3 3" xfId="352"/>
    <cellStyle name="20% - Акцент1 3 3 3 2" xfId="30860"/>
    <cellStyle name="20% - Акцент1 3 3 4" xfId="30861"/>
    <cellStyle name="20% - Акцент1 3 4" xfId="353"/>
    <cellStyle name="20% - Акцент1 3 4 2" xfId="354"/>
    <cellStyle name="20% - Акцент1 3 4 2 2" xfId="355"/>
    <cellStyle name="20% - Акцент1 3 4 2 2 2" xfId="30862"/>
    <cellStyle name="20% - Акцент1 3 4 2 3" xfId="30863"/>
    <cellStyle name="20% - Акцент1 3 4 3" xfId="356"/>
    <cellStyle name="20% - Акцент1 3 4 3 2" xfId="30864"/>
    <cellStyle name="20% - Акцент1 3 4 4" xfId="30865"/>
    <cellStyle name="20% - Акцент1 3 5" xfId="357"/>
    <cellStyle name="20% - Акцент1 3 5 2" xfId="358"/>
    <cellStyle name="20% - Акцент1 3 5 2 2" xfId="359"/>
    <cellStyle name="20% - Акцент1 3 5 2 2 2" xfId="30866"/>
    <cellStyle name="20% - Акцент1 3 5 2 3" xfId="30867"/>
    <cellStyle name="20% - Акцент1 3 5 3" xfId="360"/>
    <cellStyle name="20% - Акцент1 3 5 3 2" xfId="30868"/>
    <cellStyle name="20% - Акцент1 3 5 4" xfId="30869"/>
    <cellStyle name="20% - Акцент1 3 6" xfId="361"/>
    <cellStyle name="20% - Акцент1 3 6 2" xfId="362"/>
    <cellStyle name="20% - Акцент1 3 6 2 2" xfId="363"/>
    <cellStyle name="20% - Акцент1 3 6 2 2 2" xfId="30870"/>
    <cellStyle name="20% - Акцент1 3 6 2 3" xfId="30871"/>
    <cellStyle name="20% - Акцент1 3 6 3" xfId="364"/>
    <cellStyle name="20% - Акцент1 3 6 3 2" xfId="30872"/>
    <cellStyle name="20% - Акцент1 3 6 4" xfId="30873"/>
    <cellStyle name="20% - Акцент1 3 7" xfId="365"/>
    <cellStyle name="20% - Акцент1 3 7 2" xfId="366"/>
    <cellStyle name="20% - Акцент1 3 7 2 2" xfId="367"/>
    <cellStyle name="20% - Акцент1 3 7 2 2 2" xfId="30874"/>
    <cellStyle name="20% - Акцент1 3 7 2 3" xfId="30875"/>
    <cellStyle name="20% - Акцент1 3 7 3" xfId="368"/>
    <cellStyle name="20% - Акцент1 3 7 3 2" xfId="30876"/>
    <cellStyle name="20% - Акцент1 3 7 4" xfId="30877"/>
    <cellStyle name="20% - Акцент1 3 8" xfId="369"/>
    <cellStyle name="20% - Акцент1 3 8 2" xfId="370"/>
    <cellStyle name="20% - Акцент1 3 8 2 2" xfId="371"/>
    <cellStyle name="20% - Акцент1 3 8 2 2 2" xfId="30878"/>
    <cellStyle name="20% - Акцент1 3 8 2 3" xfId="30879"/>
    <cellStyle name="20% - Акцент1 3 8 3" xfId="372"/>
    <cellStyle name="20% - Акцент1 3 8 3 2" xfId="30880"/>
    <cellStyle name="20% - Акцент1 3 8 4" xfId="30881"/>
    <cellStyle name="20% - Акцент1 3 9" xfId="373"/>
    <cellStyle name="20% - Акцент1 3 9 2" xfId="374"/>
    <cellStyle name="20% - Акцент1 3 9 2 2" xfId="375"/>
    <cellStyle name="20% - Акцент1 3 9 2 2 2" xfId="30882"/>
    <cellStyle name="20% - Акцент1 3 9 2 3" xfId="30883"/>
    <cellStyle name="20% - Акцент1 3 9 3" xfId="376"/>
    <cellStyle name="20% - Акцент1 3 9 3 2" xfId="30884"/>
    <cellStyle name="20% - Акцент1 3 9 4" xfId="30885"/>
    <cellStyle name="20% - Акцент1 4" xfId="377"/>
    <cellStyle name="20% - Акцент1 4 10" xfId="378"/>
    <cellStyle name="20% - Акцент1 4 10 2" xfId="379"/>
    <cellStyle name="20% - Акцент1 4 10 2 2" xfId="380"/>
    <cellStyle name="20% - Акцент1 4 10 2 2 2" xfId="30886"/>
    <cellStyle name="20% - Акцент1 4 10 2 3" xfId="30887"/>
    <cellStyle name="20% - Акцент1 4 10 3" xfId="381"/>
    <cellStyle name="20% - Акцент1 4 10 3 2" xfId="30888"/>
    <cellStyle name="20% - Акцент1 4 10 4" xfId="30889"/>
    <cellStyle name="20% - Акцент1 4 11" xfId="382"/>
    <cellStyle name="20% - Акцент1 4 11 2" xfId="383"/>
    <cellStyle name="20% - Акцент1 4 11 2 2" xfId="384"/>
    <cellStyle name="20% - Акцент1 4 11 2 2 2" xfId="30890"/>
    <cellStyle name="20% - Акцент1 4 11 2 3" xfId="30891"/>
    <cellStyle name="20% - Акцент1 4 11 3" xfId="385"/>
    <cellStyle name="20% - Акцент1 4 11 3 2" xfId="30892"/>
    <cellStyle name="20% - Акцент1 4 11 4" xfId="30893"/>
    <cellStyle name="20% - Акцент1 4 12" xfId="386"/>
    <cellStyle name="20% - Акцент1 4 12 2" xfId="387"/>
    <cellStyle name="20% - Акцент1 4 12 2 2" xfId="388"/>
    <cellStyle name="20% - Акцент1 4 12 2 2 2" xfId="30894"/>
    <cellStyle name="20% - Акцент1 4 12 2 3" xfId="30895"/>
    <cellStyle name="20% - Акцент1 4 12 3" xfId="389"/>
    <cellStyle name="20% - Акцент1 4 12 3 2" xfId="30896"/>
    <cellStyle name="20% - Акцент1 4 12 4" xfId="30897"/>
    <cellStyle name="20% - Акцент1 4 13" xfId="390"/>
    <cellStyle name="20% - Акцент1 4 13 2" xfId="391"/>
    <cellStyle name="20% - Акцент1 4 13 2 2" xfId="392"/>
    <cellStyle name="20% - Акцент1 4 13 2 2 2" xfId="30898"/>
    <cellStyle name="20% - Акцент1 4 13 2 3" xfId="30899"/>
    <cellStyle name="20% - Акцент1 4 13 3" xfId="393"/>
    <cellStyle name="20% - Акцент1 4 13 3 2" xfId="30900"/>
    <cellStyle name="20% - Акцент1 4 13 4" xfId="30901"/>
    <cellStyle name="20% - Акцент1 4 14" xfId="394"/>
    <cellStyle name="20% - Акцент1 4 14 2" xfId="395"/>
    <cellStyle name="20% - Акцент1 4 14 2 2" xfId="396"/>
    <cellStyle name="20% - Акцент1 4 14 2 2 2" xfId="30902"/>
    <cellStyle name="20% - Акцент1 4 14 2 3" xfId="30903"/>
    <cellStyle name="20% - Акцент1 4 14 3" xfId="397"/>
    <cellStyle name="20% - Акцент1 4 14 3 2" xfId="30904"/>
    <cellStyle name="20% - Акцент1 4 14 4" xfId="30905"/>
    <cellStyle name="20% - Акцент1 4 15" xfId="398"/>
    <cellStyle name="20% - Акцент1 4 15 2" xfId="399"/>
    <cellStyle name="20% - Акцент1 4 15 2 2" xfId="400"/>
    <cellStyle name="20% - Акцент1 4 15 2 2 2" xfId="30906"/>
    <cellStyle name="20% - Акцент1 4 15 2 3" xfId="30907"/>
    <cellStyle name="20% - Акцент1 4 15 3" xfId="401"/>
    <cellStyle name="20% - Акцент1 4 15 3 2" xfId="30908"/>
    <cellStyle name="20% - Акцент1 4 15 4" xfId="30909"/>
    <cellStyle name="20% - Акцент1 4 16" xfId="402"/>
    <cellStyle name="20% - Акцент1 4 16 2" xfId="403"/>
    <cellStyle name="20% - Акцент1 4 16 2 2" xfId="404"/>
    <cellStyle name="20% - Акцент1 4 16 2 2 2" xfId="30910"/>
    <cellStyle name="20% - Акцент1 4 16 2 3" xfId="30911"/>
    <cellStyle name="20% - Акцент1 4 16 3" xfId="405"/>
    <cellStyle name="20% - Акцент1 4 16 3 2" xfId="30912"/>
    <cellStyle name="20% - Акцент1 4 16 4" xfId="30913"/>
    <cellStyle name="20% - Акцент1 4 17" xfId="406"/>
    <cellStyle name="20% - Акцент1 4 17 2" xfId="407"/>
    <cellStyle name="20% - Акцент1 4 17 2 2" xfId="408"/>
    <cellStyle name="20% - Акцент1 4 17 2 2 2" xfId="30914"/>
    <cellStyle name="20% - Акцент1 4 17 2 3" xfId="30915"/>
    <cellStyle name="20% - Акцент1 4 17 3" xfId="409"/>
    <cellStyle name="20% - Акцент1 4 17 3 2" xfId="30916"/>
    <cellStyle name="20% - Акцент1 4 17 4" xfId="30917"/>
    <cellStyle name="20% - Акцент1 4 18" xfId="410"/>
    <cellStyle name="20% - Акцент1 4 18 2" xfId="411"/>
    <cellStyle name="20% - Акцент1 4 18 2 2" xfId="412"/>
    <cellStyle name="20% - Акцент1 4 18 2 2 2" xfId="30918"/>
    <cellStyle name="20% - Акцент1 4 18 2 3" xfId="30919"/>
    <cellStyle name="20% - Акцент1 4 18 3" xfId="413"/>
    <cellStyle name="20% - Акцент1 4 18 3 2" xfId="30920"/>
    <cellStyle name="20% - Акцент1 4 18 4" xfId="30921"/>
    <cellStyle name="20% - Акцент1 4 19" xfId="414"/>
    <cellStyle name="20% - Акцент1 4 19 2" xfId="415"/>
    <cellStyle name="20% - Акцент1 4 19 2 2" xfId="416"/>
    <cellStyle name="20% - Акцент1 4 19 2 2 2" xfId="30922"/>
    <cellStyle name="20% - Акцент1 4 19 2 3" xfId="30923"/>
    <cellStyle name="20% - Акцент1 4 19 3" xfId="417"/>
    <cellStyle name="20% - Акцент1 4 19 3 2" xfId="30924"/>
    <cellStyle name="20% - Акцент1 4 19 4" xfId="30925"/>
    <cellStyle name="20% - Акцент1 4 2" xfId="418"/>
    <cellStyle name="20% - Акцент1 4 2 2" xfId="30926"/>
    <cellStyle name="20% - Акцент1 4 20" xfId="419"/>
    <cellStyle name="20% - Акцент1 4 20 2" xfId="420"/>
    <cellStyle name="20% - Акцент1 4 20 2 2" xfId="421"/>
    <cellStyle name="20% - Акцент1 4 20 2 2 2" xfId="30927"/>
    <cellStyle name="20% - Акцент1 4 20 2 3" xfId="30928"/>
    <cellStyle name="20% - Акцент1 4 20 3" xfId="422"/>
    <cellStyle name="20% - Акцент1 4 20 3 2" xfId="30929"/>
    <cellStyle name="20% - Акцент1 4 20 4" xfId="30930"/>
    <cellStyle name="20% - Акцент1 4 21" xfId="423"/>
    <cellStyle name="20% - Акцент1 4 21 2" xfId="424"/>
    <cellStyle name="20% - Акцент1 4 21 2 2" xfId="425"/>
    <cellStyle name="20% - Акцент1 4 21 2 2 2" xfId="30931"/>
    <cellStyle name="20% - Акцент1 4 21 2 3" xfId="30932"/>
    <cellStyle name="20% - Акцент1 4 21 3" xfId="426"/>
    <cellStyle name="20% - Акцент1 4 21 3 2" xfId="30933"/>
    <cellStyle name="20% - Акцент1 4 21 4" xfId="30934"/>
    <cellStyle name="20% - Акцент1 4 22" xfId="427"/>
    <cellStyle name="20% - Акцент1 4 22 2" xfId="428"/>
    <cellStyle name="20% - Акцент1 4 22 2 2" xfId="429"/>
    <cellStyle name="20% - Акцент1 4 22 2 2 2" xfId="30935"/>
    <cellStyle name="20% - Акцент1 4 22 2 3" xfId="30936"/>
    <cellStyle name="20% - Акцент1 4 22 3" xfId="430"/>
    <cellStyle name="20% - Акцент1 4 22 3 2" xfId="30937"/>
    <cellStyle name="20% - Акцент1 4 22 4" xfId="30938"/>
    <cellStyle name="20% - Акцент1 4 23" xfId="431"/>
    <cellStyle name="20% - Акцент1 4 23 2" xfId="432"/>
    <cellStyle name="20% - Акцент1 4 23 2 2" xfId="433"/>
    <cellStyle name="20% - Акцент1 4 23 2 2 2" xfId="30939"/>
    <cellStyle name="20% - Акцент1 4 23 2 3" xfId="30940"/>
    <cellStyle name="20% - Акцент1 4 23 3" xfId="434"/>
    <cellStyle name="20% - Акцент1 4 23 3 2" xfId="30941"/>
    <cellStyle name="20% - Акцент1 4 23 4" xfId="30942"/>
    <cellStyle name="20% - Акцент1 4 24" xfId="435"/>
    <cellStyle name="20% - Акцент1 4 24 2" xfId="436"/>
    <cellStyle name="20% - Акцент1 4 24 2 2" xfId="437"/>
    <cellStyle name="20% - Акцент1 4 24 2 2 2" xfId="30943"/>
    <cellStyle name="20% - Акцент1 4 24 2 3" xfId="30944"/>
    <cellStyle name="20% - Акцент1 4 24 3" xfId="438"/>
    <cellStyle name="20% - Акцент1 4 24 3 2" xfId="30945"/>
    <cellStyle name="20% - Акцент1 4 24 4" xfId="30946"/>
    <cellStyle name="20% - Акцент1 4 25" xfId="30947"/>
    <cellStyle name="20% - Акцент1 4 3" xfId="439"/>
    <cellStyle name="20% - Акцент1 4 3 2" xfId="440"/>
    <cellStyle name="20% - Акцент1 4 3 2 2" xfId="441"/>
    <cellStyle name="20% - Акцент1 4 3 2 2 2" xfId="30948"/>
    <cellStyle name="20% - Акцент1 4 3 2 3" xfId="30949"/>
    <cellStyle name="20% - Акцент1 4 3 3" xfId="442"/>
    <cellStyle name="20% - Акцент1 4 3 3 2" xfId="30950"/>
    <cellStyle name="20% - Акцент1 4 3 4" xfId="30951"/>
    <cellStyle name="20% - Акцент1 4 4" xfId="443"/>
    <cellStyle name="20% - Акцент1 4 4 2" xfId="444"/>
    <cellStyle name="20% - Акцент1 4 4 2 2" xfId="445"/>
    <cellStyle name="20% - Акцент1 4 4 2 2 2" xfId="30952"/>
    <cellStyle name="20% - Акцент1 4 4 2 3" xfId="30953"/>
    <cellStyle name="20% - Акцент1 4 4 3" xfId="446"/>
    <cellStyle name="20% - Акцент1 4 4 3 2" xfId="30954"/>
    <cellStyle name="20% - Акцент1 4 4 4" xfId="30955"/>
    <cellStyle name="20% - Акцент1 4 5" xfId="447"/>
    <cellStyle name="20% - Акцент1 4 5 2" xfId="448"/>
    <cellStyle name="20% - Акцент1 4 5 2 2" xfId="449"/>
    <cellStyle name="20% - Акцент1 4 5 2 2 2" xfId="30956"/>
    <cellStyle name="20% - Акцент1 4 5 2 3" xfId="30957"/>
    <cellStyle name="20% - Акцент1 4 5 3" xfId="450"/>
    <cellStyle name="20% - Акцент1 4 5 3 2" xfId="30958"/>
    <cellStyle name="20% - Акцент1 4 5 4" xfId="30959"/>
    <cellStyle name="20% - Акцент1 4 6" xfId="451"/>
    <cellStyle name="20% - Акцент1 4 6 2" xfId="452"/>
    <cellStyle name="20% - Акцент1 4 6 2 2" xfId="453"/>
    <cellStyle name="20% - Акцент1 4 6 2 2 2" xfId="30960"/>
    <cellStyle name="20% - Акцент1 4 6 2 3" xfId="30961"/>
    <cellStyle name="20% - Акцент1 4 6 3" xfId="454"/>
    <cellStyle name="20% - Акцент1 4 6 3 2" xfId="30962"/>
    <cellStyle name="20% - Акцент1 4 6 4" xfId="30963"/>
    <cellStyle name="20% - Акцент1 4 7" xfId="455"/>
    <cellStyle name="20% - Акцент1 4 7 2" xfId="456"/>
    <cellStyle name="20% - Акцент1 4 7 2 2" xfId="457"/>
    <cellStyle name="20% - Акцент1 4 7 2 2 2" xfId="30964"/>
    <cellStyle name="20% - Акцент1 4 7 2 3" xfId="30965"/>
    <cellStyle name="20% - Акцент1 4 7 3" xfId="458"/>
    <cellStyle name="20% - Акцент1 4 7 3 2" xfId="30966"/>
    <cellStyle name="20% - Акцент1 4 7 4" xfId="30967"/>
    <cellStyle name="20% - Акцент1 4 8" xfId="459"/>
    <cellStyle name="20% - Акцент1 4 8 2" xfId="460"/>
    <cellStyle name="20% - Акцент1 4 8 2 2" xfId="461"/>
    <cellStyle name="20% - Акцент1 4 8 2 2 2" xfId="30968"/>
    <cellStyle name="20% - Акцент1 4 8 2 3" xfId="30969"/>
    <cellStyle name="20% - Акцент1 4 8 3" xfId="462"/>
    <cellStyle name="20% - Акцент1 4 8 3 2" xfId="30970"/>
    <cellStyle name="20% - Акцент1 4 8 4" xfId="30971"/>
    <cellStyle name="20% - Акцент1 4 9" xfId="463"/>
    <cellStyle name="20% - Акцент1 4 9 2" xfId="464"/>
    <cellStyle name="20% - Акцент1 4 9 2 2" xfId="465"/>
    <cellStyle name="20% - Акцент1 4 9 2 2 2" xfId="30972"/>
    <cellStyle name="20% - Акцент1 4 9 2 3" xfId="30973"/>
    <cellStyle name="20% - Акцент1 4 9 3" xfId="466"/>
    <cellStyle name="20% - Акцент1 4 9 3 2" xfId="30974"/>
    <cellStyle name="20% - Акцент1 4 9 4" xfId="30975"/>
    <cellStyle name="20% - Акцент1 5" xfId="467"/>
    <cellStyle name="20% - Акцент1 5 2" xfId="468"/>
    <cellStyle name="20% - Акцент1 5 2 2" xfId="30976"/>
    <cellStyle name="20% - Акцент1 5 3" xfId="30977"/>
    <cellStyle name="20% - Акцент1 6" xfId="469"/>
    <cellStyle name="20% - Акцент1 6 2" xfId="30978"/>
    <cellStyle name="20% - Акцент1 7" xfId="470"/>
    <cellStyle name="20% - Акцент1 7 2" xfId="471"/>
    <cellStyle name="20% - Акцент1 7 2 2" xfId="472"/>
    <cellStyle name="20% - Акцент1 7 2 2 2" xfId="30979"/>
    <cellStyle name="20% - Акцент1 7 2 3" xfId="30980"/>
    <cellStyle name="20% - Акцент1 7 3" xfId="473"/>
    <cellStyle name="20% - Акцент1 7 3 2" xfId="30981"/>
    <cellStyle name="20% - Акцент1 7 4" xfId="30982"/>
    <cellStyle name="20% - Акцент1 8" xfId="474"/>
    <cellStyle name="20% - Акцент1 8 2" xfId="475"/>
    <cellStyle name="20% - Акцент1 8 2 2" xfId="476"/>
    <cellStyle name="20% - Акцент1 8 2 2 2" xfId="30983"/>
    <cellStyle name="20% - Акцент1 8 2 3" xfId="30984"/>
    <cellStyle name="20% - Акцент1 8 3" xfId="477"/>
    <cellStyle name="20% - Акцент1 8 3 2" xfId="30985"/>
    <cellStyle name="20% - Акцент1 8 4" xfId="30986"/>
    <cellStyle name="20% - Акцент1 9" xfId="478"/>
    <cellStyle name="20% - Акцент1 9 2" xfId="479"/>
    <cellStyle name="20% - Акцент1 9 2 2" xfId="480"/>
    <cellStyle name="20% - Акцент1 9 2 2 2" xfId="30987"/>
    <cellStyle name="20% - Акцент1 9 2 3" xfId="30988"/>
    <cellStyle name="20% - Акцент1 9 3" xfId="481"/>
    <cellStyle name="20% - Акцент1 9 3 2" xfId="30989"/>
    <cellStyle name="20% - Акцент1 9 4" xfId="30990"/>
    <cellStyle name="20% - Акцент2 10" xfId="482"/>
    <cellStyle name="20% - Акцент2 10 2" xfId="483"/>
    <cellStyle name="20% - Акцент2 10 2 2" xfId="484"/>
    <cellStyle name="20% - Акцент2 10 2 2 2" xfId="30991"/>
    <cellStyle name="20% - Акцент2 10 2 3" xfId="30992"/>
    <cellStyle name="20% - Акцент2 10 3" xfId="485"/>
    <cellStyle name="20% - Акцент2 10 3 2" xfId="30993"/>
    <cellStyle name="20% - Акцент2 10 4" xfId="30994"/>
    <cellStyle name="20% - Акцент2 11" xfId="486"/>
    <cellStyle name="20% - Акцент2 11 2" xfId="487"/>
    <cellStyle name="20% - Акцент2 11 2 2" xfId="488"/>
    <cellStyle name="20% - Акцент2 11 2 2 2" xfId="30995"/>
    <cellStyle name="20% - Акцент2 11 2 3" xfId="30996"/>
    <cellStyle name="20% - Акцент2 11 3" xfId="489"/>
    <cellStyle name="20% - Акцент2 11 3 2" xfId="30997"/>
    <cellStyle name="20% - Акцент2 11 4" xfId="30998"/>
    <cellStyle name="20% - Акцент2 12" xfId="490"/>
    <cellStyle name="20% - Акцент2 12 2" xfId="491"/>
    <cellStyle name="20% - Акцент2 12 2 2" xfId="492"/>
    <cellStyle name="20% - Акцент2 12 2 2 2" xfId="30999"/>
    <cellStyle name="20% - Акцент2 12 2 3" xfId="31000"/>
    <cellStyle name="20% - Акцент2 12 3" xfId="493"/>
    <cellStyle name="20% - Акцент2 12 3 2" xfId="31001"/>
    <cellStyle name="20% - Акцент2 12 4" xfId="31002"/>
    <cellStyle name="20% - Акцент2 13" xfId="494"/>
    <cellStyle name="20% - Акцент2 13 2" xfId="495"/>
    <cellStyle name="20% - Акцент2 13 2 2" xfId="496"/>
    <cellStyle name="20% - Акцент2 13 2 2 2" xfId="31003"/>
    <cellStyle name="20% - Акцент2 13 2 3" xfId="31004"/>
    <cellStyle name="20% - Акцент2 13 3" xfId="497"/>
    <cellStyle name="20% - Акцент2 13 3 2" xfId="31005"/>
    <cellStyle name="20% - Акцент2 13 4" xfId="31006"/>
    <cellStyle name="20% - Акцент2 14" xfId="498"/>
    <cellStyle name="20% - Акцент2 14 2" xfId="499"/>
    <cellStyle name="20% - Акцент2 14 2 2" xfId="500"/>
    <cellStyle name="20% - Акцент2 14 2 2 2" xfId="31007"/>
    <cellStyle name="20% - Акцент2 14 2 3" xfId="31008"/>
    <cellStyle name="20% - Акцент2 14 3" xfId="501"/>
    <cellStyle name="20% - Акцент2 14 3 2" xfId="31009"/>
    <cellStyle name="20% - Акцент2 14 4" xfId="31010"/>
    <cellStyle name="20% - Акцент2 15" xfId="502"/>
    <cellStyle name="20% - Акцент2 15 2" xfId="503"/>
    <cellStyle name="20% - Акцент2 15 2 2" xfId="504"/>
    <cellStyle name="20% - Акцент2 15 2 2 2" xfId="31011"/>
    <cellStyle name="20% - Акцент2 15 2 3" xfId="31012"/>
    <cellStyle name="20% - Акцент2 15 3" xfId="505"/>
    <cellStyle name="20% - Акцент2 15 3 2" xfId="31013"/>
    <cellStyle name="20% - Акцент2 15 4" xfId="31014"/>
    <cellStyle name="20% - Акцент2 16" xfId="506"/>
    <cellStyle name="20% - Акцент2 16 2" xfId="507"/>
    <cellStyle name="20% - Акцент2 16 2 2" xfId="508"/>
    <cellStyle name="20% - Акцент2 16 2 2 2" xfId="31015"/>
    <cellStyle name="20% - Акцент2 16 2 3" xfId="31016"/>
    <cellStyle name="20% - Акцент2 16 3" xfId="509"/>
    <cellStyle name="20% - Акцент2 16 3 2" xfId="31017"/>
    <cellStyle name="20% - Акцент2 16 4" xfId="31018"/>
    <cellStyle name="20% - Акцент2 17" xfId="510"/>
    <cellStyle name="20% - Акцент2 17 2" xfId="511"/>
    <cellStyle name="20% - Акцент2 17 2 2" xfId="512"/>
    <cellStyle name="20% - Акцент2 17 2 2 2" xfId="31019"/>
    <cellStyle name="20% - Акцент2 17 2 3" xfId="31020"/>
    <cellStyle name="20% - Акцент2 17 3" xfId="513"/>
    <cellStyle name="20% - Акцент2 17 3 2" xfId="31021"/>
    <cellStyle name="20% - Акцент2 17 4" xfId="31022"/>
    <cellStyle name="20% - Акцент2 18" xfId="514"/>
    <cellStyle name="20% - Акцент2 18 2" xfId="515"/>
    <cellStyle name="20% - Акцент2 18 2 2" xfId="31023"/>
    <cellStyle name="20% - Акцент2 18 3" xfId="31024"/>
    <cellStyle name="20% - Акцент2 19" xfId="516"/>
    <cellStyle name="20% - Акцент2 19 2" xfId="31025"/>
    <cellStyle name="20% - Акцент2 2" xfId="517"/>
    <cellStyle name="20% - Акцент2 2 10" xfId="518"/>
    <cellStyle name="20% - Акцент2 2 10 2" xfId="519"/>
    <cellStyle name="20% - Акцент2 2 10 2 2" xfId="520"/>
    <cellStyle name="20% - Акцент2 2 10 2 2 2" xfId="31026"/>
    <cellStyle name="20% - Акцент2 2 10 2 3" xfId="31027"/>
    <cellStyle name="20% - Акцент2 2 10 3" xfId="521"/>
    <cellStyle name="20% - Акцент2 2 10 3 2" xfId="31028"/>
    <cellStyle name="20% - Акцент2 2 10 4" xfId="31029"/>
    <cellStyle name="20% - Акцент2 2 11" xfId="522"/>
    <cellStyle name="20% - Акцент2 2 11 2" xfId="523"/>
    <cellStyle name="20% - Акцент2 2 11 2 2" xfId="524"/>
    <cellStyle name="20% - Акцент2 2 11 2 2 2" xfId="31030"/>
    <cellStyle name="20% - Акцент2 2 11 2 3" xfId="31031"/>
    <cellStyle name="20% - Акцент2 2 11 3" xfId="525"/>
    <cellStyle name="20% - Акцент2 2 11 3 2" xfId="31032"/>
    <cellStyle name="20% - Акцент2 2 11 4" xfId="31033"/>
    <cellStyle name="20% - Акцент2 2 12" xfId="526"/>
    <cellStyle name="20% - Акцент2 2 12 2" xfId="527"/>
    <cellStyle name="20% - Акцент2 2 12 2 2" xfId="528"/>
    <cellStyle name="20% - Акцент2 2 12 2 2 2" xfId="31034"/>
    <cellStyle name="20% - Акцент2 2 12 2 3" xfId="31035"/>
    <cellStyle name="20% - Акцент2 2 12 3" xfId="529"/>
    <cellStyle name="20% - Акцент2 2 12 3 2" xfId="31036"/>
    <cellStyle name="20% - Акцент2 2 12 4" xfId="31037"/>
    <cellStyle name="20% - Акцент2 2 13" xfId="530"/>
    <cellStyle name="20% - Акцент2 2 13 2" xfId="531"/>
    <cellStyle name="20% - Акцент2 2 13 2 2" xfId="532"/>
    <cellStyle name="20% - Акцент2 2 13 2 2 2" xfId="31038"/>
    <cellStyle name="20% - Акцент2 2 13 2 3" xfId="31039"/>
    <cellStyle name="20% - Акцент2 2 13 3" xfId="533"/>
    <cellStyle name="20% - Акцент2 2 13 3 2" xfId="31040"/>
    <cellStyle name="20% - Акцент2 2 13 4" xfId="31041"/>
    <cellStyle name="20% - Акцент2 2 14" xfId="534"/>
    <cellStyle name="20% - Акцент2 2 14 2" xfId="535"/>
    <cellStyle name="20% - Акцент2 2 14 2 2" xfId="536"/>
    <cellStyle name="20% - Акцент2 2 14 2 2 2" xfId="31042"/>
    <cellStyle name="20% - Акцент2 2 14 2 3" xfId="31043"/>
    <cellStyle name="20% - Акцент2 2 14 3" xfId="537"/>
    <cellStyle name="20% - Акцент2 2 14 3 2" xfId="31044"/>
    <cellStyle name="20% - Акцент2 2 14 4" xfId="31045"/>
    <cellStyle name="20% - Акцент2 2 15" xfId="538"/>
    <cellStyle name="20% - Акцент2 2 15 2" xfId="539"/>
    <cellStyle name="20% - Акцент2 2 15 2 2" xfId="540"/>
    <cellStyle name="20% - Акцент2 2 15 2 2 2" xfId="31046"/>
    <cellStyle name="20% - Акцент2 2 15 2 3" xfId="31047"/>
    <cellStyle name="20% - Акцент2 2 15 3" xfId="541"/>
    <cellStyle name="20% - Акцент2 2 15 3 2" xfId="31048"/>
    <cellStyle name="20% - Акцент2 2 15 4" xfId="31049"/>
    <cellStyle name="20% - Акцент2 2 16" xfId="542"/>
    <cellStyle name="20% - Акцент2 2 16 2" xfId="543"/>
    <cellStyle name="20% - Акцент2 2 16 2 2" xfId="544"/>
    <cellStyle name="20% - Акцент2 2 16 2 2 2" xfId="31050"/>
    <cellStyle name="20% - Акцент2 2 16 2 3" xfId="31051"/>
    <cellStyle name="20% - Акцент2 2 16 3" xfId="545"/>
    <cellStyle name="20% - Акцент2 2 16 3 2" xfId="31052"/>
    <cellStyle name="20% - Акцент2 2 16 4" xfId="31053"/>
    <cellStyle name="20% - Акцент2 2 17" xfId="546"/>
    <cellStyle name="20% - Акцент2 2 17 2" xfId="547"/>
    <cellStyle name="20% - Акцент2 2 17 2 2" xfId="548"/>
    <cellStyle name="20% - Акцент2 2 17 2 2 2" xfId="31054"/>
    <cellStyle name="20% - Акцент2 2 17 2 3" xfId="31055"/>
    <cellStyle name="20% - Акцент2 2 17 3" xfId="549"/>
    <cellStyle name="20% - Акцент2 2 17 3 2" xfId="31056"/>
    <cellStyle name="20% - Акцент2 2 17 4" xfId="31057"/>
    <cellStyle name="20% - Акцент2 2 18" xfId="550"/>
    <cellStyle name="20% - Акцент2 2 18 2" xfId="551"/>
    <cellStyle name="20% - Акцент2 2 18 2 2" xfId="552"/>
    <cellStyle name="20% - Акцент2 2 18 2 2 2" xfId="31058"/>
    <cellStyle name="20% - Акцент2 2 18 2 3" xfId="31059"/>
    <cellStyle name="20% - Акцент2 2 18 3" xfId="553"/>
    <cellStyle name="20% - Акцент2 2 18 3 2" xfId="31060"/>
    <cellStyle name="20% - Акцент2 2 18 4" xfId="31061"/>
    <cellStyle name="20% - Акцент2 2 19" xfId="554"/>
    <cellStyle name="20% - Акцент2 2 19 2" xfId="555"/>
    <cellStyle name="20% - Акцент2 2 19 2 2" xfId="556"/>
    <cellStyle name="20% - Акцент2 2 19 2 2 2" xfId="31062"/>
    <cellStyle name="20% - Акцент2 2 19 2 3" xfId="31063"/>
    <cellStyle name="20% - Акцент2 2 19 3" xfId="557"/>
    <cellStyle name="20% - Акцент2 2 19 3 2" xfId="31064"/>
    <cellStyle name="20% - Акцент2 2 19 4" xfId="31065"/>
    <cellStyle name="20% - Акцент2 2 2" xfId="558"/>
    <cellStyle name="20% - Акцент2 2 2 2" xfId="31066"/>
    <cellStyle name="20% - Акцент2 2 20" xfId="559"/>
    <cellStyle name="20% - Акцент2 2 20 2" xfId="560"/>
    <cellStyle name="20% - Акцент2 2 20 2 2" xfId="561"/>
    <cellStyle name="20% - Акцент2 2 20 2 2 2" xfId="31067"/>
    <cellStyle name="20% - Акцент2 2 20 2 3" xfId="31068"/>
    <cellStyle name="20% - Акцент2 2 20 3" xfId="562"/>
    <cellStyle name="20% - Акцент2 2 20 3 2" xfId="31069"/>
    <cellStyle name="20% - Акцент2 2 20 4" xfId="31070"/>
    <cellStyle name="20% - Акцент2 2 21" xfId="563"/>
    <cellStyle name="20% - Акцент2 2 21 2" xfId="564"/>
    <cellStyle name="20% - Акцент2 2 21 2 2" xfId="565"/>
    <cellStyle name="20% - Акцент2 2 21 2 2 2" xfId="31071"/>
    <cellStyle name="20% - Акцент2 2 21 2 3" xfId="31072"/>
    <cellStyle name="20% - Акцент2 2 21 3" xfId="566"/>
    <cellStyle name="20% - Акцент2 2 21 3 2" xfId="31073"/>
    <cellStyle name="20% - Акцент2 2 21 4" xfId="31074"/>
    <cellStyle name="20% - Акцент2 2 22" xfId="567"/>
    <cellStyle name="20% - Акцент2 2 22 2" xfId="568"/>
    <cellStyle name="20% - Акцент2 2 22 2 2" xfId="569"/>
    <cellStyle name="20% - Акцент2 2 22 2 2 2" xfId="31075"/>
    <cellStyle name="20% - Акцент2 2 22 2 3" xfId="31076"/>
    <cellStyle name="20% - Акцент2 2 22 3" xfId="570"/>
    <cellStyle name="20% - Акцент2 2 22 3 2" xfId="31077"/>
    <cellStyle name="20% - Акцент2 2 22 4" xfId="31078"/>
    <cellStyle name="20% - Акцент2 2 23" xfId="571"/>
    <cellStyle name="20% - Акцент2 2 23 2" xfId="572"/>
    <cellStyle name="20% - Акцент2 2 23 2 2" xfId="573"/>
    <cellStyle name="20% - Акцент2 2 23 2 2 2" xfId="31079"/>
    <cellStyle name="20% - Акцент2 2 23 2 3" xfId="31080"/>
    <cellStyle name="20% - Акцент2 2 23 3" xfId="574"/>
    <cellStyle name="20% - Акцент2 2 23 3 2" xfId="31081"/>
    <cellStyle name="20% - Акцент2 2 23 4" xfId="31082"/>
    <cellStyle name="20% - Акцент2 2 24" xfId="575"/>
    <cellStyle name="20% - Акцент2 2 24 2" xfId="576"/>
    <cellStyle name="20% - Акцент2 2 24 2 2" xfId="577"/>
    <cellStyle name="20% - Акцент2 2 24 2 2 2" xfId="31083"/>
    <cellStyle name="20% - Акцент2 2 24 2 3" xfId="31084"/>
    <cellStyle name="20% - Акцент2 2 24 3" xfId="578"/>
    <cellStyle name="20% - Акцент2 2 24 3 2" xfId="31085"/>
    <cellStyle name="20% - Акцент2 2 24 4" xfId="31086"/>
    <cellStyle name="20% - Акцент2 2 25" xfId="31087"/>
    <cellStyle name="20% - Акцент2 2 3" xfId="579"/>
    <cellStyle name="20% - Акцент2 2 3 2" xfId="580"/>
    <cellStyle name="20% - Акцент2 2 3 2 2" xfId="581"/>
    <cellStyle name="20% - Акцент2 2 3 2 2 2" xfId="31088"/>
    <cellStyle name="20% - Акцент2 2 3 2 3" xfId="31089"/>
    <cellStyle name="20% - Акцент2 2 3 3" xfId="582"/>
    <cellStyle name="20% - Акцент2 2 3 3 2" xfId="31090"/>
    <cellStyle name="20% - Акцент2 2 3 4" xfId="31091"/>
    <cellStyle name="20% - Акцент2 2 4" xfId="583"/>
    <cellStyle name="20% - Акцент2 2 4 2" xfId="584"/>
    <cellStyle name="20% - Акцент2 2 4 2 2" xfId="585"/>
    <cellStyle name="20% - Акцент2 2 4 2 2 2" xfId="31092"/>
    <cellStyle name="20% - Акцент2 2 4 2 3" xfId="31093"/>
    <cellStyle name="20% - Акцент2 2 4 3" xfId="586"/>
    <cellStyle name="20% - Акцент2 2 4 3 2" xfId="31094"/>
    <cellStyle name="20% - Акцент2 2 4 4" xfId="31095"/>
    <cellStyle name="20% - Акцент2 2 5" xfId="587"/>
    <cellStyle name="20% - Акцент2 2 5 2" xfId="588"/>
    <cellStyle name="20% - Акцент2 2 5 2 2" xfId="589"/>
    <cellStyle name="20% - Акцент2 2 5 2 2 2" xfId="31096"/>
    <cellStyle name="20% - Акцент2 2 5 2 3" xfId="31097"/>
    <cellStyle name="20% - Акцент2 2 5 3" xfId="590"/>
    <cellStyle name="20% - Акцент2 2 5 3 2" xfId="31098"/>
    <cellStyle name="20% - Акцент2 2 5 4" xfId="31099"/>
    <cellStyle name="20% - Акцент2 2 6" xfId="591"/>
    <cellStyle name="20% - Акцент2 2 6 2" xfId="592"/>
    <cellStyle name="20% - Акцент2 2 6 2 2" xfId="593"/>
    <cellStyle name="20% - Акцент2 2 6 2 2 2" xfId="31100"/>
    <cellStyle name="20% - Акцент2 2 6 2 3" xfId="31101"/>
    <cellStyle name="20% - Акцент2 2 6 3" xfId="594"/>
    <cellStyle name="20% - Акцент2 2 6 3 2" xfId="31102"/>
    <cellStyle name="20% - Акцент2 2 6 4" xfId="31103"/>
    <cellStyle name="20% - Акцент2 2 7" xfId="595"/>
    <cellStyle name="20% - Акцент2 2 7 2" xfId="596"/>
    <cellStyle name="20% - Акцент2 2 7 2 2" xfId="597"/>
    <cellStyle name="20% - Акцент2 2 7 2 2 2" xfId="31104"/>
    <cellStyle name="20% - Акцент2 2 7 2 3" xfId="31105"/>
    <cellStyle name="20% - Акцент2 2 7 3" xfId="598"/>
    <cellStyle name="20% - Акцент2 2 7 3 2" xfId="31106"/>
    <cellStyle name="20% - Акцент2 2 7 4" xfId="31107"/>
    <cellStyle name="20% - Акцент2 2 8" xfId="599"/>
    <cellStyle name="20% - Акцент2 2 8 2" xfId="600"/>
    <cellStyle name="20% - Акцент2 2 8 2 2" xfId="601"/>
    <cellStyle name="20% - Акцент2 2 8 2 2 2" xfId="31108"/>
    <cellStyle name="20% - Акцент2 2 8 2 3" xfId="31109"/>
    <cellStyle name="20% - Акцент2 2 8 3" xfId="602"/>
    <cellStyle name="20% - Акцент2 2 8 3 2" xfId="31110"/>
    <cellStyle name="20% - Акцент2 2 8 4" xfId="31111"/>
    <cellStyle name="20% - Акцент2 2 9" xfId="603"/>
    <cellStyle name="20% - Акцент2 2 9 2" xfId="604"/>
    <cellStyle name="20% - Акцент2 2 9 2 2" xfId="605"/>
    <cellStyle name="20% - Акцент2 2 9 2 2 2" xfId="31112"/>
    <cellStyle name="20% - Акцент2 2 9 2 3" xfId="31113"/>
    <cellStyle name="20% - Акцент2 2 9 3" xfId="606"/>
    <cellStyle name="20% - Акцент2 2 9 3 2" xfId="31114"/>
    <cellStyle name="20% - Акцент2 2 9 4" xfId="31115"/>
    <cellStyle name="20% - Акцент2 3" xfId="607"/>
    <cellStyle name="20% - Акцент2 3 10" xfId="608"/>
    <cellStyle name="20% - Акцент2 3 10 2" xfId="609"/>
    <cellStyle name="20% - Акцент2 3 10 2 2" xfId="610"/>
    <cellStyle name="20% - Акцент2 3 10 2 2 2" xfId="31116"/>
    <cellStyle name="20% - Акцент2 3 10 2 3" xfId="31117"/>
    <cellStyle name="20% - Акцент2 3 10 3" xfId="611"/>
    <cellStyle name="20% - Акцент2 3 10 3 2" xfId="31118"/>
    <cellStyle name="20% - Акцент2 3 10 4" xfId="31119"/>
    <cellStyle name="20% - Акцент2 3 11" xfId="612"/>
    <cellStyle name="20% - Акцент2 3 11 2" xfId="613"/>
    <cellStyle name="20% - Акцент2 3 11 2 2" xfId="614"/>
    <cellStyle name="20% - Акцент2 3 11 2 2 2" xfId="31120"/>
    <cellStyle name="20% - Акцент2 3 11 2 3" xfId="31121"/>
    <cellStyle name="20% - Акцент2 3 11 3" xfId="615"/>
    <cellStyle name="20% - Акцент2 3 11 3 2" xfId="31122"/>
    <cellStyle name="20% - Акцент2 3 11 4" xfId="31123"/>
    <cellStyle name="20% - Акцент2 3 12" xfId="616"/>
    <cellStyle name="20% - Акцент2 3 12 2" xfId="617"/>
    <cellStyle name="20% - Акцент2 3 12 2 2" xfId="618"/>
    <cellStyle name="20% - Акцент2 3 12 2 2 2" xfId="31124"/>
    <cellStyle name="20% - Акцент2 3 12 2 3" xfId="31125"/>
    <cellStyle name="20% - Акцент2 3 12 3" xfId="619"/>
    <cellStyle name="20% - Акцент2 3 12 3 2" xfId="31126"/>
    <cellStyle name="20% - Акцент2 3 12 4" xfId="31127"/>
    <cellStyle name="20% - Акцент2 3 13" xfId="620"/>
    <cellStyle name="20% - Акцент2 3 13 2" xfId="621"/>
    <cellStyle name="20% - Акцент2 3 13 2 2" xfId="622"/>
    <cellStyle name="20% - Акцент2 3 13 2 2 2" xfId="31128"/>
    <cellStyle name="20% - Акцент2 3 13 2 3" xfId="31129"/>
    <cellStyle name="20% - Акцент2 3 13 3" xfId="623"/>
    <cellStyle name="20% - Акцент2 3 13 3 2" xfId="31130"/>
    <cellStyle name="20% - Акцент2 3 13 4" xfId="31131"/>
    <cellStyle name="20% - Акцент2 3 14" xfId="624"/>
    <cellStyle name="20% - Акцент2 3 14 2" xfId="625"/>
    <cellStyle name="20% - Акцент2 3 14 2 2" xfId="626"/>
    <cellStyle name="20% - Акцент2 3 14 2 2 2" xfId="31132"/>
    <cellStyle name="20% - Акцент2 3 14 2 3" xfId="31133"/>
    <cellStyle name="20% - Акцент2 3 14 3" xfId="627"/>
    <cellStyle name="20% - Акцент2 3 14 3 2" xfId="31134"/>
    <cellStyle name="20% - Акцент2 3 14 4" xfId="31135"/>
    <cellStyle name="20% - Акцент2 3 15" xfId="628"/>
    <cellStyle name="20% - Акцент2 3 15 2" xfId="629"/>
    <cellStyle name="20% - Акцент2 3 15 2 2" xfId="630"/>
    <cellStyle name="20% - Акцент2 3 15 2 2 2" xfId="31136"/>
    <cellStyle name="20% - Акцент2 3 15 2 3" xfId="31137"/>
    <cellStyle name="20% - Акцент2 3 15 3" xfId="631"/>
    <cellStyle name="20% - Акцент2 3 15 3 2" xfId="31138"/>
    <cellStyle name="20% - Акцент2 3 15 4" xfId="31139"/>
    <cellStyle name="20% - Акцент2 3 16" xfId="632"/>
    <cellStyle name="20% - Акцент2 3 16 2" xfId="633"/>
    <cellStyle name="20% - Акцент2 3 16 2 2" xfId="634"/>
    <cellStyle name="20% - Акцент2 3 16 2 2 2" xfId="31140"/>
    <cellStyle name="20% - Акцент2 3 16 2 3" xfId="31141"/>
    <cellStyle name="20% - Акцент2 3 16 3" xfId="635"/>
    <cellStyle name="20% - Акцент2 3 16 3 2" xfId="31142"/>
    <cellStyle name="20% - Акцент2 3 16 4" xfId="31143"/>
    <cellStyle name="20% - Акцент2 3 17" xfId="636"/>
    <cellStyle name="20% - Акцент2 3 17 2" xfId="637"/>
    <cellStyle name="20% - Акцент2 3 17 2 2" xfId="638"/>
    <cellStyle name="20% - Акцент2 3 17 2 2 2" xfId="31144"/>
    <cellStyle name="20% - Акцент2 3 17 2 3" xfId="31145"/>
    <cellStyle name="20% - Акцент2 3 17 3" xfId="639"/>
    <cellStyle name="20% - Акцент2 3 17 3 2" xfId="31146"/>
    <cellStyle name="20% - Акцент2 3 17 4" xfId="31147"/>
    <cellStyle name="20% - Акцент2 3 18" xfId="640"/>
    <cellStyle name="20% - Акцент2 3 18 2" xfId="641"/>
    <cellStyle name="20% - Акцент2 3 18 2 2" xfId="642"/>
    <cellStyle name="20% - Акцент2 3 18 2 2 2" xfId="31148"/>
    <cellStyle name="20% - Акцент2 3 18 2 3" xfId="31149"/>
    <cellStyle name="20% - Акцент2 3 18 3" xfId="643"/>
    <cellStyle name="20% - Акцент2 3 18 3 2" xfId="31150"/>
    <cellStyle name="20% - Акцент2 3 18 4" xfId="31151"/>
    <cellStyle name="20% - Акцент2 3 19" xfId="644"/>
    <cellStyle name="20% - Акцент2 3 19 2" xfId="645"/>
    <cellStyle name="20% - Акцент2 3 19 2 2" xfId="646"/>
    <cellStyle name="20% - Акцент2 3 19 2 2 2" xfId="31152"/>
    <cellStyle name="20% - Акцент2 3 19 2 3" xfId="31153"/>
    <cellStyle name="20% - Акцент2 3 19 3" xfId="647"/>
    <cellStyle name="20% - Акцент2 3 19 3 2" xfId="31154"/>
    <cellStyle name="20% - Акцент2 3 19 4" xfId="31155"/>
    <cellStyle name="20% - Акцент2 3 2" xfId="648"/>
    <cellStyle name="20% - Акцент2 3 2 2" xfId="31156"/>
    <cellStyle name="20% - Акцент2 3 20" xfId="649"/>
    <cellStyle name="20% - Акцент2 3 20 2" xfId="650"/>
    <cellStyle name="20% - Акцент2 3 20 2 2" xfId="651"/>
    <cellStyle name="20% - Акцент2 3 20 2 2 2" xfId="31157"/>
    <cellStyle name="20% - Акцент2 3 20 2 3" xfId="31158"/>
    <cellStyle name="20% - Акцент2 3 20 3" xfId="652"/>
    <cellStyle name="20% - Акцент2 3 20 3 2" xfId="31159"/>
    <cellStyle name="20% - Акцент2 3 20 4" xfId="31160"/>
    <cellStyle name="20% - Акцент2 3 21" xfId="653"/>
    <cellStyle name="20% - Акцент2 3 21 2" xfId="654"/>
    <cellStyle name="20% - Акцент2 3 21 2 2" xfId="655"/>
    <cellStyle name="20% - Акцент2 3 21 2 2 2" xfId="31161"/>
    <cellStyle name="20% - Акцент2 3 21 2 3" xfId="31162"/>
    <cellStyle name="20% - Акцент2 3 21 3" xfId="656"/>
    <cellStyle name="20% - Акцент2 3 21 3 2" xfId="31163"/>
    <cellStyle name="20% - Акцент2 3 21 4" xfId="31164"/>
    <cellStyle name="20% - Акцент2 3 22" xfId="657"/>
    <cellStyle name="20% - Акцент2 3 22 2" xfId="658"/>
    <cellStyle name="20% - Акцент2 3 22 2 2" xfId="659"/>
    <cellStyle name="20% - Акцент2 3 22 2 2 2" xfId="31165"/>
    <cellStyle name="20% - Акцент2 3 22 2 3" xfId="31166"/>
    <cellStyle name="20% - Акцент2 3 22 3" xfId="660"/>
    <cellStyle name="20% - Акцент2 3 22 3 2" xfId="31167"/>
    <cellStyle name="20% - Акцент2 3 22 4" xfId="31168"/>
    <cellStyle name="20% - Акцент2 3 23" xfId="661"/>
    <cellStyle name="20% - Акцент2 3 23 2" xfId="662"/>
    <cellStyle name="20% - Акцент2 3 23 2 2" xfId="663"/>
    <cellStyle name="20% - Акцент2 3 23 2 2 2" xfId="31169"/>
    <cellStyle name="20% - Акцент2 3 23 2 3" xfId="31170"/>
    <cellStyle name="20% - Акцент2 3 23 3" xfId="664"/>
    <cellStyle name="20% - Акцент2 3 23 3 2" xfId="31171"/>
    <cellStyle name="20% - Акцент2 3 23 4" xfId="31172"/>
    <cellStyle name="20% - Акцент2 3 24" xfId="665"/>
    <cellStyle name="20% - Акцент2 3 24 2" xfId="666"/>
    <cellStyle name="20% - Акцент2 3 24 2 2" xfId="667"/>
    <cellStyle name="20% - Акцент2 3 24 2 2 2" xfId="31173"/>
    <cellStyle name="20% - Акцент2 3 24 2 3" xfId="31174"/>
    <cellStyle name="20% - Акцент2 3 24 3" xfId="668"/>
    <cellStyle name="20% - Акцент2 3 24 3 2" xfId="31175"/>
    <cellStyle name="20% - Акцент2 3 24 4" xfId="31176"/>
    <cellStyle name="20% - Акцент2 3 25" xfId="31177"/>
    <cellStyle name="20% - Акцент2 3 3" xfId="669"/>
    <cellStyle name="20% - Акцент2 3 3 2" xfId="670"/>
    <cellStyle name="20% - Акцент2 3 3 2 2" xfId="671"/>
    <cellStyle name="20% - Акцент2 3 3 2 2 2" xfId="31178"/>
    <cellStyle name="20% - Акцент2 3 3 2 3" xfId="31179"/>
    <cellStyle name="20% - Акцент2 3 3 3" xfId="672"/>
    <cellStyle name="20% - Акцент2 3 3 3 2" xfId="31180"/>
    <cellStyle name="20% - Акцент2 3 3 4" xfId="31181"/>
    <cellStyle name="20% - Акцент2 3 4" xfId="673"/>
    <cellStyle name="20% - Акцент2 3 4 2" xfId="674"/>
    <cellStyle name="20% - Акцент2 3 4 2 2" xfId="675"/>
    <cellStyle name="20% - Акцент2 3 4 2 2 2" xfId="31182"/>
    <cellStyle name="20% - Акцент2 3 4 2 3" xfId="31183"/>
    <cellStyle name="20% - Акцент2 3 4 3" xfId="676"/>
    <cellStyle name="20% - Акцент2 3 4 3 2" xfId="31184"/>
    <cellStyle name="20% - Акцент2 3 4 4" xfId="31185"/>
    <cellStyle name="20% - Акцент2 3 5" xfId="677"/>
    <cellStyle name="20% - Акцент2 3 5 2" xfId="678"/>
    <cellStyle name="20% - Акцент2 3 5 2 2" xfId="679"/>
    <cellStyle name="20% - Акцент2 3 5 2 2 2" xfId="31186"/>
    <cellStyle name="20% - Акцент2 3 5 2 3" xfId="31187"/>
    <cellStyle name="20% - Акцент2 3 5 3" xfId="680"/>
    <cellStyle name="20% - Акцент2 3 5 3 2" xfId="31188"/>
    <cellStyle name="20% - Акцент2 3 5 4" xfId="31189"/>
    <cellStyle name="20% - Акцент2 3 6" xfId="681"/>
    <cellStyle name="20% - Акцент2 3 6 2" xfId="682"/>
    <cellStyle name="20% - Акцент2 3 6 2 2" xfId="683"/>
    <cellStyle name="20% - Акцент2 3 6 2 2 2" xfId="31190"/>
    <cellStyle name="20% - Акцент2 3 6 2 3" xfId="31191"/>
    <cellStyle name="20% - Акцент2 3 6 3" xfId="684"/>
    <cellStyle name="20% - Акцент2 3 6 3 2" xfId="31192"/>
    <cellStyle name="20% - Акцент2 3 6 4" xfId="31193"/>
    <cellStyle name="20% - Акцент2 3 7" xfId="685"/>
    <cellStyle name="20% - Акцент2 3 7 2" xfId="686"/>
    <cellStyle name="20% - Акцент2 3 7 2 2" xfId="687"/>
    <cellStyle name="20% - Акцент2 3 7 2 2 2" xfId="31194"/>
    <cellStyle name="20% - Акцент2 3 7 2 3" xfId="31195"/>
    <cellStyle name="20% - Акцент2 3 7 3" xfId="688"/>
    <cellStyle name="20% - Акцент2 3 7 3 2" xfId="31196"/>
    <cellStyle name="20% - Акцент2 3 7 4" xfId="31197"/>
    <cellStyle name="20% - Акцент2 3 8" xfId="689"/>
    <cellStyle name="20% - Акцент2 3 8 2" xfId="690"/>
    <cellStyle name="20% - Акцент2 3 8 2 2" xfId="691"/>
    <cellStyle name="20% - Акцент2 3 8 2 2 2" xfId="31198"/>
    <cellStyle name="20% - Акцент2 3 8 2 3" xfId="31199"/>
    <cellStyle name="20% - Акцент2 3 8 3" xfId="692"/>
    <cellStyle name="20% - Акцент2 3 8 3 2" xfId="31200"/>
    <cellStyle name="20% - Акцент2 3 8 4" xfId="31201"/>
    <cellStyle name="20% - Акцент2 3 9" xfId="693"/>
    <cellStyle name="20% - Акцент2 3 9 2" xfId="694"/>
    <cellStyle name="20% - Акцент2 3 9 2 2" xfId="695"/>
    <cellStyle name="20% - Акцент2 3 9 2 2 2" xfId="31202"/>
    <cellStyle name="20% - Акцент2 3 9 2 3" xfId="31203"/>
    <cellStyle name="20% - Акцент2 3 9 3" xfId="696"/>
    <cellStyle name="20% - Акцент2 3 9 3 2" xfId="31204"/>
    <cellStyle name="20% - Акцент2 3 9 4" xfId="31205"/>
    <cellStyle name="20% - Акцент2 4" xfId="697"/>
    <cellStyle name="20% - Акцент2 4 10" xfId="698"/>
    <cellStyle name="20% - Акцент2 4 10 2" xfId="699"/>
    <cellStyle name="20% - Акцент2 4 10 2 2" xfId="700"/>
    <cellStyle name="20% - Акцент2 4 10 2 2 2" xfId="31206"/>
    <cellStyle name="20% - Акцент2 4 10 2 3" xfId="31207"/>
    <cellStyle name="20% - Акцент2 4 10 3" xfId="701"/>
    <cellStyle name="20% - Акцент2 4 10 3 2" xfId="31208"/>
    <cellStyle name="20% - Акцент2 4 10 4" xfId="31209"/>
    <cellStyle name="20% - Акцент2 4 11" xfId="702"/>
    <cellStyle name="20% - Акцент2 4 11 2" xfId="703"/>
    <cellStyle name="20% - Акцент2 4 11 2 2" xfId="704"/>
    <cellStyle name="20% - Акцент2 4 11 2 2 2" xfId="31210"/>
    <cellStyle name="20% - Акцент2 4 11 2 3" xfId="31211"/>
    <cellStyle name="20% - Акцент2 4 11 3" xfId="705"/>
    <cellStyle name="20% - Акцент2 4 11 3 2" xfId="31212"/>
    <cellStyle name="20% - Акцент2 4 11 4" xfId="31213"/>
    <cellStyle name="20% - Акцент2 4 12" xfId="706"/>
    <cellStyle name="20% - Акцент2 4 12 2" xfId="707"/>
    <cellStyle name="20% - Акцент2 4 12 2 2" xfId="708"/>
    <cellStyle name="20% - Акцент2 4 12 2 2 2" xfId="31214"/>
    <cellStyle name="20% - Акцент2 4 12 2 3" xfId="31215"/>
    <cellStyle name="20% - Акцент2 4 12 3" xfId="709"/>
    <cellStyle name="20% - Акцент2 4 12 3 2" xfId="31216"/>
    <cellStyle name="20% - Акцент2 4 12 4" xfId="31217"/>
    <cellStyle name="20% - Акцент2 4 13" xfId="710"/>
    <cellStyle name="20% - Акцент2 4 13 2" xfId="711"/>
    <cellStyle name="20% - Акцент2 4 13 2 2" xfId="712"/>
    <cellStyle name="20% - Акцент2 4 13 2 2 2" xfId="31218"/>
    <cellStyle name="20% - Акцент2 4 13 2 3" xfId="31219"/>
    <cellStyle name="20% - Акцент2 4 13 3" xfId="713"/>
    <cellStyle name="20% - Акцент2 4 13 3 2" xfId="31220"/>
    <cellStyle name="20% - Акцент2 4 13 4" xfId="31221"/>
    <cellStyle name="20% - Акцент2 4 14" xfId="714"/>
    <cellStyle name="20% - Акцент2 4 14 2" xfId="715"/>
    <cellStyle name="20% - Акцент2 4 14 2 2" xfId="716"/>
    <cellStyle name="20% - Акцент2 4 14 2 2 2" xfId="31222"/>
    <cellStyle name="20% - Акцент2 4 14 2 3" xfId="31223"/>
    <cellStyle name="20% - Акцент2 4 14 3" xfId="717"/>
    <cellStyle name="20% - Акцент2 4 14 3 2" xfId="31224"/>
    <cellStyle name="20% - Акцент2 4 14 4" xfId="31225"/>
    <cellStyle name="20% - Акцент2 4 15" xfId="718"/>
    <cellStyle name="20% - Акцент2 4 15 2" xfId="719"/>
    <cellStyle name="20% - Акцент2 4 15 2 2" xfId="720"/>
    <cellStyle name="20% - Акцент2 4 15 2 2 2" xfId="31226"/>
    <cellStyle name="20% - Акцент2 4 15 2 3" xfId="31227"/>
    <cellStyle name="20% - Акцент2 4 15 3" xfId="721"/>
    <cellStyle name="20% - Акцент2 4 15 3 2" xfId="31228"/>
    <cellStyle name="20% - Акцент2 4 15 4" xfId="31229"/>
    <cellStyle name="20% - Акцент2 4 16" xfId="722"/>
    <cellStyle name="20% - Акцент2 4 16 2" xfId="723"/>
    <cellStyle name="20% - Акцент2 4 16 2 2" xfId="724"/>
    <cellStyle name="20% - Акцент2 4 16 2 2 2" xfId="31230"/>
    <cellStyle name="20% - Акцент2 4 16 2 3" xfId="31231"/>
    <cellStyle name="20% - Акцент2 4 16 3" xfId="725"/>
    <cellStyle name="20% - Акцент2 4 16 3 2" xfId="31232"/>
    <cellStyle name="20% - Акцент2 4 16 4" xfId="31233"/>
    <cellStyle name="20% - Акцент2 4 17" xfId="726"/>
    <cellStyle name="20% - Акцент2 4 17 2" xfId="727"/>
    <cellStyle name="20% - Акцент2 4 17 2 2" xfId="728"/>
    <cellStyle name="20% - Акцент2 4 17 2 2 2" xfId="31234"/>
    <cellStyle name="20% - Акцент2 4 17 2 3" xfId="31235"/>
    <cellStyle name="20% - Акцент2 4 17 3" xfId="729"/>
    <cellStyle name="20% - Акцент2 4 17 3 2" xfId="31236"/>
    <cellStyle name="20% - Акцент2 4 17 4" xfId="31237"/>
    <cellStyle name="20% - Акцент2 4 18" xfId="730"/>
    <cellStyle name="20% - Акцент2 4 18 2" xfId="731"/>
    <cellStyle name="20% - Акцент2 4 18 2 2" xfId="732"/>
    <cellStyle name="20% - Акцент2 4 18 2 2 2" xfId="31238"/>
    <cellStyle name="20% - Акцент2 4 18 2 3" xfId="31239"/>
    <cellStyle name="20% - Акцент2 4 18 3" xfId="733"/>
    <cellStyle name="20% - Акцент2 4 18 3 2" xfId="31240"/>
    <cellStyle name="20% - Акцент2 4 18 4" xfId="31241"/>
    <cellStyle name="20% - Акцент2 4 19" xfId="734"/>
    <cellStyle name="20% - Акцент2 4 19 2" xfId="735"/>
    <cellStyle name="20% - Акцент2 4 19 2 2" xfId="736"/>
    <cellStyle name="20% - Акцент2 4 19 2 2 2" xfId="31242"/>
    <cellStyle name="20% - Акцент2 4 19 2 3" xfId="31243"/>
    <cellStyle name="20% - Акцент2 4 19 3" xfId="737"/>
    <cellStyle name="20% - Акцент2 4 19 3 2" xfId="31244"/>
    <cellStyle name="20% - Акцент2 4 19 4" xfId="31245"/>
    <cellStyle name="20% - Акцент2 4 2" xfId="738"/>
    <cellStyle name="20% - Акцент2 4 2 2" xfId="31246"/>
    <cellStyle name="20% - Акцент2 4 20" xfId="739"/>
    <cellStyle name="20% - Акцент2 4 20 2" xfId="740"/>
    <cellStyle name="20% - Акцент2 4 20 2 2" xfId="741"/>
    <cellStyle name="20% - Акцент2 4 20 2 2 2" xfId="31247"/>
    <cellStyle name="20% - Акцент2 4 20 2 3" xfId="31248"/>
    <cellStyle name="20% - Акцент2 4 20 3" xfId="742"/>
    <cellStyle name="20% - Акцент2 4 20 3 2" xfId="31249"/>
    <cellStyle name="20% - Акцент2 4 20 4" xfId="31250"/>
    <cellStyle name="20% - Акцент2 4 21" xfId="743"/>
    <cellStyle name="20% - Акцент2 4 21 2" xfId="744"/>
    <cellStyle name="20% - Акцент2 4 21 2 2" xfId="745"/>
    <cellStyle name="20% - Акцент2 4 21 2 2 2" xfId="31251"/>
    <cellStyle name="20% - Акцент2 4 21 2 3" xfId="31252"/>
    <cellStyle name="20% - Акцент2 4 21 3" xfId="746"/>
    <cellStyle name="20% - Акцент2 4 21 3 2" xfId="31253"/>
    <cellStyle name="20% - Акцент2 4 21 4" xfId="31254"/>
    <cellStyle name="20% - Акцент2 4 22" xfId="747"/>
    <cellStyle name="20% - Акцент2 4 22 2" xfId="748"/>
    <cellStyle name="20% - Акцент2 4 22 2 2" xfId="749"/>
    <cellStyle name="20% - Акцент2 4 22 2 2 2" xfId="31255"/>
    <cellStyle name="20% - Акцент2 4 22 2 3" xfId="31256"/>
    <cellStyle name="20% - Акцент2 4 22 3" xfId="750"/>
    <cellStyle name="20% - Акцент2 4 22 3 2" xfId="31257"/>
    <cellStyle name="20% - Акцент2 4 22 4" xfId="31258"/>
    <cellStyle name="20% - Акцент2 4 23" xfId="751"/>
    <cellStyle name="20% - Акцент2 4 23 2" xfId="752"/>
    <cellStyle name="20% - Акцент2 4 23 2 2" xfId="753"/>
    <cellStyle name="20% - Акцент2 4 23 2 2 2" xfId="31259"/>
    <cellStyle name="20% - Акцент2 4 23 2 3" xfId="31260"/>
    <cellStyle name="20% - Акцент2 4 23 3" xfId="754"/>
    <cellStyle name="20% - Акцент2 4 23 3 2" xfId="31261"/>
    <cellStyle name="20% - Акцент2 4 23 4" xfId="31262"/>
    <cellStyle name="20% - Акцент2 4 24" xfId="755"/>
    <cellStyle name="20% - Акцент2 4 24 2" xfId="756"/>
    <cellStyle name="20% - Акцент2 4 24 2 2" xfId="757"/>
    <cellStyle name="20% - Акцент2 4 24 2 2 2" xfId="31263"/>
    <cellStyle name="20% - Акцент2 4 24 2 3" xfId="31264"/>
    <cellStyle name="20% - Акцент2 4 24 3" xfId="758"/>
    <cellStyle name="20% - Акцент2 4 24 3 2" xfId="31265"/>
    <cellStyle name="20% - Акцент2 4 24 4" xfId="31266"/>
    <cellStyle name="20% - Акцент2 4 25" xfId="31267"/>
    <cellStyle name="20% - Акцент2 4 3" xfId="759"/>
    <cellStyle name="20% - Акцент2 4 3 2" xfId="760"/>
    <cellStyle name="20% - Акцент2 4 3 2 2" xfId="761"/>
    <cellStyle name="20% - Акцент2 4 3 2 2 2" xfId="31268"/>
    <cellStyle name="20% - Акцент2 4 3 2 3" xfId="31269"/>
    <cellStyle name="20% - Акцент2 4 3 3" xfId="762"/>
    <cellStyle name="20% - Акцент2 4 3 3 2" xfId="31270"/>
    <cellStyle name="20% - Акцент2 4 3 4" xfId="31271"/>
    <cellStyle name="20% - Акцент2 4 4" xfId="763"/>
    <cellStyle name="20% - Акцент2 4 4 2" xfId="764"/>
    <cellStyle name="20% - Акцент2 4 4 2 2" xfId="765"/>
    <cellStyle name="20% - Акцент2 4 4 2 2 2" xfId="31272"/>
    <cellStyle name="20% - Акцент2 4 4 2 3" xfId="31273"/>
    <cellStyle name="20% - Акцент2 4 4 3" xfId="766"/>
    <cellStyle name="20% - Акцент2 4 4 3 2" xfId="31274"/>
    <cellStyle name="20% - Акцент2 4 4 4" xfId="31275"/>
    <cellStyle name="20% - Акцент2 4 5" xfId="767"/>
    <cellStyle name="20% - Акцент2 4 5 2" xfId="768"/>
    <cellStyle name="20% - Акцент2 4 5 2 2" xfId="769"/>
    <cellStyle name="20% - Акцент2 4 5 2 2 2" xfId="31276"/>
    <cellStyle name="20% - Акцент2 4 5 2 3" xfId="31277"/>
    <cellStyle name="20% - Акцент2 4 5 3" xfId="770"/>
    <cellStyle name="20% - Акцент2 4 5 3 2" xfId="31278"/>
    <cellStyle name="20% - Акцент2 4 5 4" xfId="31279"/>
    <cellStyle name="20% - Акцент2 4 6" xfId="771"/>
    <cellStyle name="20% - Акцент2 4 6 2" xfId="772"/>
    <cellStyle name="20% - Акцент2 4 6 2 2" xfId="773"/>
    <cellStyle name="20% - Акцент2 4 6 2 2 2" xfId="31280"/>
    <cellStyle name="20% - Акцент2 4 6 2 3" xfId="31281"/>
    <cellStyle name="20% - Акцент2 4 6 3" xfId="774"/>
    <cellStyle name="20% - Акцент2 4 6 3 2" xfId="31282"/>
    <cellStyle name="20% - Акцент2 4 6 4" xfId="31283"/>
    <cellStyle name="20% - Акцент2 4 7" xfId="775"/>
    <cellStyle name="20% - Акцент2 4 7 2" xfId="776"/>
    <cellStyle name="20% - Акцент2 4 7 2 2" xfId="777"/>
    <cellStyle name="20% - Акцент2 4 7 2 2 2" xfId="31284"/>
    <cellStyle name="20% - Акцент2 4 7 2 3" xfId="31285"/>
    <cellStyle name="20% - Акцент2 4 7 3" xfId="778"/>
    <cellStyle name="20% - Акцент2 4 7 3 2" xfId="31286"/>
    <cellStyle name="20% - Акцент2 4 7 4" xfId="31287"/>
    <cellStyle name="20% - Акцент2 4 8" xfId="779"/>
    <cellStyle name="20% - Акцент2 4 8 2" xfId="780"/>
    <cellStyle name="20% - Акцент2 4 8 2 2" xfId="781"/>
    <cellStyle name="20% - Акцент2 4 8 2 2 2" xfId="31288"/>
    <cellStyle name="20% - Акцент2 4 8 2 3" xfId="31289"/>
    <cellStyle name="20% - Акцент2 4 8 3" xfId="782"/>
    <cellStyle name="20% - Акцент2 4 8 3 2" xfId="31290"/>
    <cellStyle name="20% - Акцент2 4 8 4" xfId="31291"/>
    <cellStyle name="20% - Акцент2 4 9" xfId="783"/>
    <cellStyle name="20% - Акцент2 4 9 2" xfId="784"/>
    <cellStyle name="20% - Акцент2 4 9 2 2" xfId="785"/>
    <cellStyle name="20% - Акцент2 4 9 2 2 2" xfId="31292"/>
    <cellStyle name="20% - Акцент2 4 9 2 3" xfId="31293"/>
    <cellStyle name="20% - Акцент2 4 9 3" xfId="786"/>
    <cellStyle name="20% - Акцент2 4 9 3 2" xfId="31294"/>
    <cellStyle name="20% - Акцент2 4 9 4" xfId="31295"/>
    <cellStyle name="20% - Акцент2 5" xfId="787"/>
    <cellStyle name="20% - Акцент2 5 2" xfId="788"/>
    <cellStyle name="20% - Акцент2 5 2 2" xfId="31296"/>
    <cellStyle name="20% - Акцент2 5 3" xfId="31297"/>
    <cellStyle name="20% - Акцент2 6" xfId="789"/>
    <cellStyle name="20% - Акцент2 6 2" xfId="31298"/>
    <cellStyle name="20% - Акцент2 7" xfId="790"/>
    <cellStyle name="20% - Акцент2 7 2" xfId="791"/>
    <cellStyle name="20% - Акцент2 7 2 2" xfId="792"/>
    <cellStyle name="20% - Акцент2 7 2 2 2" xfId="31299"/>
    <cellStyle name="20% - Акцент2 7 2 3" xfId="31300"/>
    <cellStyle name="20% - Акцент2 7 3" xfId="793"/>
    <cellStyle name="20% - Акцент2 7 3 2" xfId="31301"/>
    <cellStyle name="20% - Акцент2 7 4" xfId="31302"/>
    <cellStyle name="20% - Акцент2 8" xfId="794"/>
    <cellStyle name="20% - Акцент2 8 2" xfId="795"/>
    <cellStyle name="20% - Акцент2 8 2 2" xfId="796"/>
    <cellStyle name="20% - Акцент2 8 2 2 2" xfId="31303"/>
    <cellStyle name="20% - Акцент2 8 2 3" xfId="31304"/>
    <cellStyle name="20% - Акцент2 8 3" xfId="797"/>
    <cellStyle name="20% - Акцент2 8 3 2" xfId="31305"/>
    <cellStyle name="20% - Акцент2 8 4" xfId="31306"/>
    <cellStyle name="20% - Акцент2 9" xfId="798"/>
    <cellStyle name="20% - Акцент2 9 2" xfId="799"/>
    <cellStyle name="20% - Акцент2 9 2 2" xfId="800"/>
    <cellStyle name="20% - Акцент2 9 2 2 2" xfId="31307"/>
    <cellStyle name="20% - Акцент2 9 2 3" xfId="31308"/>
    <cellStyle name="20% - Акцент2 9 3" xfId="801"/>
    <cellStyle name="20% - Акцент2 9 3 2" xfId="31309"/>
    <cellStyle name="20% - Акцент2 9 4" xfId="31310"/>
    <cellStyle name="20% - Акцент3 10" xfId="802"/>
    <cellStyle name="20% - Акцент3 10 2" xfId="803"/>
    <cellStyle name="20% - Акцент3 10 2 2" xfId="804"/>
    <cellStyle name="20% - Акцент3 10 2 2 2" xfId="31311"/>
    <cellStyle name="20% - Акцент3 10 2 3" xfId="31312"/>
    <cellStyle name="20% - Акцент3 10 3" xfId="805"/>
    <cellStyle name="20% - Акцент3 10 3 2" xfId="31313"/>
    <cellStyle name="20% - Акцент3 10 4" xfId="31314"/>
    <cellStyle name="20% - Акцент3 11" xfId="806"/>
    <cellStyle name="20% - Акцент3 11 2" xfId="807"/>
    <cellStyle name="20% - Акцент3 11 2 2" xfId="808"/>
    <cellStyle name="20% - Акцент3 11 2 2 2" xfId="31315"/>
    <cellStyle name="20% - Акцент3 11 2 3" xfId="31316"/>
    <cellStyle name="20% - Акцент3 11 3" xfId="809"/>
    <cellStyle name="20% - Акцент3 11 3 2" xfId="31317"/>
    <cellStyle name="20% - Акцент3 11 4" xfId="31318"/>
    <cellStyle name="20% - Акцент3 12" xfId="810"/>
    <cellStyle name="20% - Акцент3 12 2" xfId="811"/>
    <cellStyle name="20% - Акцент3 12 2 2" xfId="812"/>
    <cellStyle name="20% - Акцент3 12 2 2 2" xfId="31319"/>
    <cellStyle name="20% - Акцент3 12 2 3" xfId="31320"/>
    <cellStyle name="20% - Акцент3 12 3" xfId="813"/>
    <cellStyle name="20% - Акцент3 12 3 2" xfId="31321"/>
    <cellStyle name="20% - Акцент3 12 4" xfId="31322"/>
    <cellStyle name="20% - Акцент3 13" xfId="814"/>
    <cellStyle name="20% - Акцент3 13 2" xfId="815"/>
    <cellStyle name="20% - Акцент3 13 2 2" xfId="816"/>
    <cellStyle name="20% - Акцент3 13 2 2 2" xfId="31323"/>
    <cellStyle name="20% - Акцент3 13 2 3" xfId="31324"/>
    <cellStyle name="20% - Акцент3 13 3" xfId="817"/>
    <cellStyle name="20% - Акцент3 13 3 2" xfId="31325"/>
    <cellStyle name="20% - Акцент3 13 4" xfId="31326"/>
    <cellStyle name="20% - Акцент3 14" xfId="818"/>
    <cellStyle name="20% - Акцент3 14 2" xfId="819"/>
    <cellStyle name="20% - Акцент3 14 2 2" xfId="820"/>
    <cellStyle name="20% - Акцент3 14 2 2 2" xfId="31327"/>
    <cellStyle name="20% - Акцент3 14 2 3" xfId="31328"/>
    <cellStyle name="20% - Акцент3 14 3" xfId="821"/>
    <cellStyle name="20% - Акцент3 14 3 2" xfId="31329"/>
    <cellStyle name="20% - Акцент3 14 4" xfId="31330"/>
    <cellStyle name="20% - Акцент3 15" xfId="822"/>
    <cellStyle name="20% - Акцент3 15 2" xfId="823"/>
    <cellStyle name="20% - Акцент3 15 2 2" xfId="824"/>
    <cellStyle name="20% - Акцент3 15 2 2 2" xfId="31331"/>
    <cellStyle name="20% - Акцент3 15 2 3" xfId="31332"/>
    <cellStyle name="20% - Акцент3 15 3" xfId="825"/>
    <cellStyle name="20% - Акцент3 15 3 2" xfId="31333"/>
    <cellStyle name="20% - Акцент3 15 4" xfId="31334"/>
    <cellStyle name="20% - Акцент3 16" xfId="826"/>
    <cellStyle name="20% - Акцент3 16 2" xfId="827"/>
    <cellStyle name="20% - Акцент3 16 2 2" xfId="828"/>
    <cellStyle name="20% - Акцент3 16 2 2 2" xfId="31335"/>
    <cellStyle name="20% - Акцент3 16 2 3" xfId="31336"/>
    <cellStyle name="20% - Акцент3 16 3" xfId="829"/>
    <cellStyle name="20% - Акцент3 16 3 2" xfId="31337"/>
    <cellStyle name="20% - Акцент3 16 4" xfId="31338"/>
    <cellStyle name="20% - Акцент3 17" xfId="830"/>
    <cellStyle name="20% - Акцент3 17 2" xfId="831"/>
    <cellStyle name="20% - Акцент3 17 2 2" xfId="832"/>
    <cellStyle name="20% - Акцент3 17 2 2 2" xfId="31339"/>
    <cellStyle name="20% - Акцент3 17 2 3" xfId="31340"/>
    <cellStyle name="20% - Акцент3 17 3" xfId="833"/>
    <cellStyle name="20% - Акцент3 17 3 2" xfId="31341"/>
    <cellStyle name="20% - Акцент3 17 4" xfId="31342"/>
    <cellStyle name="20% - Акцент3 18" xfId="834"/>
    <cellStyle name="20% - Акцент3 18 2" xfId="835"/>
    <cellStyle name="20% - Акцент3 18 2 2" xfId="31343"/>
    <cellStyle name="20% - Акцент3 18 3" xfId="31344"/>
    <cellStyle name="20% - Акцент3 19" xfId="836"/>
    <cellStyle name="20% - Акцент3 19 2" xfId="31345"/>
    <cellStyle name="20% - Акцент3 2" xfId="837"/>
    <cellStyle name="20% - Акцент3 2 10" xfId="838"/>
    <cellStyle name="20% - Акцент3 2 10 2" xfId="839"/>
    <cellStyle name="20% - Акцент3 2 10 2 2" xfId="840"/>
    <cellStyle name="20% - Акцент3 2 10 2 2 2" xfId="31346"/>
    <cellStyle name="20% - Акцент3 2 10 2 3" xfId="31347"/>
    <cellStyle name="20% - Акцент3 2 10 3" xfId="841"/>
    <cellStyle name="20% - Акцент3 2 10 3 2" xfId="31348"/>
    <cellStyle name="20% - Акцент3 2 10 4" xfId="31349"/>
    <cellStyle name="20% - Акцент3 2 11" xfId="842"/>
    <cellStyle name="20% - Акцент3 2 11 2" xfId="843"/>
    <cellStyle name="20% - Акцент3 2 11 2 2" xfId="844"/>
    <cellStyle name="20% - Акцент3 2 11 2 2 2" xfId="31350"/>
    <cellStyle name="20% - Акцент3 2 11 2 3" xfId="31351"/>
    <cellStyle name="20% - Акцент3 2 11 3" xfId="845"/>
    <cellStyle name="20% - Акцент3 2 11 3 2" xfId="31352"/>
    <cellStyle name="20% - Акцент3 2 11 4" xfId="31353"/>
    <cellStyle name="20% - Акцент3 2 12" xfId="846"/>
    <cellStyle name="20% - Акцент3 2 12 2" xfId="847"/>
    <cellStyle name="20% - Акцент3 2 12 2 2" xfId="848"/>
    <cellStyle name="20% - Акцент3 2 12 2 2 2" xfId="31354"/>
    <cellStyle name="20% - Акцент3 2 12 2 3" xfId="31355"/>
    <cellStyle name="20% - Акцент3 2 12 3" xfId="849"/>
    <cellStyle name="20% - Акцент3 2 12 3 2" xfId="31356"/>
    <cellStyle name="20% - Акцент3 2 12 4" xfId="31357"/>
    <cellStyle name="20% - Акцент3 2 13" xfId="850"/>
    <cellStyle name="20% - Акцент3 2 13 2" xfId="851"/>
    <cellStyle name="20% - Акцент3 2 13 2 2" xfId="852"/>
    <cellStyle name="20% - Акцент3 2 13 2 2 2" xfId="31358"/>
    <cellStyle name="20% - Акцент3 2 13 2 3" xfId="31359"/>
    <cellStyle name="20% - Акцент3 2 13 3" xfId="853"/>
    <cellStyle name="20% - Акцент3 2 13 3 2" xfId="31360"/>
    <cellStyle name="20% - Акцент3 2 13 4" xfId="31361"/>
    <cellStyle name="20% - Акцент3 2 14" xfId="854"/>
    <cellStyle name="20% - Акцент3 2 14 2" xfId="855"/>
    <cellStyle name="20% - Акцент3 2 14 2 2" xfId="856"/>
    <cellStyle name="20% - Акцент3 2 14 2 2 2" xfId="31362"/>
    <cellStyle name="20% - Акцент3 2 14 2 3" xfId="31363"/>
    <cellStyle name="20% - Акцент3 2 14 3" xfId="857"/>
    <cellStyle name="20% - Акцент3 2 14 3 2" xfId="31364"/>
    <cellStyle name="20% - Акцент3 2 14 4" xfId="31365"/>
    <cellStyle name="20% - Акцент3 2 15" xfId="858"/>
    <cellStyle name="20% - Акцент3 2 15 2" xfId="859"/>
    <cellStyle name="20% - Акцент3 2 15 2 2" xfId="860"/>
    <cellStyle name="20% - Акцент3 2 15 2 2 2" xfId="31366"/>
    <cellStyle name="20% - Акцент3 2 15 2 3" xfId="31367"/>
    <cellStyle name="20% - Акцент3 2 15 3" xfId="861"/>
    <cellStyle name="20% - Акцент3 2 15 3 2" xfId="31368"/>
    <cellStyle name="20% - Акцент3 2 15 4" xfId="31369"/>
    <cellStyle name="20% - Акцент3 2 16" xfId="862"/>
    <cellStyle name="20% - Акцент3 2 16 2" xfId="863"/>
    <cellStyle name="20% - Акцент3 2 16 2 2" xfId="864"/>
    <cellStyle name="20% - Акцент3 2 16 2 2 2" xfId="31370"/>
    <cellStyle name="20% - Акцент3 2 16 2 3" xfId="31371"/>
    <cellStyle name="20% - Акцент3 2 16 3" xfId="865"/>
    <cellStyle name="20% - Акцент3 2 16 3 2" xfId="31372"/>
    <cellStyle name="20% - Акцент3 2 16 4" xfId="31373"/>
    <cellStyle name="20% - Акцент3 2 17" xfId="866"/>
    <cellStyle name="20% - Акцент3 2 17 2" xfId="867"/>
    <cellStyle name="20% - Акцент3 2 17 2 2" xfId="868"/>
    <cellStyle name="20% - Акцент3 2 17 2 2 2" xfId="31374"/>
    <cellStyle name="20% - Акцент3 2 17 2 3" xfId="31375"/>
    <cellStyle name="20% - Акцент3 2 17 3" xfId="869"/>
    <cellStyle name="20% - Акцент3 2 17 3 2" xfId="31376"/>
    <cellStyle name="20% - Акцент3 2 17 4" xfId="31377"/>
    <cellStyle name="20% - Акцент3 2 18" xfId="870"/>
    <cellStyle name="20% - Акцент3 2 18 2" xfId="871"/>
    <cellStyle name="20% - Акцент3 2 18 2 2" xfId="872"/>
    <cellStyle name="20% - Акцент3 2 18 2 2 2" xfId="31378"/>
    <cellStyle name="20% - Акцент3 2 18 2 3" xfId="31379"/>
    <cellStyle name="20% - Акцент3 2 18 3" xfId="873"/>
    <cellStyle name="20% - Акцент3 2 18 3 2" xfId="31380"/>
    <cellStyle name="20% - Акцент3 2 18 4" xfId="31381"/>
    <cellStyle name="20% - Акцент3 2 19" xfId="874"/>
    <cellStyle name="20% - Акцент3 2 19 2" xfId="875"/>
    <cellStyle name="20% - Акцент3 2 19 2 2" xfId="876"/>
    <cellStyle name="20% - Акцент3 2 19 2 2 2" xfId="31382"/>
    <cellStyle name="20% - Акцент3 2 19 2 3" xfId="31383"/>
    <cellStyle name="20% - Акцент3 2 19 3" xfId="877"/>
    <cellStyle name="20% - Акцент3 2 19 3 2" xfId="31384"/>
    <cellStyle name="20% - Акцент3 2 19 4" xfId="31385"/>
    <cellStyle name="20% - Акцент3 2 2" xfId="878"/>
    <cellStyle name="20% - Акцент3 2 2 2" xfId="31386"/>
    <cellStyle name="20% - Акцент3 2 20" xfId="879"/>
    <cellStyle name="20% - Акцент3 2 20 2" xfId="880"/>
    <cellStyle name="20% - Акцент3 2 20 2 2" xfId="881"/>
    <cellStyle name="20% - Акцент3 2 20 2 2 2" xfId="31387"/>
    <cellStyle name="20% - Акцент3 2 20 2 3" xfId="31388"/>
    <cellStyle name="20% - Акцент3 2 20 3" xfId="882"/>
    <cellStyle name="20% - Акцент3 2 20 3 2" xfId="31389"/>
    <cellStyle name="20% - Акцент3 2 20 4" xfId="31390"/>
    <cellStyle name="20% - Акцент3 2 21" xfId="883"/>
    <cellStyle name="20% - Акцент3 2 21 2" xfId="884"/>
    <cellStyle name="20% - Акцент3 2 21 2 2" xfId="885"/>
    <cellStyle name="20% - Акцент3 2 21 2 2 2" xfId="31391"/>
    <cellStyle name="20% - Акцент3 2 21 2 3" xfId="31392"/>
    <cellStyle name="20% - Акцент3 2 21 3" xfId="886"/>
    <cellStyle name="20% - Акцент3 2 21 3 2" xfId="31393"/>
    <cellStyle name="20% - Акцент3 2 21 4" xfId="31394"/>
    <cellStyle name="20% - Акцент3 2 22" xfId="887"/>
    <cellStyle name="20% - Акцент3 2 22 2" xfId="888"/>
    <cellStyle name="20% - Акцент3 2 22 2 2" xfId="889"/>
    <cellStyle name="20% - Акцент3 2 22 2 2 2" xfId="31395"/>
    <cellStyle name="20% - Акцент3 2 22 2 3" xfId="31396"/>
    <cellStyle name="20% - Акцент3 2 22 3" xfId="890"/>
    <cellStyle name="20% - Акцент3 2 22 3 2" xfId="31397"/>
    <cellStyle name="20% - Акцент3 2 22 4" xfId="31398"/>
    <cellStyle name="20% - Акцент3 2 23" xfId="891"/>
    <cellStyle name="20% - Акцент3 2 23 2" xfId="892"/>
    <cellStyle name="20% - Акцент3 2 23 2 2" xfId="893"/>
    <cellStyle name="20% - Акцент3 2 23 2 2 2" xfId="31399"/>
    <cellStyle name="20% - Акцент3 2 23 2 3" xfId="31400"/>
    <cellStyle name="20% - Акцент3 2 23 3" xfId="894"/>
    <cellStyle name="20% - Акцент3 2 23 3 2" xfId="31401"/>
    <cellStyle name="20% - Акцент3 2 23 4" xfId="31402"/>
    <cellStyle name="20% - Акцент3 2 24" xfId="895"/>
    <cellStyle name="20% - Акцент3 2 24 2" xfId="896"/>
    <cellStyle name="20% - Акцент3 2 24 2 2" xfId="897"/>
    <cellStyle name="20% - Акцент3 2 24 2 2 2" xfId="31403"/>
    <cellStyle name="20% - Акцент3 2 24 2 3" xfId="31404"/>
    <cellStyle name="20% - Акцент3 2 24 3" xfId="898"/>
    <cellStyle name="20% - Акцент3 2 24 3 2" xfId="31405"/>
    <cellStyle name="20% - Акцент3 2 24 4" xfId="31406"/>
    <cellStyle name="20% - Акцент3 2 25" xfId="31407"/>
    <cellStyle name="20% - Акцент3 2 3" xfId="899"/>
    <cellStyle name="20% - Акцент3 2 3 2" xfId="900"/>
    <cellStyle name="20% - Акцент3 2 3 2 2" xfId="901"/>
    <cellStyle name="20% - Акцент3 2 3 2 2 2" xfId="31408"/>
    <cellStyle name="20% - Акцент3 2 3 2 3" xfId="31409"/>
    <cellStyle name="20% - Акцент3 2 3 3" xfId="902"/>
    <cellStyle name="20% - Акцент3 2 3 3 2" xfId="31410"/>
    <cellStyle name="20% - Акцент3 2 3 4" xfId="31411"/>
    <cellStyle name="20% - Акцент3 2 4" xfId="903"/>
    <cellStyle name="20% - Акцент3 2 4 2" xfId="904"/>
    <cellStyle name="20% - Акцент3 2 4 2 2" xfId="905"/>
    <cellStyle name="20% - Акцент3 2 4 2 2 2" xfId="31412"/>
    <cellStyle name="20% - Акцент3 2 4 2 3" xfId="31413"/>
    <cellStyle name="20% - Акцент3 2 4 3" xfId="906"/>
    <cellStyle name="20% - Акцент3 2 4 3 2" xfId="31414"/>
    <cellStyle name="20% - Акцент3 2 4 4" xfId="31415"/>
    <cellStyle name="20% - Акцент3 2 5" xfId="907"/>
    <cellStyle name="20% - Акцент3 2 5 2" xfId="908"/>
    <cellStyle name="20% - Акцент3 2 5 2 2" xfId="909"/>
    <cellStyle name="20% - Акцент3 2 5 2 2 2" xfId="31416"/>
    <cellStyle name="20% - Акцент3 2 5 2 3" xfId="31417"/>
    <cellStyle name="20% - Акцент3 2 5 3" xfId="910"/>
    <cellStyle name="20% - Акцент3 2 5 3 2" xfId="31418"/>
    <cellStyle name="20% - Акцент3 2 5 4" xfId="31419"/>
    <cellStyle name="20% - Акцент3 2 6" xfId="911"/>
    <cellStyle name="20% - Акцент3 2 6 2" xfId="912"/>
    <cellStyle name="20% - Акцент3 2 6 2 2" xfId="913"/>
    <cellStyle name="20% - Акцент3 2 6 2 2 2" xfId="31420"/>
    <cellStyle name="20% - Акцент3 2 6 2 3" xfId="31421"/>
    <cellStyle name="20% - Акцент3 2 6 3" xfId="914"/>
    <cellStyle name="20% - Акцент3 2 6 3 2" xfId="31422"/>
    <cellStyle name="20% - Акцент3 2 6 4" xfId="31423"/>
    <cellStyle name="20% - Акцент3 2 7" xfId="915"/>
    <cellStyle name="20% - Акцент3 2 7 2" xfId="916"/>
    <cellStyle name="20% - Акцент3 2 7 2 2" xfId="917"/>
    <cellStyle name="20% - Акцент3 2 7 2 2 2" xfId="31424"/>
    <cellStyle name="20% - Акцент3 2 7 2 3" xfId="31425"/>
    <cellStyle name="20% - Акцент3 2 7 3" xfId="918"/>
    <cellStyle name="20% - Акцент3 2 7 3 2" xfId="31426"/>
    <cellStyle name="20% - Акцент3 2 7 4" xfId="31427"/>
    <cellStyle name="20% - Акцент3 2 8" xfId="919"/>
    <cellStyle name="20% - Акцент3 2 8 2" xfId="920"/>
    <cellStyle name="20% - Акцент3 2 8 2 2" xfId="921"/>
    <cellStyle name="20% - Акцент3 2 8 2 2 2" xfId="31428"/>
    <cellStyle name="20% - Акцент3 2 8 2 3" xfId="31429"/>
    <cellStyle name="20% - Акцент3 2 8 3" xfId="922"/>
    <cellStyle name="20% - Акцент3 2 8 3 2" xfId="31430"/>
    <cellStyle name="20% - Акцент3 2 8 4" xfId="31431"/>
    <cellStyle name="20% - Акцент3 2 9" xfId="923"/>
    <cellStyle name="20% - Акцент3 2 9 2" xfId="924"/>
    <cellStyle name="20% - Акцент3 2 9 2 2" xfId="925"/>
    <cellStyle name="20% - Акцент3 2 9 2 2 2" xfId="31432"/>
    <cellStyle name="20% - Акцент3 2 9 2 3" xfId="31433"/>
    <cellStyle name="20% - Акцент3 2 9 3" xfId="926"/>
    <cellStyle name="20% - Акцент3 2 9 3 2" xfId="31434"/>
    <cellStyle name="20% - Акцент3 2 9 4" xfId="31435"/>
    <cellStyle name="20% - Акцент3 3" xfId="927"/>
    <cellStyle name="20% - Акцент3 3 10" xfId="928"/>
    <cellStyle name="20% - Акцент3 3 10 2" xfId="929"/>
    <cellStyle name="20% - Акцент3 3 10 2 2" xfId="930"/>
    <cellStyle name="20% - Акцент3 3 10 2 2 2" xfId="31436"/>
    <cellStyle name="20% - Акцент3 3 10 2 3" xfId="31437"/>
    <cellStyle name="20% - Акцент3 3 10 3" xfId="931"/>
    <cellStyle name="20% - Акцент3 3 10 3 2" xfId="31438"/>
    <cellStyle name="20% - Акцент3 3 10 4" xfId="31439"/>
    <cellStyle name="20% - Акцент3 3 11" xfId="932"/>
    <cellStyle name="20% - Акцент3 3 11 2" xfId="933"/>
    <cellStyle name="20% - Акцент3 3 11 2 2" xfId="934"/>
    <cellStyle name="20% - Акцент3 3 11 2 2 2" xfId="31440"/>
    <cellStyle name="20% - Акцент3 3 11 2 3" xfId="31441"/>
    <cellStyle name="20% - Акцент3 3 11 3" xfId="935"/>
    <cellStyle name="20% - Акцент3 3 11 3 2" xfId="31442"/>
    <cellStyle name="20% - Акцент3 3 11 4" xfId="31443"/>
    <cellStyle name="20% - Акцент3 3 12" xfId="936"/>
    <cellStyle name="20% - Акцент3 3 12 2" xfId="937"/>
    <cellStyle name="20% - Акцент3 3 12 2 2" xfId="938"/>
    <cellStyle name="20% - Акцент3 3 12 2 2 2" xfId="31444"/>
    <cellStyle name="20% - Акцент3 3 12 2 3" xfId="31445"/>
    <cellStyle name="20% - Акцент3 3 12 3" xfId="939"/>
    <cellStyle name="20% - Акцент3 3 12 3 2" xfId="31446"/>
    <cellStyle name="20% - Акцент3 3 12 4" xfId="31447"/>
    <cellStyle name="20% - Акцент3 3 13" xfId="940"/>
    <cellStyle name="20% - Акцент3 3 13 2" xfId="941"/>
    <cellStyle name="20% - Акцент3 3 13 2 2" xfId="942"/>
    <cellStyle name="20% - Акцент3 3 13 2 2 2" xfId="31448"/>
    <cellStyle name="20% - Акцент3 3 13 2 3" xfId="31449"/>
    <cellStyle name="20% - Акцент3 3 13 3" xfId="943"/>
    <cellStyle name="20% - Акцент3 3 13 3 2" xfId="31450"/>
    <cellStyle name="20% - Акцент3 3 13 4" xfId="31451"/>
    <cellStyle name="20% - Акцент3 3 14" xfId="944"/>
    <cellStyle name="20% - Акцент3 3 14 2" xfId="945"/>
    <cellStyle name="20% - Акцент3 3 14 2 2" xfId="946"/>
    <cellStyle name="20% - Акцент3 3 14 2 2 2" xfId="31452"/>
    <cellStyle name="20% - Акцент3 3 14 2 3" xfId="31453"/>
    <cellStyle name="20% - Акцент3 3 14 3" xfId="947"/>
    <cellStyle name="20% - Акцент3 3 14 3 2" xfId="31454"/>
    <cellStyle name="20% - Акцент3 3 14 4" xfId="31455"/>
    <cellStyle name="20% - Акцент3 3 15" xfId="948"/>
    <cellStyle name="20% - Акцент3 3 15 2" xfId="949"/>
    <cellStyle name="20% - Акцент3 3 15 2 2" xfId="950"/>
    <cellStyle name="20% - Акцент3 3 15 2 2 2" xfId="31456"/>
    <cellStyle name="20% - Акцент3 3 15 2 3" xfId="31457"/>
    <cellStyle name="20% - Акцент3 3 15 3" xfId="951"/>
    <cellStyle name="20% - Акцент3 3 15 3 2" xfId="31458"/>
    <cellStyle name="20% - Акцент3 3 15 4" xfId="31459"/>
    <cellStyle name="20% - Акцент3 3 16" xfId="952"/>
    <cellStyle name="20% - Акцент3 3 16 2" xfId="953"/>
    <cellStyle name="20% - Акцент3 3 16 2 2" xfId="954"/>
    <cellStyle name="20% - Акцент3 3 16 2 2 2" xfId="31460"/>
    <cellStyle name="20% - Акцент3 3 16 2 3" xfId="31461"/>
    <cellStyle name="20% - Акцент3 3 16 3" xfId="955"/>
    <cellStyle name="20% - Акцент3 3 16 3 2" xfId="31462"/>
    <cellStyle name="20% - Акцент3 3 16 4" xfId="31463"/>
    <cellStyle name="20% - Акцент3 3 17" xfId="956"/>
    <cellStyle name="20% - Акцент3 3 17 2" xfId="957"/>
    <cellStyle name="20% - Акцент3 3 17 2 2" xfId="958"/>
    <cellStyle name="20% - Акцент3 3 17 2 2 2" xfId="31464"/>
    <cellStyle name="20% - Акцент3 3 17 2 3" xfId="31465"/>
    <cellStyle name="20% - Акцент3 3 17 3" xfId="959"/>
    <cellStyle name="20% - Акцент3 3 17 3 2" xfId="31466"/>
    <cellStyle name="20% - Акцент3 3 17 4" xfId="31467"/>
    <cellStyle name="20% - Акцент3 3 18" xfId="960"/>
    <cellStyle name="20% - Акцент3 3 18 2" xfId="961"/>
    <cellStyle name="20% - Акцент3 3 18 2 2" xfId="962"/>
    <cellStyle name="20% - Акцент3 3 18 2 2 2" xfId="31468"/>
    <cellStyle name="20% - Акцент3 3 18 2 3" xfId="31469"/>
    <cellStyle name="20% - Акцент3 3 18 3" xfId="963"/>
    <cellStyle name="20% - Акцент3 3 18 3 2" xfId="31470"/>
    <cellStyle name="20% - Акцент3 3 18 4" xfId="31471"/>
    <cellStyle name="20% - Акцент3 3 19" xfId="964"/>
    <cellStyle name="20% - Акцент3 3 19 2" xfId="965"/>
    <cellStyle name="20% - Акцент3 3 19 2 2" xfId="966"/>
    <cellStyle name="20% - Акцент3 3 19 2 2 2" xfId="31472"/>
    <cellStyle name="20% - Акцент3 3 19 2 3" xfId="31473"/>
    <cellStyle name="20% - Акцент3 3 19 3" xfId="967"/>
    <cellStyle name="20% - Акцент3 3 19 3 2" xfId="31474"/>
    <cellStyle name="20% - Акцент3 3 19 4" xfId="31475"/>
    <cellStyle name="20% - Акцент3 3 2" xfId="968"/>
    <cellStyle name="20% - Акцент3 3 2 2" xfId="31476"/>
    <cellStyle name="20% - Акцент3 3 20" xfId="969"/>
    <cellStyle name="20% - Акцент3 3 20 2" xfId="970"/>
    <cellStyle name="20% - Акцент3 3 20 2 2" xfId="971"/>
    <cellStyle name="20% - Акцент3 3 20 2 2 2" xfId="31477"/>
    <cellStyle name="20% - Акцент3 3 20 2 3" xfId="31478"/>
    <cellStyle name="20% - Акцент3 3 20 3" xfId="972"/>
    <cellStyle name="20% - Акцент3 3 20 3 2" xfId="31479"/>
    <cellStyle name="20% - Акцент3 3 20 4" xfId="31480"/>
    <cellStyle name="20% - Акцент3 3 21" xfId="973"/>
    <cellStyle name="20% - Акцент3 3 21 2" xfId="974"/>
    <cellStyle name="20% - Акцент3 3 21 2 2" xfId="975"/>
    <cellStyle name="20% - Акцент3 3 21 2 2 2" xfId="31481"/>
    <cellStyle name="20% - Акцент3 3 21 2 3" xfId="31482"/>
    <cellStyle name="20% - Акцент3 3 21 3" xfId="976"/>
    <cellStyle name="20% - Акцент3 3 21 3 2" xfId="31483"/>
    <cellStyle name="20% - Акцент3 3 21 4" xfId="31484"/>
    <cellStyle name="20% - Акцент3 3 22" xfId="977"/>
    <cellStyle name="20% - Акцент3 3 22 2" xfId="978"/>
    <cellStyle name="20% - Акцент3 3 22 2 2" xfId="979"/>
    <cellStyle name="20% - Акцент3 3 22 2 2 2" xfId="31485"/>
    <cellStyle name="20% - Акцент3 3 22 2 3" xfId="31486"/>
    <cellStyle name="20% - Акцент3 3 22 3" xfId="980"/>
    <cellStyle name="20% - Акцент3 3 22 3 2" xfId="31487"/>
    <cellStyle name="20% - Акцент3 3 22 4" xfId="31488"/>
    <cellStyle name="20% - Акцент3 3 23" xfId="981"/>
    <cellStyle name="20% - Акцент3 3 23 2" xfId="982"/>
    <cellStyle name="20% - Акцент3 3 23 2 2" xfId="983"/>
    <cellStyle name="20% - Акцент3 3 23 2 2 2" xfId="31489"/>
    <cellStyle name="20% - Акцент3 3 23 2 3" xfId="31490"/>
    <cellStyle name="20% - Акцент3 3 23 3" xfId="984"/>
    <cellStyle name="20% - Акцент3 3 23 3 2" xfId="31491"/>
    <cellStyle name="20% - Акцент3 3 23 4" xfId="31492"/>
    <cellStyle name="20% - Акцент3 3 24" xfId="985"/>
    <cellStyle name="20% - Акцент3 3 24 2" xfId="986"/>
    <cellStyle name="20% - Акцент3 3 24 2 2" xfId="987"/>
    <cellStyle name="20% - Акцент3 3 24 2 2 2" xfId="31493"/>
    <cellStyle name="20% - Акцент3 3 24 2 3" xfId="31494"/>
    <cellStyle name="20% - Акцент3 3 24 3" xfId="988"/>
    <cellStyle name="20% - Акцент3 3 24 3 2" xfId="31495"/>
    <cellStyle name="20% - Акцент3 3 24 4" xfId="31496"/>
    <cellStyle name="20% - Акцент3 3 25" xfId="31497"/>
    <cellStyle name="20% - Акцент3 3 3" xfId="989"/>
    <cellStyle name="20% - Акцент3 3 3 2" xfId="990"/>
    <cellStyle name="20% - Акцент3 3 3 2 2" xfId="991"/>
    <cellStyle name="20% - Акцент3 3 3 2 2 2" xfId="31498"/>
    <cellStyle name="20% - Акцент3 3 3 2 3" xfId="31499"/>
    <cellStyle name="20% - Акцент3 3 3 3" xfId="992"/>
    <cellStyle name="20% - Акцент3 3 3 3 2" xfId="31500"/>
    <cellStyle name="20% - Акцент3 3 3 4" xfId="31501"/>
    <cellStyle name="20% - Акцент3 3 4" xfId="993"/>
    <cellStyle name="20% - Акцент3 3 4 2" xfId="994"/>
    <cellStyle name="20% - Акцент3 3 4 2 2" xfId="995"/>
    <cellStyle name="20% - Акцент3 3 4 2 2 2" xfId="31502"/>
    <cellStyle name="20% - Акцент3 3 4 2 3" xfId="31503"/>
    <cellStyle name="20% - Акцент3 3 4 3" xfId="996"/>
    <cellStyle name="20% - Акцент3 3 4 3 2" xfId="31504"/>
    <cellStyle name="20% - Акцент3 3 4 4" xfId="31505"/>
    <cellStyle name="20% - Акцент3 3 5" xfId="997"/>
    <cellStyle name="20% - Акцент3 3 5 2" xfId="998"/>
    <cellStyle name="20% - Акцент3 3 5 2 2" xfId="999"/>
    <cellStyle name="20% - Акцент3 3 5 2 2 2" xfId="31506"/>
    <cellStyle name="20% - Акцент3 3 5 2 3" xfId="31507"/>
    <cellStyle name="20% - Акцент3 3 5 3" xfId="1000"/>
    <cellStyle name="20% - Акцент3 3 5 3 2" xfId="31508"/>
    <cellStyle name="20% - Акцент3 3 5 4" xfId="31509"/>
    <cellStyle name="20% - Акцент3 3 6" xfId="1001"/>
    <cellStyle name="20% - Акцент3 3 6 2" xfId="1002"/>
    <cellStyle name="20% - Акцент3 3 6 2 2" xfId="1003"/>
    <cellStyle name="20% - Акцент3 3 6 2 2 2" xfId="31510"/>
    <cellStyle name="20% - Акцент3 3 6 2 3" xfId="31511"/>
    <cellStyle name="20% - Акцент3 3 6 3" xfId="1004"/>
    <cellStyle name="20% - Акцент3 3 6 3 2" xfId="31512"/>
    <cellStyle name="20% - Акцент3 3 6 4" xfId="31513"/>
    <cellStyle name="20% - Акцент3 3 7" xfId="1005"/>
    <cellStyle name="20% - Акцент3 3 7 2" xfId="1006"/>
    <cellStyle name="20% - Акцент3 3 7 2 2" xfId="1007"/>
    <cellStyle name="20% - Акцент3 3 7 2 2 2" xfId="31514"/>
    <cellStyle name="20% - Акцент3 3 7 2 3" xfId="31515"/>
    <cellStyle name="20% - Акцент3 3 7 3" xfId="1008"/>
    <cellStyle name="20% - Акцент3 3 7 3 2" xfId="31516"/>
    <cellStyle name="20% - Акцент3 3 7 4" xfId="31517"/>
    <cellStyle name="20% - Акцент3 3 8" xfId="1009"/>
    <cellStyle name="20% - Акцент3 3 8 2" xfId="1010"/>
    <cellStyle name="20% - Акцент3 3 8 2 2" xfId="1011"/>
    <cellStyle name="20% - Акцент3 3 8 2 2 2" xfId="31518"/>
    <cellStyle name="20% - Акцент3 3 8 2 3" xfId="31519"/>
    <cellStyle name="20% - Акцент3 3 8 3" xfId="1012"/>
    <cellStyle name="20% - Акцент3 3 8 3 2" xfId="31520"/>
    <cellStyle name="20% - Акцент3 3 8 4" xfId="31521"/>
    <cellStyle name="20% - Акцент3 3 9" xfId="1013"/>
    <cellStyle name="20% - Акцент3 3 9 2" xfId="1014"/>
    <cellStyle name="20% - Акцент3 3 9 2 2" xfId="1015"/>
    <cellStyle name="20% - Акцент3 3 9 2 2 2" xfId="31522"/>
    <cellStyle name="20% - Акцент3 3 9 2 3" xfId="31523"/>
    <cellStyle name="20% - Акцент3 3 9 3" xfId="1016"/>
    <cellStyle name="20% - Акцент3 3 9 3 2" xfId="31524"/>
    <cellStyle name="20% - Акцент3 3 9 4" xfId="31525"/>
    <cellStyle name="20% - Акцент3 4" xfId="1017"/>
    <cellStyle name="20% - Акцент3 4 10" xfId="1018"/>
    <cellStyle name="20% - Акцент3 4 10 2" xfId="1019"/>
    <cellStyle name="20% - Акцент3 4 10 2 2" xfId="1020"/>
    <cellStyle name="20% - Акцент3 4 10 2 2 2" xfId="31526"/>
    <cellStyle name="20% - Акцент3 4 10 2 3" xfId="31527"/>
    <cellStyle name="20% - Акцент3 4 10 3" xfId="1021"/>
    <cellStyle name="20% - Акцент3 4 10 3 2" xfId="31528"/>
    <cellStyle name="20% - Акцент3 4 10 4" xfId="31529"/>
    <cellStyle name="20% - Акцент3 4 11" xfId="1022"/>
    <cellStyle name="20% - Акцент3 4 11 2" xfId="1023"/>
    <cellStyle name="20% - Акцент3 4 11 2 2" xfId="1024"/>
    <cellStyle name="20% - Акцент3 4 11 2 2 2" xfId="31530"/>
    <cellStyle name="20% - Акцент3 4 11 2 3" xfId="31531"/>
    <cellStyle name="20% - Акцент3 4 11 3" xfId="1025"/>
    <cellStyle name="20% - Акцент3 4 11 3 2" xfId="31532"/>
    <cellStyle name="20% - Акцент3 4 11 4" xfId="31533"/>
    <cellStyle name="20% - Акцент3 4 12" xfId="1026"/>
    <cellStyle name="20% - Акцент3 4 12 2" xfId="1027"/>
    <cellStyle name="20% - Акцент3 4 12 2 2" xfId="1028"/>
    <cellStyle name="20% - Акцент3 4 12 2 2 2" xfId="31534"/>
    <cellStyle name="20% - Акцент3 4 12 2 3" xfId="31535"/>
    <cellStyle name="20% - Акцент3 4 12 3" xfId="1029"/>
    <cellStyle name="20% - Акцент3 4 12 3 2" xfId="31536"/>
    <cellStyle name="20% - Акцент3 4 12 4" xfId="31537"/>
    <cellStyle name="20% - Акцент3 4 13" xfId="1030"/>
    <cellStyle name="20% - Акцент3 4 13 2" xfId="1031"/>
    <cellStyle name="20% - Акцент3 4 13 2 2" xfId="1032"/>
    <cellStyle name="20% - Акцент3 4 13 2 2 2" xfId="31538"/>
    <cellStyle name="20% - Акцент3 4 13 2 3" xfId="31539"/>
    <cellStyle name="20% - Акцент3 4 13 3" xfId="1033"/>
    <cellStyle name="20% - Акцент3 4 13 3 2" xfId="31540"/>
    <cellStyle name="20% - Акцент3 4 13 4" xfId="31541"/>
    <cellStyle name="20% - Акцент3 4 14" xfId="1034"/>
    <cellStyle name="20% - Акцент3 4 14 2" xfId="1035"/>
    <cellStyle name="20% - Акцент3 4 14 2 2" xfId="1036"/>
    <cellStyle name="20% - Акцент3 4 14 2 2 2" xfId="31542"/>
    <cellStyle name="20% - Акцент3 4 14 2 3" xfId="31543"/>
    <cellStyle name="20% - Акцент3 4 14 3" xfId="1037"/>
    <cellStyle name="20% - Акцент3 4 14 3 2" xfId="31544"/>
    <cellStyle name="20% - Акцент3 4 14 4" xfId="31545"/>
    <cellStyle name="20% - Акцент3 4 15" xfId="1038"/>
    <cellStyle name="20% - Акцент3 4 15 2" xfId="1039"/>
    <cellStyle name="20% - Акцент3 4 15 2 2" xfId="1040"/>
    <cellStyle name="20% - Акцент3 4 15 2 2 2" xfId="31546"/>
    <cellStyle name="20% - Акцент3 4 15 2 3" xfId="31547"/>
    <cellStyle name="20% - Акцент3 4 15 3" xfId="1041"/>
    <cellStyle name="20% - Акцент3 4 15 3 2" xfId="31548"/>
    <cellStyle name="20% - Акцент3 4 15 4" xfId="31549"/>
    <cellStyle name="20% - Акцент3 4 16" xfId="1042"/>
    <cellStyle name="20% - Акцент3 4 16 2" xfId="1043"/>
    <cellStyle name="20% - Акцент3 4 16 2 2" xfId="1044"/>
    <cellStyle name="20% - Акцент3 4 16 2 2 2" xfId="31550"/>
    <cellStyle name="20% - Акцент3 4 16 2 3" xfId="31551"/>
    <cellStyle name="20% - Акцент3 4 16 3" xfId="1045"/>
    <cellStyle name="20% - Акцент3 4 16 3 2" xfId="31552"/>
    <cellStyle name="20% - Акцент3 4 16 4" xfId="31553"/>
    <cellStyle name="20% - Акцент3 4 17" xfId="1046"/>
    <cellStyle name="20% - Акцент3 4 17 2" xfId="1047"/>
    <cellStyle name="20% - Акцент3 4 17 2 2" xfId="1048"/>
    <cellStyle name="20% - Акцент3 4 17 2 2 2" xfId="31554"/>
    <cellStyle name="20% - Акцент3 4 17 2 3" xfId="31555"/>
    <cellStyle name="20% - Акцент3 4 17 3" xfId="1049"/>
    <cellStyle name="20% - Акцент3 4 17 3 2" xfId="31556"/>
    <cellStyle name="20% - Акцент3 4 17 4" xfId="31557"/>
    <cellStyle name="20% - Акцент3 4 18" xfId="1050"/>
    <cellStyle name="20% - Акцент3 4 18 2" xfId="1051"/>
    <cellStyle name="20% - Акцент3 4 18 2 2" xfId="1052"/>
    <cellStyle name="20% - Акцент3 4 18 2 2 2" xfId="31558"/>
    <cellStyle name="20% - Акцент3 4 18 2 3" xfId="31559"/>
    <cellStyle name="20% - Акцент3 4 18 3" xfId="1053"/>
    <cellStyle name="20% - Акцент3 4 18 3 2" xfId="31560"/>
    <cellStyle name="20% - Акцент3 4 18 4" xfId="31561"/>
    <cellStyle name="20% - Акцент3 4 19" xfId="1054"/>
    <cellStyle name="20% - Акцент3 4 19 2" xfId="1055"/>
    <cellStyle name="20% - Акцент3 4 19 2 2" xfId="1056"/>
    <cellStyle name="20% - Акцент3 4 19 2 2 2" xfId="31562"/>
    <cellStyle name="20% - Акцент3 4 19 2 3" xfId="31563"/>
    <cellStyle name="20% - Акцент3 4 19 3" xfId="1057"/>
    <cellStyle name="20% - Акцент3 4 19 3 2" xfId="31564"/>
    <cellStyle name="20% - Акцент3 4 19 4" xfId="31565"/>
    <cellStyle name="20% - Акцент3 4 2" xfId="1058"/>
    <cellStyle name="20% - Акцент3 4 2 2" xfId="31566"/>
    <cellStyle name="20% - Акцент3 4 20" xfId="1059"/>
    <cellStyle name="20% - Акцент3 4 20 2" xfId="1060"/>
    <cellStyle name="20% - Акцент3 4 20 2 2" xfId="1061"/>
    <cellStyle name="20% - Акцент3 4 20 2 2 2" xfId="31567"/>
    <cellStyle name="20% - Акцент3 4 20 2 3" xfId="31568"/>
    <cellStyle name="20% - Акцент3 4 20 3" xfId="1062"/>
    <cellStyle name="20% - Акцент3 4 20 3 2" xfId="31569"/>
    <cellStyle name="20% - Акцент3 4 20 4" xfId="31570"/>
    <cellStyle name="20% - Акцент3 4 21" xfId="1063"/>
    <cellStyle name="20% - Акцент3 4 21 2" xfId="1064"/>
    <cellStyle name="20% - Акцент3 4 21 2 2" xfId="1065"/>
    <cellStyle name="20% - Акцент3 4 21 2 2 2" xfId="31571"/>
    <cellStyle name="20% - Акцент3 4 21 2 3" xfId="31572"/>
    <cellStyle name="20% - Акцент3 4 21 3" xfId="1066"/>
    <cellStyle name="20% - Акцент3 4 21 3 2" xfId="31573"/>
    <cellStyle name="20% - Акцент3 4 21 4" xfId="31574"/>
    <cellStyle name="20% - Акцент3 4 22" xfId="1067"/>
    <cellStyle name="20% - Акцент3 4 22 2" xfId="1068"/>
    <cellStyle name="20% - Акцент3 4 22 2 2" xfId="1069"/>
    <cellStyle name="20% - Акцент3 4 22 2 2 2" xfId="31575"/>
    <cellStyle name="20% - Акцент3 4 22 2 3" xfId="31576"/>
    <cellStyle name="20% - Акцент3 4 22 3" xfId="1070"/>
    <cellStyle name="20% - Акцент3 4 22 3 2" xfId="31577"/>
    <cellStyle name="20% - Акцент3 4 22 4" xfId="31578"/>
    <cellStyle name="20% - Акцент3 4 23" xfId="1071"/>
    <cellStyle name="20% - Акцент3 4 23 2" xfId="1072"/>
    <cellStyle name="20% - Акцент3 4 23 2 2" xfId="1073"/>
    <cellStyle name="20% - Акцент3 4 23 2 2 2" xfId="31579"/>
    <cellStyle name="20% - Акцент3 4 23 2 3" xfId="31580"/>
    <cellStyle name="20% - Акцент3 4 23 3" xfId="1074"/>
    <cellStyle name="20% - Акцент3 4 23 3 2" xfId="31581"/>
    <cellStyle name="20% - Акцент3 4 23 4" xfId="31582"/>
    <cellStyle name="20% - Акцент3 4 24" xfId="1075"/>
    <cellStyle name="20% - Акцент3 4 24 2" xfId="1076"/>
    <cellStyle name="20% - Акцент3 4 24 2 2" xfId="1077"/>
    <cellStyle name="20% - Акцент3 4 24 2 2 2" xfId="31583"/>
    <cellStyle name="20% - Акцент3 4 24 2 3" xfId="31584"/>
    <cellStyle name="20% - Акцент3 4 24 3" xfId="1078"/>
    <cellStyle name="20% - Акцент3 4 24 3 2" xfId="31585"/>
    <cellStyle name="20% - Акцент3 4 24 4" xfId="31586"/>
    <cellStyle name="20% - Акцент3 4 25" xfId="31587"/>
    <cellStyle name="20% - Акцент3 4 3" xfId="1079"/>
    <cellStyle name="20% - Акцент3 4 3 2" xfId="1080"/>
    <cellStyle name="20% - Акцент3 4 3 2 2" xfId="1081"/>
    <cellStyle name="20% - Акцент3 4 3 2 2 2" xfId="31588"/>
    <cellStyle name="20% - Акцент3 4 3 2 3" xfId="31589"/>
    <cellStyle name="20% - Акцент3 4 3 3" xfId="1082"/>
    <cellStyle name="20% - Акцент3 4 3 3 2" xfId="31590"/>
    <cellStyle name="20% - Акцент3 4 3 4" xfId="31591"/>
    <cellStyle name="20% - Акцент3 4 4" xfId="1083"/>
    <cellStyle name="20% - Акцент3 4 4 2" xfId="1084"/>
    <cellStyle name="20% - Акцент3 4 4 2 2" xfId="1085"/>
    <cellStyle name="20% - Акцент3 4 4 2 2 2" xfId="31592"/>
    <cellStyle name="20% - Акцент3 4 4 2 3" xfId="31593"/>
    <cellStyle name="20% - Акцент3 4 4 3" xfId="1086"/>
    <cellStyle name="20% - Акцент3 4 4 3 2" xfId="31594"/>
    <cellStyle name="20% - Акцент3 4 4 4" xfId="31595"/>
    <cellStyle name="20% - Акцент3 4 5" xfId="1087"/>
    <cellStyle name="20% - Акцент3 4 5 2" xfId="1088"/>
    <cellStyle name="20% - Акцент3 4 5 2 2" xfId="1089"/>
    <cellStyle name="20% - Акцент3 4 5 2 2 2" xfId="31596"/>
    <cellStyle name="20% - Акцент3 4 5 2 3" xfId="31597"/>
    <cellStyle name="20% - Акцент3 4 5 3" xfId="1090"/>
    <cellStyle name="20% - Акцент3 4 5 3 2" xfId="31598"/>
    <cellStyle name="20% - Акцент3 4 5 4" xfId="31599"/>
    <cellStyle name="20% - Акцент3 4 6" xfId="1091"/>
    <cellStyle name="20% - Акцент3 4 6 2" xfId="1092"/>
    <cellStyle name="20% - Акцент3 4 6 2 2" xfId="1093"/>
    <cellStyle name="20% - Акцент3 4 6 2 2 2" xfId="31600"/>
    <cellStyle name="20% - Акцент3 4 6 2 3" xfId="31601"/>
    <cellStyle name="20% - Акцент3 4 6 3" xfId="1094"/>
    <cellStyle name="20% - Акцент3 4 6 3 2" xfId="31602"/>
    <cellStyle name="20% - Акцент3 4 6 4" xfId="31603"/>
    <cellStyle name="20% - Акцент3 4 7" xfId="1095"/>
    <cellStyle name="20% - Акцент3 4 7 2" xfId="1096"/>
    <cellStyle name="20% - Акцент3 4 7 2 2" xfId="1097"/>
    <cellStyle name="20% - Акцент3 4 7 2 2 2" xfId="31604"/>
    <cellStyle name="20% - Акцент3 4 7 2 3" xfId="31605"/>
    <cellStyle name="20% - Акцент3 4 7 3" xfId="1098"/>
    <cellStyle name="20% - Акцент3 4 7 3 2" xfId="31606"/>
    <cellStyle name="20% - Акцент3 4 7 4" xfId="31607"/>
    <cellStyle name="20% - Акцент3 4 8" xfId="1099"/>
    <cellStyle name="20% - Акцент3 4 8 2" xfId="1100"/>
    <cellStyle name="20% - Акцент3 4 8 2 2" xfId="1101"/>
    <cellStyle name="20% - Акцент3 4 8 2 2 2" xfId="31608"/>
    <cellStyle name="20% - Акцент3 4 8 2 3" xfId="31609"/>
    <cellStyle name="20% - Акцент3 4 8 3" xfId="1102"/>
    <cellStyle name="20% - Акцент3 4 8 3 2" xfId="31610"/>
    <cellStyle name="20% - Акцент3 4 8 4" xfId="31611"/>
    <cellStyle name="20% - Акцент3 4 9" xfId="1103"/>
    <cellStyle name="20% - Акцент3 4 9 2" xfId="1104"/>
    <cellStyle name="20% - Акцент3 4 9 2 2" xfId="1105"/>
    <cellStyle name="20% - Акцент3 4 9 2 2 2" xfId="31612"/>
    <cellStyle name="20% - Акцент3 4 9 2 3" xfId="31613"/>
    <cellStyle name="20% - Акцент3 4 9 3" xfId="1106"/>
    <cellStyle name="20% - Акцент3 4 9 3 2" xfId="31614"/>
    <cellStyle name="20% - Акцент3 4 9 4" xfId="31615"/>
    <cellStyle name="20% - Акцент3 5" xfId="1107"/>
    <cellStyle name="20% - Акцент3 5 2" xfId="1108"/>
    <cellStyle name="20% - Акцент3 5 2 2" xfId="31616"/>
    <cellStyle name="20% - Акцент3 5 3" xfId="31617"/>
    <cellStyle name="20% - Акцент3 6" xfId="1109"/>
    <cellStyle name="20% - Акцент3 6 2" xfId="31618"/>
    <cellStyle name="20% - Акцент3 7" xfId="1110"/>
    <cellStyle name="20% - Акцент3 7 2" xfId="1111"/>
    <cellStyle name="20% - Акцент3 7 2 2" xfId="1112"/>
    <cellStyle name="20% - Акцент3 7 2 2 2" xfId="31619"/>
    <cellStyle name="20% - Акцент3 7 2 3" xfId="31620"/>
    <cellStyle name="20% - Акцент3 7 3" xfId="1113"/>
    <cellStyle name="20% - Акцент3 7 3 2" xfId="31621"/>
    <cellStyle name="20% - Акцент3 7 4" xfId="31622"/>
    <cellStyle name="20% - Акцент3 8" xfId="1114"/>
    <cellStyle name="20% - Акцент3 8 2" xfId="1115"/>
    <cellStyle name="20% - Акцент3 8 2 2" xfId="1116"/>
    <cellStyle name="20% - Акцент3 8 2 2 2" xfId="31623"/>
    <cellStyle name="20% - Акцент3 8 2 3" xfId="31624"/>
    <cellStyle name="20% - Акцент3 8 3" xfId="1117"/>
    <cellStyle name="20% - Акцент3 8 3 2" xfId="31625"/>
    <cellStyle name="20% - Акцент3 8 4" xfId="31626"/>
    <cellStyle name="20% - Акцент3 9" xfId="1118"/>
    <cellStyle name="20% - Акцент3 9 2" xfId="1119"/>
    <cellStyle name="20% - Акцент3 9 2 2" xfId="1120"/>
    <cellStyle name="20% - Акцент3 9 2 2 2" xfId="31627"/>
    <cellStyle name="20% - Акцент3 9 2 3" xfId="31628"/>
    <cellStyle name="20% - Акцент3 9 3" xfId="1121"/>
    <cellStyle name="20% - Акцент3 9 3 2" xfId="31629"/>
    <cellStyle name="20% - Акцент3 9 4" xfId="31630"/>
    <cellStyle name="20% - Акцент4 10" xfId="1122"/>
    <cellStyle name="20% - Акцент4 10 2" xfId="1123"/>
    <cellStyle name="20% - Акцент4 10 2 2" xfId="1124"/>
    <cellStyle name="20% - Акцент4 10 2 2 2" xfId="31631"/>
    <cellStyle name="20% - Акцент4 10 2 3" xfId="31632"/>
    <cellStyle name="20% - Акцент4 10 3" xfId="1125"/>
    <cellStyle name="20% - Акцент4 10 3 2" xfId="31633"/>
    <cellStyle name="20% - Акцент4 10 4" xfId="31634"/>
    <cellStyle name="20% - Акцент4 11" xfId="1126"/>
    <cellStyle name="20% - Акцент4 11 2" xfId="1127"/>
    <cellStyle name="20% - Акцент4 11 2 2" xfId="1128"/>
    <cellStyle name="20% - Акцент4 11 2 2 2" xfId="31635"/>
    <cellStyle name="20% - Акцент4 11 2 3" xfId="31636"/>
    <cellStyle name="20% - Акцент4 11 3" xfId="1129"/>
    <cellStyle name="20% - Акцент4 11 3 2" xfId="31637"/>
    <cellStyle name="20% - Акцент4 11 4" xfId="31638"/>
    <cellStyle name="20% - Акцент4 12" xfId="1130"/>
    <cellStyle name="20% - Акцент4 12 2" xfId="1131"/>
    <cellStyle name="20% - Акцент4 12 2 2" xfId="1132"/>
    <cellStyle name="20% - Акцент4 12 2 2 2" xfId="31639"/>
    <cellStyle name="20% - Акцент4 12 2 3" xfId="31640"/>
    <cellStyle name="20% - Акцент4 12 3" xfId="1133"/>
    <cellStyle name="20% - Акцент4 12 3 2" xfId="31641"/>
    <cellStyle name="20% - Акцент4 12 4" xfId="31642"/>
    <cellStyle name="20% - Акцент4 13" xfId="1134"/>
    <cellStyle name="20% - Акцент4 13 2" xfId="1135"/>
    <cellStyle name="20% - Акцент4 13 2 2" xfId="1136"/>
    <cellStyle name="20% - Акцент4 13 2 2 2" xfId="31643"/>
    <cellStyle name="20% - Акцент4 13 2 3" xfId="31644"/>
    <cellStyle name="20% - Акцент4 13 3" xfId="1137"/>
    <cellStyle name="20% - Акцент4 13 3 2" xfId="31645"/>
    <cellStyle name="20% - Акцент4 13 4" xfId="31646"/>
    <cellStyle name="20% - Акцент4 14" xfId="1138"/>
    <cellStyle name="20% - Акцент4 14 2" xfId="1139"/>
    <cellStyle name="20% - Акцент4 14 2 2" xfId="1140"/>
    <cellStyle name="20% - Акцент4 14 2 2 2" xfId="31647"/>
    <cellStyle name="20% - Акцент4 14 2 3" xfId="31648"/>
    <cellStyle name="20% - Акцент4 14 3" xfId="1141"/>
    <cellStyle name="20% - Акцент4 14 3 2" xfId="31649"/>
    <cellStyle name="20% - Акцент4 14 4" xfId="31650"/>
    <cellStyle name="20% - Акцент4 15" xfId="1142"/>
    <cellStyle name="20% - Акцент4 15 2" xfId="1143"/>
    <cellStyle name="20% - Акцент4 15 2 2" xfId="1144"/>
    <cellStyle name="20% - Акцент4 15 2 2 2" xfId="31651"/>
    <cellStyle name="20% - Акцент4 15 2 3" xfId="31652"/>
    <cellStyle name="20% - Акцент4 15 3" xfId="1145"/>
    <cellStyle name="20% - Акцент4 15 3 2" xfId="31653"/>
    <cellStyle name="20% - Акцент4 15 4" xfId="31654"/>
    <cellStyle name="20% - Акцент4 16" xfId="1146"/>
    <cellStyle name="20% - Акцент4 16 2" xfId="1147"/>
    <cellStyle name="20% - Акцент4 16 2 2" xfId="1148"/>
    <cellStyle name="20% - Акцент4 16 2 2 2" xfId="31655"/>
    <cellStyle name="20% - Акцент4 16 2 3" xfId="31656"/>
    <cellStyle name="20% - Акцент4 16 3" xfId="1149"/>
    <cellStyle name="20% - Акцент4 16 3 2" xfId="31657"/>
    <cellStyle name="20% - Акцент4 16 4" xfId="31658"/>
    <cellStyle name="20% - Акцент4 17" xfId="1150"/>
    <cellStyle name="20% - Акцент4 17 2" xfId="1151"/>
    <cellStyle name="20% - Акцент4 17 2 2" xfId="1152"/>
    <cellStyle name="20% - Акцент4 17 2 2 2" xfId="31659"/>
    <cellStyle name="20% - Акцент4 17 2 3" xfId="31660"/>
    <cellStyle name="20% - Акцент4 17 3" xfId="1153"/>
    <cellStyle name="20% - Акцент4 17 3 2" xfId="31661"/>
    <cellStyle name="20% - Акцент4 17 4" xfId="31662"/>
    <cellStyle name="20% - Акцент4 18" xfId="1154"/>
    <cellStyle name="20% - Акцент4 18 2" xfId="1155"/>
    <cellStyle name="20% - Акцент4 18 2 2" xfId="31663"/>
    <cellStyle name="20% - Акцент4 18 3" xfId="31664"/>
    <cellStyle name="20% - Акцент4 19" xfId="1156"/>
    <cellStyle name="20% - Акцент4 19 2" xfId="31665"/>
    <cellStyle name="20% - Акцент4 2" xfId="1157"/>
    <cellStyle name="20% - Акцент4 2 10" xfId="1158"/>
    <cellStyle name="20% - Акцент4 2 10 2" xfId="1159"/>
    <cellStyle name="20% - Акцент4 2 10 2 2" xfId="1160"/>
    <cellStyle name="20% - Акцент4 2 10 2 2 2" xfId="31666"/>
    <cellStyle name="20% - Акцент4 2 10 2 3" xfId="31667"/>
    <cellStyle name="20% - Акцент4 2 10 3" xfId="1161"/>
    <cellStyle name="20% - Акцент4 2 10 3 2" xfId="31668"/>
    <cellStyle name="20% - Акцент4 2 10 4" xfId="31669"/>
    <cellStyle name="20% - Акцент4 2 11" xfId="1162"/>
    <cellStyle name="20% - Акцент4 2 11 2" xfId="1163"/>
    <cellStyle name="20% - Акцент4 2 11 2 2" xfId="1164"/>
    <cellStyle name="20% - Акцент4 2 11 2 2 2" xfId="31670"/>
    <cellStyle name="20% - Акцент4 2 11 2 3" xfId="31671"/>
    <cellStyle name="20% - Акцент4 2 11 3" xfId="1165"/>
    <cellStyle name="20% - Акцент4 2 11 3 2" xfId="31672"/>
    <cellStyle name="20% - Акцент4 2 11 4" xfId="31673"/>
    <cellStyle name="20% - Акцент4 2 12" xfId="1166"/>
    <cellStyle name="20% - Акцент4 2 12 2" xfId="1167"/>
    <cellStyle name="20% - Акцент4 2 12 2 2" xfId="1168"/>
    <cellStyle name="20% - Акцент4 2 12 2 2 2" xfId="31674"/>
    <cellStyle name="20% - Акцент4 2 12 2 3" xfId="31675"/>
    <cellStyle name="20% - Акцент4 2 12 3" xfId="1169"/>
    <cellStyle name="20% - Акцент4 2 12 3 2" xfId="31676"/>
    <cellStyle name="20% - Акцент4 2 12 4" xfId="31677"/>
    <cellStyle name="20% - Акцент4 2 13" xfId="1170"/>
    <cellStyle name="20% - Акцент4 2 13 2" xfId="1171"/>
    <cellStyle name="20% - Акцент4 2 13 2 2" xfId="1172"/>
    <cellStyle name="20% - Акцент4 2 13 2 2 2" xfId="31678"/>
    <cellStyle name="20% - Акцент4 2 13 2 3" xfId="31679"/>
    <cellStyle name="20% - Акцент4 2 13 3" xfId="1173"/>
    <cellStyle name="20% - Акцент4 2 13 3 2" xfId="31680"/>
    <cellStyle name="20% - Акцент4 2 13 4" xfId="31681"/>
    <cellStyle name="20% - Акцент4 2 14" xfId="1174"/>
    <cellStyle name="20% - Акцент4 2 14 2" xfId="1175"/>
    <cellStyle name="20% - Акцент4 2 14 2 2" xfId="1176"/>
    <cellStyle name="20% - Акцент4 2 14 2 2 2" xfId="31682"/>
    <cellStyle name="20% - Акцент4 2 14 2 3" xfId="31683"/>
    <cellStyle name="20% - Акцент4 2 14 3" xfId="1177"/>
    <cellStyle name="20% - Акцент4 2 14 3 2" xfId="31684"/>
    <cellStyle name="20% - Акцент4 2 14 4" xfId="31685"/>
    <cellStyle name="20% - Акцент4 2 15" xfId="1178"/>
    <cellStyle name="20% - Акцент4 2 15 2" xfId="1179"/>
    <cellStyle name="20% - Акцент4 2 15 2 2" xfId="1180"/>
    <cellStyle name="20% - Акцент4 2 15 2 2 2" xfId="31686"/>
    <cellStyle name="20% - Акцент4 2 15 2 3" xfId="31687"/>
    <cellStyle name="20% - Акцент4 2 15 3" xfId="1181"/>
    <cellStyle name="20% - Акцент4 2 15 3 2" xfId="31688"/>
    <cellStyle name="20% - Акцент4 2 15 4" xfId="31689"/>
    <cellStyle name="20% - Акцент4 2 16" xfId="1182"/>
    <cellStyle name="20% - Акцент4 2 16 2" xfId="1183"/>
    <cellStyle name="20% - Акцент4 2 16 2 2" xfId="1184"/>
    <cellStyle name="20% - Акцент4 2 16 2 2 2" xfId="31690"/>
    <cellStyle name="20% - Акцент4 2 16 2 3" xfId="31691"/>
    <cellStyle name="20% - Акцент4 2 16 3" xfId="1185"/>
    <cellStyle name="20% - Акцент4 2 16 3 2" xfId="31692"/>
    <cellStyle name="20% - Акцент4 2 16 4" xfId="31693"/>
    <cellStyle name="20% - Акцент4 2 17" xfId="1186"/>
    <cellStyle name="20% - Акцент4 2 17 2" xfId="1187"/>
    <cellStyle name="20% - Акцент4 2 17 2 2" xfId="1188"/>
    <cellStyle name="20% - Акцент4 2 17 2 2 2" xfId="31694"/>
    <cellStyle name="20% - Акцент4 2 17 2 3" xfId="31695"/>
    <cellStyle name="20% - Акцент4 2 17 3" xfId="1189"/>
    <cellStyle name="20% - Акцент4 2 17 3 2" xfId="31696"/>
    <cellStyle name="20% - Акцент4 2 17 4" xfId="31697"/>
    <cellStyle name="20% - Акцент4 2 18" xfId="1190"/>
    <cellStyle name="20% - Акцент4 2 18 2" xfId="1191"/>
    <cellStyle name="20% - Акцент4 2 18 2 2" xfId="1192"/>
    <cellStyle name="20% - Акцент4 2 18 2 2 2" xfId="31698"/>
    <cellStyle name="20% - Акцент4 2 18 2 3" xfId="31699"/>
    <cellStyle name="20% - Акцент4 2 18 3" xfId="1193"/>
    <cellStyle name="20% - Акцент4 2 18 3 2" xfId="31700"/>
    <cellStyle name="20% - Акцент4 2 18 4" xfId="31701"/>
    <cellStyle name="20% - Акцент4 2 19" xfId="1194"/>
    <cellStyle name="20% - Акцент4 2 19 2" xfId="1195"/>
    <cellStyle name="20% - Акцент4 2 19 2 2" xfId="1196"/>
    <cellStyle name="20% - Акцент4 2 19 2 2 2" xfId="31702"/>
    <cellStyle name="20% - Акцент4 2 19 2 3" xfId="31703"/>
    <cellStyle name="20% - Акцент4 2 19 3" xfId="1197"/>
    <cellStyle name="20% - Акцент4 2 19 3 2" xfId="31704"/>
    <cellStyle name="20% - Акцент4 2 19 4" xfId="31705"/>
    <cellStyle name="20% - Акцент4 2 2" xfId="1198"/>
    <cellStyle name="20% - Акцент4 2 2 2" xfId="31706"/>
    <cellStyle name="20% - Акцент4 2 20" xfId="1199"/>
    <cellStyle name="20% - Акцент4 2 20 2" xfId="1200"/>
    <cellStyle name="20% - Акцент4 2 20 2 2" xfId="1201"/>
    <cellStyle name="20% - Акцент4 2 20 2 2 2" xfId="31707"/>
    <cellStyle name="20% - Акцент4 2 20 2 3" xfId="31708"/>
    <cellStyle name="20% - Акцент4 2 20 3" xfId="1202"/>
    <cellStyle name="20% - Акцент4 2 20 3 2" xfId="31709"/>
    <cellStyle name="20% - Акцент4 2 20 4" xfId="31710"/>
    <cellStyle name="20% - Акцент4 2 21" xfId="1203"/>
    <cellStyle name="20% - Акцент4 2 21 2" xfId="1204"/>
    <cellStyle name="20% - Акцент4 2 21 2 2" xfId="1205"/>
    <cellStyle name="20% - Акцент4 2 21 2 2 2" xfId="31711"/>
    <cellStyle name="20% - Акцент4 2 21 2 3" xfId="31712"/>
    <cellStyle name="20% - Акцент4 2 21 3" xfId="1206"/>
    <cellStyle name="20% - Акцент4 2 21 3 2" xfId="31713"/>
    <cellStyle name="20% - Акцент4 2 21 4" xfId="31714"/>
    <cellStyle name="20% - Акцент4 2 22" xfId="1207"/>
    <cellStyle name="20% - Акцент4 2 22 2" xfId="1208"/>
    <cellStyle name="20% - Акцент4 2 22 2 2" xfId="1209"/>
    <cellStyle name="20% - Акцент4 2 22 2 2 2" xfId="31715"/>
    <cellStyle name="20% - Акцент4 2 22 2 3" xfId="31716"/>
    <cellStyle name="20% - Акцент4 2 22 3" xfId="1210"/>
    <cellStyle name="20% - Акцент4 2 22 3 2" xfId="31717"/>
    <cellStyle name="20% - Акцент4 2 22 4" xfId="31718"/>
    <cellStyle name="20% - Акцент4 2 23" xfId="1211"/>
    <cellStyle name="20% - Акцент4 2 23 2" xfId="1212"/>
    <cellStyle name="20% - Акцент4 2 23 2 2" xfId="1213"/>
    <cellStyle name="20% - Акцент4 2 23 2 2 2" xfId="31719"/>
    <cellStyle name="20% - Акцент4 2 23 2 3" xfId="31720"/>
    <cellStyle name="20% - Акцент4 2 23 3" xfId="1214"/>
    <cellStyle name="20% - Акцент4 2 23 3 2" xfId="31721"/>
    <cellStyle name="20% - Акцент4 2 23 4" xfId="31722"/>
    <cellStyle name="20% - Акцент4 2 24" xfId="1215"/>
    <cellStyle name="20% - Акцент4 2 24 2" xfId="1216"/>
    <cellStyle name="20% - Акцент4 2 24 2 2" xfId="1217"/>
    <cellStyle name="20% - Акцент4 2 24 2 2 2" xfId="31723"/>
    <cellStyle name="20% - Акцент4 2 24 2 3" xfId="31724"/>
    <cellStyle name="20% - Акцент4 2 24 3" xfId="1218"/>
    <cellStyle name="20% - Акцент4 2 24 3 2" xfId="31725"/>
    <cellStyle name="20% - Акцент4 2 24 4" xfId="31726"/>
    <cellStyle name="20% - Акцент4 2 25" xfId="31727"/>
    <cellStyle name="20% - Акцент4 2 3" xfId="1219"/>
    <cellStyle name="20% - Акцент4 2 3 2" xfId="1220"/>
    <cellStyle name="20% - Акцент4 2 3 2 2" xfId="1221"/>
    <cellStyle name="20% - Акцент4 2 3 2 2 2" xfId="31728"/>
    <cellStyle name="20% - Акцент4 2 3 2 3" xfId="31729"/>
    <cellStyle name="20% - Акцент4 2 3 3" xfId="1222"/>
    <cellStyle name="20% - Акцент4 2 3 3 2" xfId="31730"/>
    <cellStyle name="20% - Акцент4 2 3 4" xfId="31731"/>
    <cellStyle name="20% - Акцент4 2 4" xfId="1223"/>
    <cellStyle name="20% - Акцент4 2 4 2" xfId="1224"/>
    <cellStyle name="20% - Акцент4 2 4 2 2" xfId="1225"/>
    <cellStyle name="20% - Акцент4 2 4 2 2 2" xfId="31732"/>
    <cellStyle name="20% - Акцент4 2 4 2 3" xfId="31733"/>
    <cellStyle name="20% - Акцент4 2 4 3" xfId="1226"/>
    <cellStyle name="20% - Акцент4 2 4 3 2" xfId="31734"/>
    <cellStyle name="20% - Акцент4 2 4 4" xfId="31735"/>
    <cellStyle name="20% - Акцент4 2 5" xfId="1227"/>
    <cellStyle name="20% - Акцент4 2 5 2" xfId="1228"/>
    <cellStyle name="20% - Акцент4 2 5 2 2" xfId="1229"/>
    <cellStyle name="20% - Акцент4 2 5 2 2 2" xfId="31736"/>
    <cellStyle name="20% - Акцент4 2 5 2 3" xfId="31737"/>
    <cellStyle name="20% - Акцент4 2 5 3" xfId="1230"/>
    <cellStyle name="20% - Акцент4 2 5 3 2" xfId="31738"/>
    <cellStyle name="20% - Акцент4 2 5 4" xfId="31739"/>
    <cellStyle name="20% - Акцент4 2 6" xfId="1231"/>
    <cellStyle name="20% - Акцент4 2 6 2" xfId="1232"/>
    <cellStyle name="20% - Акцент4 2 6 2 2" xfId="1233"/>
    <cellStyle name="20% - Акцент4 2 6 2 2 2" xfId="31740"/>
    <cellStyle name="20% - Акцент4 2 6 2 3" xfId="31741"/>
    <cellStyle name="20% - Акцент4 2 6 3" xfId="1234"/>
    <cellStyle name="20% - Акцент4 2 6 3 2" xfId="31742"/>
    <cellStyle name="20% - Акцент4 2 6 4" xfId="31743"/>
    <cellStyle name="20% - Акцент4 2 7" xfId="1235"/>
    <cellStyle name="20% - Акцент4 2 7 2" xfId="1236"/>
    <cellStyle name="20% - Акцент4 2 7 2 2" xfId="1237"/>
    <cellStyle name="20% - Акцент4 2 7 2 2 2" xfId="31744"/>
    <cellStyle name="20% - Акцент4 2 7 2 3" xfId="31745"/>
    <cellStyle name="20% - Акцент4 2 7 3" xfId="1238"/>
    <cellStyle name="20% - Акцент4 2 7 3 2" xfId="31746"/>
    <cellStyle name="20% - Акцент4 2 7 4" xfId="31747"/>
    <cellStyle name="20% - Акцент4 2 8" xfId="1239"/>
    <cellStyle name="20% - Акцент4 2 8 2" xfId="1240"/>
    <cellStyle name="20% - Акцент4 2 8 2 2" xfId="1241"/>
    <cellStyle name="20% - Акцент4 2 8 2 2 2" xfId="31748"/>
    <cellStyle name="20% - Акцент4 2 8 2 3" xfId="31749"/>
    <cellStyle name="20% - Акцент4 2 8 3" xfId="1242"/>
    <cellStyle name="20% - Акцент4 2 8 3 2" xfId="31750"/>
    <cellStyle name="20% - Акцент4 2 8 4" xfId="31751"/>
    <cellStyle name="20% - Акцент4 2 9" xfId="1243"/>
    <cellStyle name="20% - Акцент4 2 9 2" xfId="1244"/>
    <cellStyle name="20% - Акцент4 2 9 2 2" xfId="1245"/>
    <cellStyle name="20% - Акцент4 2 9 2 2 2" xfId="31752"/>
    <cellStyle name="20% - Акцент4 2 9 2 3" xfId="31753"/>
    <cellStyle name="20% - Акцент4 2 9 3" xfId="1246"/>
    <cellStyle name="20% - Акцент4 2 9 3 2" xfId="31754"/>
    <cellStyle name="20% - Акцент4 2 9 4" xfId="31755"/>
    <cellStyle name="20% - Акцент4 3" xfId="1247"/>
    <cellStyle name="20% - Акцент4 3 10" xfId="1248"/>
    <cellStyle name="20% - Акцент4 3 10 2" xfId="1249"/>
    <cellStyle name="20% - Акцент4 3 10 2 2" xfId="1250"/>
    <cellStyle name="20% - Акцент4 3 10 2 2 2" xfId="31756"/>
    <cellStyle name="20% - Акцент4 3 10 2 3" xfId="31757"/>
    <cellStyle name="20% - Акцент4 3 10 3" xfId="1251"/>
    <cellStyle name="20% - Акцент4 3 10 3 2" xfId="31758"/>
    <cellStyle name="20% - Акцент4 3 10 4" xfId="31759"/>
    <cellStyle name="20% - Акцент4 3 11" xfId="1252"/>
    <cellStyle name="20% - Акцент4 3 11 2" xfId="1253"/>
    <cellStyle name="20% - Акцент4 3 11 2 2" xfId="1254"/>
    <cellStyle name="20% - Акцент4 3 11 2 2 2" xfId="31760"/>
    <cellStyle name="20% - Акцент4 3 11 2 3" xfId="31761"/>
    <cellStyle name="20% - Акцент4 3 11 3" xfId="1255"/>
    <cellStyle name="20% - Акцент4 3 11 3 2" xfId="31762"/>
    <cellStyle name="20% - Акцент4 3 11 4" xfId="31763"/>
    <cellStyle name="20% - Акцент4 3 12" xfId="1256"/>
    <cellStyle name="20% - Акцент4 3 12 2" xfId="1257"/>
    <cellStyle name="20% - Акцент4 3 12 2 2" xfId="1258"/>
    <cellStyle name="20% - Акцент4 3 12 2 2 2" xfId="31764"/>
    <cellStyle name="20% - Акцент4 3 12 2 3" xfId="31765"/>
    <cellStyle name="20% - Акцент4 3 12 3" xfId="1259"/>
    <cellStyle name="20% - Акцент4 3 12 3 2" xfId="31766"/>
    <cellStyle name="20% - Акцент4 3 12 4" xfId="31767"/>
    <cellStyle name="20% - Акцент4 3 13" xfId="1260"/>
    <cellStyle name="20% - Акцент4 3 13 2" xfId="1261"/>
    <cellStyle name="20% - Акцент4 3 13 2 2" xfId="1262"/>
    <cellStyle name="20% - Акцент4 3 13 2 2 2" xfId="31768"/>
    <cellStyle name="20% - Акцент4 3 13 2 3" xfId="31769"/>
    <cellStyle name="20% - Акцент4 3 13 3" xfId="1263"/>
    <cellStyle name="20% - Акцент4 3 13 3 2" xfId="31770"/>
    <cellStyle name="20% - Акцент4 3 13 4" xfId="31771"/>
    <cellStyle name="20% - Акцент4 3 14" xfId="1264"/>
    <cellStyle name="20% - Акцент4 3 14 2" xfId="1265"/>
    <cellStyle name="20% - Акцент4 3 14 2 2" xfId="1266"/>
    <cellStyle name="20% - Акцент4 3 14 2 2 2" xfId="31772"/>
    <cellStyle name="20% - Акцент4 3 14 2 3" xfId="31773"/>
    <cellStyle name="20% - Акцент4 3 14 3" xfId="1267"/>
    <cellStyle name="20% - Акцент4 3 14 3 2" xfId="31774"/>
    <cellStyle name="20% - Акцент4 3 14 4" xfId="31775"/>
    <cellStyle name="20% - Акцент4 3 15" xfId="1268"/>
    <cellStyle name="20% - Акцент4 3 15 2" xfId="1269"/>
    <cellStyle name="20% - Акцент4 3 15 2 2" xfId="1270"/>
    <cellStyle name="20% - Акцент4 3 15 2 2 2" xfId="31776"/>
    <cellStyle name="20% - Акцент4 3 15 2 3" xfId="31777"/>
    <cellStyle name="20% - Акцент4 3 15 3" xfId="1271"/>
    <cellStyle name="20% - Акцент4 3 15 3 2" xfId="31778"/>
    <cellStyle name="20% - Акцент4 3 15 4" xfId="31779"/>
    <cellStyle name="20% - Акцент4 3 16" xfId="1272"/>
    <cellStyle name="20% - Акцент4 3 16 2" xfId="1273"/>
    <cellStyle name="20% - Акцент4 3 16 2 2" xfId="1274"/>
    <cellStyle name="20% - Акцент4 3 16 2 2 2" xfId="31780"/>
    <cellStyle name="20% - Акцент4 3 16 2 3" xfId="31781"/>
    <cellStyle name="20% - Акцент4 3 16 3" xfId="1275"/>
    <cellStyle name="20% - Акцент4 3 16 3 2" xfId="31782"/>
    <cellStyle name="20% - Акцент4 3 16 4" xfId="31783"/>
    <cellStyle name="20% - Акцент4 3 17" xfId="1276"/>
    <cellStyle name="20% - Акцент4 3 17 2" xfId="1277"/>
    <cellStyle name="20% - Акцент4 3 17 2 2" xfId="1278"/>
    <cellStyle name="20% - Акцент4 3 17 2 2 2" xfId="31784"/>
    <cellStyle name="20% - Акцент4 3 17 2 3" xfId="31785"/>
    <cellStyle name="20% - Акцент4 3 17 3" xfId="1279"/>
    <cellStyle name="20% - Акцент4 3 17 3 2" xfId="31786"/>
    <cellStyle name="20% - Акцент4 3 17 4" xfId="31787"/>
    <cellStyle name="20% - Акцент4 3 18" xfId="1280"/>
    <cellStyle name="20% - Акцент4 3 18 2" xfId="1281"/>
    <cellStyle name="20% - Акцент4 3 18 2 2" xfId="1282"/>
    <cellStyle name="20% - Акцент4 3 18 2 2 2" xfId="31788"/>
    <cellStyle name="20% - Акцент4 3 18 2 3" xfId="31789"/>
    <cellStyle name="20% - Акцент4 3 18 3" xfId="1283"/>
    <cellStyle name="20% - Акцент4 3 18 3 2" xfId="31790"/>
    <cellStyle name="20% - Акцент4 3 18 4" xfId="31791"/>
    <cellStyle name="20% - Акцент4 3 19" xfId="1284"/>
    <cellStyle name="20% - Акцент4 3 19 2" xfId="1285"/>
    <cellStyle name="20% - Акцент4 3 19 2 2" xfId="1286"/>
    <cellStyle name="20% - Акцент4 3 19 2 2 2" xfId="31792"/>
    <cellStyle name="20% - Акцент4 3 19 2 3" xfId="31793"/>
    <cellStyle name="20% - Акцент4 3 19 3" xfId="1287"/>
    <cellStyle name="20% - Акцент4 3 19 3 2" xfId="31794"/>
    <cellStyle name="20% - Акцент4 3 19 4" xfId="31795"/>
    <cellStyle name="20% - Акцент4 3 2" xfId="1288"/>
    <cellStyle name="20% - Акцент4 3 2 2" xfId="31796"/>
    <cellStyle name="20% - Акцент4 3 20" xfId="1289"/>
    <cellStyle name="20% - Акцент4 3 20 2" xfId="1290"/>
    <cellStyle name="20% - Акцент4 3 20 2 2" xfId="1291"/>
    <cellStyle name="20% - Акцент4 3 20 2 2 2" xfId="31797"/>
    <cellStyle name="20% - Акцент4 3 20 2 3" xfId="31798"/>
    <cellStyle name="20% - Акцент4 3 20 3" xfId="1292"/>
    <cellStyle name="20% - Акцент4 3 20 3 2" xfId="31799"/>
    <cellStyle name="20% - Акцент4 3 20 4" xfId="31800"/>
    <cellStyle name="20% - Акцент4 3 21" xfId="1293"/>
    <cellStyle name="20% - Акцент4 3 21 2" xfId="1294"/>
    <cellStyle name="20% - Акцент4 3 21 2 2" xfId="1295"/>
    <cellStyle name="20% - Акцент4 3 21 2 2 2" xfId="31801"/>
    <cellStyle name="20% - Акцент4 3 21 2 3" xfId="31802"/>
    <cellStyle name="20% - Акцент4 3 21 3" xfId="1296"/>
    <cellStyle name="20% - Акцент4 3 21 3 2" xfId="31803"/>
    <cellStyle name="20% - Акцент4 3 21 4" xfId="31804"/>
    <cellStyle name="20% - Акцент4 3 22" xfId="1297"/>
    <cellStyle name="20% - Акцент4 3 22 2" xfId="1298"/>
    <cellStyle name="20% - Акцент4 3 22 2 2" xfId="1299"/>
    <cellStyle name="20% - Акцент4 3 22 2 2 2" xfId="31805"/>
    <cellStyle name="20% - Акцент4 3 22 2 3" xfId="31806"/>
    <cellStyle name="20% - Акцент4 3 22 3" xfId="1300"/>
    <cellStyle name="20% - Акцент4 3 22 3 2" xfId="31807"/>
    <cellStyle name="20% - Акцент4 3 22 4" xfId="31808"/>
    <cellStyle name="20% - Акцент4 3 23" xfId="1301"/>
    <cellStyle name="20% - Акцент4 3 23 2" xfId="1302"/>
    <cellStyle name="20% - Акцент4 3 23 2 2" xfId="1303"/>
    <cellStyle name="20% - Акцент4 3 23 2 2 2" xfId="31809"/>
    <cellStyle name="20% - Акцент4 3 23 2 3" xfId="31810"/>
    <cellStyle name="20% - Акцент4 3 23 3" xfId="1304"/>
    <cellStyle name="20% - Акцент4 3 23 3 2" xfId="31811"/>
    <cellStyle name="20% - Акцент4 3 23 4" xfId="31812"/>
    <cellStyle name="20% - Акцент4 3 24" xfId="1305"/>
    <cellStyle name="20% - Акцент4 3 24 2" xfId="1306"/>
    <cellStyle name="20% - Акцент4 3 24 2 2" xfId="1307"/>
    <cellStyle name="20% - Акцент4 3 24 2 2 2" xfId="31813"/>
    <cellStyle name="20% - Акцент4 3 24 2 3" xfId="31814"/>
    <cellStyle name="20% - Акцент4 3 24 3" xfId="1308"/>
    <cellStyle name="20% - Акцент4 3 24 3 2" xfId="31815"/>
    <cellStyle name="20% - Акцент4 3 24 4" xfId="31816"/>
    <cellStyle name="20% - Акцент4 3 25" xfId="31817"/>
    <cellStyle name="20% - Акцент4 3 3" xfId="1309"/>
    <cellStyle name="20% - Акцент4 3 3 2" xfId="1310"/>
    <cellStyle name="20% - Акцент4 3 3 2 2" xfId="1311"/>
    <cellStyle name="20% - Акцент4 3 3 2 2 2" xfId="31818"/>
    <cellStyle name="20% - Акцент4 3 3 2 3" xfId="31819"/>
    <cellStyle name="20% - Акцент4 3 3 3" xfId="1312"/>
    <cellStyle name="20% - Акцент4 3 3 3 2" xfId="31820"/>
    <cellStyle name="20% - Акцент4 3 3 4" xfId="31821"/>
    <cellStyle name="20% - Акцент4 3 4" xfId="1313"/>
    <cellStyle name="20% - Акцент4 3 4 2" xfId="1314"/>
    <cellStyle name="20% - Акцент4 3 4 2 2" xfId="1315"/>
    <cellStyle name="20% - Акцент4 3 4 2 2 2" xfId="31822"/>
    <cellStyle name="20% - Акцент4 3 4 2 3" xfId="31823"/>
    <cellStyle name="20% - Акцент4 3 4 3" xfId="1316"/>
    <cellStyle name="20% - Акцент4 3 4 3 2" xfId="31824"/>
    <cellStyle name="20% - Акцент4 3 4 4" xfId="31825"/>
    <cellStyle name="20% - Акцент4 3 5" xfId="1317"/>
    <cellStyle name="20% - Акцент4 3 5 2" xfId="1318"/>
    <cellStyle name="20% - Акцент4 3 5 2 2" xfId="1319"/>
    <cellStyle name="20% - Акцент4 3 5 2 2 2" xfId="31826"/>
    <cellStyle name="20% - Акцент4 3 5 2 3" xfId="31827"/>
    <cellStyle name="20% - Акцент4 3 5 3" xfId="1320"/>
    <cellStyle name="20% - Акцент4 3 5 3 2" xfId="31828"/>
    <cellStyle name="20% - Акцент4 3 5 4" xfId="31829"/>
    <cellStyle name="20% - Акцент4 3 6" xfId="1321"/>
    <cellStyle name="20% - Акцент4 3 6 2" xfId="1322"/>
    <cellStyle name="20% - Акцент4 3 6 2 2" xfId="1323"/>
    <cellStyle name="20% - Акцент4 3 6 2 2 2" xfId="31830"/>
    <cellStyle name="20% - Акцент4 3 6 2 3" xfId="31831"/>
    <cellStyle name="20% - Акцент4 3 6 3" xfId="1324"/>
    <cellStyle name="20% - Акцент4 3 6 3 2" xfId="31832"/>
    <cellStyle name="20% - Акцент4 3 6 4" xfId="31833"/>
    <cellStyle name="20% - Акцент4 3 7" xfId="1325"/>
    <cellStyle name="20% - Акцент4 3 7 2" xfId="1326"/>
    <cellStyle name="20% - Акцент4 3 7 2 2" xfId="1327"/>
    <cellStyle name="20% - Акцент4 3 7 2 2 2" xfId="31834"/>
    <cellStyle name="20% - Акцент4 3 7 2 3" xfId="31835"/>
    <cellStyle name="20% - Акцент4 3 7 3" xfId="1328"/>
    <cellStyle name="20% - Акцент4 3 7 3 2" xfId="31836"/>
    <cellStyle name="20% - Акцент4 3 7 4" xfId="31837"/>
    <cellStyle name="20% - Акцент4 3 8" xfId="1329"/>
    <cellStyle name="20% - Акцент4 3 8 2" xfId="1330"/>
    <cellStyle name="20% - Акцент4 3 8 2 2" xfId="1331"/>
    <cellStyle name="20% - Акцент4 3 8 2 2 2" xfId="31838"/>
    <cellStyle name="20% - Акцент4 3 8 2 3" xfId="31839"/>
    <cellStyle name="20% - Акцент4 3 8 3" xfId="1332"/>
    <cellStyle name="20% - Акцент4 3 8 3 2" xfId="31840"/>
    <cellStyle name="20% - Акцент4 3 8 4" xfId="31841"/>
    <cellStyle name="20% - Акцент4 3 9" xfId="1333"/>
    <cellStyle name="20% - Акцент4 3 9 2" xfId="1334"/>
    <cellStyle name="20% - Акцент4 3 9 2 2" xfId="1335"/>
    <cellStyle name="20% - Акцент4 3 9 2 2 2" xfId="31842"/>
    <cellStyle name="20% - Акцент4 3 9 2 3" xfId="31843"/>
    <cellStyle name="20% - Акцент4 3 9 3" xfId="1336"/>
    <cellStyle name="20% - Акцент4 3 9 3 2" xfId="31844"/>
    <cellStyle name="20% - Акцент4 3 9 4" xfId="31845"/>
    <cellStyle name="20% - Акцент4 4" xfId="1337"/>
    <cellStyle name="20% - Акцент4 4 10" xfId="1338"/>
    <cellStyle name="20% - Акцент4 4 10 2" xfId="1339"/>
    <cellStyle name="20% - Акцент4 4 10 2 2" xfId="1340"/>
    <cellStyle name="20% - Акцент4 4 10 2 2 2" xfId="31846"/>
    <cellStyle name="20% - Акцент4 4 10 2 3" xfId="31847"/>
    <cellStyle name="20% - Акцент4 4 10 3" xfId="1341"/>
    <cellStyle name="20% - Акцент4 4 10 3 2" xfId="31848"/>
    <cellStyle name="20% - Акцент4 4 10 4" xfId="31849"/>
    <cellStyle name="20% - Акцент4 4 11" xfId="1342"/>
    <cellStyle name="20% - Акцент4 4 11 2" xfId="1343"/>
    <cellStyle name="20% - Акцент4 4 11 2 2" xfId="1344"/>
    <cellStyle name="20% - Акцент4 4 11 2 2 2" xfId="31850"/>
    <cellStyle name="20% - Акцент4 4 11 2 3" xfId="31851"/>
    <cellStyle name="20% - Акцент4 4 11 3" xfId="1345"/>
    <cellStyle name="20% - Акцент4 4 11 3 2" xfId="31852"/>
    <cellStyle name="20% - Акцент4 4 11 4" xfId="31853"/>
    <cellStyle name="20% - Акцент4 4 12" xfId="1346"/>
    <cellStyle name="20% - Акцент4 4 12 2" xfId="1347"/>
    <cellStyle name="20% - Акцент4 4 12 2 2" xfId="1348"/>
    <cellStyle name="20% - Акцент4 4 12 2 2 2" xfId="31854"/>
    <cellStyle name="20% - Акцент4 4 12 2 3" xfId="31855"/>
    <cellStyle name="20% - Акцент4 4 12 3" xfId="1349"/>
    <cellStyle name="20% - Акцент4 4 12 3 2" xfId="31856"/>
    <cellStyle name="20% - Акцент4 4 12 4" xfId="31857"/>
    <cellStyle name="20% - Акцент4 4 13" xfId="1350"/>
    <cellStyle name="20% - Акцент4 4 13 2" xfId="1351"/>
    <cellStyle name="20% - Акцент4 4 13 2 2" xfId="1352"/>
    <cellStyle name="20% - Акцент4 4 13 2 2 2" xfId="31858"/>
    <cellStyle name="20% - Акцент4 4 13 2 3" xfId="31859"/>
    <cellStyle name="20% - Акцент4 4 13 3" xfId="1353"/>
    <cellStyle name="20% - Акцент4 4 13 3 2" xfId="31860"/>
    <cellStyle name="20% - Акцент4 4 13 4" xfId="31861"/>
    <cellStyle name="20% - Акцент4 4 14" xfId="1354"/>
    <cellStyle name="20% - Акцент4 4 14 2" xfId="1355"/>
    <cellStyle name="20% - Акцент4 4 14 2 2" xfId="1356"/>
    <cellStyle name="20% - Акцент4 4 14 2 2 2" xfId="31862"/>
    <cellStyle name="20% - Акцент4 4 14 2 3" xfId="31863"/>
    <cellStyle name="20% - Акцент4 4 14 3" xfId="1357"/>
    <cellStyle name="20% - Акцент4 4 14 3 2" xfId="31864"/>
    <cellStyle name="20% - Акцент4 4 14 4" xfId="31865"/>
    <cellStyle name="20% - Акцент4 4 15" xfId="1358"/>
    <cellStyle name="20% - Акцент4 4 15 2" xfId="1359"/>
    <cellStyle name="20% - Акцент4 4 15 2 2" xfId="1360"/>
    <cellStyle name="20% - Акцент4 4 15 2 2 2" xfId="31866"/>
    <cellStyle name="20% - Акцент4 4 15 2 3" xfId="31867"/>
    <cellStyle name="20% - Акцент4 4 15 3" xfId="1361"/>
    <cellStyle name="20% - Акцент4 4 15 3 2" xfId="31868"/>
    <cellStyle name="20% - Акцент4 4 15 4" xfId="31869"/>
    <cellStyle name="20% - Акцент4 4 16" xfId="1362"/>
    <cellStyle name="20% - Акцент4 4 16 2" xfId="1363"/>
    <cellStyle name="20% - Акцент4 4 16 2 2" xfId="1364"/>
    <cellStyle name="20% - Акцент4 4 16 2 2 2" xfId="31870"/>
    <cellStyle name="20% - Акцент4 4 16 2 3" xfId="31871"/>
    <cellStyle name="20% - Акцент4 4 16 3" xfId="1365"/>
    <cellStyle name="20% - Акцент4 4 16 3 2" xfId="31872"/>
    <cellStyle name="20% - Акцент4 4 16 4" xfId="31873"/>
    <cellStyle name="20% - Акцент4 4 17" xfId="1366"/>
    <cellStyle name="20% - Акцент4 4 17 2" xfId="1367"/>
    <cellStyle name="20% - Акцент4 4 17 2 2" xfId="1368"/>
    <cellStyle name="20% - Акцент4 4 17 2 2 2" xfId="31874"/>
    <cellStyle name="20% - Акцент4 4 17 2 3" xfId="31875"/>
    <cellStyle name="20% - Акцент4 4 17 3" xfId="1369"/>
    <cellStyle name="20% - Акцент4 4 17 3 2" xfId="31876"/>
    <cellStyle name="20% - Акцент4 4 17 4" xfId="31877"/>
    <cellStyle name="20% - Акцент4 4 18" xfId="1370"/>
    <cellStyle name="20% - Акцент4 4 18 2" xfId="1371"/>
    <cellStyle name="20% - Акцент4 4 18 2 2" xfId="1372"/>
    <cellStyle name="20% - Акцент4 4 18 2 2 2" xfId="31878"/>
    <cellStyle name="20% - Акцент4 4 18 2 3" xfId="31879"/>
    <cellStyle name="20% - Акцент4 4 18 3" xfId="1373"/>
    <cellStyle name="20% - Акцент4 4 18 3 2" xfId="31880"/>
    <cellStyle name="20% - Акцент4 4 18 4" xfId="31881"/>
    <cellStyle name="20% - Акцент4 4 19" xfId="1374"/>
    <cellStyle name="20% - Акцент4 4 19 2" xfId="1375"/>
    <cellStyle name="20% - Акцент4 4 19 2 2" xfId="1376"/>
    <cellStyle name="20% - Акцент4 4 19 2 2 2" xfId="31882"/>
    <cellStyle name="20% - Акцент4 4 19 2 3" xfId="31883"/>
    <cellStyle name="20% - Акцент4 4 19 3" xfId="1377"/>
    <cellStyle name="20% - Акцент4 4 19 3 2" xfId="31884"/>
    <cellStyle name="20% - Акцент4 4 19 4" xfId="31885"/>
    <cellStyle name="20% - Акцент4 4 2" xfId="1378"/>
    <cellStyle name="20% - Акцент4 4 2 2" xfId="31886"/>
    <cellStyle name="20% - Акцент4 4 20" xfId="1379"/>
    <cellStyle name="20% - Акцент4 4 20 2" xfId="1380"/>
    <cellStyle name="20% - Акцент4 4 20 2 2" xfId="1381"/>
    <cellStyle name="20% - Акцент4 4 20 2 2 2" xfId="31887"/>
    <cellStyle name="20% - Акцент4 4 20 2 3" xfId="31888"/>
    <cellStyle name="20% - Акцент4 4 20 3" xfId="1382"/>
    <cellStyle name="20% - Акцент4 4 20 3 2" xfId="31889"/>
    <cellStyle name="20% - Акцент4 4 20 4" xfId="31890"/>
    <cellStyle name="20% - Акцент4 4 21" xfId="1383"/>
    <cellStyle name="20% - Акцент4 4 21 2" xfId="1384"/>
    <cellStyle name="20% - Акцент4 4 21 2 2" xfId="1385"/>
    <cellStyle name="20% - Акцент4 4 21 2 2 2" xfId="31891"/>
    <cellStyle name="20% - Акцент4 4 21 2 3" xfId="31892"/>
    <cellStyle name="20% - Акцент4 4 21 3" xfId="1386"/>
    <cellStyle name="20% - Акцент4 4 21 3 2" xfId="31893"/>
    <cellStyle name="20% - Акцент4 4 21 4" xfId="31894"/>
    <cellStyle name="20% - Акцент4 4 22" xfId="1387"/>
    <cellStyle name="20% - Акцент4 4 22 2" xfId="1388"/>
    <cellStyle name="20% - Акцент4 4 22 2 2" xfId="1389"/>
    <cellStyle name="20% - Акцент4 4 22 2 2 2" xfId="31895"/>
    <cellStyle name="20% - Акцент4 4 22 2 3" xfId="31896"/>
    <cellStyle name="20% - Акцент4 4 22 3" xfId="1390"/>
    <cellStyle name="20% - Акцент4 4 22 3 2" xfId="31897"/>
    <cellStyle name="20% - Акцент4 4 22 4" xfId="31898"/>
    <cellStyle name="20% - Акцент4 4 23" xfId="1391"/>
    <cellStyle name="20% - Акцент4 4 23 2" xfId="1392"/>
    <cellStyle name="20% - Акцент4 4 23 2 2" xfId="1393"/>
    <cellStyle name="20% - Акцент4 4 23 2 2 2" xfId="31899"/>
    <cellStyle name="20% - Акцент4 4 23 2 3" xfId="31900"/>
    <cellStyle name="20% - Акцент4 4 23 3" xfId="1394"/>
    <cellStyle name="20% - Акцент4 4 23 3 2" xfId="31901"/>
    <cellStyle name="20% - Акцент4 4 23 4" xfId="31902"/>
    <cellStyle name="20% - Акцент4 4 24" xfId="1395"/>
    <cellStyle name="20% - Акцент4 4 24 2" xfId="1396"/>
    <cellStyle name="20% - Акцент4 4 24 2 2" xfId="1397"/>
    <cellStyle name="20% - Акцент4 4 24 2 2 2" xfId="31903"/>
    <cellStyle name="20% - Акцент4 4 24 2 3" xfId="31904"/>
    <cellStyle name="20% - Акцент4 4 24 3" xfId="1398"/>
    <cellStyle name="20% - Акцент4 4 24 3 2" xfId="31905"/>
    <cellStyle name="20% - Акцент4 4 24 4" xfId="31906"/>
    <cellStyle name="20% - Акцент4 4 25" xfId="31907"/>
    <cellStyle name="20% - Акцент4 4 3" xfId="1399"/>
    <cellStyle name="20% - Акцент4 4 3 2" xfId="1400"/>
    <cellStyle name="20% - Акцент4 4 3 2 2" xfId="1401"/>
    <cellStyle name="20% - Акцент4 4 3 2 2 2" xfId="31908"/>
    <cellStyle name="20% - Акцент4 4 3 2 3" xfId="31909"/>
    <cellStyle name="20% - Акцент4 4 3 3" xfId="1402"/>
    <cellStyle name="20% - Акцент4 4 3 3 2" xfId="31910"/>
    <cellStyle name="20% - Акцент4 4 3 4" xfId="31911"/>
    <cellStyle name="20% - Акцент4 4 4" xfId="1403"/>
    <cellStyle name="20% - Акцент4 4 4 2" xfId="1404"/>
    <cellStyle name="20% - Акцент4 4 4 2 2" xfId="1405"/>
    <cellStyle name="20% - Акцент4 4 4 2 2 2" xfId="31912"/>
    <cellStyle name="20% - Акцент4 4 4 2 3" xfId="31913"/>
    <cellStyle name="20% - Акцент4 4 4 3" xfId="1406"/>
    <cellStyle name="20% - Акцент4 4 4 3 2" xfId="31914"/>
    <cellStyle name="20% - Акцент4 4 4 4" xfId="31915"/>
    <cellStyle name="20% - Акцент4 4 5" xfId="1407"/>
    <cellStyle name="20% - Акцент4 4 5 2" xfId="1408"/>
    <cellStyle name="20% - Акцент4 4 5 2 2" xfId="1409"/>
    <cellStyle name="20% - Акцент4 4 5 2 2 2" xfId="31916"/>
    <cellStyle name="20% - Акцент4 4 5 2 3" xfId="31917"/>
    <cellStyle name="20% - Акцент4 4 5 3" xfId="1410"/>
    <cellStyle name="20% - Акцент4 4 5 3 2" xfId="31918"/>
    <cellStyle name="20% - Акцент4 4 5 4" xfId="31919"/>
    <cellStyle name="20% - Акцент4 4 6" xfId="1411"/>
    <cellStyle name="20% - Акцент4 4 6 2" xfId="1412"/>
    <cellStyle name="20% - Акцент4 4 6 2 2" xfId="1413"/>
    <cellStyle name="20% - Акцент4 4 6 2 2 2" xfId="31920"/>
    <cellStyle name="20% - Акцент4 4 6 2 3" xfId="31921"/>
    <cellStyle name="20% - Акцент4 4 6 3" xfId="1414"/>
    <cellStyle name="20% - Акцент4 4 6 3 2" xfId="31922"/>
    <cellStyle name="20% - Акцент4 4 6 4" xfId="31923"/>
    <cellStyle name="20% - Акцент4 4 7" xfId="1415"/>
    <cellStyle name="20% - Акцент4 4 7 2" xfId="1416"/>
    <cellStyle name="20% - Акцент4 4 7 2 2" xfId="1417"/>
    <cellStyle name="20% - Акцент4 4 7 2 2 2" xfId="31924"/>
    <cellStyle name="20% - Акцент4 4 7 2 3" xfId="31925"/>
    <cellStyle name="20% - Акцент4 4 7 3" xfId="1418"/>
    <cellStyle name="20% - Акцент4 4 7 3 2" xfId="31926"/>
    <cellStyle name="20% - Акцент4 4 7 4" xfId="31927"/>
    <cellStyle name="20% - Акцент4 4 8" xfId="1419"/>
    <cellStyle name="20% - Акцент4 4 8 2" xfId="1420"/>
    <cellStyle name="20% - Акцент4 4 8 2 2" xfId="1421"/>
    <cellStyle name="20% - Акцент4 4 8 2 2 2" xfId="31928"/>
    <cellStyle name="20% - Акцент4 4 8 2 3" xfId="31929"/>
    <cellStyle name="20% - Акцент4 4 8 3" xfId="1422"/>
    <cellStyle name="20% - Акцент4 4 8 3 2" xfId="31930"/>
    <cellStyle name="20% - Акцент4 4 8 4" xfId="31931"/>
    <cellStyle name="20% - Акцент4 4 9" xfId="1423"/>
    <cellStyle name="20% - Акцент4 4 9 2" xfId="1424"/>
    <cellStyle name="20% - Акцент4 4 9 2 2" xfId="1425"/>
    <cellStyle name="20% - Акцент4 4 9 2 2 2" xfId="31932"/>
    <cellStyle name="20% - Акцент4 4 9 2 3" xfId="31933"/>
    <cellStyle name="20% - Акцент4 4 9 3" xfId="1426"/>
    <cellStyle name="20% - Акцент4 4 9 3 2" xfId="31934"/>
    <cellStyle name="20% - Акцент4 4 9 4" xfId="31935"/>
    <cellStyle name="20% - Акцент4 5" xfId="1427"/>
    <cellStyle name="20% - Акцент4 5 2" xfId="1428"/>
    <cellStyle name="20% - Акцент4 5 2 2" xfId="31936"/>
    <cellStyle name="20% - Акцент4 5 3" xfId="31937"/>
    <cellStyle name="20% - Акцент4 6" xfId="1429"/>
    <cellStyle name="20% - Акцент4 6 2" xfId="31938"/>
    <cellStyle name="20% - Акцент4 7" xfId="1430"/>
    <cellStyle name="20% - Акцент4 7 2" xfId="1431"/>
    <cellStyle name="20% - Акцент4 7 2 2" xfId="1432"/>
    <cellStyle name="20% - Акцент4 7 2 2 2" xfId="31939"/>
    <cellStyle name="20% - Акцент4 7 2 3" xfId="31940"/>
    <cellStyle name="20% - Акцент4 7 3" xfId="1433"/>
    <cellStyle name="20% - Акцент4 7 3 2" xfId="31941"/>
    <cellStyle name="20% - Акцент4 7 4" xfId="31942"/>
    <cellStyle name="20% - Акцент4 8" xfId="1434"/>
    <cellStyle name="20% - Акцент4 8 2" xfId="1435"/>
    <cellStyle name="20% - Акцент4 8 2 2" xfId="1436"/>
    <cellStyle name="20% - Акцент4 8 2 2 2" xfId="31943"/>
    <cellStyle name="20% - Акцент4 8 2 3" xfId="31944"/>
    <cellStyle name="20% - Акцент4 8 3" xfId="1437"/>
    <cellStyle name="20% - Акцент4 8 3 2" xfId="31945"/>
    <cellStyle name="20% - Акцент4 8 4" xfId="31946"/>
    <cellStyle name="20% - Акцент4 9" xfId="1438"/>
    <cellStyle name="20% - Акцент4 9 2" xfId="1439"/>
    <cellStyle name="20% - Акцент4 9 2 2" xfId="1440"/>
    <cellStyle name="20% - Акцент4 9 2 2 2" xfId="31947"/>
    <cellStyle name="20% - Акцент4 9 2 3" xfId="31948"/>
    <cellStyle name="20% - Акцент4 9 3" xfId="1441"/>
    <cellStyle name="20% - Акцент4 9 3 2" xfId="31949"/>
    <cellStyle name="20% - Акцент4 9 4" xfId="31950"/>
    <cellStyle name="20% - Акцент5 10" xfId="1442"/>
    <cellStyle name="20% - Акцент5 10 2" xfId="1443"/>
    <cellStyle name="20% - Акцент5 10 2 2" xfId="1444"/>
    <cellStyle name="20% - Акцент5 10 2 2 2" xfId="31951"/>
    <cellStyle name="20% - Акцент5 10 2 3" xfId="31952"/>
    <cellStyle name="20% - Акцент5 10 3" xfId="1445"/>
    <cellStyle name="20% - Акцент5 10 3 2" xfId="31953"/>
    <cellStyle name="20% - Акцент5 10 4" xfId="31954"/>
    <cellStyle name="20% - Акцент5 11" xfId="1446"/>
    <cellStyle name="20% - Акцент5 11 2" xfId="1447"/>
    <cellStyle name="20% - Акцент5 11 2 2" xfId="1448"/>
    <cellStyle name="20% - Акцент5 11 2 2 2" xfId="31955"/>
    <cellStyle name="20% - Акцент5 11 2 3" xfId="31956"/>
    <cellStyle name="20% - Акцент5 11 3" xfId="1449"/>
    <cellStyle name="20% - Акцент5 11 3 2" xfId="31957"/>
    <cellStyle name="20% - Акцент5 11 4" xfId="31958"/>
    <cellStyle name="20% - Акцент5 12" xfId="1450"/>
    <cellStyle name="20% - Акцент5 12 2" xfId="1451"/>
    <cellStyle name="20% - Акцент5 12 2 2" xfId="1452"/>
    <cellStyle name="20% - Акцент5 12 2 2 2" xfId="31959"/>
    <cellStyle name="20% - Акцент5 12 2 3" xfId="31960"/>
    <cellStyle name="20% - Акцент5 12 3" xfId="1453"/>
    <cellStyle name="20% - Акцент5 12 3 2" xfId="31961"/>
    <cellStyle name="20% - Акцент5 12 4" xfId="31962"/>
    <cellStyle name="20% - Акцент5 13" xfId="1454"/>
    <cellStyle name="20% - Акцент5 13 2" xfId="1455"/>
    <cellStyle name="20% - Акцент5 13 2 2" xfId="1456"/>
    <cellStyle name="20% - Акцент5 13 2 2 2" xfId="31963"/>
    <cellStyle name="20% - Акцент5 13 2 3" xfId="31964"/>
    <cellStyle name="20% - Акцент5 13 3" xfId="1457"/>
    <cellStyle name="20% - Акцент5 13 3 2" xfId="31965"/>
    <cellStyle name="20% - Акцент5 13 4" xfId="31966"/>
    <cellStyle name="20% - Акцент5 14" xfId="1458"/>
    <cellStyle name="20% - Акцент5 14 2" xfId="1459"/>
    <cellStyle name="20% - Акцент5 14 2 2" xfId="1460"/>
    <cellStyle name="20% - Акцент5 14 2 2 2" xfId="31967"/>
    <cellStyle name="20% - Акцент5 14 2 3" xfId="31968"/>
    <cellStyle name="20% - Акцент5 14 3" xfId="1461"/>
    <cellStyle name="20% - Акцент5 14 3 2" xfId="31969"/>
    <cellStyle name="20% - Акцент5 14 4" xfId="31970"/>
    <cellStyle name="20% - Акцент5 15" xfId="1462"/>
    <cellStyle name="20% - Акцент5 15 2" xfId="1463"/>
    <cellStyle name="20% - Акцент5 15 2 2" xfId="1464"/>
    <cellStyle name="20% - Акцент5 15 2 2 2" xfId="31971"/>
    <cellStyle name="20% - Акцент5 15 2 3" xfId="31972"/>
    <cellStyle name="20% - Акцент5 15 3" xfId="1465"/>
    <cellStyle name="20% - Акцент5 15 3 2" xfId="31973"/>
    <cellStyle name="20% - Акцент5 15 4" xfId="31974"/>
    <cellStyle name="20% - Акцент5 16" xfId="1466"/>
    <cellStyle name="20% - Акцент5 16 2" xfId="1467"/>
    <cellStyle name="20% - Акцент5 16 2 2" xfId="1468"/>
    <cellStyle name="20% - Акцент5 16 2 2 2" xfId="31975"/>
    <cellStyle name="20% - Акцент5 16 2 3" xfId="31976"/>
    <cellStyle name="20% - Акцент5 16 3" xfId="1469"/>
    <cellStyle name="20% - Акцент5 16 3 2" xfId="31977"/>
    <cellStyle name="20% - Акцент5 16 4" xfId="31978"/>
    <cellStyle name="20% - Акцент5 17" xfId="1470"/>
    <cellStyle name="20% - Акцент5 17 2" xfId="1471"/>
    <cellStyle name="20% - Акцент5 17 2 2" xfId="1472"/>
    <cellStyle name="20% - Акцент5 17 2 2 2" xfId="31979"/>
    <cellStyle name="20% - Акцент5 17 2 3" xfId="31980"/>
    <cellStyle name="20% - Акцент5 17 3" xfId="1473"/>
    <cellStyle name="20% - Акцент5 17 3 2" xfId="31981"/>
    <cellStyle name="20% - Акцент5 17 4" xfId="31982"/>
    <cellStyle name="20% - Акцент5 18" xfId="1474"/>
    <cellStyle name="20% - Акцент5 18 2" xfId="1475"/>
    <cellStyle name="20% - Акцент5 18 2 2" xfId="31983"/>
    <cellStyle name="20% - Акцент5 18 3" xfId="31984"/>
    <cellStyle name="20% - Акцент5 19" xfId="1476"/>
    <cellStyle name="20% - Акцент5 19 2" xfId="31985"/>
    <cellStyle name="20% - Акцент5 2" xfId="1477"/>
    <cellStyle name="20% - Акцент5 2 10" xfId="1478"/>
    <cellStyle name="20% - Акцент5 2 10 2" xfId="1479"/>
    <cellStyle name="20% - Акцент5 2 10 2 2" xfId="1480"/>
    <cellStyle name="20% - Акцент5 2 10 2 2 2" xfId="31986"/>
    <cellStyle name="20% - Акцент5 2 10 2 3" xfId="31987"/>
    <cellStyle name="20% - Акцент5 2 10 3" xfId="1481"/>
    <cellStyle name="20% - Акцент5 2 10 3 2" xfId="31988"/>
    <cellStyle name="20% - Акцент5 2 10 4" xfId="31989"/>
    <cellStyle name="20% - Акцент5 2 11" xfId="1482"/>
    <cellStyle name="20% - Акцент5 2 11 2" xfId="1483"/>
    <cellStyle name="20% - Акцент5 2 11 2 2" xfId="1484"/>
    <cellStyle name="20% - Акцент5 2 11 2 2 2" xfId="31990"/>
    <cellStyle name="20% - Акцент5 2 11 2 3" xfId="31991"/>
    <cellStyle name="20% - Акцент5 2 11 3" xfId="1485"/>
    <cellStyle name="20% - Акцент5 2 11 3 2" xfId="31992"/>
    <cellStyle name="20% - Акцент5 2 11 4" xfId="31993"/>
    <cellStyle name="20% - Акцент5 2 12" xfId="1486"/>
    <cellStyle name="20% - Акцент5 2 12 2" xfId="1487"/>
    <cellStyle name="20% - Акцент5 2 12 2 2" xfId="1488"/>
    <cellStyle name="20% - Акцент5 2 12 2 2 2" xfId="31994"/>
    <cellStyle name="20% - Акцент5 2 12 2 3" xfId="31995"/>
    <cellStyle name="20% - Акцент5 2 12 3" xfId="1489"/>
    <cellStyle name="20% - Акцент5 2 12 3 2" xfId="31996"/>
    <cellStyle name="20% - Акцент5 2 12 4" xfId="31997"/>
    <cellStyle name="20% - Акцент5 2 13" xfId="1490"/>
    <cellStyle name="20% - Акцент5 2 13 2" xfId="1491"/>
    <cellStyle name="20% - Акцент5 2 13 2 2" xfId="1492"/>
    <cellStyle name="20% - Акцент5 2 13 2 2 2" xfId="31998"/>
    <cellStyle name="20% - Акцент5 2 13 2 3" xfId="31999"/>
    <cellStyle name="20% - Акцент5 2 13 3" xfId="1493"/>
    <cellStyle name="20% - Акцент5 2 13 3 2" xfId="32000"/>
    <cellStyle name="20% - Акцент5 2 13 4" xfId="32001"/>
    <cellStyle name="20% - Акцент5 2 14" xfId="1494"/>
    <cellStyle name="20% - Акцент5 2 14 2" xfId="1495"/>
    <cellStyle name="20% - Акцент5 2 14 2 2" xfId="1496"/>
    <cellStyle name="20% - Акцент5 2 14 2 2 2" xfId="32002"/>
    <cellStyle name="20% - Акцент5 2 14 2 3" xfId="32003"/>
    <cellStyle name="20% - Акцент5 2 14 3" xfId="1497"/>
    <cellStyle name="20% - Акцент5 2 14 3 2" xfId="32004"/>
    <cellStyle name="20% - Акцент5 2 14 4" xfId="32005"/>
    <cellStyle name="20% - Акцент5 2 15" xfId="1498"/>
    <cellStyle name="20% - Акцент5 2 15 2" xfId="1499"/>
    <cellStyle name="20% - Акцент5 2 15 2 2" xfId="1500"/>
    <cellStyle name="20% - Акцент5 2 15 2 2 2" xfId="32006"/>
    <cellStyle name="20% - Акцент5 2 15 2 3" xfId="32007"/>
    <cellStyle name="20% - Акцент5 2 15 3" xfId="1501"/>
    <cellStyle name="20% - Акцент5 2 15 3 2" xfId="32008"/>
    <cellStyle name="20% - Акцент5 2 15 4" xfId="32009"/>
    <cellStyle name="20% - Акцент5 2 16" xfId="1502"/>
    <cellStyle name="20% - Акцент5 2 16 2" xfId="1503"/>
    <cellStyle name="20% - Акцент5 2 16 2 2" xfId="1504"/>
    <cellStyle name="20% - Акцент5 2 16 2 2 2" xfId="32010"/>
    <cellStyle name="20% - Акцент5 2 16 2 3" xfId="32011"/>
    <cellStyle name="20% - Акцент5 2 16 3" xfId="1505"/>
    <cellStyle name="20% - Акцент5 2 16 3 2" xfId="32012"/>
    <cellStyle name="20% - Акцент5 2 16 4" xfId="32013"/>
    <cellStyle name="20% - Акцент5 2 17" xfId="1506"/>
    <cellStyle name="20% - Акцент5 2 17 2" xfId="1507"/>
    <cellStyle name="20% - Акцент5 2 17 2 2" xfId="1508"/>
    <cellStyle name="20% - Акцент5 2 17 2 2 2" xfId="32014"/>
    <cellStyle name="20% - Акцент5 2 17 2 3" xfId="32015"/>
    <cellStyle name="20% - Акцент5 2 17 3" xfId="1509"/>
    <cellStyle name="20% - Акцент5 2 17 3 2" xfId="32016"/>
    <cellStyle name="20% - Акцент5 2 17 4" xfId="32017"/>
    <cellStyle name="20% - Акцент5 2 18" xfId="1510"/>
    <cellStyle name="20% - Акцент5 2 18 2" xfId="1511"/>
    <cellStyle name="20% - Акцент5 2 18 2 2" xfId="1512"/>
    <cellStyle name="20% - Акцент5 2 18 2 2 2" xfId="32018"/>
    <cellStyle name="20% - Акцент5 2 18 2 3" xfId="32019"/>
    <cellStyle name="20% - Акцент5 2 18 3" xfId="1513"/>
    <cellStyle name="20% - Акцент5 2 18 3 2" xfId="32020"/>
    <cellStyle name="20% - Акцент5 2 18 4" xfId="32021"/>
    <cellStyle name="20% - Акцент5 2 19" xfId="1514"/>
    <cellStyle name="20% - Акцент5 2 19 2" xfId="1515"/>
    <cellStyle name="20% - Акцент5 2 19 2 2" xfId="1516"/>
    <cellStyle name="20% - Акцент5 2 19 2 2 2" xfId="32022"/>
    <cellStyle name="20% - Акцент5 2 19 2 3" xfId="32023"/>
    <cellStyle name="20% - Акцент5 2 19 3" xfId="1517"/>
    <cellStyle name="20% - Акцент5 2 19 3 2" xfId="32024"/>
    <cellStyle name="20% - Акцент5 2 19 4" xfId="32025"/>
    <cellStyle name="20% - Акцент5 2 2" xfId="1518"/>
    <cellStyle name="20% - Акцент5 2 2 2" xfId="32026"/>
    <cellStyle name="20% - Акцент5 2 20" xfId="1519"/>
    <cellStyle name="20% - Акцент5 2 20 2" xfId="1520"/>
    <cellStyle name="20% - Акцент5 2 20 2 2" xfId="1521"/>
    <cellStyle name="20% - Акцент5 2 20 2 2 2" xfId="32027"/>
    <cellStyle name="20% - Акцент5 2 20 2 3" xfId="32028"/>
    <cellStyle name="20% - Акцент5 2 20 3" xfId="1522"/>
    <cellStyle name="20% - Акцент5 2 20 3 2" xfId="32029"/>
    <cellStyle name="20% - Акцент5 2 20 4" xfId="32030"/>
    <cellStyle name="20% - Акцент5 2 21" xfId="1523"/>
    <cellStyle name="20% - Акцент5 2 21 2" xfId="1524"/>
    <cellStyle name="20% - Акцент5 2 21 2 2" xfId="1525"/>
    <cellStyle name="20% - Акцент5 2 21 2 2 2" xfId="32031"/>
    <cellStyle name="20% - Акцент5 2 21 2 3" xfId="32032"/>
    <cellStyle name="20% - Акцент5 2 21 3" xfId="1526"/>
    <cellStyle name="20% - Акцент5 2 21 3 2" xfId="32033"/>
    <cellStyle name="20% - Акцент5 2 21 4" xfId="32034"/>
    <cellStyle name="20% - Акцент5 2 22" xfId="1527"/>
    <cellStyle name="20% - Акцент5 2 22 2" xfId="1528"/>
    <cellStyle name="20% - Акцент5 2 22 2 2" xfId="1529"/>
    <cellStyle name="20% - Акцент5 2 22 2 2 2" xfId="32035"/>
    <cellStyle name="20% - Акцент5 2 22 2 3" xfId="32036"/>
    <cellStyle name="20% - Акцент5 2 22 3" xfId="1530"/>
    <cellStyle name="20% - Акцент5 2 22 3 2" xfId="32037"/>
    <cellStyle name="20% - Акцент5 2 22 4" xfId="32038"/>
    <cellStyle name="20% - Акцент5 2 23" xfId="1531"/>
    <cellStyle name="20% - Акцент5 2 23 2" xfId="1532"/>
    <cellStyle name="20% - Акцент5 2 23 2 2" xfId="1533"/>
    <cellStyle name="20% - Акцент5 2 23 2 2 2" xfId="32039"/>
    <cellStyle name="20% - Акцент5 2 23 2 3" xfId="32040"/>
    <cellStyle name="20% - Акцент5 2 23 3" xfId="1534"/>
    <cellStyle name="20% - Акцент5 2 23 3 2" xfId="32041"/>
    <cellStyle name="20% - Акцент5 2 23 4" xfId="32042"/>
    <cellStyle name="20% - Акцент5 2 24" xfId="1535"/>
    <cellStyle name="20% - Акцент5 2 24 2" xfId="1536"/>
    <cellStyle name="20% - Акцент5 2 24 2 2" xfId="1537"/>
    <cellStyle name="20% - Акцент5 2 24 2 2 2" xfId="32043"/>
    <cellStyle name="20% - Акцент5 2 24 2 3" xfId="32044"/>
    <cellStyle name="20% - Акцент5 2 24 3" xfId="1538"/>
    <cellStyle name="20% - Акцент5 2 24 3 2" xfId="32045"/>
    <cellStyle name="20% - Акцент5 2 24 4" xfId="32046"/>
    <cellStyle name="20% - Акцент5 2 25" xfId="32047"/>
    <cellStyle name="20% - Акцент5 2 3" xfId="1539"/>
    <cellStyle name="20% - Акцент5 2 3 2" xfId="1540"/>
    <cellStyle name="20% - Акцент5 2 3 2 2" xfId="1541"/>
    <cellStyle name="20% - Акцент5 2 3 2 2 2" xfId="32048"/>
    <cellStyle name="20% - Акцент5 2 3 2 3" xfId="32049"/>
    <cellStyle name="20% - Акцент5 2 3 3" xfId="1542"/>
    <cellStyle name="20% - Акцент5 2 3 3 2" xfId="32050"/>
    <cellStyle name="20% - Акцент5 2 3 4" xfId="32051"/>
    <cellStyle name="20% - Акцент5 2 4" xfId="1543"/>
    <cellStyle name="20% - Акцент5 2 4 2" xfId="1544"/>
    <cellStyle name="20% - Акцент5 2 4 2 2" xfId="1545"/>
    <cellStyle name="20% - Акцент5 2 4 2 2 2" xfId="32052"/>
    <cellStyle name="20% - Акцент5 2 4 2 3" xfId="32053"/>
    <cellStyle name="20% - Акцент5 2 4 3" xfId="1546"/>
    <cellStyle name="20% - Акцент5 2 4 3 2" xfId="32054"/>
    <cellStyle name="20% - Акцент5 2 4 4" xfId="32055"/>
    <cellStyle name="20% - Акцент5 2 5" xfId="1547"/>
    <cellStyle name="20% - Акцент5 2 5 2" xfId="1548"/>
    <cellStyle name="20% - Акцент5 2 5 2 2" xfId="1549"/>
    <cellStyle name="20% - Акцент5 2 5 2 2 2" xfId="32056"/>
    <cellStyle name="20% - Акцент5 2 5 2 3" xfId="32057"/>
    <cellStyle name="20% - Акцент5 2 5 3" xfId="1550"/>
    <cellStyle name="20% - Акцент5 2 5 3 2" xfId="32058"/>
    <cellStyle name="20% - Акцент5 2 5 4" xfId="32059"/>
    <cellStyle name="20% - Акцент5 2 6" xfId="1551"/>
    <cellStyle name="20% - Акцент5 2 6 2" xfId="1552"/>
    <cellStyle name="20% - Акцент5 2 6 2 2" xfId="1553"/>
    <cellStyle name="20% - Акцент5 2 6 2 2 2" xfId="32060"/>
    <cellStyle name="20% - Акцент5 2 6 2 3" xfId="32061"/>
    <cellStyle name="20% - Акцент5 2 6 3" xfId="1554"/>
    <cellStyle name="20% - Акцент5 2 6 3 2" xfId="32062"/>
    <cellStyle name="20% - Акцент5 2 6 4" xfId="32063"/>
    <cellStyle name="20% - Акцент5 2 7" xfId="1555"/>
    <cellStyle name="20% - Акцент5 2 7 2" xfId="1556"/>
    <cellStyle name="20% - Акцент5 2 7 2 2" xfId="1557"/>
    <cellStyle name="20% - Акцент5 2 7 2 2 2" xfId="32064"/>
    <cellStyle name="20% - Акцент5 2 7 2 3" xfId="32065"/>
    <cellStyle name="20% - Акцент5 2 7 3" xfId="1558"/>
    <cellStyle name="20% - Акцент5 2 7 3 2" xfId="32066"/>
    <cellStyle name="20% - Акцент5 2 7 4" xfId="32067"/>
    <cellStyle name="20% - Акцент5 2 8" xfId="1559"/>
    <cellStyle name="20% - Акцент5 2 8 2" xfId="1560"/>
    <cellStyle name="20% - Акцент5 2 8 2 2" xfId="1561"/>
    <cellStyle name="20% - Акцент5 2 8 2 2 2" xfId="32068"/>
    <cellStyle name="20% - Акцент5 2 8 2 3" xfId="32069"/>
    <cellStyle name="20% - Акцент5 2 8 3" xfId="1562"/>
    <cellStyle name="20% - Акцент5 2 8 3 2" xfId="32070"/>
    <cellStyle name="20% - Акцент5 2 8 4" xfId="32071"/>
    <cellStyle name="20% - Акцент5 2 9" xfId="1563"/>
    <cellStyle name="20% - Акцент5 2 9 2" xfId="1564"/>
    <cellStyle name="20% - Акцент5 2 9 2 2" xfId="1565"/>
    <cellStyle name="20% - Акцент5 2 9 2 2 2" xfId="32072"/>
    <cellStyle name="20% - Акцент5 2 9 2 3" xfId="32073"/>
    <cellStyle name="20% - Акцент5 2 9 3" xfId="1566"/>
    <cellStyle name="20% - Акцент5 2 9 3 2" xfId="32074"/>
    <cellStyle name="20% - Акцент5 2 9 4" xfId="32075"/>
    <cellStyle name="20% - Акцент5 3" xfId="1567"/>
    <cellStyle name="20% - Акцент5 3 10" xfId="1568"/>
    <cellStyle name="20% - Акцент5 3 10 2" xfId="1569"/>
    <cellStyle name="20% - Акцент5 3 10 2 2" xfId="1570"/>
    <cellStyle name="20% - Акцент5 3 10 2 2 2" xfId="32076"/>
    <cellStyle name="20% - Акцент5 3 10 2 3" xfId="32077"/>
    <cellStyle name="20% - Акцент5 3 10 3" xfId="1571"/>
    <cellStyle name="20% - Акцент5 3 10 3 2" xfId="32078"/>
    <cellStyle name="20% - Акцент5 3 10 4" xfId="32079"/>
    <cellStyle name="20% - Акцент5 3 11" xfId="1572"/>
    <cellStyle name="20% - Акцент5 3 11 2" xfId="1573"/>
    <cellStyle name="20% - Акцент5 3 11 2 2" xfId="1574"/>
    <cellStyle name="20% - Акцент5 3 11 2 2 2" xfId="32080"/>
    <cellStyle name="20% - Акцент5 3 11 2 3" xfId="32081"/>
    <cellStyle name="20% - Акцент5 3 11 3" xfId="1575"/>
    <cellStyle name="20% - Акцент5 3 11 3 2" xfId="32082"/>
    <cellStyle name="20% - Акцент5 3 11 4" xfId="32083"/>
    <cellStyle name="20% - Акцент5 3 12" xfId="1576"/>
    <cellStyle name="20% - Акцент5 3 12 2" xfId="1577"/>
    <cellStyle name="20% - Акцент5 3 12 2 2" xfId="1578"/>
    <cellStyle name="20% - Акцент5 3 12 2 2 2" xfId="32084"/>
    <cellStyle name="20% - Акцент5 3 12 2 3" xfId="32085"/>
    <cellStyle name="20% - Акцент5 3 12 3" xfId="1579"/>
    <cellStyle name="20% - Акцент5 3 12 3 2" xfId="32086"/>
    <cellStyle name="20% - Акцент5 3 12 4" xfId="32087"/>
    <cellStyle name="20% - Акцент5 3 13" xfId="1580"/>
    <cellStyle name="20% - Акцент5 3 13 2" xfId="1581"/>
    <cellStyle name="20% - Акцент5 3 13 2 2" xfId="1582"/>
    <cellStyle name="20% - Акцент5 3 13 2 2 2" xfId="32088"/>
    <cellStyle name="20% - Акцент5 3 13 2 3" xfId="32089"/>
    <cellStyle name="20% - Акцент5 3 13 3" xfId="1583"/>
    <cellStyle name="20% - Акцент5 3 13 3 2" xfId="32090"/>
    <cellStyle name="20% - Акцент5 3 13 4" xfId="32091"/>
    <cellStyle name="20% - Акцент5 3 14" xfId="1584"/>
    <cellStyle name="20% - Акцент5 3 14 2" xfId="1585"/>
    <cellStyle name="20% - Акцент5 3 14 2 2" xfId="1586"/>
    <cellStyle name="20% - Акцент5 3 14 2 2 2" xfId="32092"/>
    <cellStyle name="20% - Акцент5 3 14 2 3" xfId="32093"/>
    <cellStyle name="20% - Акцент5 3 14 3" xfId="1587"/>
    <cellStyle name="20% - Акцент5 3 14 3 2" xfId="32094"/>
    <cellStyle name="20% - Акцент5 3 14 4" xfId="32095"/>
    <cellStyle name="20% - Акцент5 3 15" xfId="1588"/>
    <cellStyle name="20% - Акцент5 3 15 2" xfId="1589"/>
    <cellStyle name="20% - Акцент5 3 15 2 2" xfId="1590"/>
    <cellStyle name="20% - Акцент5 3 15 2 2 2" xfId="32096"/>
    <cellStyle name="20% - Акцент5 3 15 2 3" xfId="32097"/>
    <cellStyle name="20% - Акцент5 3 15 3" xfId="1591"/>
    <cellStyle name="20% - Акцент5 3 15 3 2" xfId="32098"/>
    <cellStyle name="20% - Акцент5 3 15 4" xfId="32099"/>
    <cellStyle name="20% - Акцент5 3 16" xfId="1592"/>
    <cellStyle name="20% - Акцент5 3 16 2" xfId="1593"/>
    <cellStyle name="20% - Акцент5 3 16 2 2" xfId="1594"/>
    <cellStyle name="20% - Акцент5 3 16 2 2 2" xfId="32100"/>
    <cellStyle name="20% - Акцент5 3 16 2 3" xfId="32101"/>
    <cellStyle name="20% - Акцент5 3 16 3" xfId="1595"/>
    <cellStyle name="20% - Акцент5 3 16 3 2" xfId="32102"/>
    <cellStyle name="20% - Акцент5 3 16 4" xfId="32103"/>
    <cellStyle name="20% - Акцент5 3 17" xfId="1596"/>
    <cellStyle name="20% - Акцент5 3 17 2" xfId="1597"/>
    <cellStyle name="20% - Акцент5 3 17 2 2" xfId="1598"/>
    <cellStyle name="20% - Акцент5 3 17 2 2 2" xfId="32104"/>
    <cellStyle name="20% - Акцент5 3 17 2 3" xfId="32105"/>
    <cellStyle name="20% - Акцент5 3 17 3" xfId="1599"/>
    <cellStyle name="20% - Акцент5 3 17 3 2" xfId="32106"/>
    <cellStyle name="20% - Акцент5 3 17 4" xfId="32107"/>
    <cellStyle name="20% - Акцент5 3 18" xfId="1600"/>
    <cellStyle name="20% - Акцент5 3 18 2" xfId="1601"/>
    <cellStyle name="20% - Акцент5 3 18 2 2" xfId="1602"/>
    <cellStyle name="20% - Акцент5 3 18 2 2 2" xfId="32108"/>
    <cellStyle name="20% - Акцент5 3 18 2 3" xfId="32109"/>
    <cellStyle name="20% - Акцент5 3 18 3" xfId="1603"/>
    <cellStyle name="20% - Акцент5 3 18 3 2" xfId="32110"/>
    <cellStyle name="20% - Акцент5 3 18 4" xfId="32111"/>
    <cellStyle name="20% - Акцент5 3 19" xfId="1604"/>
    <cellStyle name="20% - Акцент5 3 19 2" xfId="1605"/>
    <cellStyle name="20% - Акцент5 3 19 2 2" xfId="1606"/>
    <cellStyle name="20% - Акцент5 3 19 2 2 2" xfId="32112"/>
    <cellStyle name="20% - Акцент5 3 19 2 3" xfId="32113"/>
    <cellStyle name="20% - Акцент5 3 19 3" xfId="1607"/>
    <cellStyle name="20% - Акцент5 3 19 3 2" xfId="32114"/>
    <cellStyle name="20% - Акцент5 3 19 4" xfId="32115"/>
    <cellStyle name="20% - Акцент5 3 2" xfId="1608"/>
    <cellStyle name="20% - Акцент5 3 2 2" xfId="32116"/>
    <cellStyle name="20% - Акцент5 3 20" xfId="1609"/>
    <cellStyle name="20% - Акцент5 3 20 2" xfId="1610"/>
    <cellStyle name="20% - Акцент5 3 20 2 2" xfId="1611"/>
    <cellStyle name="20% - Акцент5 3 20 2 2 2" xfId="32117"/>
    <cellStyle name="20% - Акцент5 3 20 2 3" xfId="32118"/>
    <cellStyle name="20% - Акцент5 3 20 3" xfId="1612"/>
    <cellStyle name="20% - Акцент5 3 20 3 2" xfId="32119"/>
    <cellStyle name="20% - Акцент5 3 20 4" xfId="32120"/>
    <cellStyle name="20% - Акцент5 3 21" xfId="1613"/>
    <cellStyle name="20% - Акцент5 3 21 2" xfId="1614"/>
    <cellStyle name="20% - Акцент5 3 21 2 2" xfId="1615"/>
    <cellStyle name="20% - Акцент5 3 21 2 2 2" xfId="32121"/>
    <cellStyle name="20% - Акцент5 3 21 2 3" xfId="32122"/>
    <cellStyle name="20% - Акцент5 3 21 3" xfId="1616"/>
    <cellStyle name="20% - Акцент5 3 21 3 2" xfId="32123"/>
    <cellStyle name="20% - Акцент5 3 21 4" xfId="32124"/>
    <cellStyle name="20% - Акцент5 3 22" xfId="1617"/>
    <cellStyle name="20% - Акцент5 3 22 2" xfId="1618"/>
    <cellStyle name="20% - Акцент5 3 22 2 2" xfId="1619"/>
    <cellStyle name="20% - Акцент5 3 22 2 2 2" xfId="32125"/>
    <cellStyle name="20% - Акцент5 3 22 2 3" xfId="32126"/>
    <cellStyle name="20% - Акцент5 3 22 3" xfId="1620"/>
    <cellStyle name="20% - Акцент5 3 22 3 2" xfId="32127"/>
    <cellStyle name="20% - Акцент5 3 22 4" xfId="32128"/>
    <cellStyle name="20% - Акцент5 3 23" xfId="1621"/>
    <cellStyle name="20% - Акцент5 3 23 2" xfId="1622"/>
    <cellStyle name="20% - Акцент5 3 23 2 2" xfId="1623"/>
    <cellStyle name="20% - Акцент5 3 23 2 2 2" xfId="32129"/>
    <cellStyle name="20% - Акцент5 3 23 2 3" xfId="32130"/>
    <cellStyle name="20% - Акцент5 3 23 3" xfId="1624"/>
    <cellStyle name="20% - Акцент5 3 23 3 2" xfId="32131"/>
    <cellStyle name="20% - Акцент5 3 23 4" xfId="32132"/>
    <cellStyle name="20% - Акцент5 3 24" xfId="1625"/>
    <cellStyle name="20% - Акцент5 3 24 2" xfId="1626"/>
    <cellStyle name="20% - Акцент5 3 24 2 2" xfId="1627"/>
    <cellStyle name="20% - Акцент5 3 24 2 2 2" xfId="32133"/>
    <cellStyle name="20% - Акцент5 3 24 2 3" xfId="32134"/>
    <cellStyle name="20% - Акцент5 3 24 3" xfId="1628"/>
    <cellStyle name="20% - Акцент5 3 24 3 2" xfId="32135"/>
    <cellStyle name="20% - Акцент5 3 24 4" xfId="32136"/>
    <cellStyle name="20% - Акцент5 3 25" xfId="32137"/>
    <cellStyle name="20% - Акцент5 3 3" xfId="1629"/>
    <cellStyle name="20% - Акцент5 3 3 2" xfId="1630"/>
    <cellStyle name="20% - Акцент5 3 3 2 2" xfId="1631"/>
    <cellStyle name="20% - Акцент5 3 3 2 2 2" xfId="32138"/>
    <cellStyle name="20% - Акцент5 3 3 2 3" xfId="32139"/>
    <cellStyle name="20% - Акцент5 3 3 3" xfId="1632"/>
    <cellStyle name="20% - Акцент5 3 3 3 2" xfId="32140"/>
    <cellStyle name="20% - Акцент5 3 3 4" xfId="32141"/>
    <cellStyle name="20% - Акцент5 3 4" xfId="1633"/>
    <cellStyle name="20% - Акцент5 3 4 2" xfId="1634"/>
    <cellStyle name="20% - Акцент5 3 4 2 2" xfId="1635"/>
    <cellStyle name="20% - Акцент5 3 4 2 2 2" xfId="32142"/>
    <cellStyle name="20% - Акцент5 3 4 2 3" xfId="32143"/>
    <cellStyle name="20% - Акцент5 3 4 3" xfId="1636"/>
    <cellStyle name="20% - Акцент5 3 4 3 2" xfId="32144"/>
    <cellStyle name="20% - Акцент5 3 4 4" xfId="32145"/>
    <cellStyle name="20% - Акцент5 3 5" xfId="1637"/>
    <cellStyle name="20% - Акцент5 3 5 2" xfId="1638"/>
    <cellStyle name="20% - Акцент5 3 5 2 2" xfId="1639"/>
    <cellStyle name="20% - Акцент5 3 5 2 2 2" xfId="32146"/>
    <cellStyle name="20% - Акцент5 3 5 2 3" xfId="32147"/>
    <cellStyle name="20% - Акцент5 3 5 3" xfId="1640"/>
    <cellStyle name="20% - Акцент5 3 5 3 2" xfId="32148"/>
    <cellStyle name="20% - Акцент5 3 5 4" xfId="32149"/>
    <cellStyle name="20% - Акцент5 3 6" xfId="1641"/>
    <cellStyle name="20% - Акцент5 3 6 2" xfId="1642"/>
    <cellStyle name="20% - Акцент5 3 6 2 2" xfId="1643"/>
    <cellStyle name="20% - Акцент5 3 6 2 2 2" xfId="32150"/>
    <cellStyle name="20% - Акцент5 3 6 2 3" xfId="32151"/>
    <cellStyle name="20% - Акцент5 3 6 3" xfId="1644"/>
    <cellStyle name="20% - Акцент5 3 6 3 2" xfId="32152"/>
    <cellStyle name="20% - Акцент5 3 6 4" xfId="32153"/>
    <cellStyle name="20% - Акцент5 3 7" xfId="1645"/>
    <cellStyle name="20% - Акцент5 3 7 2" xfId="1646"/>
    <cellStyle name="20% - Акцент5 3 7 2 2" xfId="1647"/>
    <cellStyle name="20% - Акцент5 3 7 2 2 2" xfId="32154"/>
    <cellStyle name="20% - Акцент5 3 7 2 3" xfId="32155"/>
    <cellStyle name="20% - Акцент5 3 7 3" xfId="1648"/>
    <cellStyle name="20% - Акцент5 3 7 3 2" xfId="32156"/>
    <cellStyle name="20% - Акцент5 3 7 4" xfId="32157"/>
    <cellStyle name="20% - Акцент5 3 8" xfId="1649"/>
    <cellStyle name="20% - Акцент5 3 8 2" xfId="1650"/>
    <cellStyle name="20% - Акцент5 3 8 2 2" xfId="1651"/>
    <cellStyle name="20% - Акцент5 3 8 2 2 2" xfId="32158"/>
    <cellStyle name="20% - Акцент5 3 8 2 3" xfId="32159"/>
    <cellStyle name="20% - Акцент5 3 8 3" xfId="1652"/>
    <cellStyle name="20% - Акцент5 3 8 3 2" xfId="32160"/>
    <cellStyle name="20% - Акцент5 3 8 4" xfId="32161"/>
    <cellStyle name="20% - Акцент5 3 9" xfId="1653"/>
    <cellStyle name="20% - Акцент5 3 9 2" xfId="1654"/>
    <cellStyle name="20% - Акцент5 3 9 2 2" xfId="1655"/>
    <cellStyle name="20% - Акцент5 3 9 2 2 2" xfId="32162"/>
    <cellStyle name="20% - Акцент5 3 9 2 3" xfId="32163"/>
    <cellStyle name="20% - Акцент5 3 9 3" xfId="1656"/>
    <cellStyle name="20% - Акцент5 3 9 3 2" xfId="32164"/>
    <cellStyle name="20% - Акцент5 3 9 4" xfId="32165"/>
    <cellStyle name="20% - Акцент5 4" xfId="1657"/>
    <cellStyle name="20% - Акцент5 4 2" xfId="1658"/>
    <cellStyle name="20% - Акцент5 4 2 2" xfId="32166"/>
    <cellStyle name="20% - Акцент5 4 3" xfId="32167"/>
    <cellStyle name="20% - Акцент5 5" xfId="1659"/>
    <cellStyle name="20% - Акцент5 5 2" xfId="1660"/>
    <cellStyle name="20% - Акцент5 5 2 2" xfId="32168"/>
    <cellStyle name="20% - Акцент5 5 3" xfId="32169"/>
    <cellStyle name="20% - Акцент5 6" xfId="1661"/>
    <cellStyle name="20% - Акцент5 6 2" xfId="32170"/>
    <cellStyle name="20% - Акцент5 7" xfId="1662"/>
    <cellStyle name="20% - Акцент5 7 2" xfId="1663"/>
    <cellStyle name="20% - Акцент5 7 2 2" xfId="1664"/>
    <cellStyle name="20% - Акцент5 7 2 2 2" xfId="32171"/>
    <cellStyle name="20% - Акцент5 7 2 3" xfId="32172"/>
    <cellStyle name="20% - Акцент5 7 3" xfId="1665"/>
    <cellStyle name="20% - Акцент5 7 3 2" xfId="32173"/>
    <cellStyle name="20% - Акцент5 7 4" xfId="32174"/>
    <cellStyle name="20% - Акцент5 8" xfId="1666"/>
    <cellStyle name="20% - Акцент5 8 2" xfId="1667"/>
    <cellStyle name="20% - Акцент5 8 2 2" xfId="1668"/>
    <cellStyle name="20% - Акцент5 8 2 2 2" xfId="32175"/>
    <cellStyle name="20% - Акцент5 8 2 3" xfId="32176"/>
    <cellStyle name="20% - Акцент5 8 3" xfId="1669"/>
    <cellStyle name="20% - Акцент5 8 3 2" xfId="32177"/>
    <cellStyle name="20% - Акцент5 8 4" xfId="32178"/>
    <cellStyle name="20% - Акцент5 9" xfId="1670"/>
    <cellStyle name="20% - Акцент5 9 2" xfId="1671"/>
    <cellStyle name="20% - Акцент5 9 2 2" xfId="1672"/>
    <cellStyle name="20% - Акцент5 9 2 2 2" xfId="32179"/>
    <cellStyle name="20% - Акцент5 9 2 3" xfId="32180"/>
    <cellStyle name="20% - Акцент5 9 3" xfId="1673"/>
    <cellStyle name="20% - Акцент5 9 3 2" xfId="32181"/>
    <cellStyle name="20% - Акцент5 9 4" xfId="32182"/>
    <cellStyle name="20% - Акцент6 10" xfId="1674"/>
    <cellStyle name="20% - Акцент6 10 2" xfId="1675"/>
    <cellStyle name="20% - Акцент6 10 2 2" xfId="1676"/>
    <cellStyle name="20% - Акцент6 10 2 2 2" xfId="32183"/>
    <cellStyle name="20% - Акцент6 10 2 3" xfId="32184"/>
    <cellStyle name="20% - Акцент6 10 3" xfId="1677"/>
    <cellStyle name="20% - Акцент6 10 3 2" xfId="32185"/>
    <cellStyle name="20% - Акцент6 10 4" xfId="32186"/>
    <cellStyle name="20% - Акцент6 11" xfId="1678"/>
    <cellStyle name="20% - Акцент6 11 2" xfId="1679"/>
    <cellStyle name="20% - Акцент6 11 2 2" xfId="1680"/>
    <cellStyle name="20% - Акцент6 11 2 2 2" xfId="32187"/>
    <cellStyle name="20% - Акцент6 11 2 3" xfId="32188"/>
    <cellStyle name="20% - Акцент6 11 3" xfId="1681"/>
    <cellStyle name="20% - Акцент6 11 3 2" xfId="32189"/>
    <cellStyle name="20% - Акцент6 11 4" xfId="32190"/>
    <cellStyle name="20% - Акцент6 12" xfId="1682"/>
    <cellStyle name="20% - Акцент6 12 2" xfId="1683"/>
    <cellStyle name="20% - Акцент6 12 2 2" xfId="1684"/>
    <cellStyle name="20% - Акцент6 12 2 2 2" xfId="32191"/>
    <cellStyle name="20% - Акцент6 12 2 3" xfId="32192"/>
    <cellStyle name="20% - Акцент6 12 3" xfId="1685"/>
    <cellStyle name="20% - Акцент6 12 3 2" xfId="32193"/>
    <cellStyle name="20% - Акцент6 12 4" xfId="32194"/>
    <cellStyle name="20% - Акцент6 13" xfId="1686"/>
    <cellStyle name="20% - Акцент6 13 2" xfId="1687"/>
    <cellStyle name="20% - Акцент6 13 2 2" xfId="1688"/>
    <cellStyle name="20% - Акцент6 13 2 2 2" xfId="32195"/>
    <cellStyle name="20% - Акцент6 13 2 3" xfId="32196"/>
    <cellStyle name="20% - Акцент6 13 3" xfId="1689"/>
    <cellStyle name="20% - Акцент6 13 3 2" xfId="32197"/>
    <cellStyle name="20% - Акцент6 13 4" xfId="32198"/>
    <cellStyle name="20% - Акцент6 14" xfId="1690"/>
    <cellStyle name="20% - Акцент6 14 2" xfId="1691"/>
    <cellStyle name="20% - Акцент6 14 2 2" xfId="1692"/>
    <cellStyle name="20% - Акцент6 14 2 2 2" xfId="32199"/>
    <cellStyle name="20% - Акцент6 14 2 3" xfId="32200"/>
    <cellStyle name="20% - Акцент6 14 3" xfId="1693"/>
    <cellStyle name="20% - Акцент6 14 3 2" xfId="32201"/>
    <cellStyle name="20% - Акцент6 14 4" xfId="32202"/>
    <cellStyle name="20% - Акцент6 15" xfId="1694"/>
    <cellStyle name="20% - Акцент6 15 2" xfId="1695"/>
    <cellStyle name="20% - Акцент6 15 2 2" xfId="1696"/>
    <cellStyle name="20% - Акцент6 15 2 2 2" xfId="32203"/>
    <cellStyle name="20% - Акцент6 15 2 3" xfId="32204"/>
    <cellStyle name="20% - Акцент6 15 3" xfId="1697"/>
    <cellStyle name="20% - Акцент6 15 3 2" xfId="32205"/>
    <cellStyle name="20% - Акцент6 15 4" xfId="32206"/>
    <cellStyle name="20% - Акцент6 16" xfId="1698"/>
    <cellStyle name="20% - Акцент6 16 2" xfId="1699"/>
    <cellStyle name="20% - Акцент6 16 2 2" xfId="1700"/>
    <cellStyle name="20% - Акцент6 16 2 2 2" xfId="32207"/>
    <cellStyle name="20% - Акцент6 16 2 3" xfId="32208"/>
    <cellStyle name="20% - Акцент6 16 3" xfId="1701"/>
    <cellStyle name="20% - Акцент6 16 3 2" xfId="32209"/>
    <cellStyle name="20% - Акцент6 16 4" xfId="32210"/>
    <cellStyle name="20% - Акцент6 17" xfId="1702"/>
    <cellStyle name="20% - Акцент6 17 2" xfId="1703"/>
    <cellStyle name="20% - Акцент6 17 2 2" xfId="1704"/>
    <cellStyle name="20% - Акцент6 17 2 2 2" xfId="32211"/>
    <cellStyle name="20% - Акцент6 17 2 3" xfId="32212"/>
    <cellStyle name="20% - Акцент6 17 3" xfId="1705"/>
    <cellStyle name="20% - Акцент6 17 3 2" xfId="32213"/>
    <cellStyle name="20% - Акцент6 17 4" xfId="32214"/>
    <cellStyle name="20% - Акцент6 18" xfId="1706"/>
    <cellStyle name="20% - Акцент6 18 2" xfId="1707"/>
    <cellStyle name="20% - Акцент6 18 2 2" xfId="32215"/>
    <cellStyle name="20% - Акцент6 18 3" xfId="32216"/>
    <cellStyle name="20% - Акцент6 19" xfId="1708"/>
    <cellStyle name="20% - Акцент6 19 2" xfId="32217"/>
    <cellStyle name="20% - Акцент6 2" xfId="1709"/>
    <cellStyle name="20% - Акцент6 2 10" xfId="1710"/>
    <cellStyle name="20% - Акцент6 2 10 2" xfId="1711"/>
    <cellStyle name="20% - Акцент6 2 10 2 2" xfId="1712"/>
    <cellStyle name="20% - Акцент6 2 10 2 2 2" xfId="32218"/>
    <cellStyle name="20% - Акцент6 2 10 2 3" xfId="32219"/>
    <cellStyle name="20% - Акцент6 2 10 3" xfId="1713"/>
    <cellStyle name="20% - Акцент6 2 10 3 2" xfId="32220"/>
    <cellStyle name="20% - Акцент6 2 10 4" xfId="32221"/>
    <cellStyle name="20% - Акцент6 2 11" xfId="1714"/>
    <cellStyle name="20% - Акцент6 2 11 2" xfId="1715"/>
    <cellStyle name="20% - Акцент6 2 11 2 2" xfId="1716"/>
    <cellStyle name="20% - Акцент6 2 11 2 2 2" xfId="32222"/>
    <cellStyle name="20% - Акцент6 2 11 2 3" xfId="32223"/>
    <cellStyle name="20% - Акцент6 2 11 3" xfId="1717"/>
    <cellStyle name="20% - Акцент6 2 11 3 2" xfId="32224"/>
    <cellStyle name="20% - Акцент6 2 11 4" xfId="32225"/>
    <cellStyle name="20% - Акцент6 2 12" xfId="1718"/>
    <cellStyle name="20% - Акцент6 2 12 2" xfId="1719"/>
    <cellStyle name="20% - Акцент6 2 12 2 2" xfId="1720"/>
    <cellStyle name="20% - Акцент6 2 12 2 2 2" xfId="32226"/>
    <cellStyle name="20% - Акцент6 2 12 2 3" xfId="32227"/>
    <cellStyle name="20% - Акцент6 2 12 3" xfId="1721"/>
    <cellStyle name="20% - Акцент6 2 12 3 2" xfId="32228"/>
    <cellStyle name="20% - Акцент6 2 12 4" xfId="32229"/>
    <cellStyle name="20% - Акцент6 2 13" xfId="1722"/>
    <cellStyle name="20% - Акцент6 2 13 2" xfId="1723"/>
    <cellStyle name="20% - Акцент6 2 13 2 2" xfId="1724"/>
    <cellStyle name="20% - Акцент6 2 13 2 2 2" xfId="32230"/>
    <cellStyle name="20% - Акцент6 2 13 2 3" xfId="32231"/>
    <cellStyle name="20% - Акцент6 2 13 3" xfId="1725"/>
    <cellStyle name="20% - Акцент6 2 13 3 2" xfId="32232"/>
    <cellStyle name="20% - Акцент6 2 13 4" xfId="32233"/>
    <cellStyle name="20% - Акцент6 2 14" xfId="1726"/>
    <cellStyle name="20% - Акцент6 2 14 2" xfId="1727"/>
    <cellStyle name="20% - Акцент6 2 14 2 2" xfId="1728"/>
    <cellStyle name="20% - Акцент6 2 14 2 2 2" xfId="32234"/>
    <cellStyle name="20% - Акцент6 2 14 2 3" xfId="32235"/>
    <cellStyle name="20% - Акцент6 2 14 3" xfId="1729"/>
    <cellStyle name="20% - Акцент6 2 14 3 2" xfId="32236"/>
    <cellStyle name="20% - Акцент6 2 14 4" xfId="32237"/>
    <cellStyle name="20% - Акцент6 2 15" xfId="1730"/>
    <cellStyle name="20% - Акцент6 2 15 2" xfId="1731"/>
    <cellStyle name="20% - Акцент6 2 15 2 2" xfId="1732"/>
    <cellStyle name="20% - Акцент6 2 15 2 2 2" xfId="32238"/>
    <cellStyle name="20% - Акцент6 2 15 2 3" xfId="32239"/>
    <cellStyle name="20% - Акцент6 2 15 3" xfId="1733"/>
    <cellStyle name="20% - Акцент6 2 15 3 2" xfId="32240"/>
    <cellStyle name="20% - Акцент6 2 15 4" xfId="32241"/>
    <cellStyle name="20% - Акцент6 2 16" xfId="1734"/>
    <cellStyle name="20% - Акцент6 2 16 2" xfId="1735"/>
    <cellStyle name="20% - Акцент6 2 16 2 2" xfId="1736"/>
    <cellStyle name="20% - Акцент6 2 16 2 2 2" xfId="32242"/>
    <cellStyle name="20% - Акцент6 2 16 2 3" xfId="32243"/>
    <cellStyle name="20% - Акцент6 2 16 3" xfId="1737"/>
    <cellStyle name="20% - Акцент6 2 16 3 2" xfId="32244"/>
    <cellStyle name="20% - Акцент6 2 16 4" xfId="32245"/>
    <cellStyle name="20% - Акцент6 2 17" xfId="1738"/>
    <cellStyle name="20% - Акцент6 2 17 2" xfId="1739"/>
    <cellStyle name="20% - Акцент6 2 17 2 2" xfId="1740"/>
    <cellStyle name="20% - Акцент6 2 17 2 2 2" xfId="32246"/>
    <cellStyle name="20% - Акцент6 2 17 2 3" xfId="32247"/>
    <cellStyle name="20% - Акцент6 2 17 3" xfId="1741"/>
    <cellStyle name="20% - Акцент6 2 17 3 2" xfId="32248"/>
    <cellStyle name="20% - Акцент6 2 17 4" xfId="32249"/>
    <cellStyle name="20% - Акцент6 2 18" xfId="1742"/>
    <cellStyle name="20% - Акцент6 2 18 2" xfId="1743"/>
    <cellStyle name="20% - Акцент6 2 18 2 2" xfId="1744"/>
    <cellStyle name="20% - Акцент6 2 18 2 2 2" xfId="32250"/>
    <cellStyle name="20% - Акцент6 2 18 2 3" xfId="32251"/>
    <cellStyle name="20% - Акцент6 2 18 3" xfId="1745"/>
    <cellStyle name="20% - Акцент6 2 18 3 2" xfId="32252"/>
    <cellStyle name="20% - Акцент6 2 18 4" xfId="32253"/>
    <cellStyle name="20% - Акцент6 2 19" xfId="1746"/>
    <cellStyle name="20% - Акцент6 2 19 2" xfId="1747"/>
    <cellStyle name="20% - Акцент6 2 19 2 2" xfId="1748"/>
    <cellStyle name="20% - Акцент6 2 19 2 2 2" xfId="32254"/>
    <cellStyle name="20% - Акцент6 2 19 2 3" xfId="32255"/>
    <cellStyle name="20% - Акцент6 2 19 3" xfId="1749"/>
    <cellStyle name="20% - Акцент6 2 19 3 2" xfId="32256"/>
    <cellStyle name="20% - Акцент6 2 19 4" xfId="32257"/>
    <cellStyle name="20% - Акцент6 2 2" xfId="1750"/>
    <cellStyle name="20% - Акцент6 2 2 2" xfId="32258"/>
    <cellStyle name="20% - Акцент6 2 20" xfId="1751"/>
    <cellStyle name="20% - Акцент6 2 20 2" xfId="1752"/>
    <cellStyle name="20% - Акцент6 2 20 2 2" xfId="1753"/>
    <cellStyle name="20% - Акцент6 2 20 2 2 2" xfId="32259"/>
    <cellStyle name="20% - Акцент6 2 20 2 3" xfId="32260"/>
    <cellStyle name="20% - Акцент6 2 20 3" xfId="1754"/>
    <cellStyle name="20% - Акцент6 2 20 3 2" xfId="32261"/>
    <cellStyle name="20% - Акцент6 2 20 4" xfId="32262"/>
    <cellStyle name="20% - Акцент6 2 21" xfId="1755"/>
    <cellStyle name="20% - Акцент6 2 21 2" xfId="1756"/>
    <cellStyle name="20% - Акцент6 2 21 2 2" xfId="1757"/>
    <cellStyle name="20% - Акцент6 2 21 2 2 2" xfId="32263"/>
    <cellStyle name="20% - Акцент6 2 21 2 3" xfId="32264"/>
    <cellStyle name="20% - Акцент6 2 21 3" xfId="1758"/>
    <cellStyle name="20% - Акцент6 2 21 3 2" xfId="32265"/>
    <cellStyle name="20% - Акцент6 2 21 4" xfId="32266"/>
    <cellStyle name="20% - Акцент6 2 22" xfId="1759"/>
    <cellStyle name="20% - Акцент6 2 22 2" xfId="1760"/>
    <cellStyle name="20% - Акцент6 2 22 2 2" xfId="1761"/>
    <cellStyle name="20% - Акцент6 2 22 2 2 2" xfId="32267"/>
    <cellStyle name="20% - Акцент6 2 22 2 3" xfId="32268"/>
    <cellStyle name="20% - Акцент6 2 22 3" xfId="1762"/>
    <cellStyle name="20% - Акцент6 2 22 3 2" xfId="32269"/>
    <cellStyle name="20% - Акцент6 2 22 4" xfId="32270"/>
    <cellStyle name="20% - Акцент6 2 23" xfId="1763"/>
    <cellStyle name="20% - Акцент6 2 23 2" xfId="1764"/>
    <cellStyle name="20% - Акцент6 2 23 2 2" xfId="1765"/>
    <cellStyle name="20% - Акцент6 2 23 2 2 2" xfId="32271"/>
    <cellStyle name="20% - Акцент6 2 23 2 3" xfId="32272"/>
    <cellStyle name="20% - Акцент6 2 23 3" xfId="1766"/>
    <cellStyle name="20% - Акцент6 2 23 3 2" xfId="32273"/>
    <cellStyle name="20% - Акцент6 2 23 4" xfId="32274"/>
    <cellStyle name="20% - Акцент6 2 24" xfId="1767"/>
    <cellStyle name="20% - Акцент6 2 24 2" xfId="1768"/>
    <cellStyle name="20% - Акцент6 2 24 2 2" xfId="1769"/>
    <cellStyle name="20% - Акцент6 2 24 2 2 2" xfId="32275"/>
    <cellStyle name="20% - Акцент6 2 24 2 3" xfId="32276"/>
    <cellStyle name="20% - Акцент6 2 24 3" xfId="1770"/>
    <cellStyle name="20% - Акцент6 2 24 3 2" xfId="32277"/>
    <cellStyle name="20% - Акцент6 2 24 4" xfId="32278"/>
    <cellStyle name="20% - Акцент6 2 25" xfId="32279"/>
    <cellStyle name="20% - Акцент6 2 3" xfId="1771"/>
    <cellStyle name="20% - Акцент6 2 3 2" xfId="1772"/>
    <cellStyle name="20% - Акцент6 2 3 2 2" xfId="1773"/>
    <cellStyle name="20% - Акцент6 2 3 2 2 2" xfId="32280"/>
    <cellStyle name="20% - Акцент6 2 3 2 3" xfId="32281"/>
    <cellStyle name="20% - Акцент6 2 3 3" xfId="1774"/>
    <cellStyle name="20% - Акцент6 2 3 3 2" xfId="32282"/>
    <cellStyle name="20% - Акцент6 2 3 4" xfId="32283"/>
    <cellStyle name="20% - Акцент6 2 4" xfId="1775"/>
    <cellStyle name="20% - Акцент6 2 4 2" xfId="1776"/>
    <cellStyle name="20% - Акцент6 2 4 2 2" xfId="1777"/>
    <cellStyle name="20% - Акцент6 2 4 2 2 2" xfId="32284"/>
    <cellStyle name="20% - Акцент6 2 4 2 3" xfId="32285"/>
    <cellStyle name="20% - Акцент6 2 4 3" xfId="1778"/>
    <cellStyle name="20% - Акцент6 2 4 3 2" xfId="32286"/>
    <cellStyle name="20% - Акцент6 2 4 4" xfId="32287"/>
    <cellStyle name="20% - Акцент6 2 5" xfId="1779"/>
    <cellStyle name="20% - Акцент6 2 5 2" xfId="1780"/>
    <cellStyle name="20% - Акцент6 2 5 2 2" xfId="1781"/>
    <cellStyle name="20% - Акцент6 2 5 2 2 2" xfId="32288"/>
    <cellStyle name="20% - Акцент6 2 5 2 3" xfId="32289"/>
    <cellStyle name="20% - Акцент6 2 5 3" xfId="1782"/>
    <cellStyle name="20% - Акцент6 2 5 3 2" xfId="32290"/>
    <cellStyle name="20% - Акцент6 2 5 4" xfId="32291"/>
    <cellStyle name="20% - Акцент6 2 6" xfId="1783"/>
    <cellStyle name="20% - Акцент6 2 6 2" xfId="1784"/>
    <cellStyle name="20% - Акцент6 2 6 2 2" xfId="1785"/>
    <cellStyle name="20% - Акцент6 2 6 2 2 2" xfId="32292"/>
    <cellStyle name="20% - Акцент6 2 6 2 3" xfId="32293"/>
    <cellStyle name="20% - Акцент6 2 6 3" xfId="1786"/>
    <cellStyle name="20% - Акцент6 2 6 3 2" xfId="32294"/>
    <cellStyle name="20% - Акцент6 2 6 4" xfId="32295"/>
    <cellStyle name="20% - Акцент6 2 7" xfId="1787"/>
    <cellStyle name="20% - Акцент6 2 7 2" xfId="1788"/>
    <cellStyle name="20% - Акцент6 2 7 2 2" xfId="1789"/>
    <cellStyle name="20% - Акцент6 2 7 2 2 2" xfId="32296"/>
    <cellStyle name="20% - Акцент6 2 7 2 3" xfId="32297"/>
    <cellStyle name="20% - Акцент6 2 7 3" xfId="1790"/>
    <cellStyle name="20% - Акцент6 2 7 3 2" xfId="32298"/>
    <cellStyle name="20% - Акцент6 2 7 4" xfId="32299"/>
    <cellStyle name="20% - Акцент6 2 8" xfId="1791"/>
    <cellStyle name="20% - Акцент6 2 8 2" xfId="1792"/>
    <cellStyle name="20% - Акцент6 2 8 2 2" xfId="1793"/>
    <cellStyle name="20% - Акцент6 2 8 2 2 2" xfId="32300"/>
    <cellStyle name="20% - Акцент6 2 8 2 3" xfId="32301"/>
    <cellStyle name="20% - Акцент6 2 8 3" xfId="1794"/>
    <cellStyle name="20% - Акцент6 2 8 3 2" xfId="32302"/>
    <cellStyle name="20% - Акцент6 2 8 4" xfId="32303"/>
    <cellStyle name="20% - Акцент6 2 9" xfId="1795"/>
    <cellStyle name="20% - Акцент6 2 9 2" xfId="1796"/>
    <cellStyle name="20% - Акцент6 2 9 2 2" xfId="1797"/>
    <cellStyle name="20% - Акцент6 2 9 2 2 2" xfId="32304"/>
    <cellStyle name="20% - Акцент6 2 9 2 3" xfId="32305"/>
    <cellStyle name="20% - Акцент6 2 9 3" xfId="1798"/>
    <cellStyle name="20% - Акцент6 2 9 3 2" xfId="32306"/>
    <cellStyle name="20% - Акцент6 2 9 4" xfId="32307"/>
    <cellStyle name="20% - Акцент6 3" xfId="1799"/>
    <cellStyle name="20% - Акцент6 3 10" xfId="1800"/>
    <cellStyle name="20% - Акцент6 3 10 2" xfId="1801"/>
    <cellStyle name="20% - Акцент6 3 10 2 2" xfId="1802"/>
    <cellStyle name="20% - Акцент6 3 10 2 2 2" xfId="32308"/>
    <cellStyle name="20% - Акцент6 3 10 2 3" xfId="32309"/>
    <cellStyle name="20% - Акцент6 3 10 3" xfId="1803"/>
    <cellStyle name="20% - Акцент6 3 10 3 2" xfId="32310"/>
    <cellStyle name="20% - Акцент6 3 10 4" xfId="32311"/>
    <cellStyle name="20% - Акцент6 3 11" xfId="1804"/>
    <cellStyle name="20% - Акцент6 3 11 2" xfId="1805"/>
    <cellStyle name="20% - Акцент6 3 11 2 2" xfId="1806"/>
    <cellStyle name="20% - Акцент6 3 11 2 2 2" xfId="32312"/>
    <cellStyle name="20% - Акцент6 3 11 2 3" xfId="32313"/>
    <cellStyle name="20% - Акцент6 3 11 3" xfId="1807"/>
    <cellStyle name="20% - Акцент6 3 11 3 2" xfId="32314"/>
    <cellStyle name="20% - Акцент6 3 11 4" xfId="32315"/>
    <cellStyle name="20% - Акцент6 3 12" xfId="1808"/>
    <cellStyle name="20% - Акцент6 3 12 2" xfId="1809"/>
    <cellStyle name="20% - Акцент6 3 12 2 2" xfId="1810"/>
    <cellStyle name="20% - Акцент6 3 12 2 2 2" xfId="32316"/>
    <cellStyle name="20% - Акцент6 3 12 2 3" xfId="32317"/>
    <cellStyle name="20% - Акцент6 3 12 3" xfId="1811"/>
    <cellStyle name="20% - Акцент6 3 12 3 2" xfId="32318"/>
    <cellStyle name="20% - Акцент6 3 12 4" xfId="32319"/>
    <cellStyle name="20% - Акцент6 3 13" xfId="1812"/>
    <cellStyle name="20% - Акцент6 3 13 2" xfId="1813"/>
    <cellStyle name="20% - Акцент6 3 13 2 2" xfId="1814"/>
    <cellStyle name="20% - Акцент6 3 13 2 2 2" xfId="32320"/>
    <cellStyle name="20% - Акцент6 3 13 2 3" xfId="32321"/>
    <cellStyle name="20% - Акцент6 3 13 3" xfId="1815"/>
    <cellStyle name="20% - Акцент6 3 13 3 2" xfId="32322"/>
    <cellStyle name="20% - Акцент6 3 13 4" xfId="32323"/>
    <cellStyle name="20% - Акцент6 3 14" xfId="1816"/>
    <cellStyle name="20% - Акцент6 3 14 2" xfId="1817"/>
    <cellStyle name="20% - Акцент6 3 14 2 2" xfId="1818"/>
    <cellStyle name="20% - Акцент6 3 14 2 2 2" xfId="32324"/>
    <cellStyle name="20% - Акцент6 3 14 2 3" xfId="32325"/>
    <cellStyle name="20% - Акцент6 3 14 3" xfId="1819"/>
    <cellStyle name="20% - Акцент6 3 14 3 2" xfId="32326"/>
    <cellStyle name="20% - Акцент6 3 14 4" xfId="32327"/>
    <cellStyle name="20% - Акцент6 3 15" xfId="1820"/>
    <cellStyle name="20% - Акцент6 3 15 2" xfId="1821"/>
    <cellStyle name="20% - Акцент6 3 15 2 2" xfId="1822"/>
    <cellStyle name="20% - Акцент6 3 15 2 2 2" xfId="32328"/>
    <cellStyle name="20% - Акцент6 3 15 2 3" xfId="32329"/>
    <cellStyle name="20% - Акцент6 3 15 3" xfId="1823"/>
    <cellStyle name="20% - Акцент6 3 15 3 2" xfId="32330"/>
    <cellStyle name="20% - Акцент6 3 15 4" xfId="32331"/>
    <cellStyle name="20% - Акцент6 3 16" xfId="1824"/>
    <cellStyle name="20% - Акцент6 3 16 2" xfId="1825"/>
    <cellStyle name="20% - Акцент6 3 16 2 2" xfId="1826"/>
    <cellStyle name="20% - Акцент6 3 16 2 2 2" xfId="32332"/>
    <cellStyle name="20% - Акцент6 3 16 2 3" xfId="32333"/>
    <cellStyle name="20% - Акцент6 3 16 3" xfId="1827"/>
    <cellStyle name="20% - Акцент6 3 16 3 2" xfId="32334"/>
    <cellStyle name="20% - Акцент6 3 16 4" xfId="32335"/>
    <cellStyle name="20% - Акцент6 3 17" xfId="1828"/>
    <cellStyle name="20% - Акцент6 3 17 2" xfId="1829"/>
    <cellStyle name="20% - Акцент6 3 17 2 2" xfId="1830"/>
    <cellStyle name="20% - Акцент6 3 17 2 2 2" xfId="32336"/>
    <cellStyle name="20% - Акцент6 3 17 2 3" xfId="32337"/>
    <cellStyle name="20% - Акцент6 3 17 3" xfId="1831"/>
    <cellStyle name="20% - Акцент6 3 17 3 2" xfId="32338"/>
    <cellStyle name="20% - Акцент6 3 17 4" xfId="32339"/>
    <cellStyle name="20% - Акцент6 3 18" xfId="1832"/>
    <cellStyle name="20% - Акцент6 3 18 2" xfId="1833"/>
    <cellStyle name="20% - Акцент6 3 18 2 2" xfId="1834"/>
    <cellStyle name="20% - Акцент6 3 18 2 2 2" xfId="32340"/>
    <cellStyle name="20% - Акцент6 3 18 2 3" xfId="32341"/>
    <cellStyle name="20% - Акцент6 3 18 3" xfId="1835"/>
    <cellStyle name="20% - Акцент6 3 18 3 2" xfId="32342"/>
    <cellStyle name="20% - Акцент6 3 18 4" xfId="32343"/>
    <cellStyle name="20% - Акцент6 3 19" xfId="1836"/>
    <cellStyle name="20% - Акцент6 3 19 2" xfId="1837"/>
    <cellStyle name="20% - Акцент6 3 19 2 2" xfId="1838"/>
    <cellStyle name="20% - Акцент6 3 19 2 2 2" xfId="32344"/>
    <cellStyle name="20% - Акцент6 3 19 2 3" xfId="32345"/>
    <cellStyle name="20% - Акцент6 3 19 3" xfId="1839"/>
    <cellStyle name="20% - Акцент6 3 19 3 2" xfId="32346"/>
    <cellStyle name="20% - Акцент6 3 19 4" xfId="32347"/>
    <cellStyle name="20% - Акцент6 3 2" xfId="1840"/>
    <cellStyle name="20% - Акцент6 3 2 2" xfId="32348"/>
    <cellStyle name="20% - Акцент6 3 20" xfId="1841"/>
    <cellStyle name="20% - Акцент6 3 20 2" xfId="1842"/>
    <cellStyle name="20% - Акцент6 3 20 2 2" xfId="1843"/>
    <cellStyle name="20% - Акцент6 3 20 2 2 2" xfId="32349"/>
    <cellStyle name="20% - Акцент6 3 20 2 3" xfId="32350"/>
    <cellStyle name="20% - Акцент6 3 20 3" xfId="1844"/>
    <cellStyle name="20% - Акцент6 3 20 3 2" xfId="32351"/>
    <cellStyle name="20% - Акцент6 3 20 4" xfId="32352"/>
    <cellStyle name="20% - Акцент6 3 21" xfId="1845"/>
    <cellStyle name="20% - Акцент6 3 21 2" xfId="1846"/>
    <cellStyle name="20% - Акцент6 3 21 2 2" xfId="1847"/>
    <cellStyle name="20% - Акцент6 3 21 2 2 2" xfId="32353"/>
    <cellStyle name="20% - Акцент6 3 21 2 3" xfId="32354"/>
    <cellStyle name="20% - Акцент6 3 21 3" xfId="1848"/>
    <cellStyle name="20% - Акцент6 3 21 3 2" xfId="32355"/>
    <cellStyle name="20% - Акцент6 3 21 4" xfId="32356"/>
    <cellStyle name="20% - Акцент6 3 22" xfId="1849"/>
    <cellStyle name="20% - Акцент6 3 22 2" xfId="1850"/>
    <cellStyle name="20% - Акцент6 3 22 2 2" xfId="1851"/>
    <cellStyle name="20% - Акцент6 3 22 2 2 2" xfId="32357"/>
    <cellStyle name="20% - Акцент6 3 22 2 3" xfId="32358"/>
    <cellStyle name="20% - Акцент6 3 22 3" xfId="1852"/>
    <cellStyle name="20% - Акцент6 3 22 3 2" xfId="32359"/>
    <cellStyle name="20% - Акцент6 3 22 4" xfId="32360"/>
    <cellStyle name="20% - Акцент6 3 23" xfId="1853"/>
    <cellStyle name="20% - Акцент6 3 23 2" xfId="1854"/>
    <cellStyle name="20% - Акцент6 3 23 2 2" xfId="1855"/>
    <cellStyle name="20% - Акцент6 3 23 2 2 2" xfId="32361"/>
    <cellStyle name="20% - Акцент6 3 23 2 3" xfId="32362"/>
    <cellStyle name="20% - Акцент6 3 23 3" xfId="1856"/>
    <cellStyle name="20% - Акцент6 3 23 3 2" xfId="32363"/>
    <cellStyle name="20% - Акцент6 3 23 4" xfId="32364"/>
    <cellStyle name="20% - Акцент6 3 24" xfId="1857"/>
    <cellStyle name="20% - Акцент6 3 24 2" xfId="1858"/>
    <cellStyle name="20% - Акцент6 3 24 2 2" xfId="1859"/>
    <cellStyle name="20% - Акцент6 3 24 2 2 2" xfId="32365"/>
    <cellStyle name="20% - Акцент6 3 24 2 3" xfId="32366"/>
    <cellStyle name="20% - Акцент6 3 24 3" xfId="1860"/>
    <cellStyle name="20% - Акцент6 3 24 3 2" xfId="32367"/>
    <cellStyle name="20% - Акцент6 3 24 4" xfId="32368"/>
    <cellStyle name="20% - Акцент6 3 25" xfId="32369"/>
    <cellStyle name="20% - Акцент6 3 3" xfId="1861"/>
    <cellStyle name="20% - Акцент6 3 3 2" xfId="1862"/>
    <cellStyle name="20% - Акцент6 3 3 2 2" xfId="1863"/>
    <cellStyle name="20% - Акцент6 3 3 2 2 2" xfId="32370"/>
    <cellStyle name="20% - Акцент6 3 3 2 3" xfId="32371"/>
    <cellStyle name="20% - Акцент6 3 3 3" xfId="1864"/>
    <cellStyle name="20% - Акцент6 3 3 3 2" xfId="32372"/>
    <cellStyle name="20% - Акцент6 3 3 4" xfId="32373"/>
    <cellStyle name="20% - Акцент6 3 4" xfId="1865"/>
    <cellStyle name="20% - Акцент6 3 4 2" xfId="1866"/>
    <cellStyle name="20% - Акцент6 3 4 2 2" xfId="1867"/>
    <cellStyle name="20% - Акцент6 3 4 2 2 2" xfId="32374"/>
    <cellStyle name="20% - Акцент6 3 4 2 3" xfId="32375"/>
    <cellStyle name="20% - Акцент6 3 4 3" xfId="1868"/>
    <cellStyle name="20% - Акцент6 3 4 3 2" xfId="32376"/>
    <cellStyle name="20% - Акцент6 3 4 4" xfId="32377"/>
    <cellStyle name="20% - Акцент6 3 5" xfId="1869"/>
    <cellStyle name="20% - Акцент6 3 5 2" xfId="1870"/>
    <cellStyle name="20% - Акцент6 3 5 2 2" xfId="1871"/>
    <cellStyle name="20% - Акцент6 3 5 2 2 2" xfId="32378"/>
    <cellStyle name="20% - Акцент6 3 5 2 3" xfId="32379"/>
    <cellStyle name="20% - Акцент6 3 5 3" xfId="1872"/>
    <cellStyle name="20% - Акцент6 3 5 3 2" xfId="32380"/>
    <cellStyle name="20% - Акцент6 3 5 4" xfId="32381"/>
    <cellStyle name="20% - Акцент6 3 6" xfId="1873"/>
    <cellStyle name="20% - Акцент6 3 6 2" xfId="1874"/>
    <cellStyle name="20% - Акцент6 3 6 2 2" xfId="1875"/>
    <cellStyle name="20% - Акцент6 3 6 2 2 2" xfId="32382"/>
    <cellStyle name="20% - Акцент6 3 6 2 3" xfId="32383"/>
    <cellStyle name="20% - Акцент6 3 6 3" xfId="1876"/>
    <cellStyle name="20% - Акцент6 3 6 3 2" xfId="32384"/>
    <cellStyle name="20% - Акцент6 3 6 4" xfId="32385"/>
    <cellStyle name="20% - Акцент6 3 7" xfId="1877"/>
    <cellStyle name="20% - Акцент6 3 7 2" xfId="1878"/>
    <cellStyle name="20% - Акцент6 3 7 2 2" xfId="1879"/>
    <cellStyle name="20% - Акцент6 3 7 2 2 2" xfId="32386"/>
    <cellStyle name="20% - Акцент6 3 7 2 3" xfId="32387"/>
    <cellStyle name="20% - Акцент6 3 7 3" xfId="1880"/>
    <cellStyle name="20% - Акцент6 3 7 3 2" xfId="32388"/>
    <cellStyle name="20% - Акцент6 3 7 4" xfId="32389"/>
    <cellStyle name="20% - Акцент6 3 8" xfId="1881"/>
    <cellStyle name="20% - Акцент6 3 8 2" xfId="1882"/>
    <cellStyle name="20% - Акцент6 3 8 2 2" xfId="1883"/>
    <cellStyle name="20% - Акцент6 3 8 2 2 2" xfId="32390"/>
    <cellStyle name="20% - Акцент6 3 8 2 3" xfId="32391"/>
    <cellStyle name="20% - Акцент6 3 8 3" xfId="1884"/>
    <cellStyle name="20% - Акцент6 3 8 3 2" xfId="32392"/>
    <cellStyle name="20% - Акцент6 3 8 4" xfId="32393"/>
    <cellStyle name="20% - Акцент6 3 9" xfId="1885"/>
    <cellStyle name="20% - Акцент6 3 9 2" xfId="1886"/>
    <cellStyle name="20% - Акцент6 3 9 2 2" xfId="1887"/>
    <cellStyle name="20% - Акцент6 3 9 2 2 2" xfId="32394"/>
    <cellStyle name="20% - Акцент6 3 9 2 3" xfId="32395"/>
    <cellStyle name="20% - Акцент6 3 9 3" xfId="1888"/>
    <cellStyle name="20% - Акцент6 3 9 3 2" xfId="32396"/>
    <cellStyle name="20% - Акцент6 3 9 4" xfId="32397"/>
    <cellStyle name="20% - Акцент6 4" xfId="1889"/>
    <cellStyle name="20% - Акцент6 4 2" xfId="1890"/>
    <cellStyle name="20% - Акцент6 4 2 2" xfId="32398"/>
    <cellStyle name="20% - Акцент6 4 3" xfId="32399"/>
    <cellStyle name="20% - Акцент6 5" xfId="1891"/>
    <cellStyle name="20% - Акцент6 5 2" xfId="1892"/>
    <cellStyle name="20% - Акцент6 5 2 2" xfId="32400"/>
    <cellStyle name="20% - Акцент6 5 3" xfId="32401"/>
    <cellStyle name="20% - Акцент6 6" xfId="1893"/>
    <cellStyle name="20% - Акцент6 6 2" xfId="32402"/>
    <cellStyle name="20% - Акцент6 7" xfId="1894"/>
    <cellStyle name="20% - Акцент6 7 2" xfId="1895"/>
    <cellStyle name="20% - Акцент6 7 2 2" xfId="1896"/>
    <cellStyle name="20% - Акцент6 7 2 2 2" xfId="32403"/>
    <cellStyle name="20% - Акцент6 7 2 3" xfId="32404"/>
    <cellStyle name="20% - Акцент6 7 3" xfId="1897"/>
    <cellStyle name="20% - Акцент6 7 3 2" xfId="32405"/>
    <cellStyle name="20% - Акцент6 7 4" xfId="32406"/>
    <cellStyle name="20% - Акцент6 8" xfId="1898"/>
    <cellStyle name="20% - Акцент6 8 2" xfId="1899"/>
    <cellStyle name="20% - Акцент6 8 2 2" xfId="1900"/>
    <cellStyle name="20% - Акцент6 8 2 2 2" xfId="32407"/>
    <cellStyle name="20% - Акцент6 8 2 3" xfId="32408"/>
    <cellStyle name="20% - Акцент6 8 3" xfId="1901"/>
    <cellStyle name="20% - Акцент6 8 3 2" xfId="32409"/>
    <cellStyle name="20% - Акцент6 8 4" xfId="32410"/>
    <cellStyle name="20% - Акцент6 9" xfId="1902"/>
    <cellStyle name="20% - Акцент6 9 2" xfId="1903"/>
    <cellStyle name="20% - Акцент6 9 2 2" xfId="1904"/>
    <cellStyle name="20% - Акцент6 9 2 2 2" xfId="32411"/>
    <cellStyle name="20% - Акцент6 9 2 3" xfId="32412"/>
    <cellStyle name="20% - Акцент6 9 3" xfId="1905"/>
    <cellStyle name="20% - Акцент6 9 3 2" xfId="32413"/>
    <cellStyle name="20% - Акцент6 9 4" xfId="32414"/>
    <cellStyle name="40% - Accent1 10" xfId="1906"/>
    <cellStyle name="40% - Accent1 10 2" xfId="32415"/>
    <cellStyle name="40% - Accent1 11" xfId="1907"/>
    <cellStyle name="40% - Accent1 11 2" xfId="32416"/>
    <cellStyle name="40% - Accent1 12" xfId="1908"/>
    <cellStyle name="40% - Accent1 12 2" xfId="32417"/>
    <cellStyle name="40% - Accent1 13" xfId="1909"/>
    <cellStyle name="40% - Accent1 13 2" xfId="32418"/>
    <cellStyle name="40% - Accent1 2" xfId="1910"/>
    <cellStyle name="40% - Accent1 2 2" xfId="32419"/>
    <cellStyle name="40% - Accent1 3" xfId="1911"/>
    <cellStyle name="40% - Accent1 3 2" xfId="32420"/>
    <cellStyle name="40% - Accent1 4" xfId="1912"/>
    <cellStyle name="40% - Accent1 4 2" xfId="32421"/>
    <cellStyle name="40% - Accent1 5" xfId="1913"/>
    <cellStyle name="40% - Accent1 5 2" xfId="32422"/>
    <cellStyle name="40% - Accent1 6" xfId="1914"/>
    <cellStyle name="40% - Accent1 6 2" xfId="32423"/>
    <cellStyle name="40% - Accent1 7" xfId="1915"/>
    <cellStyle name="40% - Accent1 7 2" xfId="32424"/>
    <cellStyle name="40% - Accent1 8" xfId="1916"/>
    <cellStyle name="40% - Accent1 8 2" xfId="32425"/>
    <cellStyle name="40% - Accent1 9" xfId="1917"/>
    <cellStyle name="40% - Accent1 9 2" xfId="32426"/>
    <cellStyle name="40% - Accent2 10" xfId="1918"/>
    <cellStyle name="40% - Accent2 10 2" xfId="32427"/>
    <cellStyle name="40% - Accent2 11" xfId="1919"/>
    <cellStyle name="40% - Accent2 11 2" xfId="32428"/>
    <cellStyle name="40% - Accent2 12" xfId="1920"/>
    <cellStyle name="40% - Accent2 12 2" xfId="32429"/>
    <cellStyle name="40% - Accent2 13" xfId="1921"/>
    <cellStyle name="40% - Accent2 13 2" xfId="32430"/>
    <cellStyle name="40% - Accent2 2" xfId="1922"/>
    <cellStyle name="40% - Accent2 2 2" xfId="32431"/>
    <cellStyle name="40% - Accent2 3" xfId="1923"/>
    <cellStyle name="40% - Accent2 3 2" xfId="32432"/>
    <cellStyle name="40% - Accent2 4" xfId="1924"/>
    <cellStyle name="40% - Accent2 4 2" xfId="32433"/>
    <cellStyle name="40% - Accent2 5" xfId="1925"/>
    <cellStyle name="40% - Accent2 5 2" xfId="32434"/>
    <cellStyle name="40% - Accent2 6" xfId="1926"/>
    <cellStyle name="40% - Accent2 6 2" xfId="32435"/>
    <cellStyle name="40% - Accent2 7" xfId="1927"/>
    <cellStyle name="40% - Accent2 7 2" xfId="32436"/>
    <cellStyle name="40% - Accent2 8" xfId="1928"/>
    <cellStyle name="40% - Accent2 8 2" xfId="32437"/>
    <cellStyle name="40% - Accent2 9" xfId="1929"/>
    <cellStyle name="40% - Accent2 9 2" xfId="32438"/>
    <cellStyle name="40% - Accent3 10" xfId="1930"/>
    <cellStyle name="40% - Accent3 10 2" xfId="32439"/>
    <cellStyle name="40% - Accent3 11" xfId="1931"/>
    <cellStyle name="40% - Accent3 11 2" xfId="32440"/>
    <cellStyle name="40% - Accent3 12" xfId="1932"/>
    <cellStyle name="40% - Accent3 12 2" xfId="32441"/>
    <cellStyle name="40% - Accent3 13" xfId="1933"/>
    <cellStyle name="40% - Accent3 13 2" xfId="32442"/>
    <cellStyle name="40% - Accent3 2" xfId="1934"/>
    <cellStyle name="40% - Accent3 2 2" xfId="32443"/>
    <cellStyle name="40% - Accent3 3" xfId="1935"/>
    <cellStyle name="40% - Accent3 3 2" xfId="32444"/>
    <cellStyle name="40% - Accent3 4" xfId="1936"/>
    <cellStyle name="40% - Accent3 4 2" xfId="32445"/>
    <cellStyle name="40% - Accent3 5" xfId="1937"/>
    <cellStyle name="40% - Accent3 5 2" xfId="32446"/>
    <cellStyle name="40% - Accent3 6" xfId="1938"/>
    <cellStyle name="40% - Accent3 6 2" xfId="32447"/>
    <cellStyle name="40% - Accent3 7" xfId="1939"/>
    <cellStyle name="40% - Accent3 7 2" xfId="32448"/>
    <cellStyle name="40% - Accent3 8" xfId="1940"/>
    <cellStyle name="40% - Accent3 8 2" xfId="32449"/>
    <cellStyle name="40% - Accent3 9" xfId="1941"/>
    <cellStyle name="40% - Accent3 9 2" xfId="32450"/>
    <cellStyle name="40% - Accent4 10" xfId="1942"/>
    <cellStyle name="40% - Accent4 10 2" xfId="32451"/>
    <cellStyle name="40% - Accent4 11" xfId="1943"/>
    <cellStyle name="40% - Accent4 11 2" xfId="32452"/>
    <cellStyle name="40% - Accent4 12" xfId="1944"/>
    <cellStyle name="40% - Accent4 12 2" xfId="32453"/>
    <cellStyle name="40% - Accent4 13" xfId="1945"/>
    <cellStyle name="40% - Accent4 13 2" xfId="32454"/>
    <cellStyle name="40% - Accent4 2" xfId="1946"/>
    <cellStyle name="40% - Accent4 2 2" xfId="32455"/>
    <cellStyle name="40% - Accent4 3" xfId="1947"/>
    <cellStyle name="40% - Accent4 3 2" xfId="32456"/>
    <cellStyle name="40% - Accent4 4" xfId="1948"/>
    <cellStyle name="40% - Accent4 4 2" xfId="32457"/>
    <cellStyle name="40% - Accent4 5" xfId="1949"/>
    <cellStyle name="40% - Accent4 5 2" xfId="32458"/>
    <cellStyle name="40% - Accent4 6" xfId="1950"/>
    <cellStyle name="40% - Accent4 6 2" xfId="32459"/>
    <cellStyle name="40% - Accent4 7" xfId="1951"/>
    <cellStyle name="40% - Accent4 7 2" xfId="32460"/>
    <cellStyle name="40% - Accent4 8" xfId="1952"/>
    <cellStyle name="40% - Accent4 8 2" xfId="32461"/>
    <cellStyle name="40% - Accent4 9" xfId="1953"/>
    <cellStyle name="40% - Accent4 9 2" xfId="32462"/>
    <cellStyle name="40% - Accent5 10" xfId="1954"/>
    <cellStyle name="40% - Accent5 10 2" xfId="32463"/>
    <cellStyle name="40% - Accent5 11" xfId="1955"/>
    <cellStyle name="40% - Accent5 11 2" xfId="32464"/>
    <cellStyle name="40% - Accent5 12" xfId="1956"/>
    <cellStyle name="40% - Accent5 12 2" xfId="32465"/>
    <cellStyle name="40% - Accent5 13" xfId="1957"/>
    <cellStyle name="40% - Accent5 13 2" xfId="32466"/>
    <cellStyle name="40% - Accent5 2" xfId="1958"/>
    <cellStyle name="40% - Accent5 2 2" xfId="32467"/>
    <cellStyle name="40% - Accent5 3" xfId="1959"/>
    <cellStyle name="40% - Accent5 3 2" xfId="32468"/>
    <cellStyle name="40% - Accent5 4" xfId="1960"/>
    <cellStyle name="40% - Accent5 4 2" xfId="32469"/>
    <cellStyle name="40% - Accent5 5" xfId="1961"/>
    <cellStyle name="40% - Accent5 5 2" xfId="32470"/>
    <cellStyle name="40% - Accent5 6" xfId="1962"/>
    <cellStyle name="40% - Accent5 6 2" xfId="32471"/>
    <cellStyle name="40% - Accent5 7" xfId="1963"/>
    <cellStyle name="40% - Accent5 7 2" xfId="32472"/>
    <cellStyle name="40% - Accent5 8" xfId="1964"/>
    <cellStyle name="40% - Accent5 8 2" xfId="32473"/>
    <cellStyle name="40% - Accent5 9" xfId="1965"/>
    <cellStyle name="40% - Accent5 9 2" xfId="32474"/>
    <cellStyle name="40% - Accent6 10" xfId="1966"/>
    <cellStyle name="40% - Accent6 10 2" xfId="32475"/>
    <cellStyle name="40% - Accent6 11" xfId="1967"/>
    <cellStyle name="40% - Accent6 11 2" xfId="32476"/>
    <cellStyle name="40% - Accent6 12" xfId="1968"/>
    <cellStyle name="40% - Accent6 12 2" xfId="32477"/>
    <cellStyle name="40% - Accent6 13" xfId="1969"/>
    <cellStyle name="40% - Accent6 13 2" xfId="32478"/>
    <cellStyle name="40% - Accent6 2" xfId="1970"/>
    <cellStyle name="40% - Accent6 2 2" xfId="32479"/>
    <cellStyle name="40% - Accent6 3" xfId="1971"/>
    <cellStyle name="40% - Accent6 3 2" xfId="32480"/>
    <cellStyle name="40% - Accent6 4" xfId="1972"/>
    <cellStyle name="40% - Accent6 4 2" xfId="32481"/>
    <cellStyle name="40% - Accent6 5" xfId="1973"/>
    <cellStyle name="40% - Accent6 5 2" xfId="32482"/>
    <cellStyle name="40% - Accent6 6" xfId="1974"/>
    <cellStyle name="40% - Accent6 6 2" xfId="32483"/>
    <cellStyle name="40% - Accent6 7" xfId="1975"/>
    <cellStyle name="40% - Accent6 7 2" xfId="32484"/>
    <cellStyle name="40% - Accent6 8" xfId="1976"/>
    <cellStyle name="40% - Accent6 8 2" xfId="32485"/>
    <cellStyle name="40% - Accent6 9" xfId="1977"/>
    <cellStyle name="40% - Accent6 9 2" xfId="32486"/>
    <cellStyle name="40% - Акцент1 10" xfId="1978"/>
    <cellStyle name="40% - Акцент1 10 2" xfId="1979"/>
    <cellStyle name="40% - Акцент1 10 2 2" xfId="1980"/>
    <cellStyle name="40% - Акцент1 10 2 2 2" xfId="32487"/>
    <cellStyle name="40% - Акцент1 10 2 3" xfId="32488"/>
    <cellStyle name="40% - Акцент1 10 3" xfId="1981"/>
    <cellStyle name="40% - Акцент1 10 3 2" xfId="32489"/>
    <cellStyle name="40% - Акцент1 10 4" xfId="32490"/>
    <cellStyle name="40% - Акцент1 11" xfId="1982"/>
    <cellStyle name="40% - Акцент1 11 2" xfId="1983"/>
    <cellStyle name="40% - Акцент1 11 2 2" xfId="1984"/>
    <cellStyle name="40% - Акцент1 11 2 2 2" xfId="32491"/>
    <cellStyle name="40% - Акцент1 11 2 3" xfId="32492"/>
    <cellStyle name="40% - Акцент1 11 3" xfId="1985"/>
    <cellStyle name="40% - Акцент1 11 3 2" xfId="32493"/>
    <cellStyle name="40% - Акцент1 11 4" xfId="32494"/>
    <cellStyle name="40% - Акцент1 12" xfId="1986"/>
    <cellStyle name="40% - Акцент1 12 2" xfId="1987"/>
    <cellStyle name="40% - Акцент1 12 2 2" xfId="1988"/>
    <cellStyle name="40% - Акцент1 12 2 2 2" xfId="32495"/>
    <cellStyle name="40% - Акцент1 12 2 3" xfId="32496"/>
    <cellStyle name="40% - Акцент1 12 3" xfId="1989"/>
    <cellStyle name="40% - Акцент1 12 3 2" xfId="32497"/>
    <cellStyle name="40% - Акцент1 12 4" xfId="32498"/>
    <cellStyle name="40% - Акцент1 13" xfId="1990"/>
    <cellStyle name="40% - Акцент1 13 2" xfId="1991"/>
    <cellStyle name="40% - Акцент1 13 2 2" xfId="1992"/>
    <cellStyle name="40% - Акцент1 13 2 2 2" xfId="32499"/>
    <cellStyle name="40% - Акцент1 13 2 3" xfId="32500"/>
    <cellStyle name="40% - Акцент1 13 3" xfId="1993"/>
    <cellStyle name="40% - Акцент1 13 3 2" xfId="32501"/>
    <cellStyle name="40% - Акцент1 13 4" xfId="32502"/>
    <cellStyle name="40% - Акцент1 14" xfId="1994"/>
    <cellStyle name="40% - Акцент1 14 2" xfId="1995"/>
    <cellStyle name="40% - Акцент1 14 2 2" xfId="1996"/>
    <cellStyle name="40% - Акцент1 14 2 2 2" xfId="32503"/>
    <cellStyle name="40% - Акцент1 14 2 3" xfId="32504"/>
    <cellStyle name="40% - Акцент1 14 3" xfId="1997"/>
    <cellStyle name="40% - Акцент1 14 3 2" xfId="32505"/>
    <cellStyle name="40% - Акцент1 14 4" xfId="32506"/>
    <cellStyle name="40% - Акцент1 15" xfId="1998"/>
    <cellStyle name="40% - Акцент1 15 2" xfId="1999"/>
    <cellStyle name="40% - Акцент1 15 2 2" xfId="2000"/>
    <cellStyle name="40% - Акцент1 15 2 2 2" xfId="32507"/>
    <cellStyle name="40% - Акцент1 15 2 3" xfId="32508"/>
    <cellStyle name="40% - Акцент1 15 3" xfId="2001"/>
    <cellStyle name="40% - Акцент1 15 3 2" xfId="32509"/>
    <cellStyle name="40% - Акцент1 15 4" xfId="32510"/>
    <cellStyle name="40% - Акцент1 16" xfId="2002"/>
    <cellStyle name="40% - Акцент1 16 2" xfId="2003"/>
    <cellStyle name="40% - Акцент1 16 2 2" xfId="2004"/>
    <cellStyle name="40% - Акцент1 16 2 2 2" xfId="32511"/>
    <cellStyle name="40% - Акцент1 16 2 3" xfId="32512"/>
    <cellStyle name="40% - Акцент1 16 3" xfId="2005"/>
    <cellStyle name="40% - Акцент1 16 3 2" xfId="32513"/>
    <cellStyle name="40% - Акцент1 16 4" xfId="32514"/>
    <cellStyle name="40% - Акцент1 17" xfId="2006"/>
    <cellStyle name="40% - Акцент1 17 2" xfId="2007"/>
    <cellStyle name="40% - Акцент1 17 2 2" xfId="2008"/>
    <cellStyle name="40% - Акцент1 17 2 2 2" xfId="32515"/>
    <cellStyle name="40% - Акцент1 17 2 3" xfId="32516"/>
    <cellStyle name="40% - Акцент1 17 3" xfId="2009"/>
    <cellStyle name="40% - Акцент1 17 3 2" xfId="32517"/>
    <cellStyle name="40% - Акцент1 17 4" xfId="32518"/>
    <cellStyle name="40% - Акцент1 18" xfId="2010"/>
    <cellStyle name="40% - Акцент1 18 2" xfId="2011"/>
    <cellStyle name="40% - Акцент1 18 2 2" xfId="32519"/>
    <cellStyle name="40% - Акцент1 18 3" xfId="32520"/>
    <cellStyle name="40% - Акцент1 19" xfId="2012"/>
    <cellStyle name="40% - Акцент1 19 2" xfId="32521"/>
    <cellStyle name="40% - Акцент1 2" xfId="2013"/>
    <cellStyle name="40% - Акцент1 2 10" xfId="2014"/>
    <cellStyle name="40% - Акцент1 2 10 2" xfId="2015"/>
    <cellStyle name="40% - Акцент1 2 10 2 2" xfId="2016"/>
    <cellStyle name="40% - Акцент1 2 10 2 2 2" xfId="32522"/>
    <cellStyle name="40% - Акцент1 2 10 2 3" xfId="32523"/>
    <cellStyle name="40% - Акцент1 2 10 3" xfId="2017"/>
    <cellStyle name="40% - Акцент1 2 10 3 2" xfId="32524"/>
    <cellStyle name="40% - Акцент1 2 10 4" xfId="32525"/>
    <cellStyle name="40% - Акцент1 2 11" xfId="2018"/>
    <cellStyle name="40% - Акцент1 2 11 2" xfId="2019"/>
    <cellStyle name="40% - Акцент1 2 11 2 2" xfId="2020"/>
    <cellStyle name="40% - Акцент1 2 11 2 2 2" xfId="32526"/>
    <cellStyle name="40% - Акцент1 2 11 2 3" xfId="32527"/>
    <cellStyle name="40% - Акцент1 2 11 3" xfId="2021"/>
    <cellStyle name="40% - Акцент1 2 11 3 2" xfId="32528"/>
    <cellStyle name="40% - Акцент1 2 11 4" xfId="32529"/>
    <cellStyle name="40% - Акцент1 2 12" xfId="2022"/>
    <cellStyle name="40% - Акцент1 2 12 2" xfId="2023"/>
    <cellStyle name="40% - Акцент1 2 12 2 2" xfId="2024"/>
    <cellStyle name="40% - Акцент1 2 12 2 2 2" xfId="32530"/>
    <cellStyle name="40% - Акцент1 2 12 2 3" xfId="32531"/>
    <cellStyle name="40% - Акцент1 2 12 3" xfId="2025"/>
    <cellStyle name="40% - Акцент1 2 12 3 2" xfId="32532"/>
    <cellStyle name="40% - Акцент1 2 12 4" xfId="32533"/>
    <cellStyle name="40% - Акцент1 2 13" xfId="2026"/>
    <cellStyle name="40% - Акцент1 2 13 2" xfId="2027"/>
    <cellStyle name="40% - Акцент1 2 13 2 2" xfId="2028"/>
    <cellStyle name="40% - Акцент1 2 13 2 2 2" xfId="32534"/>
    <cellStyle name="40% - Акцент1 2 13 2 3" xfId="32535"/>
    <cellStyle name="40% - Акцент1 2 13 3" xfId="2029"/>
    <cellStyle name="40% - Акцент1 2 13 3 2" xfId="32536"/>
    <cellStyle name="40% - Акцент1 2 13 4" xfId="32537"/>
    <cellStyle name="40% - Акцент1 2 14" xfId="2030"/>
    <cellStyle name="40% - Акцент1 2 14 2" xfId="2031"/>
    <cellStyle name="40% - Акцент1 2 14 2 2" xfId="2032"/>
    <cellStyle name="40% - Акцент1 2 14 2 2 2" xfId="32538"/>
    <cellStyle name="40% - Акцент1 2 14 2 3" xfId="32539"/>
    <cellStyle name="40% - Акцент1 2 14 3" xfId="2033"/>
    <cellStyle name="40% - Акцент1 2 14 3 2" xfId="32540"/>
    <cellStyle name="40% - Акцент1 2 14 4" xfId="32541"/>
    <cellStyle name="40% - Акцент1 2 15" xfId="2034"/>
    <cellStyle name="40% - Акцент1 2 15 2" xfId="2035"/>
    <cellStyle name="40% - Акцент1 2 15 2 2" xfId="2036"/>
    <cellStyle name="40% - Акцент1 2 15 2 2 2" xfId="32542"/>
    <cellStyle name="40% - Акцент1 2 15 2 3" xfId="32543"/>
    <cellStyle name="40% - Акцент1 2 15 3" xfId="2037"/>
    <cellStyle name="40% - Акцент1 2 15 3 2" xfId="32544"/>
    <cellStyle name="40% - Акцент1 2 15 4" xfId="32545"/>
    <cellStyle name="40% - Акцент1 2 16" xfId="2038"/>
    <cellStyle name="40% - Акцент1 2 16 2" xfId="2039"/>
    <cellStyle name="40% - Акцент1 2 16 2 2" xfId="2040"/>
    <cellStyle name="40% - Акцент1 2 16 2 2 2" xfId="32546"/>
    <cellStyle name="40% - Акцент1 2 16 2 3" xfId="32547"/>
    <cellStyle name="40% - Акцент1 2 16 3" xfId="2041"/>
    <cellStyle name="40% - Акцент1 2 16 3 2" xfId="32548"/>
    <cellStyle name="40% - Акцент1 2 16 4" xfId="32549"/>
    <cellStyle name="40% - Акцент1 2 17" xfId="2042"/>
    <cellStyle name="40% - Акцент1 2 17 2" xfId="2043"/>
    <cellStyle name="40% - Акцент1 2 17 2 2" xfId="2044"/>
    <cellStyle name="40% - Акцент1 2 17 2 2 2" xfId="32550"/>
    <cellStyle name="40% - Акцент1 2 17 2 3" xfId="32551"/>
    <cellStyle name="40% - Акцент1 2 17 3" xfId="2045"/>
    <cellStyle name="40% - Акцент1 2 17 3 2" xfId="32552"/>
    <cellStyle name="40% - Акцент1 2 17 4" xfId="32553"/>
    <cellStyle name="40% - Акцент1 2 18" xfId="2046"/>
    <cellStyle name="40% - Акцент1 2 18 2" xfId="2047"/>
    <cellStyle name="40% - Акцент1 2 18 2 2" xfId="2048"/>
    <cellStyle name="40% - Акцент1 2 18 2 2 2" xfId="32554"/>
    <cellStyle name="40% - Акцент1 2 18 2 3" xfId="32555"/>
    <cellStyle name="40% - Акцент1 2 18 3" xfId="2049"/>
    <cellStyle name="40% - Акцент1 2 18 3 2" xfId="32556"/>
    <cellStyle name="40% - Акцент1 2 18 4" xfId="32557"/>
    <cellStyle name="40% - Акцент1 2 19" xfId="2050"/>
    <cellStyle name="40% - Акцент1 2 19 2" xfId="2051"/>
    <cellStyle name="40% - Акцент1 2 19 2 2" xfId="2052"/>
    <cellStyle name="40% - Акцент1 2 19 2 2 2" xfId="32558"/>
    <cellStyle name="40% - Акцент1 2 19 2 3" xfId="32559"/>
    <cellStyle name="40% - Акцент1 2 19 3" xfId="2053"/>
    <cellStyle name="40% - Акцент1 2 19 3 2" xfId="32560"/>
    <cellStyle name="40% - Акцент1 2 19 4" xfId="32561"/>
    <cellStyle name="40% - Акцент1 2 2" xfId="2054"/>
    <cellStyle name="40% - Акцент1 2 2 2" xfId="32562"/>
    <cellStyle name="40% - Акцент1 2 20" xfId="2055"/>
    <cellStyle name="40% - Акцент1 2 20 2" xfId="2056"/>
    <cellStyle name="40% - Акцент1 2 20 2 2" xfId="2057"/>
    <cellStyle name="40% - Акцент1 2 20 2 2 2" xfId="32563"/>
    <cellStyle name="40% - Акцент1 2 20 2 3" xfId="32564"/>
    <cellStyle name="40% - Акцент1 2 20 3" xfId="2058"/>
    <cellStyle name="40% - Акцент1 2 20 3 2" xfId="32565"/>
    <cellStyle name="40% - Акцент1 2 20 4" xfId="32566"/>
    <cellStyle name="40% - Акцент1 2 21" xfId="2059"/>
    <cellStyle name="40% - Акцент1 2 21 2" xfId="2060"/>
    <cellStyle name="40% - Акцент1 2 21 2 2" xfId="2061"/>
    <cellStyle name="40% - Акцент1 2 21 2 2 2" xfId="32567"/>
    <cellStyle name="40% - Акцент1 2 21 2 3" xfId="32568"/>
    <cellStyle name="40% - Акцент1 2 21 3" xfId="2062"/>
    <cellStyle name="40% - Акцент1 2 21 3 2" xfId="32569"/>
    <cellStyle name="40% - Акцент1 2 21 4" xfId="32570"/>
    <cellStyle name="40% - Акцент1 2 22" xfId="2063"/>
    <cellStyle name="40% - Акцент1 2 22 2" xfId="2064"/>
    <cellStyle name="40% - Акцент1 2 22 2 2" xfId="2065"/>
    <cellStyle name="40% - Акцент1 2 22 2 2 2" xfId="32571"/>
    <cellStyle name="40% - Акцент1 2 22 2 3" xfId="32572"/>
    <cellStyle name="40% - Акцент1 2 22 3" xfId="2066"/>
    <cellStyle name="40% - Акцент1 2 22 3 2" xfId="32573"/>
    <cellStyle name="40% - Акцент1 2 22 4" xfId="32574"/>
    <cellStyle name="40% - Акцент1 2 23" xfId="2067"/>
    <cellStyle name="40% - Акцент1 2 23 2" xfId="2068"/>
    <cellStyle name="40% - Акцент1 2 23 2 2" xfId="2069"/>
    <cellStyle name="40% - Акцент1 2 23 2 2 2" xfId="32575"/>
    <cellStyle name="40% - Акцент1 2 23 2 3" xfId="32576"/>
    <cellStyle name="40% - Акцент1 2 23 3" xfId="2070"/>
    <cellStyle name="40% - Акцент1 2 23 3 2" xfId="32577"/>
    <cellStyle name="40% - Акцент1 2 23 4" xfId="32578"/>
    <cellStyle name="40% - Акцент1 2 24" xfId="2071"/>
    <cellStyle name="40% - Акцент1 2 24 2" xfId="2072"/>
    <cellStyle name="40% - Акцент1 2 24 2 2" xfId="2073"/>
    <cellStyle name="40% - Акцент1 2 24 2 2 2" xfId="32579"/>
    <cellStyle name="40% - Акцент1 2 24 2 3" xfId="32580"/>
    <cellStyle name="40% - Акцент1 2 24 3" xfId="2074"/>
    <cellStyle name="40% - Акцент1 2 24 3 2" xfId="32581"/>
    <cellStyle name="40% - Акцент1 2 24 4" xfId="32582"/>
    <cellStyle name="40% - Акцент1 2 25" xfId="32583"/>
    <cellStyle name="40% - Акцент1 2 3" xfId="2075"/>
    <cellStyle name="40% - Акцент1 2 3 2" xfId="2076"/>
    <cellStyle name="40% - Акцент1 2 3 2 2" xfId="2077"/>
    <cellStyle name="40% - Акцент1 2 3 2 2 2" xfId="32584"/>
    <cellStyle name="40% - Акцент1 2 3 2 3" xfId="32585"/>
    <cellStyle name="40% - Акцент1 2 3 3" xfId="2078"/>
    <cellStyle name="40% - Акцент1 2 3 3 2" xfId="32586"/>
    <cellStyle name="40% - Акцент1 2 3 4" xfId="32587"/>
    <cellStyle name="40% - Акцент1 2 4" xfId="2079"/>
    <cellStyle name="40% - Акцент1 2 4 2" xfId="2080"/>
    <cellStyle name="40% - Акцент1 2 4 2 2" xfId="2081"/>
    <cellStyle name="40% - Акцент1 2 4 2 2 2" xfId="32588"/>
    <cellStyle name="40% - Акцент1 2 4 2 3" xfId="32589"/>
    <cellStyle name="40% - Акцент1 2 4 3" xfId="2082"/>
    <cellStyle name="40% - Акцент1 2 4 3 2" xfId="32590"/>
    <cellStyle name="40% - Акцент1 2 4 4" xfId="32591"/>
    <cellStyle name="40% - Акцент1 2 5" xfId="2083"/>
    <cellStyle name="40% - Акцент1 2 5 2" xfId="2084"/>
    <cellStyle name="40% - Акцент1 2 5 2 2" xfId="2085"/>
    <cellStyle name="40% - Акцент1 2 5 2 2 2" xfId="32592"/>
    <cellStyle name="40% - Акцент1 2 5 2 3" xfId="32593"/>
    <cellStyle name="40% - Акцент1 2 5 3" xfId="2086"/>
    <cellStyle name="40% - Акцент1 2 5 3 2" xfId="32594"/>
    <cellStyle name="40% - Акцент1 2 5 4" xfId="32595"/>
    <cellStyle name="40% - Акцент1 2 6" xfId="2087"/>
    <cellStyle name="40% - Акцент1 2 6 2" xfId="2088"/>
    <cellStyle name="40% - Акцент1 2 6 2 2" xfId="2089"/>
    <cellStyle name="40% - Акцент1 2 6 2 2 2" xfId="32596"/>
    <cellStyle name="40% - Акцент1 2 6 2 3" xfId="32597"/>
    <cellStyle name="40% - Акцент1 2 6 3" xfId="2090"/>
    <cellStyle name="40% - Акцент1 2 6 3 2" xfId="32598"/>
    <cellStyle name="40% - Акцент1 2 6 4" xfId="32599"/>
    <cellStyle name="40% - Акцент1 2 7" xfId="2091"/>
    <cellStyle name="40% - Акцент1 2 7 2" xfId="2092"/>
    <cellStyle name="40% - Акцент1 2 7 2 2" xfId="2093"/>
    <cellStyle name="40% - Акцент1 2 7 2 2 2" xfId="32600"/>
    <cellStyle name="40% - Акцент1 2 7 2 3" xfId="32601"/>
    <cellStyle name="40% - Акцент1 2 7 3" xfId="2094"/>
    <cellStyle name="40% - Акцент1 2 7 3 2" xfId="32602"/>
    <cellStyle name="40% - Акцент1 2 7 4" xfId="32603"/>
    <cellStyle name="40% - Акцент1 2 8" xfId="2095"/>
    <cellStyle name="40% - Акцент1 2 8 2" xfId="2096"/>
    <cellStyle name="40% - Акцент1 2 8 2 2" xfId="2097"/>
    <cellStyle name="40% - Акцент1 2 8 2 2 2" xfId="32604"/>
    <cellStyle name="40% - Акцент1 2 8 2 3" xfId="32605"/>
    <cellStyle name="40% - Акцент1 2 8 3" xfId="2098"/>
    <cellStyle name="40% - Акцент1 2 8 3 2" xfId="32606"/>
    <cellStyle name="40% - Акцент1 2 8 4" xfId="32607"/>
    <cellStyle name="40% - Акцент1 2 9" xfId="2099"/>
    <cellStyle name="40% - Акцент1 2 9 2" xfId="2100"/>
    <cellStyle name="40% - Акцент1 2 9 2 2" xfId="2101"/>
    <cellStyle name="40% - Акцент1 2 9 2 2 2" xfId="32608"/>
    <cellStyle name="40% - Акцент1 2 9 2 3" xfId="32609"/>
    <cellStyle name="40% - Акцент1 2 9 3" xfId="2102"/>
    <cellStyle name="40% - Акцент1 2 9 3 2" xfId="32610"/>
    <cellStyle name="40% - Акцент1 2 9 4" xfId="32611"/>
    <cellStyle name="40% - Акцент1 3" xfId="2103"/>
    <cellStyle name="40% - Акцент1 3 10" xfId="2104"/>
    <cellStyle name="40% - Акцент1 3 10 2" xfId="2105"/>
    <cellStyle name="40% - Акцент1 3 10 2 2" xfId="2106"/>
    <cellStyle name="40% - Акцент1 3 10 2 2 2" xfId="32612"/>
    <cellStyle name="40% - Акцент1 3 10 2 3" xfId="32613"/>
    <cellStyle name="40% - Акцент1 3 10 3" xfId="2107"/>
    <cellStyle name="40% - Акцент1 3 10 3 2" xfId="32614"/>
    <cellStyle name="40% - Акцент1 3 10 4" xfId="32615"/>
    <cellStyle name="40% - Акцент1 3 11" xfId="2108"/>
    <cellStyle name="40% - Акцент1 3 11 2" xfId="2109"/>
    <cellStyle name="40% - Акцент1 3 11 2 2" xfId="2110"/>
    <cellStyle name="40% - Акцент1 3 11 2 2 2" xfId="32616"/>
    <cellStyle name="40% - Акцент1 3 11 2 3" xfId="32617"/>
    <cellStyle name="40% - Акцент1 3 11 3" xfId="2111"/>
    <cellStyle name="40% - Акцент1 3 11 3 2" xfId="32618"/>
    <cellStyle name="40% - Акцент1 3 11 4" xfId="32619"/>
    <cellStyle name="40% - Акцент1 3 12" xfId="2112"/>
    <cellStyle name="40% - Акцент1 3 12 2" xfId="2113"/>
    <cellStyle name="40% - Акцент1 3 12 2 2" xfId="2114"/>
    <cellStyle name="40% - Акцент1 3 12 2 2 2" xfId="32620"/>
    <cellStyle name="40% - Акцент1 3 12 2 3" xfId="32621"/>
    <cellStyle name="40% - Акцент1 3 12 3" xfId="2115"/>
    <cellStyle name="40% - Акцент1 3 12 3 2" xfId="32622"/>
    <cellStyle name="40% - Акцент1 3 12 4" xfId="32623"/>
    <cellStyle name="40% - Акцент1 3 13" xfId="2116"/>
    <cellStyle name="40% - Акцент1 3 13 2" xfId="2117"/>
    <cellStyle name="40% - Акцент1 3 13 2 2" xfId="2118"/>
    <cellStyle name="40% - Акцент1 3 13 2 2 2" xfId="32624"/>
    <cellStyle name="40% - Акцент1 3 13 2 3" xfId="32625"/>
    <cellStyle name="40% - Акцент1 3 13 3" xfId="2119"/>
    <cellStyle name="40% - Акцент1 3 13 3 2" xfId="32626"/>
    <cellStyle name="40% - Акцент1 3 13 4" xfId="32627"/>
    <cellStyle name="40% - Акцент1 3 14" xfId="2120"/>
    <cellStyle name="40% - Акцент1 3 14 2" xfId="2121"/>
    <cellStyle name="40% - Акцент1 3 14 2 2" xfId="2122"/>
    <cellStyle name="40% - Акцент1 3 14 2 2 2" xfId="32628"/>
    <cellStyle name="40% - Акцент1 3 14 2 3" xfId="32629"/>
    <cellStyle name="40% - Акцент1 3 14 3" xfId="2123"/>
    <cellStyle name="40% - Акцент1 3 14 3 2" xfId="32630"/>
    <cellStyle name="40% - Акцент1 3 14 4" xfId="32631"/>
    <cellStyle name="40% - Акцент1 3 15" xfId="2124"/>
    <cellStyle name="40% - Акцент1 3 15 2" xfId="2125"/>
    <cellStyle name="40% - Акцент1 3 15 2 2" xfId="2126"/>
    <cellStyle name="40% - Акцент1 3 15 2 2 2" xfId="32632"/>
    <cellStyle name="40% - Акцент1 3 15 2 3" xfId="32633"/>
    <cellStyle name="40% - Акцент1 3 15 3" xfId="2127"/>
    <cellStyle name="40% - Акцент1 3 15 3 2" xfId="32634"/>
    <cellStyle name="40% - Акцент1 3 15 4" xfId="32635"/>
    <cellStyle name="40% - Акцент1 3 16" xfId="2128"/>
    <cellStyle name="40% - Акцент1 3 16 2" xfId="2129"/>
    <cellStyle name="40% - Акцент1 3 16 2 2" xfId="2130"/>
    <cellStyle name="40% - Акцент1 3 16 2 2 2" xfId="32636"/>
    <cellStyle name="40% - Акцент1 3 16 2 3" xfId="32637"/>
    <cellStyle name="40% - Акцент1 3 16 3" xfId="2131"/>
    <cellStyle name="40% - Акцент1 3 16 3 2" xfId="32638"/>
    <cellStyle name="40% - Акцент1 3 16 4" xfId="32639"/>
    <cellStyle name="40% - Акцент1 3 17" xfId="2132"/>
    <cellStyle name="40% - Акцент1 3 17 2" xfId="2133"/>
    <cellStyle name="40% - Акцент1 3 17 2 2" xfId="2134"/>
    <cellStyle name="40% - Акцент1 3 17 2 2 2" xfId="32640"/>
    <cellStyle name="40% - Акцент1 3 17 2 3" xfId="32641"/>
    <cellStyle name="40% - Акцент1 3 17 3" xfId="2135"/>
    <cellStyle name="40% - Акцент1 3 17 3 2" xfId="32642"/>
    <cellStyle name="40% - Акцент1 3 17 4" xfId="32643"/>
    <cellStyle name="40% - Акцент1 3 18" xfId="2136"/>
    <cellStyle name="40% - Акцент1 3 18 2" xfId="2137"/>
    <cellStyle name="40% - Акцент1 3 18 2 2" xfId="2138"/>
    <cellStyle name="40% - Акцент1 3 18 2 2 2" xfId="32644"/>
    <cellStyle name="40% - Акцент1 3 18 2 3" xfId="32645"/>
    <cellStyle name="40% - Акцент1 3 18 3" xfId="2139"/>
    <cellStyle name="40% - Акцент1 3 18 3 2" xfId="32646"/>
    <cellStyle name="40% - Акцент1 3 18 4" xfId="32647"/>
    <cellStyle name="40% - Акцент1 3 19" xfId="2140"/>
    <cellStyle name="40% - Акцент1 3 19 2" xfId="2141"/>
    <cellStyle name="40% - Акцент1 3 19 2 2" xfId="2142"/>
    <cellStyle name="40% - Акцент1 3 19 2 2 2" xfId="32648"/>
    <cellStyle name="40% - Акцент1 3 19 2 3" xfId="32649"/>
    <cellStyle name="40% - Акцент1 3 19 3" xfId="2143"/>
    <cellStyle name="40% - Акцент1 3 19 3 2" xfId="32650"/>
    <cellStyle name="40% - Акцент1 3 19 4" xfId="32651"/>
    <cellStyle name="40% - Акцент1 3 2" xfId="2144"/>
    <cellStyle name="40% - Акцент1 3 2 2" xfId="32652"/>
    <cellStyle name="40% - Акцент1 3 20" xfId="2145"/>
    <cellStyle name="40% - Акцент1 3 20 2" xfId="2146"/>
    <cellStyle name="40% - Акцент1 3 20 2 2" xfId="2147"/>
    <cellStyle name="40% - Акцент1 3 20 2 2 2" xfId="32653"/>
    <cellStyle name="40% - Акцент1 3 20 2 3" xfId="32654"/>
    <cellStyle name="40% - Акцент1 3 20 3" xfId="2148"/>
    <cellStyle name="40% - Акцент1 3 20 3 2" xfId="32655"/>
    <cellStyle name="40% - Акцент1 3 20 4" xfId="32656"/>
    <cellStyle name="40% - Акцент1 3 21" xfId="2149"/>
    <cellStyle name="40% - Акцент1 3 21 2" xfId="2150"/>
    <cellStyle name="40% - Акцент1 3 21 2 2" xfId="2151"/>
    <cellStyle name="40% - Акцент1 3 21 2 2 2" xfId="32657"/>
    <cellStyle name="40% - Акцент1 3 21 2 3" xfId="32658"/>
    <cellStyle name="40% - Акцент1 3 21 3" xfId="2152"/>
    <cellStyle name="40% - Акцент1 3 21 3 2" xfId="32659"/>
    <cellStyle name="40% - Акцент1 3 21 4" xfId="32660"/>
    <cellStyle name="40% - Акцент1 3 22" xfId="2153"/>
    <cellStyle name="40% - Акцент1 3 22 2" xfId="2154"/>
    <cellStyle name="40% - Акцент1 3 22 2 2" xfId="2155"/>
    <cellStyle name="40% - Акцент1 3 22 2 2 2" xfId="32661"/>
    <cellStyle name="40% - Акцент1 3 22 2 3" xfId="32662"/>
    <cellStyle name="40% - Акцент1 3 22 3" xfId="2156"/>
    <cellStyle name="40% - Акцент1 3 22 3 2" xfId="32663"/>
    <cellStyle name="40% - Акцент1 3 22 4" xfId="32664"/>
    <cellStyle name="40% - Акцент1 3 23" xfId="2157"/>
    <cellStyle name="40% - Акцент1 3 23 2" xfId="2158"/>
    <cellStyle name="40% - Акцент1 3 23 2 2" xfId="2159"/>
    <cellStyle name="40% - Акцент1 3 23 2 2 2" xfId="32665"/>
    <cellStyle name="40% - Акцент1 3 23 2 3" xfId="32666"/>
    <cellStyle name="40% - Акцент1 3 23 3" xfId="2160"/>
    <cellStyle name="40% - Акцент1 3 23 3 2" xfId="32667"/>
    <cellStyle name="40% - Акцент1 3 23 4" xfId="32668"/>
    <cellStyle name="40% - Акцент1 3 24" xfId="2161"/>
    <cellStyle name="40% - Акцент1 3 24 2" xfId="2162"/>
    <cellStyle name="40% - Акцент1 3 24 2 2" xfId="2163"/>
    <cellStyle name="40% - Акцент1 3 24 2 2 2" xfId="32669"/>
    <cellStyle name="40% - Акцент1 3 24 2 3" xfId="32670"/>
    <cellStyle name="40% - Акцент1 3 24 3" xfId="2164"/>
    <cellStyle name="40% - Акцент1 3 24 3 2" xfId="32671"/>
    <cellStyle name="40% - Акцент1 3 24 4" xfId="32672"/>
    <cellStyle name="40% - Акцент1 3 25" xfId="32673"/>
    <cellStyle name="40% - Акцент1 3 3" xfId="2165"/>
    <cellStyle name="40% - Акцент1 3 3 2" xfId="2166"/>
    <cellStyle name="40% - Акцент1 3 3 2 2" xfId="2167"/>
    <cellStyle name="40% - Акцент1 3 3 2 2 2" xfId="32674"/>
    <cellStyle name="40% - Акцент1 3 3 2 3" xfId="32675"/>
    <cellStyle name="40% - Акцент1 3 3 3" xfId="2168"/>
    <cellStyle name="40% - Акцент1 3 3 3 2" xfId="32676"/>
    <cellStyle name="40% - Акцент1 3 3 4" xfId="32677"/>
    <cellStyle name="40% - Акцент1 3 4" xfId="2169"/>
    <cellStyle name="40% - Акцент1 3 4 2" xfId="2170"/>
    <cellStyle name="40% - Акцент1 3 4 2 2" xfId="2171"/>
    <cellStyle name="40% - Акцент1 3 4 2 2 2" xfId="32678"/>
    <cellStyle name="40% - Акцент1 3 4 2 3" xfId="32679"/>
    <cellStyle name="40% - Акцент1 3 4 3" xfId="2172"/>
    <cellStyle name="40% - Акцент1 3 4 3 2" xfId="32680"/>
    <cellStyle name="40% - Акцент1 3 4 4" xfId="32681"/>
    <cellStyle name="40% - Акцент1 3 5" xfId="2173"/>
    <cellStyle name="40% - Акцент1 3 5 2" xfId="2174"/>
    <cellStyle name="40% - Акцент1 3 5 2 2" xfId="2175"/>
    <cellStyle name="40% - Акцент1 3 5 2 2 2" xfId="32682"/>
    <cellStyle name="40% - Акцент1 3 5 2 3" xfId="32683"/>
    <cellStyle name="40% - Акцент1 3 5 3" xfId="2176"/>
    <cellStyle name="40% - Акцент1 3 5 3 2" xfId="32684"/>
    <cellStyle name="40% - Акцент1 3 5 4" xfId="32685"/>
    <cellStyle name="40% - Акцент1 3 6" xfId="2177"/>
    <cellStyle name="40% - Акцент1 3 6 2" xfId="2178"/>
    <cellStyle name="40% - Акцент1 3 6 2 2" xfId="2179"/>
    <cellStyle name="40% - Акцент1 3 6 2 2 2" xfId="32686"/>
    <cellStyle name="40% - Акцент1 3 6 2 3" xfId="32687"/>
    <cellStyle name="40% - Акцент1 3 6 3" xfId="2180"/>
    <cellStyle name="40% - Акцент1 3 6 3 2" xfId="32688"/>
    <cellStyle name="40% - Акцент1 3 6 4" xfId="32689"/>
    <cellStyle name="40% - Акцент1 3 7" xfId="2181"/>
    <cellStyle name="40% - Акцент1 3 7 2" xfId="2182"/>
    <cellStyle name="40% - Акцент1 3 7 2 2" xfId="2183"/>
    <cellStyle name="40% - Акцент1 3 7 2 2 2" xfId="32690"/>
    <cellStyle name="40% - Акцент1 3 7 2 3" xfId="32691"/>
    <cellStyle name="40% - Акцент1 3 7 3" xfId="2184"/>
    <cellStyle name="40% - Акцент1 3 7 3 2" xfId="32692"/>
    <cellStyle name="40% - Акцент1 3 7 4" xfId="32693"/>
    <cellStyle name="40% - Акцент1 3 8" xfId="2185"/>
    <cellStyle name="40% - Акцент1 3 8 2" xfId="2186"/>
    <cellStyle name="40% - Акцент1 3 8 2 2" xfId="2187"/>
    <cellStyle name="40% - Акцент1 3 8 2 2 2" xfId="32694"/>
    <cellStyle name="40% - Акцент1 3 8 2 3" xfId="32695"/>
    <cellStyle name="40% - Акцент1 3 8 3" xfId="2188"/>
    <cellStyle name="40% - Акцент1 3 8 3 2" xfId="32696"/>
    <cellStyle name="40% - Акцент1 3 8 4" xfId="32697"/>
    <cellStyle name="40% - Акцент1 3 9" xfId="2189"/>
    <cellStyle name="40% - Акцент1 3 9 2" xfId="2190"/>
    <cellStyle name="40% - Акцент1 3 9 2 2" xfId="2191"/>
    <cellStyle name="40% - Акцент1 3 9 2 2 2" xfId="32698"/>
    <cellStyle name="40% - Акцент1 3 9 2 3" xfId="32699"/>
    <cellStyle name="40% - Акцент1 3 9 3" xfId="2192"/>
    <cellStyle name="40% - Акцент1 3 9 3 2" xfId="32700"/>
    <cellStyle name="40% - Акцент1 3 9 4" xfId="32701"/>
    <cellStyle name="40% - Акцент1 4" xfId="2193"/>
    <cellStyle name="40% - Акцент1 4 2" xfId="2194"/>
    <cellStyle name="40% - Акцент1 4 2 2" xfId="32702"/>
    <cellStyle name="40% - Акцент1 4 3" xfId="32703"/>
    <cellStyle name="40% - Акцент1 5" xfId="2195"/>
    <cellStyle name="40% - Акцент1 5 2" xfId="2196"/>
    <cellStyle name="40% - Акцент1 5 2 2" xfId="32704"/>
    <cellStyle name="40% - Акцент1 5 3" xfId="32705"/>
    <cellStyle name="40% - Акцент1 6" xfId="2197"/>
    <cellStyle name="40% - Акцент1 6 2" xfId="32706"/>
    <cellStyle name="40% - Акцент1 7" xfId="2198"/>
    <cellStyle name="40% - Акцент1 7 2" xfId="2199"/>
    <cellStyle name="40% - Акцент1 7 2 2" xfId="2200"/>
    <cellStyle name="40% - Акцент1 7 2 2 2" xfId="32707"/>
    <cellStyle name="40% - Акцент1 7 2 3" xfId="32708"/>
    <cellStyle name="40% - Акцент1 7 3" xfId="2201"/>
    <cellStyle name="40% - Акцент1 7 3 2" xfId="32709"/>
    <cellStyle name="40% - Акцент1 7 4" xfId="32710"/>
    <cellStyle name="40% - Акцент1 8" xfId="2202"/>
    <cellStyle name="40% - Акцент1 8 2" xfId="2203"/>
    <cellStyle name="40% - Акцент1 8 2 2" xfId="2204"/>
    <cellStyle name="40% - Акцент1 8 2 2 2" xfId="32711"/>
    <cellStyle name="40% - Акцент1 8 2 3" xfId="32712"/>
    <cellStyle name="40% - Акцент1 8 3" xfId="2205"/>
    <cellStyle name="40% - Акцент1 8 3 2" xfId="32713"/>
    <cellStyle name="40% - Акцент1 8 4" xfId="32714"/>
    <cellStyle name="40% - Акцент1 9" xfId="2206"/>
    <cellStyle name="40% - Акцент1 9 2" xfId="2207"/>
    <cellStyle name="40% - Акцент1 9 2 2" xfId="2208"/>
    <cellStyle name="40% - Акцент1 9 2 2 2" xfId="32715"/>
    <cellStyle name="40% - Акцент1 9 2 3" xfId="32716"/>
    <cellStyle name="40% - Акцент1 9 3" xfId="2209"/>
    <cellStyle name="40% - Акцент1 9 3 2" xfId="32717"/>
    <cellStyle name="40% - Акцент1 9 4" xfId="32718"/>
    <cellStyle name="40% - Акцент2 10" xfId="2210"/>
    <cellStyle name="40% - Акцент2 10 2" xfId="2211"/>
    <cellStyle name="40% - Акцент2 10 2 2" xfId="2212"/>
    <cellStyle name="40% - Акцент2 10 2 2 2" xfId="32719"/>
    <cellStyle name="40% - Акцент2 10 2 3" xfId="32720"/>
    <cellStyle name="40% - Акцент2 10 3" xfId="2213"/>
    <cellStyle name="40% - Акцент2 10 3 2" xfId="32721"/>
    <cellStyle name="40% - Акцент2 10 4" xfId="32722"/>
    <cellStyle name="40% - Акцент2 11" xfId="2214"/>
    <cellStyle name="40% - Акцент2 11 2" xfId="2215"/>
    <cellStyle name="40% - Акцент2 11 2 2" xfId="2216"/>
    <cellStyle name="40% - Акцент2 11 2 2 2" xfId="32723"/>
    <cellStyle name="40% - Акцент2 11 2 3" xfId="32724"/>
    <cellStyle name="40% - Акцент2 11 3" xfId="2217"/>
    <cellStyle name="40% - Акцент2 11 3 2" xfId="32725"/>
    <cellStyle name="40% - Акцент2 11 4" xfId="32726"/>
    <cellStyle name="40% - Акцент2 12" xfId="2218"/>
    <cellStyle name="40% - Акцент2 12 2" xfId="2219"/>
    <cellStyle name="40% - Акцент2 12 2 2" xfId="2220"/>
    <cellStyle name="40% - Акцент2 12 2 2 2" xfId="32727"/>
    <cellStyle name="40% - Акцент2 12 2 3" xfId="32728"/>
    <cellStyle name="40% - Акцент2 12 3" xfId="2221"/>
    <cellStyle name="40% - Акцент2 12 3 2" xfId="32729"/>
    <cellStyle name="40% - Акцент2 12 4" xfId="32730"/>
    <cellStyle name="40% - Акцент2 13" xfId="2222"/>
    <cellStyle name="40% - Акцент2 13 2" xfId="2223"/>
    <cellStyle name="40% - Акцент2 13 2 2" xfId="2224"/>
    <cellStyle name="40% - Акцент2 13 2 2 2" xfId="32731"/>
    <cellStyle name="40% - Акцент2 13 2 3" xfId="32732"/>
    <cellStyle name="40% - Акцент2 13 3" xfId="2225"/>
    <cellStyle name="40% - Акцент2 13 3 2" xfId="32733"/>
    <cellStyle name="40% - Акцент2 13 4" xfId="32734"/>
    <cellStyle name="40% - Акцент2 14" xfId="2226"/>
    <cellStyle name="40% - Акцент2 14 2" xfId="2227"/>
    <cellStyle name="40% - Акцент2 14 2 2" xfId="2228"/>
    <cellStyle name="40% - Акцент2 14 2 2 2" xfId="32735"/>
    <cellStyle name="40% - Акцент2 14 2 3" xfId="32736"/>
    <cellStyle name="40% - Акцент2 14 3" xfId="2229"/>
    <cellStyle name="40% - Акцент2 14 3 2" xfId="32737"/>
    <cellStyle name="40% - Акцент2 14 4" xfId="32738"/>
    <cellStyle name="40% - Акцент2 15" xfId="2230"/>
    <cellStyle name="40% - Акцент2 15 2" xfId="2231"/>
    <cellStyle name="40% - Акцент2 15 2 2" xfId="2232"/>
    <cellStyle name="40% - Акцент2 15 2 2 2" xfId="32739"/>
    <cellStyle name="40% - Акцент2 15 2 3" xfId="32740"/>
    <cellStyle name="40% - Акцент2 15 3" xfId="2233"/>
    <cellStyle name="40% - Акцент2 15 3 2" xfId="32741"/>
    <cellStyle name="40% - Акцент2 15 4" xfId="32742"/>
    <cellStyle name="40% - Акцент2 16" xfId="2234"/>
    <cellStyle name="40% - Акцент2 16 2" xfId="2235"/>
    <cellStyle name="40% - Акцент2 16 2 2" xfId="2236"/>
    <cellStyle name="40% - Акцент2 16 2 2 2" xfId="32743"/>
    <cellStyle name="40% - Акцент2 16 2 3" xfId="32744"/>
    <cellStyle name="40% - Акцент2 16 3" xfId="2237"/>
    <cellStyle name="40% - Акцент2 16 3 2" xfId="32745"/>
    <cellStyle name="40% - Акцент2 16 4" xfId="32746"/>
    <cellStyle name="40% - Акцент2 17" xfId="2238"/>
    <cellStyle name="40% - Акцент2 17 2" xfId="2239"/>
    <cellStyle name="40% - Акцент2 17 2 2" xfId="2240"/>
    <cellStyle name="40% - Акцент2 17 2 2 2" xfId="32747"/>
    <cellStyle name="40% - Акцент2 17 2 3" xfId="32748"/>
    <cellStyle name="40% - Акцент2 17 3" xfId="2241"/>
    <cellStyle name="40% - Акцент2 17 3 2" xfId="32749"/>
    <cellStyle name="40% - Акцент2 17 4" xfId="32750"/>
    <cellStyle name="40% - Акцент2 18" xfId="2242"/>
    <cellStyle name="40% - Акцент2 18 2" xfId="2243"/>
    <cellStyle name="40% - Акцент2 18 2 2" xfId="32751"/>
    <cellStyle name="40% - Акцент2 18 3" xfId="32752"/>
    <cellStyle name="40% - Акцент2 19" xfId="2244"/>
    <cellStyle name="40% - Акцент2 19 2" xfId="32753"/>
    <cellStyle name="40% - Акцент2 2" xfId="2245"/>
    <cellStyle name="40% - Акцент2 2 10" xfId="2246"/>
    <cellStyle name="40% - Акцент2 2 10 2" xfId="2247"/>
    <cellStyle name="40% - Акцент2 2 10 2 2" xfId="2248"/>
    <cellStyle name="40% - Акцент2 2 10 2 2 2" xfId="32754"/>
    <cellStyle name="40% - Акцент2 2 10 2 3" xfId="32755"/>
    <cellStyle name="40% - Акцент2 2 10 3" xfId="2249"/>
    <cellStyle name="40% - Акцент2 2 10 3 2" xfId="32756"/>
    <cellStyle name="40% - Акцент2 2 10 4" xfId="32757"/>
    <cellStyle name="40% - Акцент2 2 11" xfId="2250"/>
    <cellStyle name="40% - Акцент2 2 11 2" xfId="2251"/>
    <cellStyle name="40% - Акцент2 2 11 2 2" xfId="2252"/>
    <cellStyle name="40% - Акцент2 2 11 2 2 2" xfId="32758"/>
    <cellStyle name="40% - Акцент2 2 11 2 3" xfId="32759"/>
    <cellStyle name="40% - Акцент2 2 11 3" xfId="2253"/>
    <cellStyle name="40% - Акцент2 2 11 3 2" xfId="32760"/>
    <cellStyle name="40% - Акцент2 2 11 4" xfId="32761"/>
    <cellStyle name="40% - Акцент2 2 12" xfId="2254"/>
    <cellStyle name="40% - Акцент2 2 12 2" xfId="2255"/>
    <cellStyle name="40% - Акцент2 2 12 2 2" xfId="2256"/>
    <cellStyle name="40% - Акцент2 2 12 2 2 2" xfId="32762"/>
    <cellStyle name="40% - Акцент2 2 12 2 3" xfId="32763"/>
    <cellStyle name="40% - Акцент2 2 12 3" xfId="2257"/>
    <cellStyle name="40% - Акцент2 2 12 3 2" xfId="32764"/>
    <cellStyle name="40% - Акцент2 2 12 4" xfId="32765"/>
    <cellStyle name="40% - Акцент2 2 13" xfId="2258"/>
    <cellStyle name="40% - Акцент2 2 13 2" xfId="2259"/>
    <cellStyle name="40% - Акцент2 2 13 2 2" xfId="2260"/>
    <cellStyle name="40% - Акцент2 2 13 2 2 2" xfId="32766"/>
    <cellStyle name="40% - Акцент2 2 13 2 3" xfId="32767"/>
    <cellStyle name="40% - Акцент2 2 13 3" xfId="2261"/>
    <cellStyle name="40% - Акцент2 2 13 3 2" xfId="32768"/>
    <cellStyle name="40% - Акцент2 2 13 4" xfId="32769"/>
    <cellStyle name="40% - Акцент2 2 14" xfId="2262"/>
    <cellStyle name="40% - Акцент2 2 14 2" xfId="2263"/>
    <cellStyle name="40% - Акцент2 2 14 2 2" xfId="2264"/>
    <cellStyle name="40% - Акцент2 2 14 2 2 2" xfId="32770"/>
    <cellStyle name="40% - Акцент2 2 14 2 3" xfId="32771"/>
    <cellStyle name="40% - Акцент2 2 14 3" xfId="2265"/>
    <cellStyle name="40% - Акцент2 2 14 3 2" xfId="32772"/>
    <cellStyle name="40% - Акцент2 2 14 4" xfId="32773"/>
    <cellStyle name="40% - Акцент2 2 15" xfId="2266"/>
    <cellStyle name="40% - Акцент2 2 15 2" xfId="2267"/>
    <cellStyle name="40% - Акцент2 2 15 2 2" xfId="2268"/>
    <cellStyle name="40% - Акцент2 2 15 2 2 2" xfId="32774"/>
    <cellStyle name="40% - Акцент2 2 15 2 3" xfId="32775"/>
    <cellStyle name="40% - Акцент2 2 15 3" xfId="2269"/>
    <cellStyle name="40% - Акцент2 2 15 3 2" xfId="32776"/>
    <cellStyle name="40% - Акцент2 2 15 4" xfId="32777"/>
    <cellStyle name="40% - Акцент2 2 16" xfId="2270"/>
    <cellStyle name="40% - Акцент2 2 16 2" xfId="2271"/>
    <cellStyle name="40% - Акцент2 2 16 2 2" xfId="2272"/>
    <cellStyle name="40% - Акцент2 2 16 2 2 2" xfId="32778"/>
    <cellStyle name="40% - Акцент2 2 16 2 3" xfId="32779"/>
    <cellStyle name="40% - Акцент2 2 16 3" xfId="2273"/>
    <cellStyle name="40% - Акцент2 2 16 3 2" xfId="32780"/>
    <cellStyle name="40% - Акцент2 2 16 4" xfId="32781"/>
    <cellStyle name="40% - Акцент2 2 17" xfId="2274"/>
    <cellStyle name="40% - Акцент2 2 17 2" xfId="2275"/>
    <cellStyle name="40% - Акцент2 2 17 2 2" xfId="2276"/>
    <cellStyle name="40% - Акцент2 2 17 2 2 2" xfId="32782"/>
    <cellStyle name="40% - Акцент2 2 17 2 3" xfId="32783"/>
    <cellStyle name="40% - Акцент2 2 17 3" xfId="2277"/>
    <cellStyle name="40% - Акцент2 2 17 3 2" xfId="32784"/>
    <cellStyle name="40% - Акцент2 2 17 4" xfId="32785"/>
    <cellStyle name="40% - Акцент2 2 18" xfId="2278"/>
    <cellStyle name="40% - Акцент2 2 18 2" xfId="2279"/>
    <cellStyle name="40% - Акцент2 2 18 2 2" xfId="2280"/>
    <cellStyle name="40% - Акцент2 2 18 2 2 2" xfId="32786"/>
    <cellStyle name="40% - Акцент2 2 18 2 3" xfId="32787"/>
    <cellStyle name="40% - Акцент2 2 18 3" xfId="2281"/>
    <cellStyle name="40% - Акцент2 2 18 3 2" xfId="32788"/>
    <cellStyle name="40% - Акцент2 2 18 4" xfId="32789"/>
    <cellStyle name="40% - Акцент2 2 19" xfId="2282"/>
    <cellStyle name="40% - Акцент2 2 19 2" xfId="2283"/>
    <cellStyle name="40% - Акцент2 2 19 2 2" xfId="2284"/>
    <cellStyle name="40% - Акцент2 2 19 2 2 2" xfId="32790"/>
    <cellStyle name="40% - Акцент2 2 19 2 3" xfId="32791"/>
    <cellStyle name="40% - Акцент2 2 19 3" xfId="2285"/>
    <cellStyle name="40% - Акцент2 2 19 3 2" xfId="32792"/>
    <cellStyle name="40% - Акцент2 2 19 4" xfId="32793"/>
    <cellStyle name="40% - Акцент2 2 2" xfId="2286"/>
    <cellStyle name="40% - Акцент2 2 2 2" xfId="32794"/>
    <cellStyle name="40% - Акцент2 2 20" xfId="2287"/>
    <cellStyle name="40% - Акцент2 2 20 2" xfId="2288"/>
    <cellStyle name="40% - Акцент2 2 20 2 2" xfId="2289"/>
    <cellStyle name="40% - Акцент2 2 20 2 2 2" xfId="32795"/>
    <cellStyle name="40% - Акцент2 2 20 2 3" xfId="32796"/>
    <cellStyle name="40% - Акцент2 2 20 3" xfId="2290"/>
    <cellStyle name="40% - Акцент2 2 20 3 2" xfId="32797"/>
    <cellStyle name="40% - Акцент2 2 20 4" xfId="32798"/>
    <cellStyle name="40% - Акцент2 2 21" xfId="2291"/>
    <cellStyle name="40% - Акцент2 2 21 2" xfId="2292"/>
    <cellStyle name="40% - Акцент2 2 21 2 2" xfId="2293"/>
    <cellStyle name="40% - Акцент2 2 21 2 2 2" xfId="32799"/>
    <cellStyle name="40% - Акцент2 2 21 2 3" xfId="32800"/>
    <cellStyle name="40% - Акцент2 2 21 3" xfId="2294"/>
    <cellStyle name="40% - Акцент2 2 21 3 2" xfId="32801"/>
    <cellStyle name="40% - Акцент2 2 21 4" xfId="32802"/>
    <cellStyle name="40% - Акцент2 2 22" xfId="2295"/>
    <cellStyle name="40% - Акцент2 2 22 2" xfId="2296"/>
    <cellStyle name="40% - Акцент2 2 22 2 2" xfId="2297"/>
    <cellStyle name="40% - Акцент2 2 22 2 2 2" xfId="32803"/>
    <cellStyle name="40% - Акцент2 2 22 2 3" xfId="32804"/>
    <cellStyle name="40% - Акцент2 2 22 3" xfId="2298"/>
    <cellStyle name="40% - Акцент2 2 22 3 2" xfId="32805"/>
    <cellStyle name="40% - Акцент2 2 22 4" xfId="32806"/>
    <cellStyle name="40% - Акцент2 2 23" xfId="2299"/>
    <cellStyle name="40% - Акцент2 2 23 2" xfId="2300"/>
    <cellStyle name="40% - Акцент2 2 23 2 2" xfId="2301"/>
    <cellStyle name="40% - Акцент2 2 23 2 2 2" xfId="32807"/>
    <cellStyle name="40% - Акцент2 2 23 2 3" xfId="32808"/>
    <cellStyle name="40% - Акцент2 2 23 3" xfId="2302"/>
    <cellStyle name="40% - Акцент2 2 23 3 2" xfId="32809"/>
    <cellStyle name="40% - Акцент2 2 23 4" xfId="32810"/>
    <cellStyle name="40% - Акцент2 2 24" xfId="2303"/>
    <cellStyle name="40% - Акцент2 2 24 2" xfId="2304"/>
    <cellStyle name="40% - Акцент2 2 24 2 2" xfId="2305"/>
    <cellStyle name="40% - Акцент2 2 24 2 2 2" xfId="32811"/>
    <cellStyle name="40% - Акцент2 2 24 2 3" xfId="32812"/>
    <cellStyle name="40% - Акцент2 2 24 3" xfId="2306"/>
    <cellStyle name="40% - Акцент2 2 24 3 2" xfId="32813"/>
    <cellStyle name="40% - Акцент2 2 24 4" xfId="32814"/>
    <cellStyle name="40% - Акцент2 2 25" xfId="32815"/>
    <cellStyle name="40% - Акцент2 2 3" xfId="2307"/>
    <cellStyle name="40% - Акцент2 2 3 2" xfId="2308"/>
    <cellStyle name="40% - Акцент2 2 3 2 2" xfId="2309"/>
    <cellStyle name="40% - Акцент2 2 3 2 2 2" xfId="32816"/>
    <cellStyle name="40% - Акцент2 2 3 2 3" xfId="32817"/>
    <cellStyle name="40% - Акцент2 2 3 3" xfId="2310"/>
    <cellStyle name="40% - Акцент2 2 3 3 2" xfId="32818"/>
    <cellStyle name="40% - Акцент2 2 3 4" xfId="32819"/>
    <cellStyle name="40% - Акцент2 2 4" xfId="2311"/>
    <cellStyle name="40% - Акцент2 2 4 2" xfId="2312"/>
    <cellStyle name="40% - Акцент2 2 4 2 2" xfId="2313"/>
    <cellStyle name="40% - Акцент2 2 4 2 2 2" xfId="32820"/>
    <cellStyle name="40% - Акцент2 2 4 2 3" xfId="32821"/>
    <cellStyle name="40% - Акцент2 2 4 3" xfId="2314"/>
    <cellStyle name="40% - Акцент2 2 4 3 2" xfId="32822"/>
    <cellStyle name="40% - Акцент2 2 4 4" xfId="32823"/>
    <cellStyle name="40% - Акцент2 2 5" xfId="2315"/>
    <cellStyle name="40% - Акцент2 2 5 2" xfId="2316"/>
    <cellStyle name="40% - Акцент2 2 5 2 2" xfId="2317"/>
    <cellStyle name="40% - Акцент2 2 5 2 2 2" xfId="32824"/>
    <cellStyle name="40% - Акцент2 2 5 2 3" xfId="32825"/>
    <cellStyle name="40% - Акцент2 2 5 3" xfId="2318"/>
    <cellStyle name="40% - Акцент2 2 5 3 2" xfId="32826"/>
    <cellStyle name="40% - Акцент2 2 5 4" xfId="32827"/>
    <cellStyle name="40% - Акцент2 2 6" xfId="2319"/>
    <cellStyle name="40% - Акцент2 2 6 2" xfId="2320"/>
    <cellStyle name="40% - Акцент2 2 6 2 2" xfId="2321"/>
    <cellStyle name="40% - Акцент2 2 6 2 2 2" xfId="32828"/>
    <cellStyle name="40% - Акцент2 2 6 2 3" xfId="32829"/>
    <cellStyle name="40% - Акцент2 2 6 3" xfId="2322"/>
    <cellStyle name="40% - Акцент2 2 6 3 2" xfId="32830"/>
    <cellStyle name="40% - Акцент2 2 6 4" xfId="32831"/>
    <cellStyle name="40% - Акцент2 2 7" xfId="2323"/>
    <cellStyle name="40% - Акцент2 2 7 2" xfId="2324"/>
    <cellStyle name="40% - Акцент2 2 7 2 2" xfId="2325"/>
    <cellStyle name="40% - Акцент2 2 7 2 2 2" xfId="32832"/>
    <cellStyle name="40% - Акцент2 2 7 2 3" xfId="32833"/>
    <cellStyle name="40% - Акцент2 2 7 3" xfId="2326"/>
    <cellStyle name="40% - Акцент2 2 7 3 2" xfId="32834"/>
    <cellStyle name="40% - Акцент2 2 7 4" xfId="32835"/>
    <cellStyle name="40% - Акцент2 2 8" xfId="2327"/>
    <cellStyle name="40% - Акцент2 2 8 2" xfId="2328"/>
    <cellStyle name="40% - Акцент2 2 8 2 2" xfId="2329"/>
    <cellStyle name="40% - Акцент2 2 8 2 2 2" xfId="32836"/>
    <cellStyle name="40% - Акцент2 2 8 2 3" xfId="32837"/>
    <cellStyle name="40% - Акцент2 2 8 3" xfId="2330"/>
    <cellStyle name="40% - Акцент2 2 8 3 2" xfId="32838"/>
    <cellStyle name="40% - Акцент2 2 8 4" xfId="32839"/>
    <cellStyle name="40% - Акцент2 2 9" xfId="2331"/>
    <cellStyle name="40% - Акцент2 2 9 2" xfId="2332"/>
    <cellStyle name="40% - Акцент2 2 9 2 2" xfId="2333"/>
    <cellStyle name="40% - Акцент2 2 9 2 2 2" xfId="32840"/>
    <cellStyle name="40% - Акцент2 2 9 2 3" xfId="32841"/>
    <cellStyle name="40% - Акцент2 2 9 3" xfId="2334"/>
    <cellStyle name="40% - Акцент2 2 9 3 2" xfId="32842"/>
    <cellStyle name="40% - Акцент2 2 9 4" xfId="32843"/>
    <cellStyle name="40% - Акцент2 3" xfId="2335"/>
    <cellStyle name="40% - Акцент2 3 10" xfId="2336"/>
    <cellStyle name="40% - Акцент2 3 10 2" xfId="2337"/>
    <cellStyle name="40% - Акцент2 3 10 2 2" xfId="2338"/>
    <cellStyle name="40% - Акцент2 3 10 2 2 2" xfId="32844"/>
    <cellStyle name="40% - Акцент2 3 10 2 3" xfId="32845"/>
    <cellStyle name="40% - Акцент2 3 10 3" xfId="2339"/>
    <cellStyle name="40% - Акцент2 3 10 3 2" xfId="32846"/>
    <cellStyle name="40% - Акцент2 3 10 4" xfId="32847"/>
    <cellStyle name="40% - Акцент2 3 11" xfId="2340"/>
    <cellStyle name="40% - Акцент2 3 11 2" xfId="2341"/>
    <cellStyle name="40% - Акцент2 3 11 2 2" xfId="2342"/>
    <cellStyle name="40% - Акцент2 3 11 2 2 2" xfId="32848"/>
    <cellStyle name="40% - Акцент2 3 11 2 3" xfId="32849"/>
    <cellStyle name="40% - Акцент2 3 11 3" xfId="2343"/>
    <cellStyle name="40% - Акцент2 3 11 3 2" xfId="32850"/>
    <cellStyle name="40% - Акцент2 3 11 4" xfId="32851"/>
    <cellStyle name="40% - Акцент2 3 12" xfId="2344"/>
    <cellStyle name="40% - Акцент2 3 12 2" xfId="2345"/>
    <cellStyle name="40% - Акцент2 3 12 2 2" xfId="2346"/>
    <cellStyle name="40% - Акцент2 3 12 2 2 2" xfId="32852"/>
    <cellStyle name="40% - Акцент2 3 12 2 3" xfId="32853"/>
    <cellStyle name="40% - Акцент2 3 12 3" xfId="2347"/>
    <cellStyle name="40% - Акцент2 3 12 3 2" xfId="32854"/>
    <cellStyle name="40% - Акцент2 3 12 4" xfId="32855"/>
    <cellStyle name="40% - Акцент2 3 13" xfId="2348"/>
    <cellStyle name="40% - Акцент2 3 13 2" xfId="2349"/>
    <cellStyle name="40% - Акцент2 3 13 2 2" xfId="2350"/>
    <cellStyle name="40% - Акцент2 3 13 2 2 2" xfId="32856"/>
    <cellStyle name="40% - Акцент2 3 13 2 3" xfId="32857"/>
    <cellStyle name="40% - Акцент2 3 13 3" xfId="2351"/>
    <cellStyle name="40% - Акцент2 3 13 3 2" xfId="32858"/>
    <cellStyle name="40% - Акцент2 3 13 4" xfId="32859"/>
    <cellStyle name="40% - Акцент2 3 14" xfId="2352"/>
    <cellStyle name="40% - Акцент2 3 14 2" xfId="2353"/>
    <cellStyle name="40% - Акцент2 3 14 2 2" xfId="2354"/>
    <cellStyle name="40% - Акцент2 3 14 2 2 2" xfId="32860"/>
    <cellStyle name="40% - Акцент2 3 14 2 3" xfId="32861"/>
    <cellStyle name="40% - Акцент2 3 14 3" xfId="2355"/>
    <cellStyle name="40% - Акцент2 3 14 3 2" xfId="32862"/>
    <cellStyle name="40% - Акцент2 3 14 4" xfId="32863"/>
    <cellStyle name="40% - Акцент2 3 15" xfId="2356"/>
    <cellStyle name="40% - Акцент2 3 15 2" xfId="2357"/>
    <cellStyle name="40% - Акцент2 3 15 2 2" xfId="2358"/>
    <cellStyle name="40% - Акцент2 3 15 2 2 2" xfId="32864"/>
    <cellStyle name="40% - Акцент2 3 15 2 3" xfId="32865"/>
    <cellStyle name="40% - Акцент2 3 15 3" xfId="2359"/>
    <cellStyle name="40% - Акцент2 3 15 3 2" xfId="32866"/>
    <cellStyle name="40% - Акцент2 3 15 4" xfId="32867"/>
    <cellStyle name="40% - Акцент2 3 16" xfId="2360"/>
    <cellStyle name="40% - Акцент2 3 16 2" xfId="2361"/>
    <cellStyle name="40% - Акцент2 3 16 2 2" xfId="2362"/>
    <cellStyle name="40% - Акцент2 3 16 2 2 2" xfId="32868"/>
    <cellStyle name="40% - Акцент2 3 16 2 3" xfId="32869"/>
    <cellStyle name="40% - Акцент2 3 16 3" xfId="2363"/>
    <cellStyle name="40% - Акцент2 3 16 3 2" xfId="32870"/>
    <cellStyle name="40% - Акцент2 3 16 4" xfId="32871"/>
    <cellStyle name="40% - Акцент2 3 17" xfId="2364"/>
    <cellStyle name="40% - Акцент2 3 17 2" xfId="2365"/>
    <cellStyle name="40% - Акцент2 3 17 2 2" xfId="2366"/>
    <cellStyle name="40% - Акцент2 3 17 2 2 2" xfId="32872"/>
    <cellStyle name="40% - Акцент2 3 17 2 3" xfId="32873"/>
    <cellStyle name="40% - Акцент2 3 17 3" xfId="2367"/>
    <cellStyle name="40% - Акцент2 3 17 3 2" xfId="32874"/>
    <cellStyle name="40% - Акцент2 3 17 4" xfId="32875"/>
    <cellStyle name="40% - Акцент2 3 18" xfId="2368"/>
    <cellStyle name="40% - Акцент2 3 18 2" xfId="2369"/>
    <cellStyle name="40% - Акцент2 3 18 2 2" xfId="2370"/>
    <cellStyle name="40% - Акцент2 3 18 2 2 2" xfId="32876"/>
    <cellStyle name="40% - Акцент2 3 18 2 3" xfId="32877"/>
    <cellStyle name="40% - Акцент2 3 18 3" xfId="2371"/>
    <cellStyle name="40% - Акцент2 3 18 3 2" xfId="32878"/>
    <cellStyle name="40% - Акцент2 3 18 4" xfId="32879"/>
    <cellStyle name="40% - Акцент2 3 19" xfId="2372"/>
    <cellStyle name="40% - Акцент2 3 19 2" xfId="2373"/>
    <cellStyle name="40% - Акцент2 3 19 2 2" xfId="2374"/>
    <cellStyle name="40% - Акцент2 3 19 2 2 2" xfId="32880"/>
    <cellStyle name="40% - Акцент2 3 19 2 3" xfId="32881"/>
    <cellStyle name="40% - Акцент2 3 19 3" xfId="2375"/>
    <cellStyle name="40% - Акцент2 3 19 3 2" xfId="32882"/>
    <cellStyle name="40% - Акцент2 3 19 4" xfId="32883"/>
    <cellStyle name="40% - Акцент2 3 2" xfId="2376"/>
    <cellStyle name="40% - Акцент2 3 2 2" xfId="32884"/>
    <cellStyle name="40% - Акцент2 3 20" xfId="2377"/>
    <cellStyle name="40% - Акцент2 3 20 2" xfId="2378"/>
    <cellStyle name="40% - Акцент2 3 20 2 2" xfId="2379"/>
    <cellStyle name="40% - Акцент2 3 20 2 2 2" xfId="32885"/>
    <cellStyle name="40% - Акцент2 3 20 2 3" xfId="32886"/>
    <cellStyle name="40% - Акцент2 3 20 3" xfId="2380"/>
    <cellStyle name="40% - Акцент2 3 20 3 2" xfId="32887"/>
    <cellStyle name="40% - Акцент2 3 20 4" xfId="32888"/>
    <cellStyle name="40% - Акцент2 3 21" xfId="2381"/>
    <cellStyle name="40% - Акцент2 3 21 2" xfId="2382"/>
    <cellStyle name="40% - Акцент2 3 21 2 2" xfId="2383"/>
    <cellStyle name="40% - Акцент2 3 21 2 2 2" xfId="32889"/>
    <cellStyle name="40% - Акцент2 3 21 2 3" xfId="32890"/>
    <cellStyle name="40% - Акцент2 3 21 3" xfId="2384"/>
    <cellStyle name="40% - Акцент2 3 21 3 2" xfId="32891"/>
    <cellStyle name="40% - Акцент2 3 21 4" xfId="32892"/>
    <cellStyle name="40% - Акцент2 3 22" xfId="2385"/>
    <cellStyle name="40% - Акцент2 3 22 2" xfId="2386"/>
    <cellStyle name="40% - Акцент2 3 22 2 2" xfId="2387"/>
    <cellStyle name="40% - Акцент2 3 22 2 2 2" xfId="32893"/>
    <cellStyle name="40% - Акцент2 3 22 2 3" xfId="32894"/>
    <cellStyle name="40% - Акцент2 3 22 3" xfId="2388"/>
    <cellStyle name="40% - Акцент2 3 22 3 2" xfId="32895"/>
    <cellStyle name="40% - Акцент2 3 22 4" xfId="32896"/>
    <cellStyle name="40% - Акцент2 3 23" xfId="2389"/>
    <cellStyle name="40% - Акцент2 3 23 2" xfId="2390"/>
    <cellStyle name="40% - Акцент2 3 23 2 2" xfId="2391"/>
    <cellStyle name="40% - Акцент2 3 23 2 2 2" xfId="32897"/>
    <cellStyle name="40% - Акцент2 3 23 2 3" xfId="32898"/>
    <cellStyle name="40% - Акцент2 3 23 3" xfId="2392"/>
    <cellStyle name="40% - Акцент2 3 23 3 2" xfId="32899"/>
    <cellStyle name="40% - Акцент2 3 23 4" xfId="32900"/>
    <cellStyle name="40% - Акцент2 3 24" xfId="2393"/>
    <cellStyle name="40% - Акцент2 3 24 2" xfId="2394"/>
    <cellStyle name="40% - Акцент2 3 24 2 2" xfId="2395"/>
    <cellStyle name="40% - Акцент2 3 24 2 2 2" xfId="32901"/>
    <cellStyle name="40% - Акцент2 3 24 2 3" xfId="32902"/>
    <cellStyle name="40% - Акцент2 3 24 3" xfId="2396"/>
    <cellStyle name="40% - Акцент2 3 24 3 2" xfId="32903"/>
    <cellStyle name="40% - Акцент2 3 24 4" xfId="32904"/>
    <cellStyle name="40% - Акцент2 3 25" xfId="32905"/>
    <cellStyle name="40% - Акцент2 3 3" xfId="2397"/>
    <cellStyle name="40% - Акцент2 3 3 2" xfId="2398"/>
    <cellStyle name="40% - Акцент2 3 3 2 2" xfId="2399"/>
    <cellStyle name="40% - Акцент2 3 3 2 2 2" xfId="32906"/>
    <cellStyle name="40% - Акцент2 3 3 2 3" xfId="32907"/>
    <cellStyle name="40% - Акцент2 3 3 3" xfId="2400"/>
    <cellStyle name="40% - Акцент2 3 3 3 2" xfId="32908"/>
    <cellStyle name="40% - Акцент2 3 3 4" xfId="32909"/>
    <cellStyle name="40% - Акцент2 3 4" xfId="2401"/>
    <cellStyle name="40% - Акцент2 3 4 2" xfId="2402"/>
    <cellStyle name="40% - Акцент2 3 4 2 2" xfId="2403"/>
    <cellStyle name="40% - Акцент2 3 4 2 2 2" xfId="32910"/>
    <cellStyle name="40% - Акцент2 3 4 2 3" xfId="32911"/>
    <cellStyle name="40% - Акцент2 3 4 3" xfId="2404"/>
    <cellStyle name="40% - Акцент2 3 4 3 2" xfId="32912"/>
    <cellStyle name="40% - Акцент2 3 4 4" xfId="32913"/>
    <cellStyle name="40% - Акцент2 3 5" xfId="2405"/>
    <cellStyle name="40% - Акцент2 3 5 2" xfId="2406"/>
    <cellStyle name="40% - Акцент2 3 5 2 2" xfId="2407"/>
    <cellStyle name="40% - Акцент2 3 5 2 2 2" xfId="32914"/>
    <cellStyle name="40% - Акцент2 3 5 2 3" xfId="32915"/>
    <cellStyle name="40% - Акцент2 3 5 3" xfId="2408"/>
    <cellStyle name="40% - Акцент2 3 5 3 2" xfId="32916"/>
    <cellStyle name="40% - Акцент2 3 5 4" xfId="32917"/>
    <cellStyle name="40% - Акцент2 3 6" xfId="2409"/>
    <cellStyle name="40% - Акцент2 3 6 2" xfId="2410"/>
    <cellStyle name="40% - Акцент2 3 6 2 2" xfId="2411"/>
    <cellStyle name="40% - Акцент2 3 6 2 2 2" xfId="32918"/>
    <cellStyle name="40% - Акцент2 3 6 2 3" xfId="32919"/>
    <cellStyle name="40% - Акцент2 3 6 3" xfId="2412"/>
    <cellStyle name="40% - Акцент2 3 6 3 2" xfId="32920"/>
    <cellStyle name="40% - Акцент2 3 6 4" xfId="32921"/>
    <cellStyle name="40% - Акцент2 3 7" xfId="2413"/>
    <cellStyle name="40% - Акцент2 3 7 2" xfId="2414"/>
    <cellStyle name="40% - Акцент2 3 7 2 2" xfId="2415"/>
    <cellStyle name="40% - Акцент2 3 7 2 2 2" xfId="32922"/>
    <cellStyle name="40% - Акцент2 3 7 2 3" xfId="32923"/>
    <cellStyle name="40% - Акцент2 3 7 3" xfId="2416"/>
    <cellStyle name="40% - Акцент2 3 7 3 2" xfId="32924"/>
    <cellStyle name="40% - Акцент2 3 7 4" xfId="32925"/>
    <cellStyle name="40% - Акцент2 3 8" xfId="2417"/>
    <cellStyle name="40% - Акцент2 3 8 2" xfId="2418"/>
    <cellStyle name="40% - Акцент2 3 8 2 2" xfId="2419"/>
    <cellStyle name="40% - Акцент2 3 8 2 2 2" xfId="32926"/>
    <cellStyle name="40% - Акцент2 3 8 2 3" xfId="32927"/>
    <cellStyle name="40% - Акцент2 3 8 3" xfId="2420"/>
    <cellStyle name="40% - Акцент2 3 8 3 2" xfId="32928"/>
    <cellStyle name="40% - Акцент2 3 8 4" xfId="32929"/>
    <cellStyle name="40% - Акцент2 3 9" xfId="2421"/>
    <cellStyle name="40% - Акцент2 3 9 2" xfId="2422"/>
    <cellStyle name="40% - Акцент2 3 9 2 2" xfId="2423"/>
    <cellStyle name="40% - Акцент2 3 9 2 2 2" xfId="32930"/>
    <cellStyle name="40% - Акцент2 3 9 2 3" xfId="32931"/>
    <cellStyle name="40% - Акцент2 3 9 3" xfId="2424"/>
    <cellStyle name="40% - Акцент2 3 9 3 2" xfId="32932"/>
    <cellStyle name="40% - Акцент2 3 9 4" xfId="32933"/>
    <cellStyle name="40% - Акцент2 4" xfId="2425"/>
    <cellStyle name="40% - Акцент2 4 2" xfId="2426"/>
    <cellStyle name="40% - Акцент2 4 2 2" xfId="32934"/>
    <cellStyle name="40% - Акцент2 4 3" xfId="32935"/>
    <cellStyle name="40% - Акцент2 5" xfId="2427"/>
    <cellStyle name="40% - Акцент2 5 2" xfId="2428"/>
    <cellStyle name="40% - Акцент2 5 2 2" xfId="32936"/>
    <cellStyle name="40% - Акцент2 5 3" xfId="32937"/>
    <cellStyle name="40% - Акцент2 6" xfId="2429"/>
    <cellStyle name="40% - Акцент2 6 2" xfId="32938"/>
    <cellStyle name="40% - Акцент2 7" xfId="2430"/>
    <cellStyle name="40% - Акцент2 7 2" xfId="2431"/>
    <cellStyle name="40% - Акцент2 7 2 2" xfId="2432"/>
    <cellStyle name="40% - Акцент2 7 2 2 2" xfId="32939"/>
    <cellStyle name="40% - Акцент2 7 2 3" xfId="32940"/>
    <cellStyle name="40% - Акцент2 7 3" xfId="2433"/>
    <cellStyle name="40% - Акцент2 7 3 2" xfId="32941"/>
    <cellStyle name="40% - Акцент2 7 4" xfId="32942"/>
    <cellStyle name="40% - Акцент2 8" xfId="2434"/>
    <cellStyle name="40% - Акцент2 8 2" xfId="2435"/>
    <cellStyle name="40% - Акцент2 8 2 2" xfId="2436"/>
    <cellStyle name="40% - Акцент2 8 2 2 2" xfId="32943"/>
    <cellStyle name="40% - Акцент2 8 2 3" xfId="32944"/>
    <cellStyle name="40% - Акцент2 8 3" xfId="2437"/>
    <cellStyle name="40% - Акцент2 8 3 2" xfId="32945"/>
    <cellStyle name="40% - Акцент2 8 4" xfId="32946"/>
    <cellStyle name="40% - Акцент2 9" xfId="2438"/>
    <cellStyle name="40% - Акцент2 9 2" xfId="2439"/>
    <cellStyle name="40% - Акцент2 9 2 2" xfId="2440"/>
    <cellStyle name="40% - Акцент2 9 2 2 2" xfId="32947"/>
    <cellStyle name="40% - Акцент2 9 2 3" xfId="32948"/>
    <cellStyle name="40% - Акцент2 9 3" xfId="2441"/>
    <cellStyle name="40% - Акцент2 9 3 2" xfId="32949"/>
    <cellStyle name="40% - Акцент2 9 4" xfId="32950"/>
    <cellStyle name="40% - Акцент3 10" xfId="2442"/>
    <cellStyle name="40% - Акцент3 10 2" xfId="2443"/>
    <cellStyle name="40% - Акцент3 10 2 2" xfId="2444"/>
    <cellStyle name="40% - Акцент3 10 2 2 2" xfId="32951"/>
    <cellStyle name="40% - Акцент3 10 2 3" xfId="32952"/>
    <cellStyle name="40% - Акцент3 10 3" xfId="2445"/>
    <cellStyle name="40% - Акцент3 10 3 2" xfId="32953"/>
    <cellStyle name="40% - Акцент3 10 4" xfId="32954"/>
    <cellStyle name="40% - Акцент3 11" xfId="2446"/>
    <cellStyle name="40% - Акцент3 11 2" xfId="2447"/>
    <cellStyle name="40% - Акцент3 11 2 2" xfId="2448"/>
    <cellStyle name="40% - Акцент3 11 2 2 2" xfId="32955"/>
    <cellStyle name="40% - Акцент3 11 2 3" xfId="32956"/>
    <cellStyle name="40% - Акцент3 11 3" xfId="2449"/>
    <cellStyle name="40% - Акцент3 11 3 2" xfId="32957"/>
    <cellStyle name="40% - Акцент3 11 4" xfId="32958"/>
    <cellStyle name="40% - Акцент3 12" xfId="2450"/>
    <cellStyle name="40% - Акцент3 12 2" xfId="2451"/>
    <cellStyle name="40% - Акцент3 12 2 2" xfId="2452"/>
    <cellStyle name="40% - Акцент3 12 2 2 2" xfId="32959"/>
    <cellStyle name="40% - Акцент3 12 2 3" xfId="32960"/>
    <cellStyle name="40% - Акцент3 12 3" xfId="2453"/>
    <cellStyle name="40% - Акцент3 12 3 2" xfId="32961"/>
    <cellStyle name="40% - Акцент3 12 4" xfId="32962"/>
    <cellStyle name="40% - Акцент3 13" xfId="2454"/>
    <cellStyle name="40% - Акцент3 13 2" xfId="2455"/>
    <cellStyle name="40% - Акцент3 13 2 2" xfId="2456"/>
    <cellStyle name="40% - Акцент3 13 2 2 2" xfId="32963"/>
    <cellStyle name="40% - Акцент3 13 2 3" xfId="32964"/>
    <cellStyle name="40% - Акцент3 13 3" xfId="2457"/>
    <cellStyle name="40% - Акцент3 13 3 2" xfId="32965"/>
    <cellStyle name="40% - Акцент3 13 4" xfId="32966"/>
    <cellStyle name="40% - Акцент3 14" xfId="2458"/>
    <cellStyle name="40% - Акцент3 14 2" xfId="2459"/>
    <cellStyle name="40% - Акцент3 14 2 2" xfId="2460"/>
    <cellStyle name="40% - Акцент3 14 2 2 2" xfId="32967"/>
    <cellStyle name="40% - Акцент3 14 2 3" xfId="32968"/>
    <cellStyle name="40% - Акцент3 14 3" xfId="2461"/>
    <cellStyle name="40% - Акцент3 14 3 2" xfId="32969"/>
    <cellStyle name="40% - Акцент3 14 4" xfId="32970"/>
    <cellStyle name="40% - Акцент3 15" xfId="2462"/>
    <cellStyle name="40% - Акцент3 15 2" xfId="2463"/>
    <cellStyle name="40% - Акцент3 15 2 2" xfId="2464"/>
    <cellStyle name="40% - Акцент3 15 2 2 2" xfId="32971"/>
    <cellStyle name="40% - Акцент3 15 2 3" xfId="32972"/>
    <cellStyle name="40% - Акцент3 15 3" xfId="2465"/>
    <cellStyle name="40% - Акцент3 15 3 2" xfId="32973"/>
    <cellStyle name="40% - Акцент3 15 4" xfId="32974"/>
    <cellStyle name="40% - Акцент3 16" xfId="2466"/>
    <cellStyle name="40% - Акцент3 16 2" xfId="2467"/>
    <cellStyle name="40% - Акцент3 16 2 2" xfId="2468"/>
    <cellStyle name="40% - Акцент3 16 2 2 2" xfId="32975"/>
    <cellStyle name="40% - Акцент3 16 2 3" xfId="32976"/>
    <cellStyle name="40% - Акцент3 16 3" xfId="2469"/>
    <cellStyle name="40% - Акцент3 16 3 2" xfId="32977"/>
    <cellStyle name="40% - Акцент3 16 4" xfId="32978"/>
    <cellStyle name="40% - Акцент3 17" xfId="2470"/>
    <cellStyle name="40% - Акцент3 17 2" xfId="2471"/>
    <cellStyle name="40% - Акцент3 17 2 2" xfId="2472"/>
    <cellStyle name="40% - Акцент3 17 2 2 2" xfId="32979"/>
    <cellStyle name="40% - Акцент3 17 2 3" xfId="32980"/>
    <cellStyle name="40% - Акцент3 17 3" xfId="2473"/>
    <cellStyle name="40% - Акцент3 17 3 2" xfId="32981"/>
    <cellStyle name="40% - Акцент3 17 4" xfId="32982"/>
    <cellStyle name="40% - Акцент3 18" xfId="2474"/>
    <cellStyle name="40% - Акцент3 18 2" xfId="2475"/>
    <cellStyle name="40% - Акцент3 18 2 2" xfId="32983"/>
    <cellStyle name="40% - Акцент3 18 3" xfId="32984"/>
    <cellStyle name="40% - Акцент3 19" xfId="2476"/>
    <cellStyle name="40% - Акцент3 19 2" xfId="32985"/>
    <cellStyle name="40% - Акцент3 2" xfId="2477"/>
    <cellStyle name="40% - Акцент3 2 10" xfId="2478"/>
    <cellStyle name="40% - Акцент3 2 10 2" xfId="2479"/>
    <cellStyle name="40% - Акцент3 2 10 2 2" xfId="2480"/>
    <cellStyle name="40% - Акцент3 2 10 2 2 2" xfId="32986"/>
    <cellStyle name="40% - Акцент3 2 10 2 3" xfId="32987"/>
    <cellStyle name="40% - Акцент3 2 10 3" xfId="2481"/>
    <cellStyle name="40% - Акцент3 2 10 3 2" xfId="32988"/>
    <cellStyle name="40% - Акцент3 2 10 4" xfId="32989"/>
    <cellStyle name="40% - Акцент3 2 11" xfId="2482"/>
    <cellStyle name="40% - Акцент3 2 11 2" xfId="2483"/>
    <cellStyle name="40% - Акцент3 2 11 2 2" xfId="2484"/>
    <cellStyle name="40% - Акцент3 2 11 2 2 2" xfId="32990"/>
    <cellStyle name="40% - Акцент3 2 11 2 3" xfId="32991"/>
    <cellStyle name="40% - Акцент3 2 11 3" xfId="2485"/>
    <cellStyle name="40% - Акцент3 2 11 3 2" xfId="32992"/>
    <cellStyle name="40% - Акцент3 2 11 4" xfId="32993"/>
    <cellStyle name="40% - Акцент3 2 12" xfId="2486"/>
    <cellStyle name="40% - Акцент3 2 12 2" xfId="2487"/>
    <cellStyle name="40% - Акцент3 2 12 2 2" xfId="2488"/>
    <cellStyle name="40% - Акцент3 2 12 2 2 2" xfId="32994"/>
    <cellStyle name="40% - Акцент3 2 12 2 3" xfId="32995"/>
    <cellStyle name="40% - Акцент3 2 12 3" xfId="2489"/>
    <cellStyle name="40% - Акцент3 2 12 3 2" xfId="32996"/>
    <cellStyle name="40% - Акцент3 2 12 4" xfId="32997"/>
    <cellStyle name="40% - Акцент3 2 13" xfId="2490"/>
    <cellStyle name="40% - Акцент3 2 13 2" xfId="2491"/>
    <cellStyle name="40% - Акцент3 2 13 2 2" xfId="2492"/>
    <cellStyle name="40% - Акцент3 2 13 2 2 2" xfId="32998"/>
    <cellStyle name="40% - Акцент3 2 13 2 3" xfId="32999"/>
    <cellStyle name="40% - Акцент3 2 13 3" xfId="2493"/>
    <cellStyle name="40% - Акцент3 2 13 3 2" xfId="33000"/>
    <cellStyle name="40% - Акцент3 2 13 4" xfId="33001"/>
    <cellStyle name="40% - Акцент3 2 14" xfId="2494"/>
    <cellStyle name="40% - Акцент3 2 14 2" xfId="2495"/>
    <cellStyle name="40% - Акцент3 2 14 2 2" xfId="2496"/>
    <cellStyle name="40% - Акцент3 2 14 2 2 2" xfId="33002"/>
    <cellStyle name="40% - Акцент3 2 14 2 3" xfId="33003"/>
    <cellStyle name="40% - Акцент3 2 14 3" xfId="2497"/>
    <cellStyle name="40% - Акцент3 2 14 3 2" xfId="33004"/>
    <cellStyle name="40% - Акцент3 2 14 4" xfId="33005"/>
    <cellStyle name="40% - Акцент3 2 15" xfId="2498"/>
    <cellStyle name="40% - Акцент3 2 15 2" xfId="2499"/>
    <cellStyle name="40% - Акцент3 2 15 2 2" xfId="2500"/>
    <cellStyle name="40% - Акцент3 2 15 2 2 2" xfId="33006"/>
    <cellStyle name="40% - Акцент3 2 15 2 3" xfId="33007"/>
    <cellStyle name="40% - Акцент3 2 15 3" xfId="2501"/>
    <cellStyle name="40% - Акцент3 2 15 3 2" xfId="33008"/>
    <cellStyle name="40% - Акцент3 2 15 4" xfId="33009"/>
    <cellStyle name="40% - Акцент3 2 16" xfId="2502"/>
    <cellStyle name="40% - Акцент3 2 16 2" xfId="2503"/>
    <cellStyle name="40% - Акцент3 2 16 2 2" xfId="2504"/>
    <cellStyle name="40% - Акцент3 2 16 2 2 2" xfId="33010"/>
    <cellStyle name="40% - Акцент3 2 16 2 3" xfId="33011"/>
    <cellStyle name="40% - Акцент3 2 16 3" xfId="2505"/>
    <cellStyle name="40% - Акцент3 2 16 3 2" xfId="33012"/>
    <cellStyle name="40% - Акцент3 2 16 4" xfId="33013"/>
    <cellStyle name="40% - Акцент3 2 17" xfId="2506"/>
    <cellStyle name="40% - Акцент3 2 17 2" xfId="2507"/>
    <cellStyle name="40% - Акцент3 2 17 2 2" xfId="2508"/>
    <cellStyle name="40% - Акцент3 2 17 2 2 2" xfId="33014"/>
    <cellStyle name="40% - Акцент3 2 17 2 3" xfId="33015"/>
    <cellStyle name="40% - Акцент3 2 17 3" xfId="2509"/>
    <cellStyle name="40% - Акцент3 2 17 3 2" xfId="33016"/>
    <cellStyle name="40% - Акцент3 2 17 4" xfId="33017"/>
    <cellStyle name="40% - Акцент3 2 18" xfId="2510"/>
    <cellStyle name="40% - Акцент3 2 18 2" xfId="2511"/>
    <cellStyle name="40% - Акцент3 2 18 2 2" xfId="2512"/>
    <cellStyle name="40% - Акцент3 2 18 2 2 2" xfId="33018"/>
    <cellStyle name="40% - Акцент3 2 18 2 3" xfId="33019"/>
    <cellStyle name="40% - Акцент3 2 18 3" xfId="2513"/>
    <cellStyle name="40% - Акцент3 2 18 3 2" xfId="33020"/>
    <cellStyle name="40% - Акцент3 2 18 4" xfId="33021"/>
    <cellStyle name="40% - Акцент3 2 19" xfId="2514"/>
    <cellStyle name="40% - Акцент3 2 19 2" xfId="2515"/>
    <cellStyle name="40% - Акцент3 2 19 2 2" xfId="2516"/>
    <cellStyle name="40% - Акцент3 2 19 2 2 2" xfId="33022"/>
    <cellStyle name="40% - Акцент3 2 19 2 3" xfId="33023"/>
    <cellStyle name="40% - Акцент3 2 19 3" xfId="2517"/>
    <cellStyle name="40% - Акцент3 2 19 3 2" xfId="33024"/>
    <cellStyle name="40% - Акцент3 2 19 4" xfId="33025"/>
    <cellStyle name="40% - Акцент3 2 2" xfId="2518"/>
    <cellStyle name="40% - Акцент3 2 2 2" xfId="33026"/>
    <cellStyle name="40% - Акцент3 2 20" xfId="2519"/>
    <cellStyle name="40% - Акцент3 2 20 2" xfId="2520"/>
    <cellStyle name="40% - Акцент3 2 20 2 2" xfId="2521"/>
    <cellStyle name="40% - Акцент3 2 20 2 2 2" xfId="33027"/>
    <cellStyle name="40% - Акцент3 2 20 2 3" xfId="33028"/>
    <cellStyle name="40% - Акцент3 2 20 3" xfId="2522"/>
    <cellStyle name="40% - Акцент3 2 20 3 2" xfId="33029"/>
    <cellStyle name="40% - Акцент3 2 20 4" xfId="33030"/>
    <cellStyle name="40% - Акцент3 2 21" xfId="2523"/>
    <cellStyle name="40% - Акцент3 2 21 2" xfId="2524"/>
    <cellStyle name="40% - Акцент3 2 21 2 2" xfId="2525"/>
    <cellStyle name="40% - Акцент3 2 21 2 2 2" xfId="33031"/>
    <cellStyle name="40% - Акцент3 2 21 2 3" xfId="33032"/>
    <cellStyle name="40% - Акцент3 2 21 3" xfId="2526"/>
    <cellStyle name="40% - Акцент3 2 21 3 2" xfId="33033"/>
    <cellStyle name="40% - Акцент3 2 21 4" xfId="33034"/>
    <cellStyle name="40% - Акцент3 2 22" xfId="2527"/>
    <cellStyle name="40% - Акцент3 2 22 2" xfId="2528"/>
    <cellStyle name="40% - Акцент3 2 22 2 2" xfId="2529"/>
    <cellStyle name="40% - Акцент3 2 22 2 2 2" xfId="33035"/>
    <cellStyle name="40% - Акцент3 2 22 2 3" xfId="33036"/>
    <cellStyle name="40% - Акцент3 2 22 3" xfId="2530"/>
    <cellStyle name="40% - Акцент3 2 22 3 2" xfId="33037"/>
    <cellStyle name="40% - Акцент3 2 22 4" xfId="33038"/>
    <cellStyle name="40% - Акцент3 2 23" xfId="2531"/>
    <cellStyle name="40% - Акцент3 2 23 2" xfId="2532"/>
    <cellStyle name="40% - Акцент3 2 23 2 2" xfId="2533"/>
    <cellStyle name="40% - Акцент3 2 23 2 2 2" xfId="33039"/>
    <cellStyle name="40% - Акцент3 2 23 2 3" xfId="33040"/>
    <cellStyle name="40% - Акцент3 2 23 3" xfId="2534"/>
    <cellStyle name="40% - Акцент3 2 23 3 2" xfId="33041"/>
    <cellStyle name="40% - Акцент3 2 23 4" xfId="33042"/>
    <cellStyle name="40% - Акцент3 2 24" xfId="2535"/>
    <cellStyle name="40% - Акцент3 2 24 2" xfId="2536"/>
    <cellStyle name="40% - Акцент3 2 24 2 2" xfId="2537"/>
    <cellStyle name="40% - Акцент3 2 24 2 2 2" xfId="33043"/>
    <cellStyle name="40% - Акцент3 2 24 2 3" xfId="33044"/>
    <cellStyle name="40% - Акцент3 2 24 3" xfId="2538"/>
    <cellStyle name="40% - Акцент3 2 24 3 2" xfId="33045"/>
    <cellStyle name="40% - Акцент3 2 24 4" xfId="33046"/>
    <cellStyle name="40% - Акцент3 2 25" xfId="33047"/>
    <cellStyle name="40% - Акцент3 2 3" xfId="2539"/>
    <cellStyle name="40% - Акцент3 2 3 2" xfId="2540"/>
    <cellStyle name="40% - Акцент3 2 3 2 2" xfId="2541"/>
    <cellStyle name="40% - Акцент3 2 3 2 2 2" xfId="33048"/>
    <cellStyle name="40% - Акцент3 2 3 2 3" xfId="33049"/>
    <cellStyle name="40% - Акцент3 2 3 3" xfId="2542"/>
    <cellStyle name="40% - Акцент3 2 3 3 2" xfId="33050"/>
    <cellStyle name="40% - Акцент3 2 3 4" xfId="33051"/>
    <cellStyle name="40% - Акцент3 2 4" xfId="2543"/>
    <cellStyle name="40% - Акцент3 2 4 2" xfId="2544"/>
    <cellStyle name="40% - Акцент3 2 4 2 2" xfId="2545"/>
    <cellStyle name="40% - Акцент3 2 4 2 2 2" xfId="33052"/>
    <cellStyle name="40% - Акцент3 2 4 2 3" xfId="33053"/>
    <cellStyle name="40% - Акцент3 2 4 3" xfId="2546"/>
    <cellStyle name="40% - Акцент3 2 4 3 2" xfId="33054"/>
    <cellStyle name="40% - Акцент3 2 4 4" xfId="33055"/>
    <cellStyle name="40% - Акцент3 2 5" xfId="2547"/>
    <cellStyle name="40% - Акцент3 2 5 2" xfId="2548"/>
    <cellStyle name="40% - Акцент3 2 5 2 2" xfId="2549"/>
    <cellStyle name="40% - Акцент3 2 5 2 2 2" xfId="33056"/>
    <cellStyle name="40% - Акцент3 2 5 2 3" xfId="33057"/>
    <cellStyle name="40% - Акцент3 2 5 3" xfId="2550"/>
    <cellStyle name="40% - Акцент3 2 5 3 2" xfId="33058"/>
    <cellStyle name="40% - Акцент3 2 5 4" xfId="33059"/>
    <cellStyle name="40% - Акцент3 2 6" xfId="2551"/>
    <cellStyle name="40% - Акцент3 2 6 2" xfId="2552"/>
    <cellStyle name="40% - Акцент3 2 6 2 2" xfId="2553"/>
    <cellStyle name="40% - Акцент3 2 6 2 2 2" xfId="33060"/>
    <cellStyle name="40% - Акцент3 2 6 2 3" xfId="33061"/>
    <cellStyle name="40% - Акцент3 2 6 3" xfId="2554"/>
    <cellStyle name="40% - Акцент3 2 6 3 2" xfId="33062"/>
    <cellStyle name="40% - Акцент3 2 6 4" xfId="33063"/>
    <cellStyle name="40% - Акцент3 2 7" xfId="2555"/>
    <cellStyle name="40% - Акцент3 2 7 2" xfId="2556"/>
    <cellStyle name="40% - Акцент3 2 7 2 2" xfId="2557"/>
    <cellStyle name="40% - Акцент3 2 7 2 2 2" xfId="33064"/>
    <cellStyle name="40% - Акцент3 2 7 2 3" xfId="33065"/>
    <cellStyle name="40% - Акцент3 2 7 3" xfId="2558"/>
    <cellStyle name="40% - Акцент3 2 7 3 2" xfId="33066"/>
    <cellStyle name="40% - Акцент3 2 7 4" xfId="33067"/>
    <cellStyle name="40% - Акцент3 2 8" xfId="2559"/>
    <cellStyle name="40% - Акцент3 2 8 2" xfId="2560"/>
    <cellStyle name="40% - Акцент3 2 8 2 2" xfId="2561"/>
    <cellStyle name="40% - Акцент3 2 8 2 2 2" xfId="33068"/>
    <cellStyle name="40% - Акцент3 2 8 2 3" xfId="33069"/>
    <cellStyle name="40% - Акцент3 2 8 3" xfId="2562"/>
    <cellStyle name="40% - Акцент3 2 8 3 2" xfId="33070"/>
    <cellStyle name="40% - Акцент3 2 8 4" xfId="33071"/>
    <cellStyle name="40% - Акцент3 2 9" xfId="2563"/>
    <cellStyle name="40% - Акцент3 2 9 2" xfId="2564"/>
    <cellStyle name="40% - Акцент3 2 9 2 2" xfId="2565"/>
    <cellStyle name="40% - Акцент3 2 9 2 2 2" xfId="33072"/>
    <cellStyle name="40% - Акцент3 2 9 2 3" xfId="33073"/>
    <cellStyle name="40% - Акцент3 2 9 3" xfId="2566"/>
    <cellStyle name="40% - Акцент3 2 9 3 2" xfId="33074"/>
    <cellStyle name="40% - Акцент3 2 9 4" xfId="33075"/>
    <cellStyle name="40% - Акцент3 3" xfId="2567"/>
    <cellStyle name="40% - Акцент3 3 10" xfId="2568"/>
    <cellStyle name="40% - Акцент3 3 10 2" xfId="2569"/>
    <cellStyle name="40% - Акцент3 3 10 2 2" xfId="2570"/>
    <cellStyle name="40% - Акцент3 3 10 2 2 2" xfId="33076"/>
    <cellStyle name="40% - Акцент3 3 10 2 3" xfId="33077"/>
    <cellStyle name="40% - Акцент3 3 10 3" xfId="2571"/>
    <cellStyle name="40% - Акцент3 3 10 3 2" xfId="33078"/>
    <cellStyle name="40% - Акцент3 3 10 4" xfId="33079"/>
    <cellStyle name="40% - Акцент3 3 11" xfId="2572"/>
    <cellStyle name="40% - Акцент3 3 11 2" xfId="2573"/>
    <cellStyle name="40% - Акцент3 3 11 2 2" xfId="2574"/>
    <cellStyle name="40% - Акцент3 3 11 2 2 2" xfId="33080"/>
    <cellStyle name="40% - Акцент3 3 11 2 3" xfId="33081"/>
    <cellStyle name="40% - Акцент3 3 11 3" xfId="2575"/>
    <cellStyle name="40% - Акцент3 3 11 3 2" xfId="33082"/>
    <cellStyle name="40% - Акцент3 3 11 4" xfId="33083"/>
    <cellStyle name="40% - Акцент3 3 12" xfId="2576"/>
    <cellStyle name="40% - Акцент3 3 12 2" xfId="2577"/>
    <cellStyle name="40% - Акцент3 3 12 2 2" xfId="2578"/>
    <cellStyle name="40% - Акцент3 3 12 2 2 2" xfId="33084"/>
    <cellStyle name="40% - Акцент3 3 12 2 3" xfId="33085"/>
    <cellStyle name="40% - Акцент3 3 12 3" xfId="2579"/>
    <cellStyle name="40% - Акцент3 3 12 3 2" xfId="33086"/>
    <cellStyle name="40% - Акцент3 3 12 4" xfId="33087"/>
    <cellStyle name="40% - Акцент3 3 13" xfId="2580"/>
    <cellStyle name="40% - Акцент3 3 13 2" xfId="2581"/>
    <cellStyle name="40% - Акцент3 3 13 2 2" xfId="2582"/>
    <cellStyle name="40% - Акцент3 3 13 2 2 2" xfId="33088"/>
    <cellStyle name="40% - Акцент3 3 13 2 3" xfId="33089"/>
    <cellStyle name="40% - Акцент3 3 13 3" xfId="2583"/>
    <cellStyle name="40% - Акцент3 3 13 3 2" xfId="33090"/>
    <cellStyle name="40% - Акцент3 3 13 4" xfId="33091"/>
    <cellStyle name="40% - Акцент3 3 14" xfId="2584"/>
    <cellStyle name="40% - Акцент3 3 14 2" xfId="2585"/>
    <cellStyle name="40% - Акцент3 3 14 2 2" xfId="2586"/>
    <cellStyle name="40% - Акцент3 3 14 2 2 2" xfId="33092"/>
    <cellStyle name="40% - Акцент3 3 14 2 3" xfId="33093"/>
    <cellStyle name="40% - Акцент3 3 14 3" xfId="2587"/>
    <cellStyle name="40% - Акцент3 3 14 3 2" xfId="33094"/>
    <cellStyle name="40% - Акцент3 3 14 4" xfId="33095"/>
    <cellStyle name="40% - Акцент3 3 15" xfId="2588"/>
    <cellStyle name="40% - Акцент3 3 15 2" xfId="2589"/>
    <cellStyle name="40% - Акцент3 3 15 2 2" xfId="2590"/>
    <cellStyle name="40% - Акцент3 3 15 2 2 2" xfId="33096"/>
    <cellStyle name="40% - Акцент3 3 15 2 3" xfId="33097"/>
    <cellStyle name="40% - Акцент3 3 15 3" xfId="2591"/>
    <cellStyle name="40% - Акцент3 3 15 3 2" xfId="33098"/>
    <cellStyle name="40% - Акцент3 3 15 4" xfId="33099"/>
    <cellStyle name="40% - Акцент3 3 16" xfId="2592"/>
    <cellStyle name="40% - Акцент3 3 16 2" xfId="2593"/>
    <cellStyle name="40% - Акцент3 3 16 2 2" xfId="2594"/>
    <cellStyle name="40% - Акцент3 3 16 2 2 2" xfId="33100"/>
    <cellStyle name="40% - Акцент3 3 16 2 3" xfId="33101"/>
    <cellStyle name="40% - Акцент3 3 16 3" xfId="2595"/>
    <cellStyle name="40% - Акцент3 3 16 3 2" xfId="33102"/>
    <cellStyle name="40% - Акцент3 3 16 4" xfId="33103"/>
    <cellStyle name="40% - Акцент3 3 17" xfId="2596"/>
    <cellStyle name="40% - Акцент3 3 17 2" xfId="2597"/>
    <cellStyle name="40% - Акцент3 3 17 2 2" xfId="2598"/>
    <cellStyle name="40% - Акцент3 3 17 2 2 2" xfId="33104"/>
    <cellStyle name="40% - Акцент3 3 17 2 3" xfId="33105"/>
    <cellStyle name="40% - Акцент3 3 17 3" xfId="2599"/>
    <cellStyle name="40% - Акцент3 3 17 3 2" xfId="33106"/>
    <cellStyle name="40% - Акцент3 3 17 4" xfId="33107"/>
    <cellStyle name="40% - Акцент3 3 18" xfId="2600"/>
    <cellStyle name="40% - Акцент3 3 18 2" xfId="2601"/>
    <cellStyle name="40% - Акцент3 3 18 2 2" xfId="2602"/>
    <cellStyle name="40% - Акцент3 3 18 2 2 2" xfId="33108"/>
    <cellStyle name="40% - Акцент3 3 18 2 3" xfId="33109"/>
    <cellStyle name="40% - Акцент3 3 18 3" xfId="2603"/>
    <cellStyle name="40% - Акцент3 3 18 3 2" xfId="33110"/>
    <cellStyle name="40% - Акцент3 3 18 4" xfId="33111"/>
    <cellStyle name="40% - Акцент3 3 19" xfId="2604"/>
    <cellStyle name="40% - Акцент3 3 19 2" xfId="2605"/>
    <cellStyle name="40% - Акцент3 3 19 2 2" xfId="2606"/>
    <cellStyle name="40% - Акцент3 3 19 2 2 2" xfId="33112"/>
    <cellStyle name="40% - Акцент3 3 19 2 3" xfId="33113"/>
    <cellStyle name="40% - Акцент3 3 19 3" xfId="2607"/>
    <cellStyle name="40% - Акцент3 3 19 3 2" xfId="33114"/>
    <cellStyle name="40% - Акцент3 3 19 4" xfId="33115"/>
    <cellStyle name="40% - Акцент3 3 2" xfId="2608"/>
    <cellStyle name="40% - Акцент3 3 2 2" xfId="33116"/>
    <cellStyle name="40% - Акцент3 3 20" xfId="2609"/>
    <cellStyle name="40% - Акцент3 3 20 2" xfId="2610"/>
    <cellStyle name="40% - Акцент3 3 20 2 2" xfId="2611"/>
    <cellStyle name="40% - Акцент3 3 20 2 2 2" xfId="33117"/>
    <cellStyle name="40% - Акцент3 3 20 2 3" xfId="33118"/>
    <cellStyle name="40% - Акцент3 3 20 3" xfId="2612"/>
    <cellStyle name="40% - Акцент3 3 20 3 2" xfId="33119"/>
    <cellStyle name="40% - Акцент3 3 20 4" xfId="33120"/>
    <cellStyle name="40% - Акцент3 3 21" xfId="2613"/>
    <cellStyle name="40% - Акцент3 3 21 2" xfId="2614"/>
    <cellStyle name="40% - Акцент3 3 21 2 2" xfId="2615"/>
    <cellStyle name="40% - Акцент3 3 21 2 2 2" xfId="33121"/>
    <cellStyle name="40% - Акцент3 3 21 2 3" xfId="33122"/>
    <cellStyle name="40% - Акцент3 3 21 3" xfId="2616"/>
    <cellStyle name="40% - Акцент3 3 21 3 2" xfId="33123"/>
    <cellStyle name="40% - Акцент3 3 21 4" xfId="33124"/>
    <cellStyle name="40% - Акцент3 3 22" xfId="2617"/>
    <cellStyle name="40% - Акцент3 3 22 2" xfId="2618"/>
    <cellStyle name="40% - Акцент3 3 22 2 2" xfId="2619"/>
    <cellStyle name="40% - Акцент3 3 22 2 2 2" xfId="33125"/>
    <cellStyle name="40% - Акцент3 3 22 2 3" xfId="33126"/>
    <cellStyle name="40% - Акцент3 3 22 3" xfId="2620"/>
    <cellStyle name="40% - Акцент3 3 22 3 2" xfId="33127"/>
    <cellStyle name="40% - Акцент3 3 22 4" xfId="33128"/>
    <cellStyle name="40% - Акцент3 3 23" xfId="2621"/>
    <cellStyle name="40% - Акцент3 3 23 2" xfId="2622"/>
    <cellStyle name="40% - Акцент3 3 23 2 2" xfId="2623"/>
    <cellStyle name="40% - Акцент3 3 23 2 2 2" xfId="33129"/>
    <cellStyle name="40% - Акцент3 3 23 2 3" xfId="33130"/>
    <cellStyle name="40% - Акцент3 3 23 3" xfId="2624"/>
    <cellStyle name="40% - Акцент3 3 23 3 2" xfId="33131"/>
    <cellStyle name="40% - Акцент3 3 23 4" xfId="33132"/>
    <cellStyle name="40% - Акцент3 3 24" xfId="2625"/>
    <cellStyle name="40% - Акцент3 3 24 2" xfId="2626"/>
    <cellStyle name="40% - Акцент3 3 24 2 2" xfId="2627"/>
    <cellStyle name="40% - Акцент3 3 24 2 2 2" xfId="33133"/>
    <cellStyle name="40% - Акцент3 3 24 2 3" xfId="33134"/>
    <cellStyle name="40% - Акцент3 3 24 3" xfId="2628"/>
    <cellStyle name="40% - Акцент3 3 24 3 2" xfId="33135"/>
    <cellStyle name="40% - Акцент3 3 24 4" xfId="33136"/>
    <cellStyle name="40% - Акцент3 3 25" xfId="33137"/>
    <cellStyle name="40% - Акцент3 3 3" xfId="2629"/>
    <cellStyle name="40% - Акцент3 3 3 2" xfId="2630"/>
    <cellStyle name="40% - Акцент3 3 3 2 2" xfId="2631"/>
    <cellStyle name="40% - Акцент3 3 3 2 2 2" xfId="33138"/>
    <cellStyle name="40% - Акцент3 3 3 2 3" xfId="33139"/>
    <cellStyle name="40% - Акцент3 3 3 3" xfId="2632"/>
    <cellStyle name="40% - Акцент3 3 3 3 2" xfId="33140"/>
    <cellStyle name="40% - Акцент3 3 3 4" xfId="33141"/>
    <cellStyle name="40% - Акцент3 3 4" xfId="2633"/>
    <cellStyle name="40% - Акцент3 3 4 2" xfId="2634"/>
    <cellStyle name="40% - Акцент3 3 4 2 2" xfId="2635"/>
    <cellStyle name="40% - Акцент3 3 4 2 2 2" xfId="33142"/>
    <cellStyle name="40% - Акцент3 3 4 2 3" xfId="33143"/>
    <cellStyle name="40% - Акцент3 3 4 3" xfId="2636"/>
    <cellStyle name="40% - Акцент3 3 4 3 2" xfId="33144"/>
    <cellStyle name="40% - Акцент3 3 4 4" xfId="33145"/>
    <cellStyle name="40% - Акцент3 3 5" xfId="2637"/>
    <cellStyle name="40% - Акцент3 3 5 2" xfId="2638"/>
    <cellStyle name="40% - Акцент3 3 5 2 2" xfId="2639"/>
    <cellStyle name="40% - Акцент3 3 5 2 2 2" xfId="33146"/>
    <cellStyle name="40% - Акцент3 3 5 2 3" xfId="33147"/>
    <cellStyle name="40% - Акцент3 3 5 3" xfId="2640"/>
    <cellStyle name="40% - Акцент3 3 5 3 2" xfId="33148"/>
    <cellStyle name="40% - Акцент3 3 5 4" xfId="33149"/>
    <cellStyle name="40% - Акцент3 3 6" xfId="2641"/>
    <cellStyle name="40% - Акцент3 3 6 2" xfId="2642"/>
    <cellStyle name="40% - Акцент3 3 6 2 2" xfId="2643"/>
    <cellStyle name="40% - Акцент3 3 6 2 2 2" xfId="33150"/>
    <cellStyle name="40% - Акцент3 3 6 2 3" xfId="33151"/>
    <cellStyle name="40% - Акцент3 3 6 3" xfId="2644"/>
    <cellStyle name="40% - Акцент3 3 6 3 2" xfId="33152"/>
    <cellStyle name="40% - Акцент3 3 6 4" xfId="33153"/>
    <cellStyle name="40% - Акцент3 3 7" xfId="2645"/>
    <cellStyle name="40% - Акцент3 3 7 2" xfId="2646"/>
    <cellStyle name="40% - Акцент3 3 7 2 2" xfId="2647"/>
    <cellStyle name="40% - Акцент3 3 7 2 2 2" xfId="33154"/>
    <cellStyle name="40% - Акцент3 3 7 2 3" xfId="33155"/>
    <cellStyle name="40% - Акцент3 3 7 3" xfId="2648"/>
    <cellStyle name="40% - Акцент3 3 7 3 2" xfId="33156"/>
    <cellStyle name="40% - Акцент3 3 7 4" xfId="33157"/>
    <cellStyle name="40% - Акцент3 3 8" xfId="2649"/>
    <cellStyle name="40% - Акцент3 3 8 2" xfId="2650"/>
    <cellStyle name="40% - Акцент3 3 8 2 2" xfId="2651"/>
    <cellStyle name="40% - Акцент3 3 8 2 2 2" xfId="33158"/>
    <cellStyle name="40% - Акцент3 3 8 2 3" xfId="33159"/>
    <cellStyle name="40% - Акцент3 3 8 3" xfId="2652"/>
    <cellStyle name="40% - Акцент3 3 8 3 2" xfId="33160"/>
    <cellStyle name="40% - Акцент3 3 8 4" xfId="33161"/>
    <cellStyle name="40% - Акцент3 3 9" xfId="2653"/>
    <cellStyle name="40% - Акцент3 3 9 2" xfId="2654"/>
    <cellStyle name="40% - Акцент3 3 9 2 2" xfId="2655"/>
    <cellStyle name="40% - Акцент3 3 9 2 2 2" xfId="33162"/>
    <cellStyle name="40% - Акцент3 3 9 2 3" xfId="33163"/>
    <cellStyle name="40% - Акцент3 3 9 3" xfId="2656"/>
    <cellStyle name="40% - Акцент3 3 9 3 2" xfId="33164"/>
    <cellStyle name="40% - Акцент3 3 9 4" xfId="33165"/>
    <cellStyle name="40% - Акцент3 4" xfId="2657"/>
    <cellStyle name="40% - Акцент3 4 10" xfId="2658"/>
    <cellStyle name="40% - Акцент3 4 10 2" xfId="2659"/>
    <cellStyle name="40% - Акцент3 4 10 2 2" xfId="2660"/>
    <cellStyle name="40% - Акцент3 4 10 2 2 2" xfId="33166"/>
    <cellStyle name="40% - Акцент3 4 10 2 3" xfId="33167"/>
    <cellStyle name="40% - Акцент3 4 10 3" xfId="2661"/>
    <cellStyle name="40% - Акцент3 4 10 3 2" xfId="33168"/>
    <cellStyle name="40% - Акцент3 4 10 4" xfId="33169"/>
    <cellStyle name="40% - Акцент3 4 11" xfId="2662"/>
    <cellStyle name="40% - Акцент3 4 11 2" xfId="2663"/>
    <cellStyle name="40% - Акцент3 4 11 2 2" xfId="2664"/>
    <cellStyle name="40% - Акцент3 4 11 2 2 2" xfId="33170"/>
    <cellStyle name="40% - Акцент3 4 11 2 3" xfId="33171"/>
    <cellStyle name="40% - Акцент3 4 11 3" xfId="2665"/>
    <cellStyle name="40% - Акцент3 4 11 3 2" xfId="33172"/>
    <cellStyle name="40% - Акцент3 4 11 4" xfId="33173"/>
    <cellStyle name="40% - Акцент3 4 12" xfId="2666"/>
    <cellStyle name="40% - Акцент3 4 12 2" xfId="2667"/>
    <cellStyle name="40% - Акцент3 4 12 2 2" xfId="2668"/>
    <cellStyle name="40% - Акцент3 4 12 2 2 2" xfId="33174"/>
    <cellStyle name="40% - Акцент3 4 12 2 3" xfId="33175"/>
    <cellStyle name="40% - Акцент3 4 12 3" xfId="2669"/>
    <cellStyle name="40% - Акцент3 4 12 3 2" xfId="33176"/>
    <cellStyle name="40% - Акцент3 4 12 4" xfId="33177"/>
    <cellStyle name="40% - Акцент3 4 13" xfId="2670"/>
    <cellStyle name="40% - Акцент3 4 13 2" xfId="2671"/>
    <cellStyle name="40% - Акцент3 4 13 2 2" xfId="2672"/>
    <cellStyle name="40% - Акцент3 4 13 2 2 2" xfId="33178"/>
    <cellStyle name="40% - Акцент3 4 13 2 3" xfId="33179"/>
    <cellStyle name="40% - Акцент3 4 13 3" xfId="2673"/>
    <cellStyle name="40% - Акцент3 4 13 3 2" xfId="33180"/>
    <cellStyle name="40% - Акцент3 4 13 4" xfId="33181"/>
    <cellStyle name="40% - Акцент3 4 14" xfId="2674"/>
    <cellStyle name="40% - Акцент3 4 14 2" xfId="2675"/>
    <cellStyle name="40% - Акцент3 4 14 2 2" xfId="2676"/>
    <cellStyle name="40% - Акцент3 4 14 2 2 2" xfId="33182"/>
    <cellStyle name="40% - Акцент3 4 14 2 3" xfId="33183"/>
    <cellStyle name="40% - Акцент3 4 14 3" xfId="2677"/>
    <cellStyle name="40% - Акцент3 4 14 3 2" xfId="33184"/>
    <cellStyle name="40% - Акцент3 4 14 4" xfId="33185"/>
    <cellStyle name="40% - Акцент3 4 15" xfId="2678"/>
    <cellStyle name="40% - Акцент3 4 15 2" xfId="2679"/>
    <cellStyle name="40% - Акцент3 4 15 2 2" xfId="2680"/>
    <cellStyle name="40% - Акцент3 4 15 2 2 2" xfId="33186"/>
    <cellStyle name="40% - Акцент3 4 15 2 3" xfId="33187"/>
    <cellStyle name="40% - Акцент3 4 15 3" xfId="2681"/>
    <cellStyle name="40% - Акцент3 4 15 3 2" xfId="33188"/>
    <cellStyle name="40% - Акцент3 4 15 4" xfId="33189"/>
    <cellStyle name="40% - Акцент3 4 16" xfId="2682"/>
    <cellStyle name="40% - Акцент3 4 16 2" xfId="2683"/>
    <cellStyle name="40% - Акцент3 4 16 2 2" xfId="2684"/>
    <cellStyle name="40% - Акцент3 4 16 2 2 2" xfId="33190"/>
    <cellStyle name="40% - Акцент3 4 16 2 3" xfId="33191"/>
    <cellStyle name="40% - Акцент3 4 16 3" xfId="2685"/>
    <cellStyle name="40% - Акцент3 4 16 3 2" xfId="33192"/>
    <cellStyle name="40% - Акцент3 4 16 4" xfId="33193"/>
    <cellStyle name="40% - Акцент3 4 17" xfId="2686"/>
    <cellStyle name="40% - Акцент3 4 17 2" xfId="2687"/>
    <cellStyle name="40% - Акцент3 4 17 2 2" xfId="2688"/>
    <cellStyle name="40% - Акцент3 4 17 2 2 2" xfId="33194"/>
    <cellStyle name="40% - Акцент3 4 17 2 3" xfId="33195"/>
    <cellStyle name="40% - Акцент3 4 17 3" xfId="2689"/>
    <cellStyle name="40% - Акцент3 4 17 3 2" xfId="33196"/>
    <cellStyle name="40% - Акцент3 4 17 4" xfId="33197"/>
    <cellStyle name="40% - Акцент3 4 18" xfId="2690"/>
    <cellStyle name="40% - Акцент3 4 18 2" xfId="2691"/>
    <cellStyle name="40% - Акцент3 4 18 2 2" xfId="2692"/>
    <cellStyle name="40% - Акцент3 4 18 2 2 2" xfId="33198"/>
    <cellStyle name="40% - Акцент3 4 18 2 3" xfId="33199"/>
    <cellStyle name="40% - Акцент3 4 18 3" xfId="2693"/>
    <cellStyle name="40% - Акцент3 4 18 3 2" xfId="33200"/>
    <cellStyle name="40% - Акцент3 4 18 4" xfId="33201"/>
    <cellStyle name="40% - Акцент3 4 19" xfId="2694"/>
    <cellStyle name="40% - Акцент3 4 19 2" xfId="2695"/>
    <cellStyle name="40% - Акцент3 4 19 2 2" xfId="2696"/>
    <cellStyle name="40% - Акцент3 4 19 2 2 2" xfId="33202"/>
    <cellStyle name="40% - Акцент3 4 19 2 3" xfId="33203"/>
    <cellStyle name="40% - Акцент3 4 19 3" xfId="2697"/>
    <cellStyle name="40% - Акцент3 4 19 3 2" xfId="33204"/>
    <cellStyle name="40% - Акцент3 4 19 4" xfId="33205"/>
    <cellStyle name="40% - Акцент3 4 2" xfId="2698"/>
    <cellStyle name="40% - Акцент3 4 2 2" xfId="33206"/>
    <cellStyle name="40% - Акцент3 4 20" xfId="2699"/>
    <cellStyle name="40% - Акцент3 4 20 2" xfId="2700"/>
    <cellStyle name="40% - Акцент3 4 20 2 2" xfId="2701"/>
    <cellStyle name="40% - Акцент3 4 20 2 2 2" xfId="33207"/>
    <cellStyle name="40% - Акцент3 4 20 2 3" xfId="33208"/>
    <cellStyle name="40% - Акцент3 4 20 3" xfId="2702"/>
    <cellStyle name="40% - Акцент3 4 20 3 2" xfId="33209"/>
    <cellStyle name="40% - Акцент3 4 20 4" xfId="33210"/>
    <cellStyle name="40% - Акцент3 4 21" xfId="2703"/>
    <cellStyle name="40% - Акцент3 4 21 2" xfId="2704"/>
    <cellStyle name="40% - Акцент3 4 21 2 2" xfId="2705"/>
    <cellStyle name="40% - Акцент3 4 21 2 2 2" xfId="33211"/>
    <cellStyle name="40% - Акцент3 4 21 2 3" xfId="33212"/>
    <cellStyle name="40% - Акцент3 4 21 3" xfId="2706"/>
    <cellStyle name="40% - Акцент3 4 21 3 2" xfId="33213"/>
    <cellStyle name="40% - Акцент3 4 21 4" xfId="33214"/>
    <cellStyle name="40% - Акцент3 4 22" xfId="2707"/>
    <cellStyle name="40% - Акцент3 4 22 2" xfId="2708"/>
    <cellStyle name="40% - Акцент3 4 22 2 2" xfId="2709"/>
    <cellStyle name="40% - Акцент3 4 22 2 2 2" xfId="33215"/>
    <cellStyle name="40% - Акцент3 4 22 2 3" xfId="33216"/>
    <cellStyle name="40% - Акцент3 4 22 3" xfId="2710"/>
    <cellStyle name="40% - Акцент3 4 22 3 2" xfId="33217"/>
    <cellStyle name="40% - Акцент3 4 22 4" xfId="33218"/>
    <cellStyle name="40% - Акцент3 4 23" xfId="2711"/>
    <cellStyle name="40% - Акцент3 4 23 2" xfId="2712"/>
    <cellStyle name="40% - Акцент3 4 23 2 2" xfId="2713"/>
    <cellStyle name="40% - Акцент3 4 23 2 2 2" xfId="33219"/>
    <cellStyle name="40% - Акцент3 4 23 2 3" xfId="33220"/>
    <cellStyle name="40% - Акцент3 4 23 3" xfId="2714"/>
    <cellStyle name="40% - Акцент3 4 23 3 2" xfId="33221"/>
    <cellStyle name="40% - Акцент3 4 23 4" xfId="33222"/>
    <cellStyle name="40% - Акцент3 4 24" xfId="2715"/>
    <cellStyle name="40% - Акцент3 4 24 2" xfId="2716"/>
    <cellStyle name="40% - Акцент3 4 24 2 2" xfId="2717"/>
    <cellStyle name="40% - Акцент3 4 24 2 2 2" xfId="33223"/>
    <cellStyle name="40% - Акцент3 4 24 2 3" xfId="33224"/>
    <cellStyle name="40% - Акцент3 4 24 3" xfId="2718"/>
    <cellStyle name="40% - Акцент3 4 24 3 2" xfId="33225"/>
    <cellStyle name="40% - Акцент3 4 24 4" xfId="33226"/>
    <cellStyle name="40% - Акцент3 4 25" xfId="33227"/>
    <cellStyle name="40% - Акцент3 4 3" xfId="2719"/>
    <cellStyle name="40% - Акцент3 4 3 2" xfId="2720"/>
    <cellStyle name="40% - Акцент3 4 3 2 2" xfId="2721"/>
    <cellStyle name="40% - Акцент3 4 3 2 2 2" xfId="33228"/>
    <cellStyle name="40% - Акцент3 4 3 2 3" xfId="33229"/>
    <cellStyle name="40% - Акцент3 4 3 3" xfId="2722"/>
    <cellStyle name="40% - Акцент3 4 3 3 2" xfId="33230"/>
    <cellStyle name="40% - Акцент3 4 3 4" xfId="33231"/>
    <cellStyle name="40% - Акцент3 4 4" xfId="2723"/>
    <cellStyle name="40% - Акцент3 4 4 2" xfId="2724"/>
    <cellStyle name="40% - Акцент3 4 4 2 2" xfId="2725"/>
    <cellStyle name="40% - Акцент3 4 4 2 2 2" xfId="33232"/>
    <cellStyle name="40% - Акцент3 4 4 2 3" xfId="33233"/>
    <cellStyle name="40% - Акцент3 4 4 3" xfId="2726"/>
    <cellStyle name="40% - Акцент3 4 4 3 2" xfId="33234"/>
    <cellStyle name="40% - Акцент3 4 4 4" xfId="33235"/>
    <cellStyle name="40% - Акцент3 4 5" xfId="2727"/>
    <cellStyle name="40% - Акцент3 4 5 2" xfId="2728"/>
    <cellStyle name="40% - Акцент3 4 5 2 2" xfId="2729"/>
    <cellStyle name="40% - Акцент3 4 5 2 2 2" xfId="33236"/>
    <cellStyle name="40% - Акцент3 4 5 2 3" xfId="33237"/>
    <cellStyle name="40% - Акцент3 4 5 3" xfId="2730"/>
    <cellStyle name="40% - Акцент3 4 5 3 2" xfId="33238"/>
    <cellStyle name="40% - Акцент3 4 5 4" xfId="33239"/>
    <cellStyle name="40% - Акцент3 4 6" xfId="2731"/>
    <cellStyle name="40% - Акцент3 4 6 2" xfId="2732"/>
    <cellStyle name="40% - Акцент3 4 6 2 2" xfId="2733"/>
    <cellStyle name="40% - Акцент3 4 6 2 2 2" xfId="33240"/>
    <cellStyle name="40% - Акцент3 4 6 2 3" xfId="33241"/>
    <cellStyle name="40% - Акцент3 4 6 3" xfId="2734"/>
    <cellStyle name="40% - Акцент3 4 6 3 2" xfId="33242"/>
    <cellStyle name="40% - Акцент3 4 6 4" xfId="33243"/>
    <cellStyle name="40% - Акцент3 4 7" xfId="2735"/>
    <cellStyle name="40% - Акцент3 4 7 2" xfId="2736"/>
    <cellStyle name="40% - Акцент3 4 7 2 2" xfId="2737"/>
    <cellStyle name="40% - Акцент3 4 7 2 2 2" xfId="33244"/>
    <cellStyle name="40% - Акцент3 4 7 2 3" xfId="33245"/>
    <cellStyle name="40% - Акцент3 4 7 3" xfId="2738"/>
    <cellStyle name="40% - Акцент3 4 7 3 2" xfId="33246"/>
    <cellStyle name="40% - Акцент3 4 7 4" xfId="33247"/>
    <cellStyle name="40% - Акцент3 4 8" xfId="2739"/>
    <cellStyle name="40% - Акцент3 4 8 2" xfId="2740"/>
    <cellStyle name="40% - Акцент3 4 8 2 2" xfId="2741"/>
    <cellStyle name="40% - Акцент3 4 8 2 2 2" xfId="33248"/>
    <cellStyle name="40% - Акцент3 4 8 2 3" xfId="33249"/>
    <cellStyle name="40% - Акцент3 4 8 3" xfId="2742"/>
    <cellStyle name="40% - Акцент3 4 8 3 2" xfId="33250"/>
    <cellStyle name="40% - Акцент3 4 8 4" xfId="33251"/>
    <cellStyle name="40% - Акцент3 4 9" xfId="2743"/>
    <cellStyle name="40% - Акцент3 4 9 2" xfId="2744"/>
    <cellStyle name="40% - Акцент3 4 9 2 2" xfId="2745"/>
    <cellStyle name="40% - Акцент3 4 9 2 2 2" xfId="33252"/>
    <cellStyle name="40% - Акцент3 4 9 2 3" xfId="33253"/>
    <cellStyle name="40% - Акцент3 4 9 3" xfId="2746"/>
    <cellStyle name="40% - Акцент3 4 9 3 2" xfId="33254"/>
    <cellStyle name="40% - Акцент3 4 9 4" xfId="33255"/>
    <cellStyle name="40% - Акцент3 5" xfId="2747"/>
    <cellStyle name="40% - Акцент3 5 2" xfId="2748"/>
    <cellStyle name="40% - Акцент3 5 2 2" xfId="33256"/>
    <cellStyle name="40% - Акцент3 5 3" xfId="33257"/>
    <cellStyle name="40% - Акцент3 6" xfId="2749"/>
    <cellStyle name="40% - Акцент3 6 2" xfId="33258"/>
    <cellStyle name="40% - Акцент3 7" xfId="2750"/>
    <cellStyle name="40% - Акцент3 7 2" xfId="2751"/>
    <cellStyle name="40% - Акцент3 7 2 2" xfId="2752"/>
    <cellStyle name="40% - Акцент3 7 2 2 2" xfId="33259"/>
    <cellStyle name="40% - Акцент3 7 2 3" xfId="33260"/>
    <cellStyle name="40% - Акцент3 7 3" xfId="2753"/>
    <cellStyle name="40% - Акцент3 7 3 2" xfId="33261"/>
    <cellStyle name="40% - Акцент3 7 4" xfId="33262"/>
    <cellStyle name="40% - Акцент3 8" xfId="2754"/>
    <cellStyle name="40% - Акцент3 8 2" xfId="2755"/>
    <cellStyle name="40% - Акцент3 8 2 2" xfId="2756"/>
    <cellStyle name="40% - Акцент3 8 2 2 2" xfId="33263"/>
    <cellStyle name="40% - Акцент3 8 2 3" xfId="33264"/>
    <cellStyle name="40% - Акцент3 8 3" xfId="2757"/>
    <cellStyle name="40% - Акцент3 8 3 2" xfId="33265"/>
    <cellStyle name="40% - Акцент3 8 4" xfId="33266"/>
    <cellStyle name="40% - Акцент3 9" xfId="2758"/>
    <cellStyle name="40% - Акцент3 9 2" xfId="2759"/>
    <cellStyle name="40% - Акцент3 9 2 2" xfId="2760"/>
    <cellStyle name="40% - Акцент3 9 2 2 2" xfId="33267"/>
    <cellStyle name="40% - Акцент3 9 2 3" xfId="33268"/>
    <cellStyle name="40% - Акцент3 9 3" xfId="2761"/>
    <cellStyle name="40% - Акцент3 9 3 2" xfId="33269"/>
    <cellStyle name="40% - Акцент3 9 4" xfId="33270"/>
    <cellStyle name="40% - Акцент4 10" xfId="2762"/>
    <cellStyle name="40% - Акцент4 10 2" xfId="2763"/>
    <cellStyle name="40% - Акцент4 10 2 2" xfId="2764"/>
    <cellStyle name="40% - Акцент4 10 2 2 2" xfId="33271"/>
    <cellStyle name="40% - Акцент4 10 2 3" xfId="33272"/>
    <cellStyle name="40% - Акцент4 10 3" xfId="2765"/>
    <cellStyle name="40% - Акцент4 10 3 2" xfId="33273"/>
    <cellStyle name="40% - Акцент4 10 4" xfId="33274"/>
    <cellStyle name="40% - Акцент4 11" xfId="2766"/>
    <cellStyle name="40% - Акцент4 11 2" xfId="2767"/>
    <cellStyle name="40% - Акцент4 11 2 2" xfId="2768"/>
    <cellStyle name="40% - Акцент4 11 2 2 2" xfId="33275"/>
    <cellStyle name="40% - Акцент4 11 2 3" xfId="33276"/>
    <cellStyle name="40% - Акцент4 11 3" xfId="2769"/>
    <cellStyle name="40% - Акцент4 11 3 2" xfId="33277"/>
    <cellStyle name="40% - Акцент4 11 4" xfId="33278"/>
    <cellStyle name="40% - Акцент4 12" xfId="2770"/>
    <cellStyle name="40% - Акцент4 12 2" xfId="2771"/>
    <cellStyle name="40% - Акцент4 12 2 2" xfId="2772"/>
    <cellStyle name="40% - Акцент4 12 2 2 2" xfId="33279"/>
    <cellStyle name="40% - Акцент4 12 2 3" xfId="33280"/>
    <cellStyle name="40% - Акцент4 12 3" xfId="2773"/>
    <cellStyle name="40% - Акцент4 12 3 2" xfId="33281"/>
    <cellStyle name="40% - Акцент4 12 4" xfId="33282"/>
    <cellStyle name="40% - Акцент4 13" xfId="2774"/>
    <cellStyle name="40% - Акцент4 13 2" xfId="2775"/>
    <cellStyle name="40% - Акцент4 13 2 2" xfId="2776"/>
    <cellStyle name="40% - Акцент4 13 2 2 2" xfId="33283"/>
    <cellStyle name="40% - Акцент4 13 2 3" xfId="33284"/>
    <cellStyle name="40% - Акцент4 13 3" xfId="2777"/>
    <cellStyle name="40% - Акцент4 13 3 2" xfId="33285"/>
    <cellStyle name="40% - Акцент4 13 4" xfId="33286"/>
    <cellStyle name="40% - Акцент4 14" xfId="2778"/>
    <cellStyle name="40% - Акцент4 14 2" xfId="2779"/>
    <cellStyle name="40% - Акцент4 14 2 2" xfId="2780"/>
    <cellStyle name="40% - Акцент4 14 2 2 2" xfId="33287"/>
    <cellStyle name="40% - Акцент4 14 2 3" xfId="33288"/>
    <cellStyle name="40% - Акцент4 14 3" xfId="2781"/>
    <cellStyle name="40% - Акцент4 14 3 2" xfId="33289"/>
    <cellStyle name="40% - Акцент4 14 4" xfId="33290"/>
    <cellStyle name="40% - Акцент4 15" xfId="2782"/>
    <cellStyle name="40% - Акцент4 15 2" xfId="2783"/>
    <cellStyle name="40% - Акцент4 15 2 2" xfId="2784"/>
    <cellStyle name="40% - Акцент4 15 2 2 2" xfId="33291"/>
    <cellStyle name="40% - Акцент4 15 2 3" xfId="33292"/>
    <cellStyle name="40% - Акцент4 15 3" xfId="2785"/>
    <cellStyle name="40% - Акцент4 15 3 2" xfId="33293"/>
    <cellStyle name="40% - Акцент4 15 4" xfId="33294"/>
    <cellStyle name="40% - Акцент4 16" xfId="2786"/>
    <cellStyle name="40% - Акцент4 16 2" xfId="2787"/>
    <cellStyle name="40% - Акцент4 16 2 2" xfId="2788"/>
    <cellStyle name="40% - Акцент4 16 2 2 2" xfId="33295"/>
    <cellStyle name="40% - Акцент4 16 2 3" xfId="33296"/>
    <cellStyle name="40% - Акцент4 16 3" xfId="2789"/>
    <cellStyle name="40% - Акцент4 16 3 2" xfId="33297"/>
    <cellStyle name="40% - Акцент4 16 4" xfId="33298"/>
    <cellStyle name="40% - Акцент4 17" xfId="2790"/>
    <cellStyle name="40% - Акцент4 17 2" xfId="2791"/>
    <cellStyle name="40% - Акцент4 17 2 2" xfId="2792"/>
    <cellStyle name="40% - Акцент4 17 2 2 2" xfId="33299"/>
    <cellStyle name="40% - Акцент4 17 2 3" xfId="33300"/>
    <cellStyle name="40% - Акцент4 17 3" xfId="2793"/>
    <cellStyle name="40% - Акцент4 17 3 2" xfId="33301"/>
    <cellStyle name="40% - Акцент4 17 4" xfId="33302"/>
    <cellStyle name="40% - Акцент4 18" xfId="2794"/>
    <cellStyle name="40% - Акцент4 18 2" xfId="2795"/>
    <cellStyle name="40% - Акцент4 18 2 2" xfId="33303"/>
    <cellStyle name="40% - Акцент4 18 3" xfId="33304"/>
    <cellStyle name="40% - Акцент4 19" xfId="2796"/>
    <cellStyle name="40% - Акцент4 19 2" xfId="33305"/>
    <cellStyle name="40% - Акцент4 2" xfId="2797"/>
    <cellStyle name="40% - Акцент4 2 10" xfId="2798"/>
    <cellStyle name="40% - Акцент4 2 10 2" xfId="2799"/>
    <cellStyle name="40% - Акцент4 2 10 2 2" xfId="2800"/>
    <cellStyle name="40% - Акцент4 2 10 2 2 2" xfId="33306"/>
    <cellStyle name="40% - Акцент4 2 10 2 3" xfId="33307"/>
    <cellStyle name="40% - Акцент4 2 10 3" xfId="2801"/>
    <cellStyle name="40% - Акцент4 2 10 3 2" xfId="33308"/>
    <cellStyle name="40% - Акцент4 2 10 4" xfId="33309"/>
    <cellStyle name="40% - Акцент4 2 11" xfId="2802"/>
    <cellStyle name="40% - Акцент4 2 11 2" xfId="2803"/>
    <cellStyle name="40% - Акцент4 2 11 2 2" xfId="2804"/>
    <cellStyle name="40% - Акцент4 2 11 2 2 2" xfId="33310"/>
    <cellStyle name="40% - Акцент4 2 11 2 3" xfId="33311"/>
    <cellStyle name="40% - Акцент4 2 11 3" xfId="2805"/>
    <cellStyle name="40% - Акцент4 2 11 3 2" xfId="33312"/>
    <cellStyle name="40% - Акцент4 2 11 4" xfId="33313"/>
    <cellStyle name="40% - Акцент4 2 12" xfId="2806"/>
    <cellStyle name="40% - Акцент4 2 12 2" xfId="2807"/>
    <cellStyle name="40% - Акцент4 2 12 2 2" xfId="2808"/>
    <cellStyle name="40% - Акцент4 2 12 2 2 2" xfId="33314"/>
    <cellStyle name="40% - Акцент4 2 12 2 3" xfId="33315"/>
    <cellStyle name="40% - Акцент4 2 12 3" xfId="2809"/>
    <cellStyle name="40% - Акцент4 2 12 3 2" xfId="33316"/>
    <cellStyle name="40% - Акцент4 2 12 4" xfId="33317"/>
    <cellStyle name="40% - Акцент4 2 13" xfId="2810"/>
    <cellStyle name="40% - Акцент4 2 13 2" xfId="2811"/>
    <cellStyle name="40% - Акцент4 2 13 2 2" xfId="2812"/>
    <cellStyle name="40% - Акцент4 2 13 2 2 2" xfId="33318"/>
    <cellStyle name="40% - Акцент4 2 13 2 3" xfId="33319"/>
    <cellStyle name="40% - Акцент4 2 13 3" xfId="2813"/>
    <cellStyle name="40% - Акцент4 2 13 3 2" xfId="33320"/>
    <cellStyle name="40% - Акцент4 2 13 4" xfId="33321"/>
    <cellStyle name="40% - Акцент4 2 14" xfId="2814"/>
    <cellStyle name="40% - Акцент4 2 14 2" xfId="2815"/>
    <cellStyle name="40% - Акцент4 2 14 2 2" xfId="2816"/>
    <cellStyle name="40% - Акцент4 2 14 2 2 2" xfId="33322"/>
    <cellStyle name="40% - Акцент4 2 14 2 3" xfId="33323"/>
    <cellStyle name="40% - Акцент4 2 14 3" xfId="2817"/>
    <cellStyle name="40% - Акцент4 2 14 3 2" xfId="33324"/>
    <cellStyle name="40% - Акцент4 2 14 4" xfId="33325"/>
    <cellStyle name="40% - Акцент4 2 15" xfId="2818"/>
    <cellStyle name="40% - Акцент4 2 15 2" xfId="2819"/>
    <cellStyle name="40% - Акцент4 2 15 2 2" xfId="2820"/>
    <cellStyle name="40% - Акцент4 2 15 2 2 2" xfId="33326"/>
    <cellStyle name="40% - Акцент4 2 15 2 3" xfId="33327"/>
    <cellStyle name="40% - Акцент4 2 15 3" xfId="2821"/>
    <cellStyle name="40% - Акцент4 2 15 3 2" xfId="33328"/>
    <cellStyle name="40% - Акцент4 2 15 4" xfId="33329"/>
    <cellStyle name="40% - Акцент4 2 16" xfId="2822"/>
    <cellStyle name="40% - Акцент4 2 16 2" xfId="2823"/>
    <cellStyle name="40% - Акцент4 2 16 2 2" xfId="2824"/>
    <cellStyle name="40% - Акцент4 2 16 2 2 2" xfId="33330"/>
    <cellStyle name="40% - Акцент4 2 16 2 3" xfId="33331"/>
    <cellStyle name="40% - Акцент4 2 16 3" xfId="2825"/>
    <cellStyle name="40% - Акцент4 2 16 3 2" xfId="33332"/>
    <cellStyle name="40% - Акцент4 2 16 4" xfId="33333"/>
    <cellStyle name="40% - Акцент4 2 17" xfId="2826"/>
    <cellStyle name="40% - Акцент4 2 17 2" xfId="2827"/>
    <cellStyle name="40% - Акцент4 2 17 2 2" xfId="2828"/>
    <cellStyle name="40% - Акцент4 2 17 2 2 2" xfId="33334"/>
    <cellStyle name="40% - Акцент4 2 17 2 3" xfId="33335"/>
    <cellStyle name="40% - Акцент4 2 17 3" xfId="2829"/>
    <cellStyle name="40% - Акцент4 2 17 3 2" xfId="33336"/>
    <cellStyle name="40% - Акцент4 2 17 4" xfId="33337"/>
    <cellStyle name="40% - Акцент4 2 18" xfId="2830"/>
    <cellStyle name="40% - Акцент4 2 18 2" xfId="2831"/>
    <cellStyle name="40% - Акцент4 2 18 2 2" xfId="2832"/>
    <cellStyle name="40% - Акцент4 2 18 2 2 2" xfId="33338"/>
    <cellStyle name="40% - Акцент4 2 18 2 3" xfId="33339"/>
    <cellStyle name="40% - Акцент4 2 18 3" xfId="2833"/>
    <cellStyle name="40% - Акцент4 2 18 3 2" xfId="33340"/>
    <cellStyle name="40% - Акцент4 2 18 4" xfId="33341"/>
    <cellStyle name="40% - Акцент4 2 19" xfId="2834"/>
    <cellStyle name="40% - Акцент4 2 19 2" xfId="2835"/>
    <cellStyle name="40% - Акцент4 2 19 2 2" xfId="2836"/>
    <cellStyle name="40% - Акцент4 2 19 2 2 2" xfId="33342"/>
    <cellStyle name="40% - Акцент4 2 19 2 3" xfId="33343"/>
    <cellStyle name="40% - Акцент4 2 19 3" xfId="2837"/>
    <cellStyle name="40% - Акцент4 2 19 3 2" xfId="33344"/>
    <cellStyle name="40% - Акцент4 2 19 4" xfId="33345"/>
    <cellStyle name="40% - Акцент4 2 2" xfId="2838"/>
    <cellStyle name="40% - Акцент4 2 2 2" xfId="33346"/>
    <cellStyle name="40% - Акцент4 2 20" xfId="2839"/>
    <cellStyle name="40% - Акцент4 2 20 2" xfId="2840"/>
    <cellStyle name="40% - Акцент4 2 20 2 2" xfId="2841"/>
    <cellStyle name="40% - Акцент4 2 20 2 2 2" xfId="33347"/>
    <cellStyle name="40% - Акцент4 2 20 2 3" xfId="33348"/>
    <cellStyle name="40% - Акцент4 2 20 3" xfId="2842"/>
    <cellStyle name="40% - Акцент4 2 20 3 2" xfId="33349"/>
    <cellStyle name="40% - Акцент4 2 20 4" xfId="33350"/>
    <cellStyle name="40% - Акцент4 2 21" xfId="2843"/>
    <cellStyle name="40% - Акцент4 2 21 2" xfId="2844"/>
    <cellStyle name="40% - Акцент4 2 21 2 2" xfId="2845"/>
    <cellStyle name="40% - Акцент4 2 21 2 2 2" xfId="33351"/>
    <cellStyle name="40% - Акцент4 2 21 2 3" xfId="33352"/>
    <cellStyle name="40% - Акцент4 2 21 3" xfId="2846"/>
    <cellStyle name="40% - Акцент4 2 21 3 2" xfId="33353"/>
    <cellStyle name="40% - Акцент4 2 21 4" xfId="33354"/>
    <cellStyle name="40% - Акцент4 2 22" xfId="2847"/>
    <cellStyle name="40% - Акцент4 2 22 2" xfId="2848"/>
    <cellStyle name="40% - Акцент4 2 22 2 2" xfId="2849"/>
    <cellStyle name="40% - Акцент4 2 22 2 2 2" xfId="33355"/>
    <cellStyle name="40% - Акцент4 2 22 2 3" xfId="33356"/>
    <cellStyle name="40% - Акцент4 2 22 3" xfId="2850"/>
    <cellStyle name="40% - Акцент4 2 22 3 2" xfId="33357"/>
    <cellStyle name="40% - Акцент4 2 22 4" xfId="33358"/>
    <cellStyle name="40% - Акцент4 2 23" xfId="2851"/>
    <cellStyle name="40% - Акцент4 2 23 2" xfId="2852"/>
    <cellStyle name="40% - Акцент4 2 23 2 2" xfId="2853"/>
    <cellStyle name="40% - Акцент4 2 23 2 2 2" xfId="33359"/>
    <cellStyle name="40% - Акцент4 2 23 2 3" xfId="33360"/>
    <cellStyle name="40% - Акцент4 2 23 3" xfId="2854"/>
    <cellStyle name="40% - Акцент4 2 23 3 2" xfId="33361"/>
    <cellStyle name="40% - Акцент4 2 23 4" xfId="33362"/>
    <cellStyle name="40% - Акцент4 2 24" xfId="2855"/>
    <cellStyle name="40% - Акцент4 2 24 2" xfId="2856"/>
    <cellStyle name="40% - Акцент4 2 24 2 2" xfId="2857"/>
    <cellStyle name="40% - Акцент4 2 24 2 2 2" xfId="33363"/>
    <cellStyle name="40% - Акцент4 2 24 2 3" xfId="33364"/>
    <cellStyle name="40% - Акцент4 2 24 3" xfId="2858"/>
    <cellStyle name="40% - Акцент4 2 24 3 2" xfId="33365"/>
    <cellStyle name="40% - Акцент4 2 24 4" xfId="33366"/>
    <cellStyle name="40% - Акцент4 2 25" xfId="33367"/>
    <cellStyle name="40% - Акцент4 2 3" xfId="2859"/>
    <cellStyle name="40% - Акцент4 2 3 2" xfId="2860"/>
    <cellStyle name="40% - Акцент4 2 3 2 2" xfId="2861"/>
    <cellStyle name="40% - Акцент4 2 3 2 2 2" xfId="33368"/>
    <cellStyle name="40% - Акцент4 2 3 2 3" xfId="33369"/>
    <cellStyle name="40% - Акцент4 2 3 3" xfId="2862"/>
    <cellStyle name="40% - Акцент4 2 3 3 2" xfId="33370"/>
    <cellStyle name="40% - Акцент4 2 3 4" xfId="33371"/>
    <cellStyle name="40% - Акцент4 2 4" xfId="2863"/>
    <cellStyle name="40% - Акцент4 2 4 2" xfId="2864"/>
    <cellStyle name="40% - Акцент4 2 4 2 2" xfId="2865"/>
    <cellStyle name="40% - Акцент4 2 4 2 2 2" xfId="33372"/>
    <cellStyle name="40% - Акцент4 2 4 2 3" xfId="33373"/>
    <cellStyle name="40% - Акцент4 2 4 3" xfId="2866"/>
    <cellStyle name="40% - Акцент4 2 4 3 2" xfId="33374"/>
    <cellStyle name="40% - Акцент4 2 4 4" xfId="33375"/>
    <cellStyle name="40% - Акцент4 2 5" xfId="2867"/>
    <cellStyle name="40% - Акцент4 2 5 2" xfId="2868"/>
    <cellStyle name="40% - Акцент4 2 5 2 2" xfId="2869"/>
    <cellStyle name="40% - Акцент4 2 5 2 2 2" xfId="33376"/>
    <cellStyle name="40% - Акцент4 2 5 2 3" xfId="33377"/>
    <cellStyle name="40% - Акцент4 2 5 3" xfId="2870"/>
    <cellStyle name="40% - Акцент4 2 5 3 2" xfId="33378"/>
    <cellStyle name="40% - Акцент4 2 5 4" xfId="33379"/>
    <cellStyle name="40% - Акцент4 2 6" xfId="2871"/>
    <cellStyle name="40% - Акцент4 2 6 2" xfId="2872"/>
    <cellStyle name="40% - Акцент4 2 6 2 2" xfId="2873"/>
    <cellStyle name="40% - Акцент4 2 6 2 2 2" xfId="33380"/>
    <cellStyle name="40% - Акцент4 2 6 2 3" xfId="33381"/>
    <cellStyle name="40% - Акцент4 2 6 3" xfId="2874"/>
    <cellStyle name="40% - Акцент4 2 6 3 2" xfId="33382"/>
    <cellStyle name="40% - Акцент4 2 6 4" xfId="33383"/>
    <cellStyle name="40% - Акцент4 2 7" xfId="2875"/>
    <cellStyle name="40% - Акцент4 2 7 2" xfId="2876"/>
    <cellStyle name="40% - Акцент4 2 7 2 2" xfId="2877"/>
    <cellStyle name="40% - Акцент4 2 7 2 2 2" xfId="33384"/>
    <cellStyle name="40% - Акцент4 2 7 2 3" xfId="33385"/>
    <cellStyle name="40% - Акцент4 2 7 3" xfId="2878"/>
    <cellStyle name="40% - Акцент4 2 7 3 2" xfId="33386"/>
    <cellStyle name="40% - Акцент4 2 7 4" xfId="33387"/>
    <cellStyle name="40% - Акцент4 2 8" xfId="2879"/>
    <cellStyle name="40% - Акцент4 2 8 2" xfId="2880"/>
    <cellStyle name="40% - Акцент4 2 8 2 2" xfId="2881"/>
    <cellStyle name="40% - Акцент4 2 8 2 2 2" xfId="33388"/>
    <cellStyle name="40% - Акцент4 2 8 2 3" xfId="33389"/>
    <cellStyle name="40% - Акцент4 2 8 3" xfId="2882"/>
    <cellStyle name="40% - Акцент4 2 8 3 2" xfId="33390"/>
    <cellStyle name="40% - Акцент4 2 8 4" xfId="33391"/>
    <cellStyle name="40% - Акцент4 2 9" xfId="2883"/>
    <cellStyle name="40% - Акцент4 2 9 2" xfId="2884"/>
    <cellStyle name="40% - Акцент4 2 9 2 2" xfId="2885"/>
    <cellStyle name="40% - Акцент4 2 9 2 2 2" xfId="33392"/>
    <cellStyle name="40% - Акцент4 2 9 2 3" xfId="33393"/>
    <cellStyle name="40% - Акцент4 2 9 3" xfId="2886"/>
    <cellStyle name="40% - Акцент4 2 9 3 2" xfId="33394"/>
    <cellStyle name="40% - Акцент4 2 9 4" xfId="33395"/>
    <cellStyle name="40% - Акцент4 3" xfId="2887"/>
    <cellStyle name="40% - Акцент4 3 10" xfId="2888"/>
    <cellStyle name="40% - Акцент4 3 10 2" xfId="2889"/>
    <cellStyle name="40% - Акцент4 3 10 2 2" xfId="2890"/>
    <cellStyle name="40% - Акцент4 3 10 2 2 2" xfId="33396"/>
    <cellStyle name="40% - Акцент4 3 10 2 3" xfId="33397"/>
    <cellStyle name="40% - Акцент4 3 10 3" xfId="2891"/>
    <cellStyle name="40% - Акцент4 3 10 3 2" xfId="33398"/>
    <cellStyle name="40% - Акцент4 3 10 4" xfId="33399"/>
    <cellStyle name="40% - Акцент4 3 11" xfId="2892"/>
    <cellStyle name="40% - Акцент4 3 11 2" xfId="2893"/>
    <cellStyle name="40% - Акцент4 3 11 2 2" xfId="2894"/>
    <cellStyle name="40% - Акцент4 3 11 2 2 2" xfId="33400"/>
    <cellStyle name="40% - Акцент4 3 11 2 3" xfId="33401"/>
    <cellStyle name="40% - Акцент4 3 11 3" xfId="2895"/>
    <cellStyle name="40% - Акцент4 3 11 3 2" xfId="33402"/>
    <cellStyle name="40% - Акцент4 3 11 4" xfId="33403"/>
    <cellStyle name="40% - Акцент4 3 12" xfId="2896"/>
    <cellStyle name="40% - Акцент4 3 12 2" xfId="2897"/>
    <cellStyle name="40% - Акцент4 3 12 2 2" xfId="2898"/>
    <cellStyle name="40% - Акцент4 3 12 2 2 2" xfId="33404"/>
    <cellStyle name="40% - Акцент4 3 12 2 3" xfId="33405"/>
    <cellStyle name="40% - Акцент4 3 12 3" xfId="2899"/>
    <cellStyle name="40% - Акцент4 3 12 3 2" xfId="33406"/>
    <cellStyle name="40% - Акцент4 3 12 4" xfId="33407"/>
    <cellStyle name="40% - Акцент4 3 13" xfId="2900"/>
    <cellStyle name="40% - Акцент4 3 13 2" xfId="2901"/>
    <cellStyle name="40% - Акцент4 3 13 2 2" xfId="2902"/>
    <cellStyle name="40% - Акцент4 3 13 2 2 2" xfId="33408"/>
    <cellStyle name="40% - Акцент4 3 13 2 3" xfId="33409"/>
    <cellStyle name="40% - Акцент4 3 13 3" xfId="2903"/>
    <cellStyle name="40% - Акцент4 3 13 3 2" xfId="33410"/>
    <cellStyle name="40% - Акцент4 3 13 4" xfId="33411"/>
    <cellStyle name="40% - Акцент4 3 14" xfId="2904"/>
    <cellStyle name="40% - Акцент4 3 14 2" xfId="2905"/>
    <cellStyle name="40% - Акцент4 3 14 2 2" xfId="2906"/>
    <cellStyle name="40% - Акцент4 3 14 2 2 2" xfId="33412"/>
    <cellStyle name="40% - Акцент4 3 14 2 3" xfId="33413"/>
    <cellStyle name="40% - Акцент4 3 14 3" xfId="2907"/>
    <cellStyle name="40% - Акцент4 3 14 3 2" xfId="33414"/>
    <cellStyle name="40% - Акцент4 3 14 4" xfId="33415"/>
    <cellStyle name="40% - Акцент4 3 15" xfId="2908"/>
    <cellStyle name="40% - Акцент4 3 15 2" xfId="2909"/>
    <cellStyle name="40% - Акцент4 3 15 2 2" xfId="2910"/>
    <cellStyle name="40% - Акцент4 3 15 2 2 2" xfId="33416"/>
    <cellStyle name="40% - Акцент4 3 15 2 3" xfId="33417"/>
    <cellStyle name="40% - Акцент4 3 15 3" xfId="2911"/>
    <cellStyle name="40% - Акцент4 3 15 3 2" xfId="33418"/>
    <cellStyle name="40% - Акцент4 3 15 4" xfId="33419"/>
    <cellStyle name="40% - Акцент4 3 16" xfId="2912"/>
    <cellStyle name="40% - Акцент4 3 16 2" xfId="2913"/>
    <cellStyle name="40% - Акцент4 3 16 2 2" xfId="2914"/>
    <cellStyle name="40% - Акцент4 3 16 2 2 2" xfId="33420"/>
    <cellStyle name="40% - Акцент4 3 16 2 3" xfId="33421"/>
    <cellStyle name="40% - Акцент4 3 16 3" xfId="2915"/>
    <cellStyle name="40% - Акцент4 3 16 3 2" xfId="33422"/>
    <cellStyle name="40% - Акцент4 3 16 4" xfId="33423"/>
    <cellStyle name="40% - Акцент4 3 17" xfId="2916"/>
    <cellStyle name="40% - Акцент4 3 17 2" xfId="2917"/>
    <cellStyle name="40% - Акцент4 3 17 2 2" xfId="2918"/>
    <cellStyle name="40% - Акцент4 3 17 2 2 2" xfId="33424"/>
    <cellStyle name="40% - Акцент4 3 17 2 3" xfId="33425"/>
    <cellStyle name="40% - Акцент4 3 17 3" xfId="2919"/>
    <cellStyle name="40% - Акцент4 3 17 3 2" xfId="33426"/>
    <cellStyle name="40% - Акцент4 3 17 4" xfId="33427"/>
    <cellStyle name="40% - Акцент4 3 18" xfId="2920"/>
    <cellStyle name="40% - Акцент4 3 18 2" xfId="2921"/>
    <cellStyle name="40% - Акцент4 3 18 2 2" xfId="2922"/>
    <cellStyle name="40% - Акцент4 3 18 2 2 2" xfId="33428"/>
    <cellStyle name="40% - Акцент4 3 18 2 3" xfId="33429"/>
    <cellStyle name="40% - Акцент4 3 18 3" xfId="2923"/>
    <cellStyle name="40% - Акцент4 3 18 3 2" xfId="33430"/>
    <cellStyle name="40% - Акцент4 3 18 4" xfId="33431"/>
    <cellStyle name="40% - Акцент4 3 19" xfId="2924"/>
    <cellStyle name="40% - Акцент4 3 19 2" xfId="2925"/>
    <cellStyle name="40% - Акцент4 3 19 2 2" xfId="2926"/>
    <cellStyle name="40% - Акцент4 3 19 2 2 2" xfId="33432"/>
    <cellStyle name="40% - Акцент4 3 19 2 3" xfId="33433"/>
    <cellStyle name="40% - Акцент4 3 19 3" xfId="2927"/>
    <cellStyle name="40% - Акцент4 3 19 3 2" xfId="33434"/>
    <cellStyle name="40% - Акцент4 3 19 4" xfId="33435"/>
    <cellStyle name="40% - Акцент4 3 2" xfId="2928"/>
    <cellStyle name="40% - Акцент4 3 2 2" xfId="33436"/>
    <cellStyle name="40% - Акцент4 3 20" xfId="2929"/>
    <cellStyle name="40% - Акцент4 3 20 2" xfId="2930"/>
    <cellStyle name="40% - Акцент4 3 20 2 2" xfId="2931"/>
    <cellStyle name="40% - Акцент4 3 20 2 2 2" xfId="33437"/>
    <cellStyle name="40% - Акцент4 3 20 2 3" xfId="33438"/>
    <cellStyle name="40% - Акцент4 3 20 3" xfId="2932"/>
    <cellStyle name="40% - Акцент4 3 20 3 2" xfId="33439"/>
    <cellStyle name="40% - Акцент4 3 20 4" xfId="33440"/>
    <cellStyle name="40% - Акцент4 3 21" xfId="2933"/>
    <cellStyle name="40% - Акцент4 3 21 2" xfId="2934"/>
    <cellStyle name="40% - Акцент4 3 21 2 2" xfId="2935"/>
    <cellStyle name="40% - Акцент4 3 21 2 2 2" xfId="33441"/>
    <cellStyle name="40% - Акцент4 3 21 2 3" xfId="33442"/>
    <cellStyle name="40% - Акцент4 3 21 3" xfId="2936"/>
    <cellStyle name="40% - Акцент4 3 21 3 2" xfId="33443"/>
    <cellStyle name="40% - Акцент4 3 21 4" xfId="33444"/>
    <cellStyle name="40% - Акцент4 3 22" xfId="2937"/>
    <cellStyle name="40% - Акцент4 3 22 2" xfId="2938"/>
    <cellStyle name="40% - Акцент4 3 22 2 2" xfId="2939"/>
    <cellStyle name="40% - Акцент4 3 22 2 2 2" xfId="33445"/>
    <cellStyle name="40% - Акцент4 3 22 2 3" xfId="33446"/>
    <cellStyle name="40% - Акцент4 3 22 3" xfId="2940"/>
    <cellStyle name="40% - Акцент4 3 22 3 2" xfId="33447"/>
    <cellStyle name="40% - Акцент4 3 22 4" xfId="33448"/>
    <cellStyle name="40% - Акцент4 3 23" xfId="2941"/>
    <cellStyle name="40% - Акцент4 3 23 2" xfId="2942"/>
    <cellStyle name="40% - Акцент4 3 23 2 2" xfId="2943"/>
    <cellStyle name="40% - Акцент4 3 23 2 2 2" xfId="33449"/>
    <cellStyle name="40% - Акцент4 3 23 2 3" xfId="33450"/>
    <cellStyle name="40% - Акцент4 3 23 3" xfId="2944"/>
    <cellStyle name="40% - Акцент4 3 23 3 2" xfId="33451"/>
    <cellStyle name="40% - Акцент4 3 23 4" xfId="33452"/>
    <cellStyle name="40% - Акцент4 3 24" xfId="2945"/>
    <cellStyle name="40% - Акцент4 3 24 2" xfId="2946"/>
    <cellStyle name="40% - Акцент4 3 24 2 2" xfId="2947"/>
    <cellStyle name="40% - Акцент4 3 24 2 2 2" xfId="33453"/>
    <cellStyle name="40% - Акцент4 3 24 2 3" xfId="33454"/>
    <cellStyle name="40% - Акцент4 3 24 3" xfId="2948"/>
    <cellStyle name="40% - Акцент4 3 24 3 2" xfId="33455"/>
    <cellStyle name="40% - Акцент4 3 24 4" xfId="33456"/>
    <cellStyle name="40% - Акцент4 3 25" xfId="33457"/>
    <cellStyle name="40% - Акцент4 3 3" xfId="2949"/>
    <cellStyle name="40% - Акцент4 3 3 2" xfId="2950"/>
    <cellStyle name="40% - Акцент4 3 3 2 2" xfId="2951"/>
    <cellStyle name="40% - Акцент4 3 3 2 2 2" xfId="33458"/>
    <cellStyle name="40% - Акцент4 3 3 2 3" xfId="33459"/>
    <cellStyle name="40% - Акцент4 3 3 3" xfId="2952"/>
    <cellStyle name="40% - Акцент4 3 3 3 2" xfId="33460"/>
    <cellStyle name="40% - Акцент4 3 3 4" xfId="33461"/>
    <cellStyle name="40% - Акцент4 3 4" xfId="2953"/>
    <cellStyle name="40% - Акцент4 3 4 2" xfId="2954"/>
    <cellStyle name="40% - Акцент4 3 4 2 2" xfId="2955"/>
    <cellStyle name="40% - Акцент4 3 4 2 2 2" xfId="33462"/>
    <cellStyle name="40% - Акцент4 3 4 2 3" xfId="33463"/>
    <cellStyle name="40% - Акцент4 3 4 3" xfId="2956"/>
    <cellStyle name="40% - Акцент4 3 4 3 2" xfId="33464"/>
    <cellStyle name="40% - Акцент4 3 4 4" xfId="33465"/>
    <cellStyle name="40% - Акцент4 3 5" xfId="2957"/>
    <cellStyle name="40% - Акцент4 3 5 2" xfId="2958"/>
    <cellStyle name="40% - Акцент4 3 5 2 2" xfId="2959"/>
    <cellStyle name="40% - Акцент4 3 5 2 2 2" xfId="33466"/>
    <cellStyle name="40% - Акцент4 3 5 2 3" xfId="33467"/>
    <cellStyle name="40% - Акцент4 3 5 3" xfId="2960"/>
    <cellStyle name="40% - Акцент4 3 5 3 2" xfId="33468"/>
    <cellStyle name="40% - Акцент4 3 5 4" xfId="33469"/>
    <cellStyle name="40% - Акцент4 3 6" xfId="2961"/>
    <cellStyle name="40% - Акцент4 3 6 2" xfId="2962"/>
    <cellStyle name="40% - Акцент4 3 6 2 2" xfId="2963"/>
    <cellStyle name="40% - Акцент4 3 6 2 2 2" xfId="33470"/>
    <cellStyle name="40% - Акцент4 3 6 2 3" xfId="33471"/>
    <cellStyle name="40% - Акцент4 3 6 3" xfId="2964"/>
    <cellStyle name="40% - Акцент4 3 6 3 2" xfId="33472"/>
    <cellStyle name="40% - Акцент4 3 6 4" xfId="33473"/>
    <cellStyle name="40% - Акцент4 3 7" xfId="2965"/>
    <cellStyle name="40% - Акцент4 3 7 2" xfId="2966"/>
    <cellStyle name="40% - Акцент4 3 7 2 2" xfId="2967"/>
    <cellStyle name="40% - Акцент4 3 7 2 2 2" xfId="33474"/>
    <cellStyle name="40% - Акцент4 3 7 2 3" xfId="33475"/>
    <cellStyle name="40% - Акцент4 3 7 3" xfId="2968"/>
    <cellStyle name="40% - Акцент4 3 7 3 2" xfId="33476"/>
    <cellStyle name="40% - Акцент4 3 7 4" xfId="33477"/>
    <cellStyle name="40% - Акцент4 3 8" xfId="2969"/>
    <cellStyle name="40% - Акцент4 3 8 2" xfId="2970"/>
    <cellStyle name="40% - Акцент4 3 8 2 2" xfId="2971"/>
    <cellStyle name="40% - Акцент4 3 8 2 2 2" xfId="33478"/>
    <cellStyle name="40% - Акцент4 3 8 2 3" xfId="33479"/>
    <cellStyle name="40% - Акцент4 3 8 3" xfId="2972"/>
    <cellStyle name="40% - Акцент4 3 8 3 2" xfId="33480"/>
    <cellStyle name="40% - Акцент4 3 8 4" xfId="33481"/>
    <cellStyle name="40% - Акцент4 3 9" xfId="2973"/>
    <cellStyle name="40% - Акцент4 3 9 2" xfId="2974"/>
    <cellStyle name="40% - Акцент4 3 9 2 2" xfId="2975"/>
    <cellStyle name="40% - Акцент4 3 9 2 2 2" xfId="33482"/>
    <cellStyle name="40% - Акцент4 3 9 2 3" xfId="33483"/>
    <cellStyle name="40% - Акцент4 3 9 3" xfId="2976"/>
    <cellStyle name="40% - Акцент4 3 9 3 2" xfId="33484"/>
    <cellStyle name="40% - Акцент4 3 9 4" xfId="33485"/>
    <cellStyle name="40% - Акцент4 4" xfId="2977"/>
    <cellStyle name="40% - Акцент4 4 2" xfId="2978"/>
    <cellStyle name="40% - Акцент4 4 2 2" xfId="33486"/>
    <cellStyle name="40% - Акцент4 4 3" xfId="33487"/>
    <cellStyle name="40% - Акцент4 5" xfId="2979"/>
    <cellStyle name="40% - Акцент4 5 2" xfId="2980"/>
    <cellStyle name="40% - Акцент4 5 2 2" xfId="33488"/>
    <cellStyle name="40% - Акцент4 5 3" xfId="33489"/>
    <cellStyle name="40% - Акцент4 6" xfId="2981"/>
    <cellStyle name="40% - Акцент4 6 2" xfId="33490"/>
    <cellStyle name="40% - Акцент4 7" xfId="2982"/>
    <cellStyle name="40% - Акцент4 7 2" xfId="2983"/>
    <cellStyle name="40% - Акцент4 7 2 2" xfId="2984"/>
    <cellStyle name="40% - Акцент4 7 2 2 2" xfId="33491"/>
    <cellStyle name="40% - Акцент4 7 2 3" xfId="33492"/>
    <cellStyle name="40% - Акцент4 7 3" xfId="2985"/>
    <cellStyle name="40% - Акцент4 7 3 2" xfId="33493"/>
    <cellStyle name="40% - Акцент4 7 4" xfId="33494"/>
    <cellStyle name="40% - Акцент4 8" xfId="2986"/>
    <cellStyle name="40% - Акцент4 8 2" xfId="2987"/>
    <cellStyle name="40% - Акцент4 8 2 2" xfId="2988"/>
    <cellStyle name="40% - Акцент4 8 2 2 2" xfId="33495"/>
    <cellStyle name="40% - Акцент4 8 2 3" xfId="33496"/>
    <cellStyle name="40% - Акцент4 8 3" xfId="2989"/>
    <cellStyle name="40% - Акцент4 8 3 2" xfId="33497"/>
    <cellStyle name="40% - Акцент4 8 4" xfId="33498"/>
    <cellStyle name="40% - Акцент4 9" xfId="2990"/>
    <cellStyle name="40% - Акцент4 9 2" xfId="2991"/>
    <cellStyle name="40% - Акцент4 9 2 2" xfId="2992"/>
    <cellStyle name="40% - Акцент4 9 2 2 2" xfId="33499"/>
    <cellStyle name="40% - Акцент4 9 2 3" xfId="33500"/>
    <cellStyle name="40% - Акцент4 9 3" xfId="2993"/>
    <cellStyle name="40% - Акцент4 9 3 2" xfId="33501"/>
    <cellStyle name="40% - Акцент4 9 4" xfId="33502"/>
    <cellStyle name="40% - Акцент5 10" xfId="2994"/>
    <cellStyle name="40% - Акцент5 10 2" xfId="2995"/>
    <cellStyle name="40% - Акцент5 10 2 2" xfId="2996"/>
    <cellStyle name="40% - Акцент5 10 2 2 2" xfId="33503"/>
    <cellStyle name="40% - Акцент5 10 2 3" xfId="33504"/>
    <cellStyle name="40% - Акцент5 10 3" xfId="2997"/>
    <cellStyle name="40% - Акцент5 10 3 2" xfId="33505"/>
    <cellStyle name="40% - Акцент5 10 4" xfId="33506"/>
    <cellStyle name="40% - Акцент5 11" xfId="2998"/>
    <cellStyle name="40% - Акцент5 11 2" xfId="2999"/>
    <cellStyle name="40% - Акцент5 11 2 2" xfId="3000"/>
    <cellStyle name="40% - Акцент5 11 2 2 2" xfId="33507"/>
    <cellStyle name="40% - Акцент5 11 2 3" xfId="33508"/>
    <cellStyle name="40% - Акцент5 11 3" xfId="3001"/>
    <cellStyle name="40% - Акцент5 11 3 2" xfId="33509"/>
    <cellStyle name="40% - Акцент5 11 4" xfId="33510"/>
    <cellStyle name="40% - Акцент5 12" xfId="3002"/>
    <cellStyle name="40% - Акцент5 12 2" xfId="3003"/>
    <cellStyle name="40% - Акцент5 12 2 2" xfId="3004"/>
    <cellStyle name="40% - Акцент5 12 2 2 2" xfId="33511"/>
    <cellStyle name="40% - Акцент5 12 2 3" xfId="33512"/>
    <cellStyle name="40% - Акцент5 12 3" xfId="3005"/>
    <cellStyle name="40% - Акцент5 12 3 2" xfId="33513"/>
    <cellStyle name="40% - Акцент5 12 4" xfId="33514"/>
    <cellStyle name="40% - Акцент5 13" xfId="3006"/>
    <cellStyle name="40% - Акцент5 13 2" xfId="3007"/>
    <cellStyle name="40% - Акцент5 13 2 2" xfId="3008"/>
    <cellStyle name="40% - Акцент5 13 2 2 2" xfId="33515"/>
    <cellStyle name="40% - Акцент5 13 2 3" xfId="33516"/>
    <cellStyle name="40% - Акцент5 13 3" xfId="3009"/>
    <cellStyle name="40% - Акцент5 13 3 2" xfId="33517"/>
    <cellStyle name="40% - Акцент5 13 4" xfId="33518"/>
    <cellStyle name="40% - Акцент5 14" xfId="3010"/>
    <cellStyle name="40% - Акцент5 14 2" xfId="3011"/>
    <cellStyle name="40% - Акцент5 14 2 2" xfId="3012"/>
    <cellStyle name="40% - Акцент5 14 2 2 2" xfId="33519"/>
    <cellStyle name="40% - Акцент5 14 2 3" xfId="33520"/>
    <cellStyle name="40% - Акцент5 14 3" xfId="3013"/>
    <cellStyle name="40% - Акцент5 14 3 2" xfId="33521"/>
    <cellStyle name="40% - Акцент5 14 4" xfId="33522"/>
    <cellStyle name="40% - Акцент5 15" xfId="3014"/>
    <cellStyle name="40% - Акцент5 15 2" xfId="3015"/>
    <cellStyle name="40% - Акцент5 15 2 2" xfId="3016"/>
    <cellStyle name="40% - Акцент5 15 2 2 2" xfId="33523"/>
    <cellStyle name="40% - Акцент5 15 2 3" xfId="33524"/>
    <cellStyle name="40% - Акцент5 15 3" xfId="3017"/>
    <cellStyle name="40% - Акцент5 15 3 2" xfId="33525"/>
    <cellStyle name="40% - Акцент5 15 4" xfId="33526"/>
    <cellStyle name="40% - Акцент5 16" xfId="3018"/>
    <cellStyle name="40% - Акцент5 16 2" xfId="3019"/>
    <cellStyle name="40% - Акцент5 16 2 2" xfId="3020"/>
    <cellStyle name="40% - Акцент5 16 2 2 2" xfId="33527"/>
    <cellStyle name="40% - Акцент5 16 2 3" xfId="33528"/>
    <cellStyle name="40% - Акцент5 16 3" xfId="3021"/>
    <cellStyle name="40% - Акцент5 16 3 2" xfId="33529"/>
    <cellStyle name="40% - Акцент5 16 4" xfId="33530"/>
    <cellStyle name="40% - Акцент5 17" xfId="3022"/>
    <cellStyle name="40% - Акцент5 17 2" xfId="3023"/>
    <cellStyle name="40% - Акцент5 17 2 2" xfId="3024"/>
    <cellStyle name="40% - Акцент5 17 2 2 2" xfId="33531"/>
    <cellStyle name="40% - Акцент5 17 2 3" xfId="33532"/>
    <cellStyle name="40% - Акцент5 17 3" xfId="3025"/>
    <cellStyle name="40% - Акцент5 17 3 2" xfId="33533"/>
    <cellStyle name="40% - Акцент5 17 4" xfId="33534"/>
    <cellStyle name="40% - Акцент5 18" xfId="3026"/>
    <cellStyle name="40% - Акцент5 18 2" xfId="3027"/>
    <cellStyle name="40% - Акцент5 18 2 2" xfId="33535"/>
    <cellStyle name="40% - Акцент5 18 3" xfId="33536"/>
    <cellStyle name="40% - Акцент5 19" xfId="3028"/>
    <cellStyle name="40% - Акцент5 19 2" xfId="33537"/>
    <cellStyle name="40% - Акцент5 2" xfId="3029"/>
    <cellStyle name="40% - Акцент5 2 10" xfId="3030"/>
    <cellStyle name="40% - Акцент5 2 10 2" xfId="3031"/>
    <cellStyle name="40% - Акцент5 2 10 2 2" xfId="3032"/>
    <cellStyle name="40% - Акцент5 2 10 2 2 2" xfId="33538"/>
    <cellStyle name="40% - Акцент5 2 10 2 3" xfId="33539"/>
    <cellStyle name="40% - Акцент5 2 10 3" xfId="3033"/>
    <cellStyle name="40% - Акцент5 2 10 3 2" xfId="33540"/>
    <cellStyle name="40% - Акцент5 2 10 4" xfId="33541"/>
    <cellStyle name="40% - Акцент5 2 11" xfId="3034"/>
    <cellStyle name="40% - Акцент5 2 11 2" xfId="3035"/>
    <cellStyle name="40% - Акцент5 2 11 2 2" xfId="3036"/>
    <cellStyle name="40% - Акцент5 2 11 2 2 2" xfId="33542"/>
    <cellStyle name="40% - Акцент5 2 11 2 3" xfId="33543"/>
    <cellStyle name="40% - Акцент5 2 11 3" xfId="3037"/>
    <cellStyle name="40% - Акцент5 2 11 3 2" xfId="33544"/>
    <cellStyle name="40% - Акцент5 2 11 4" xfId="33545"/>
    <cellStyle name="40% - Акцент5 2 12" xfId="3038"/>
    <cellStyle name="40% - Акцент5 2 12 2" xfId="3039"/>
    <cellStyle name="40% - Акцент5 2 12 2 2" xfId="3040"/>
    <cellStyle name="40% - Акцент5 2 12 2 2 2" xfId="33546"/>
    <cellStyle name="40% - Акцент5 2 12 2 3" xfId="33547"/>
    <cellStyle name="40% - Акцент5 2 12 3" xfId="3041"/>
    <cellStyle name="40% - Акцент5 2 12 3 2" xfId="33548"/>
    <cellStyle name="40% - Акцент5 2 12 4" xfId="33549"/>
    <cellStyle name="40% - Акцент5 2 13" xfId="3042"/>
    <cellStyle name="40% - Акцент5 2 13 2" xfId="3043"/>
    <cellStyle name="40% - Акцент5 2 13 2 2" xfId="3044"/>
    <cellStyle name="40% - Акцент5 2 13 2 2 2" xfId="33550"/>
    <cellStyle name="40% - Акцент5 2 13 2 3" xfId="33551"/>
    <cellStyle name="40% - Акцент5 2 13 3" xfId="3045"/>
    <cellStyle name="40% - Акцент5 2 13 3 2" xfId="33552"/>
    <cellStyle name="40% - Акцент5 2 13 4" xfId="33553"/>
    <cellStyle name="40% - Акцент5 2 14" xfId="3046"/>
    <cellStyle name="40% - Акцент5 2 14 2" xfId="3047"/>
    <cellStyle name="40% - Акцент5 2 14 2 2" xfId="3048"/>
    <cellStyle name="40% - Акцент5 2 14 2 2 2" xfId="33554"/>
    <cellStyle name="40% - Акцент5 2 14 2 3" xfId="33555"/>
    <cellStyle name="40% - Акцент5 2 14 3" xfId="3049"/>
    <cellStyle name="40% - Акцент5 2 14 3 2" xfId="33556"/>
    <cellStyle name="40% - Акцент5 2 14 4" xfId="33557"/>
    <cellStyle name="40% - Акцент5 2 15" xfId="3050"/>
    <cellStyle name="40% - Акцент5 2 15 2" xfId="3051"/>
    <cellStyle name="40% - Акцент5 2 15 2 2" xfId="3052"/>
    <cellStyle name="40% - Акцент5 2 15 2 2 2" xfId="33558"/>
    <cellStyle name="40% - Акцент5 2 15 2 3" xfId="33559"/>
    <cellStyle name="40% - Акцент5 2 15 3" xfId="3053"/>
    <cellStyle name="40% - Акцент5 2 15 3 2" xfId="33560"/>
    <cellStyle name="40% - Акцент5 2 15 4" xfId="33561"/>
    <cellStyle name="40% - Акцент5 2 16" xfId="3054"/>
    <cellStyle name="40% - Акцент5 2 16 2" xfId="3055"/>
    <cellStyle name="40% - Акцент5 2 16 2 2" xfId="3056"/>
    <cellStyle name="40% - Акцент5 2 16 2 2 2" xfId="33562"/>
    <cellStyle name="40% - Акцент5 2 16 2 3" xfId="33563"/>
    <cellStyle name="40% - Акцент5 2 16 3" xfId="3057"/>
    <cellStyle name="40% - Акцент5 2 16 3 2" xfId="33564"/>
    <cellStyle name="40% - Акцент5 2 16 4" xfId="33565"/>
    <cellStyle name="40% - Акцент5 2 17" xfId="3058"/>
    <cellStyle name="40% - Акцент5 2 17 2" xfId="3059"/>
    <cellStyle name="40% - Акцент5 2 17 2 2" xfId="3060"/>
    <cellStyle name="40% - Акцент5 2 17 2 2 2" xfId="33566"/>
    <cellStyle name="40% - Акцент5 2 17 2 3" xfId="33567"/>
    <cellStyle name="40% - Акцент5 2 17 3" xfId="3061"/>
    <cellStyle name="40% - Акцент5 2 17 3 2" xfId="33568"/>
    <cellStyle name="40% - Акцент5 2 17 4" xfId="33569"/>
    <cellStyle name="40% - Акцент5 2 18" xfId="3062"/>
    <cellStyle name="40% - Акцент5 2 18 2" xfId="3063"/>
    <cellStyle name="40% - Акцент5 2 18 2 2" xfId="3064"/>
    <cellStyle name="40% - Акцент5 2 18 2 2 2" xfId="33570"/>
    <cellStyle name="40% - Акцент5 2 18 2 3" xfId="33571"/>
    <cellStyle name="40% - Акцент5 2 18 3" xfId="3065"/>
    <cellStyle name="40% - Акцент5 2 18 3 2" xfId="33572"/>
    <cellStyle name="40% - Акцент5 2 18 4" xfId="33573"/>
    <cellStyle name="40% - Акцент5 2 19" xfId="3066"/>
    <cellStyle name="40% - Акцент5 2 19 2" xfId="3067"/>
    <cellStyle name="40% - Акцент5 2 19 2 2" xfId="3068"/>
    <cellStyle name="40% - Акцент5 2 19 2 2 2" xfId="33574"/>
    <cellStyle name="40% - Акцент5 2 19 2 3" xfId="33575"/>
    <cellStyle name="40% - Акцент5 2 19 3" xfId="3069"/>
    <cellStyle name="40% - Акцент5 2 19 3 2" xfId="33576"/>
    <cellStyle name="40% - Акцент5 2 19 4" xfId="33577"/>
    <cellStyle name="40% - Акцент5 2 2" xfId="3070"/>
    <cellStyle name="40% - Акцент5 2 2 2" xfId="33578"/>
    <cellStyle name="40% - Акцент5 2 20" xfId="3071"/>
    <cellStyle name="40% - Акцент5 2 20 2" xfId="3072"/>
    <cellStyle name="40% - Акцент5 2 20 2 2" xfId="3073"/>
    <cellStyle name="40% - Акцент5 2 20 2 2 2" xfId="33579"/>
    <cellStyle name="40% - Акцент5 2 20 2 3" xfId="33580"/>
    <cellStyle name="40% - Акцент5 2 20 3" xfId="3074"/>
    <cellStyle name="40% - Акцент5 2 20 3 2" xfId="33581"/>
    <cellStyle name="40% - Акцент5 2 20 4" xfId="33582"/>
    <cellStyle name="40% - Акцент5 2 21" xfId="3075"/>
    <cellStyle name="40% - Акцент5 2 21 2" xfId="3076"/>
    <cellStyle name="40% - Акцент5 2 21 2 2" xfId="3077"/>
    <cellStyle name="40% - Акцент5 2 21 2 2 2" xfId="33583"/>
    <cellStyle name="40% - Акцент5 2 21 2 3" xfId="33584"/>
    <cellStyle name="40% - Акцент5 2 21 3" xfId="3078"/>
    <cellStyle name="40% - Акцент5 2 21 3 2" xfId="33585"/>
    <cellStyle name="40% - Акцент5 2 21 4" xfId="33586"/>
    <cellStyle name="40% - Акцент5 2 22" xfId="3079"/>
    <cellStyle name="40% - Акцент5 2 22 2" xfId="3080"/>
    <cellStyle name="40% - Акцент5 2 22 2 2" xfId="3081"/>
    <cellStyle name="40% - Акцент5 2 22 2 2 2" xfId="33587"/>
    <cellStyle name="40% - Акцент5 2 22 2 3" xfId="33588"/>
    <cellStyle name="40% - Акцент5 2 22 3" xfId="3082"/>
    <cellStyle name="40% - Акцент5 2 22 3 2" xfId="33589"/>
    <cellStyle name="40% - Акцент5 2 22 4" xfId="33590"/>
    <cellStyle name="40% - Акцент5 2 23" xfId="3083"/>
    <cellStyle name="40% - Акцент5 2 23 2" xfId="3084"/>
    <cellStyle name="40% - Акцент5 2 23 2 2" xfId="3085"/>
    <cellStyle name="40% - Акцент5 2 23 2 2 2" xfId="33591"/>
    <cellStyle name="40% - Акцент5 2 23 2 3" xfId="33592"/>
    <cellStyle name="40% - Акцент5 2 23 3" xfId="3086"/>
    <cellStyle name="40% - Акцент5 2 23 3 2" xfId="33593"/>
    <cellStyle name="40% - Акцент5 2 23 4" xfId="33594"/>
    <cellStyle name="40% - Акцент5 2 24" xfId="3087"/>
    <cellStyle name="40% - Акцент5 2 24 2" xfId="3088"/>
    <cellStyle name="40% - Акцент5 2 24 2 2" xfId="3089"/>
    <cellStyle name="40% - Акцент5 2 24 2 2 2" xfId="33595"/>
    <cellStyle name="40% - Акцент5 2 24 2 3" xfId="33596"/>
    <cellStyle name="40% - Акцент5 2 24 3" xfId="3090"/>
    <cellStyle name="40% - Акцент5 2 24 3 2" xfId="33597"/>
    <cellStyle name="40% - Акцент5 2 24 4" xfId="33598"/>
    <cellStyle name="40% - Акцент5 2 25" xfId="33599"/>
    <cellStyle name="40% - Акцент5 2 3" xfId="3091"/>
    <cellStyle name="40% - Акцент5 2 3 2" xfId="3092"/>
    <cellStyle name="40% - Акцент5 2 3 2 2" xfId="3093"/>
    <cellStyle name="40% - Акцент5 2 3 2 2 2" xfId="33600"/>
    <cellStyle name="40% - Акцент5 2 3 2 3" xfId="33601"/>
    <cellStyle name="40% - Акцент5 2 3 3" xfId="3094"/>
    <cellStyle name="40% - Акцент5 2 3 3 2" xfId="33602"/>
    <cellStyle name="40% - Акцент5 2 3 4" xfId="33603"/>
    <cellStyle name="40% - Акцент5 2 4" xfId="3095"/>
    <cellStyle name="40% - Акцент5 2 4 2" xfId="3096"/>
    <cellStyle name="40% - Акцент5 2 4 2 2" xfId="3097"/>
    <cellStyle name="40% - Акцент5 2 4 2 2 2" xfId="33604"/>
    <cellStyle name="40% - Акцент5 2 4 2 3" xfId="33605"/>
    <cellStyle name="40% - Акцент5 2 4 3" xfId="3098"/>
    <cellStyle name="40% - Акцент5 2 4 3 2" xfId="33606"/>
    <cellStyle name="40% - Акцент5 2 4 4" xfId="33607"/>
    <cellStyle name="40% - Акцент5 2 5" xfId="3099"/>
    <cellStyle name="40% - Акцент5 2 5 2" xfId="3100"/>
    <cellStyle name="40% - Акцент5 2 5 2 2" xfId="3101"/>
    <cellStyle name="40% - Акцент5 2 5 2 2 2" xfId="33608"/>
    <cellStyle name="40% - Акцент5 2 5 2 3" xfId="33609"/>
    <cellStyle name="40% - Акцент5 2 5 3" xfId="3102"/>
    <cellStyle name="40% - Акцент5 2 5 3 2" xfId="33610"/>
    <cellStyle name="40% - Акцент5 2 5 4" xfId="33611"/>
    <cellStyle name="40% - Акцент5 2 6" xfId="3103"/>
    <cellStyle name="40% - Акцент5 2 6 2" xfId="3104"/>
    <cellStyle name="40% - Акцент5 2 6 2 2" xfId="3105"/>
    <cellStyle name="40% - Акцент5 2 6 2 2 2" xfId="33612"/>
    <cellStyle name="40% - Акцент5 2 6 2 3" xfId="33613"/>
    <cellStyle name="40% - Акцент5 2 6 3" xfId="3106"/>
    <cellStyle name="40% - Акцент5 2 6 3 2" xfId="33614"/>
    <cellStyle name="40% - Акцент5 2 6 4" xfId="33615"/>
    <cellStyle name="40% - Акцент5 2 7" xfId="3107"/>
    <cellStyle name="40% - Акцент5 2 7 2" xfId="3108"/>
    <cellStyle name="40% - Акцент5 2 7 2 2" xfId="3109"/>
    <cellStyle name="40% - Акцент5 2 7 2 2 2" xfId="33616"/>
    <cellStyle name="40% - Акцент5 2 7 2 3" xfId="33617"/>
    <cellStyle name="40% - Акцент5 2 7 3" xfId="3110"/>
    <cellStyle name="40% - Акцент5 2 7 3 2" xfId="33618"/>
    <cellStyle name="40% - Акцент5 2 7 4" xfId="33619"/>
    <cellStyle name="40% - Акцент5 2 8" xfId="3111"/>
    <cellStyle name="40% - Акцент5 2 8 2" xfId="3112"/>
    <cellStyle name="40% - Акцент5 2 8 2 2" xfId="3113"/>
    <cellStyle name="40% - Акцент5 2 8 2 2 2" xfId="33620"/>
    <cellStyle name="40% - Акцент5 2 8 2 3" xfId="33621"/>
    <cellStyle name="40% - Акцент5 2 8 3" xfId="3114"/>
    <cellStyle name="40% - Акцент5 2 8 3 2" xfId="33622"/>
    <cellStyle name="40% - Акцент5 2 8 4" xfId="33623"/>
    <cellStyle name="40% - Акцент5 2 9" xfId="3115"/>
    <cellStyle name="40% - Акцент5 2 9 2" xfId="3116"/>
    <cellStyle name="40% - Акцент5 2 9 2 2" xfId="3117"/>
    <cellStyle name="40% - Акцент5 2 9 2 2 2" xfId="33624"/>
    <cellStyle name="40% - Акцент5 2 9 2 3" xfId="33625"/>
    <cellStyle name="40% - Акцент5 2 9 3" xfId="3118"/>
    <cellStyle name="40% - Акцент5 2 9 3 2" xfId="33626"/>
    <cellStyle name="40% - Акцент5 2 9 4" xfId="33627"/>
    <cellStyle name="40% - Акцент5 3" xfId="3119"/>
    <cellStyle name="40% - Акцент5 3 10" xfId="3120"/>
    <cellStyle name="40% - Акцент5 3 10 2" xfId="3121"/>
    <cellStyle name="40% - Акцент5 3 10 2 2" xfId="3122"/>
    <cellStyle name="40% - Акцент5 3 10 2 2 2" xfId="33628"/>
    <cellStyle name="40% - Акцент5 3 10 2 3" xfId="33629"/>
    <cellStyle name="40% - Акцент5 3 10 3" xfId="3123"/>
    <cellStyle name="40% - Акцент5 3 10 3 2" xfId="33630"/>
    <cellStyle name="40% - Акцент5 3 10 4" xfId="33631"/>
    <cellStyle name="40% - Акцент5 3 11" xfId="3124"/>
    <cellStyle name="40% - Акцент5 3 11 2" xfId="3125"/>
    <cellStyle name="40% - Акцент5 3 11 2 2" xfId="3126"/>
    <cellStyle name="40% - Акцент5 3 11 2 2 2" xfId="33632"/>
    <cellStyle name="40% - Акцент5 3 11 2 3" xfId="33633"/>
    <cellStyle name="40% - Акцент5 3 11 3" xfId="3127"/>
    <cellStyle name="40% - Акцент5 3 11 3 2" xfId="33634"/>
    <cellStyle name="40% - Акцент5 3 11 4" xfId="33635"/>
    <cellStyle name="40% - Акцент5 3 12" xfId="3128"/>
    <cellStyle name="40% - Акцент5 3 12 2" xfId="3129"/>
    <cellStyle name="40% - Акцент5 3 12 2 2" xfId="3130"/>
    <cellStyle name="40% - Акцент5 3 12 2 2 2" xfId="33636"/>
    <cellStyle name="40% - Акцент5 3 12 2 3" xfId="33637"/>
    <cellStyle name="40% - Акцент5 3 12 3" xfId="3131"/>
    <cellStyle name="40% - Акцент5 3 12 3 2" xfId="33638"/>
    <cellStyle name="40% - Акцент5 3 12 4" xfId="33639"/>
    <cellStyle name="40% - Акцент5 3 13" xfId="3132"/>
    <cellStyle name="40% - Акцент5 3 13 2" xfId="3133"/>
    <cellStyle name="40% - Акцент5 3 13 2 2" xfId="3134"/>
    <cellStyle name="40% - Акцент5 3 13 2 2 2" xfId="33640"/>
    <cellStyle name="40% - Акцент5 3 13 2 3" xfId="33641"/>
    <cellStyle name="40% - Акцент5 3 13 3" xfId="3135"/>
    <cellStyle name="40% - Акцент5 3 13 3 2" xfId="33642"/>
    <cellStyle name="40% - Акцент5 3 13 4" xfId="33643"/>
    <cellStyle name="40% - Акцент5 3 14" xfId="3136"/>
    <cellStyle name="40% - Акцент5 3 14 2" xfId="3137"/>
    <cellStyle name="40% - Акцент5 3 14 2 2" xfId="3138"/>
    <cellStyle name="40% - Акцент5 3 14 2 2 2" xfId="33644"/>
    <cellStyle name="40% - Акцент5 3 14 2 3" xfId="33645"/>
    <cellStyle name="40% - Акцент5 3 14 3" xfId="3139"/>
    <cellStyle name="40% - Акцент5 3 14 3 2" xfId="33646"/>
    <cellStyle name="40% - Акцент5 3 14 4" xfId="33647"/>
    <cellStyle name="40% - Акцент5 3 15" xfId="3140"/>
    <cellStyle name="40% - Акцент5 3 15 2" xfId="3141"/>
    <cellStyle name="40% - Акцент5 3 15 2 2" xfId="3142"/>
    <cellStyle name="40% - Акцент5 3 15 2 2 2" xfId="33648"/>
    <cellStyle name="40% - Акцент5 3 15 2 3" xfId="33649"/>
    <cellStyle name="40% - Акцент5 3 15 3" xfId="3143"/>
    <cellStyle name="40% - Акцент5 3 15 3 2" xfId="33650"/>
    <cellStyle name="40% - Акцент5 3 15 4" xfId="33651"/>
    <cellStyle name="40% - Акцент5 3 16" xfId="3144"/>
    <cellStyle name="40% - Акцент5 3 16 2" xfId="3145"/>
    <cellStyle name="40% - Акцент5 3 16 2 2" xfId="3146"/>
    <cellStyle name="40% - Акцент5 3 16 2 2 2" xfId="33652"/>
    <cellStyle name="40% - Акцент5 3 16 2 3" xfId="33653"/>
    <cellStyle name="40% - Акцент5 3 16 3" xfId="3147"/>
    <cellStyle name="40% - Акцент5 3 16 3 2" xfId="33654"/>
    <cellStyle name="40% - Акцент5 3 16 4" xfId="33655"/>
    <cellStyle name="40% - Акцент5 3 17" xfId="3148"/>
    <cellStyle name="40% - Акцент5 3 17 2" xfId="3149"/>
    <cellStyle name="40% - Акцент5 3 17 2 2" xfId="3150"/>
    <cellStyle name="40% - Акцент5 3 17 2 2 2" xfId="33656"/>
    <cellStyle name="40% - Акцент5 3 17 2 3" xfId="33657"/>
    <cellStyle name="40% - Акцент5 3 17 3" xfId="3151"/>
    <cellStyle name="40% - Акцент5 3 17 3 2" xfId="33658"/>
    <cellStyle name="40% - Акцент5 3 17 4" xfId="33659"/>
    <cellStyle name="40% - Акцент5 3 18" xfId="3152"/>
    <cellStyle name="40% - Акцент5 3 18 2" xfId="3153"/>
    <cellStyle name="40% - Акцент5 3 18 2 2" xfId="3154"/>
    <cellStyle name="40% - Акцент5 3 18 2 2 2" xfId="33660"/>
    <cellStyle name="40% - Акцент5 3 18 2 3" xfId="33661"/>
    <cellStyle name="40% - Акцент5 3 18 3" xfId="3155"/>
    <cellStyle name="40% - Акцент5 3 18 3 2" xfId="33662"/>
    <cellStyle name="40% - Акцент5 3 18 4" xfId="33663"/>
    <cellStyle name="40% - Акцент5 3 19" xfId="3156"/>
    <cellStyle name="40% - Акцент5 3 19 2" xfId="3157"/>
    <cellStyle name="40% - Акцент5 3 19 2 2" xfId="3158"/>
    <cellStyle name="40% - Акцент5 3 19 2 2 2" xfId="33664"/>
    <cellStyle name="40% - Акцент5 3 19 2 3" xfId="33665"/>
    <cellStyle name="40% - Акцент5 3 19 3" xfId="3159"/>
    <cellStyle name="40% - Акцент5 3 19 3 2" xfId="33666"/>
    <cellStyle name="40% - Акцент5 3 19 4" xfId="33667"/>
    <cellStyle name="40% - Акцент5 3 2" xfId="3160"/>
    <cellStyle name="40% - Акцент5 3 2 2" xfId="33668"/>
    <cellStyle name="40% - Акцент5 3 20" xfId="3161"/>
    <cellStyle name="40% - Акцент5 3 20 2" xfId="3162"/>
    <cellStyle name="40% - Акцент5 3 20 2 2" xfId="3163"/>
    <cellStyle name="40% - Акцент5 3 20 2 2 2" xfId="33669"/>
    <cellStyle name="40% - Акцент5 3 20 2 3" xfId="33670"/>
    <cellStyle name="40% - Акцент5 3 20 3" xfId="3164"/>
    <cellStyle name="40% - Акцент5 3 20 3 2" xfId="33671"/>
    <cellStyle name="40% - Акцент5 3 20 4" xfId="33672"/>
    <cellStyle name="40% - Акцент5 3 21" xfId="3165"/>
    <cellStyle name="40% - Акцент5 3 21 2" xfId="3166"/>
    <cellStyle name="40% - Акцент5 3 21 2 2" xfId="3167"/>
    <cellStyle name="40% - Акцент5 3 21 2 2 2" xfId="33673"/>
    <cellStyle name="40% - Акцент5 3 21 2 3" xfId="33674"/>
    <cellStyle name="40% - Акцент5 3 21 3" xfId="3168"/>
    <cellStyle name="40% - Акцент5 3 21 3 2" xfId="33675"/>
    <cellStyle name="40% - Акцент5 3 21 4" xfId="33676"/>
    <cellStyle name="40% - Акцент5 3 22" xfId="3169"/>
    <cellStyle name="40% - Акцент5 3 22 2" xfId="3170"/>
    <cellStyle name="40% - Акцент5 3 22 2 2" xfId="3171"/>
    <cellStyle name="40% - Акцент5 3 22 2 2 2" xfId="33677"/>
    <cellStyle name="40% - Акцент5 3 22 2 3" xfId="33678"/>
    <cellStyle name="40% - Акцент5 3 22 3" xfId="3172"/>
    <cellStyle name="40% - Акцент5 3 22 3 2" xfId="33679"/>
    <cellStyle name="40% - Акцент5 3 22 4" xfId="33680"/>
    <cellStyle name="40% - Акцент5 3 23" xfId="3173"/>
    <cellStyle name="40% - Акцент5 3 23 2" xfId="3174"/>
    <cellStyle name="40% - Акцент5 3 23 2 2" xfId="3175"/>
    <cellStyle name="40% - Акцент5 3 23 2 2 2" xfId="33681"/>
    <cellStyle name="40% - Акцент5 3 23 2 3" xfId="33682"/>
    <cellStyle name="40% - Акцент5 3 23 3" xfId="3176"/>
    <cellStyle name="40% - Акцент5 3 23 3 2" xfId="33683"/>
    <cellStyle name="40% - Акцент5 3 23 4" xfId="33684"/>
    <cellStyle name="40% - Акцент5 3 24" xfId="3177"/>
    <cellStyle name="40% - Акцент5 3 24 2" xfId="3178"/>
    <cellStyle name="40% - Акцент5 3 24 2 2" xfId="3179"/>
    <cellStyle name="40% - Акцент5 3 24 2 2 2" xfId="33685"/>
    <cellStyle name="40% - Акцент5 3 24 2 3" xfId="33686"/>
    <cellStyle name="40% - Акцент5 3 24 3" xfId="3180"/>
    <cellStyle name="40% - Акцент5 3 24 3 2" xfId="33687"/>
    <cellStyle name="40% - Акцент5 3 24 4" xfId="33688"/>
    <cellStyle name="40% - Акцент5 3 25" xfId="33689"/>
    <cellStyle name="40% - Акцент5 3 3" xfId="3181"/>
    <cellStyle name="40% - Акцент5 3 3 2" xfId="3182"/>
    <cellStyle name="40% - Акцент5 3 3 2 2" xfId="3183"/>
    <cellStyle name="40% - Акцент5 3 3 2 2 2" xfId="33690"/>
    <cellStyle name="40% - Акцент5 3 3 2 3" xfId="33691"/>
    <cellStyle name="40% - Акцент5 3 3 3" xfId="3184"/>
    <cellStyle name="40% - Акцент5 3 3 3 2" xfId="33692"/>
    <cellStyle name="40% - Акцент5 3 3 4" xfId="33693"/>
    <cellStyle name="40% - Акцент5 3 4" xfId="3185"/>
    <cellStyle name="40% - Акцент5 3 4 2" xfId="3186"/>
    <cellStyle name="40% - Акцент5 3 4 2 2" xfId="3187"/>
    <cellStyle name="40% - Акцент5 3 4 2 2 2" xfId="33694"/>
    <cellStyle name="40% - Акцент5 3 4 2 3" xfId="33695"/>
    <cellStyle name="40% - Акцент5 3 4 3" xfId="3188"/>
    <cellStyle name="40% - Акцент5 3 4 3 2" xfId="33696"/>
    <cellStyle name="40% - Акцент5 3 4 4" xfId="33697"/>
    <cellStyle name="40% - Акцент5 3 5" xfId="3189"/>
    <cellStyle name="40% - Акцент5 3 5 2" xfId="3190"/>
    <cellStyle name="40% - Акцент5 3 5 2 2" xfId="3191"/>
    <cellStyle name="40% - Акцент5 3 5 2 2 2" xfId="33698"/>
    <cellStyle name="40% - Акцент5 3 5 2 3" xfId="33699"/>
    <cellStyle name="40% - Акцент5 3 5 3" xfId="3192"/>
    <cellStyle name="40% - Акцент5 3 5 3 2" xfId="33700"/>
    <cellStyle name="40% - Акцент5 3 5 4" xfId="33701"/>
    <cellStyle name="40% - Акцент5 3 6" xfId="3193"/>
    <cellStyle name="40% - Акцент5 3 6 2" xfId="3194"/>
    <cellStyle name="40% - Акцент5 3 6 2 2" xfId="3195"/>
    <cellStyle name="40% - Акцент5 3 6 2 2 2" xfId="33702"/>
    <cellStyle name="40% - Акцент5 3 6 2 3" xfId="33703"/>
    <cellStyle name="40% - Акцент5 3 6 3" xfId="3196"/>
    <cellStyle name="40% - Акцент5 3 6 3 2" xfId="33704"/>
    <cellStyle name="40% - Акцент5 3 6 4" xfId="33705"/>
    <cellStyle name="40% - Акцент5 3 7" xfId="3197"/>
    <cellStyle name="40% - Акцент5 3 7 2" xfId="3198"/>
    <cellStyle name="40% - Акцент5 3 7 2 2" xfId="3199"/>
    <cellStyle name="40% - Акцент5 3 7 2 2 2" xfId="33706"/>
    <cellStyle name="40% - Акцент5 3 7 2 3" xfId="33707"/>
    <cellStyle name="40% - Акцент5 3 7 3" xfId="3200"/>
    <cellStyle name="40% - Акцент5 3 7 3 2" xfId="33708"/>
    <cellStyle name="40% - Акцент5 3 7 4" xfId="33709"/>
    <cellStyle name="40% - Акцент5 3 8" xfId="3201"/>
    <cellStyle name="40% - Акцент5 3 8 2" xfId="3202"/>
    <cellStyle name="40% - Акцент5 3 8 2 2" xfId="3203"/>
    <cellStyle name="40% - Акцент5 3 8 2 2 2" xfId="33710"/>
    <cellStyle name="40% - Акцент5 3 8 2 3" xfId="33711"/>
    <cellStyle name="40% - Акцент5 3 8 3" xfId="3204"/>
    <cellStyle name="40% - Акцент5 3 8 3 2" xfId="33712"/>
    <cellStyle name="40% - Акцент5 3 8 4" xfId="33713"/>
    <cellStyle name="40% - Акцент5 3 9" xfId="3205"/>
    <cellStyle name="40% - Акцент5 3 9 2" xfId="3206"/>
    <cellStyle name="40% - Акцент5 3 9 2 2" xfId="3207"/>
    <cellStyle name="40% - Акцент5 3 9 2 2 2" xfId="33714"/>
    <cellStyle name="40% - Акцент5 3 9 2 3" xfId="33715"/>
    <cellStyle name="40% - Акцент5 3 9 3" xfId="3208"/>
    <cellStyle name="40% - Акцент5 3 9 3 2" xfId="33716"/>
    <cellStyle name="40% - Акцент5 3 9 4" xfId="33717"/>
    <cellStyle name="40% - Акцент5 4" xfId="3209"/>
    <cellStyle name="40% - Акцент5 4 2" xfId="3210"/>
    <cellStyle name="40% - Акцент5 4 2 2" xfId="33718"/>
    <cellStyle name="40% - Акцент5 4 3" xfId="33719"/>
    <cellStyle name="40% - Акцент5 5" xfId="3211"/>
    <cellStyle name="40% - Акцент5 5 2" xfId="3212"/>
    <cellStyle name="40% - Акцент5 5 2 2" xfId="33720"/>
    <cellStyle name="40% - Акцент5 5 3" xfId="33721"/>
    <cellStyle name="40% - Акцент5 6" xfId="3213"/>
    <cellStyle name="40% - Акцент5 6 2" xfId="33722"/>
    <cellStyle name="40% - Акцент5 7" xfId="3214"/>
    <cellStyle name="40% - Акцент5 7 2" xfId="3215"/>
    <cellStyle name="40% - Акцент5 7 2 2" xfId="3216"/>
    <cellStyle name="40% - Акцент5 7 2 2 2" xfId="33723"/>
    <cellStyle name="40% - Акцент5 7 2 3" xfId="33724"/>
    <cellStyle name="40% - Акцент5 7 3" xfId="3217"/>
    <cellStyle name="40% - Акцент5 7 3 2" xfId="33725"/>
    <cellStyle name="40% - Акцент5 7 4" xfId="33726"/>
    <cellStyle name="40% - Акцент5 8" xfId="3218"/>
    <cellStyle name="40% - Акцент5 8 2" xfId="3219"/>
    <cellStyle name="40% - Акцент5 8 2 2" xfId="3220"/>
    <cellStyle name="40% - Акцент5 8 2 2 2" xfId="33727"/>
    <cellStyle name="40% - Акцент5 8 2 3" xfId="33728"/>
    <cellStyle name="40% - Акцент5 8 3" xfId="3221"/>
    <cellStyle name="40% - Акцент5 8 3 2" xfId="33729"/>
    <cellStyle name="40% - Акцент5 8 4" xfId="33730"/>
    <cellStyle name="40% - Акцент5 9" xfId="3222"/>
    <cellStyle name="40% - Акцент5 9 2" xfId="3223"/>
    <cellStyle name="40% - Акцент5 9 2 2" xfId="3224"/>
    <cellStyle name="40% - Акцент5 9 2 2 2" xfId="33731"/>
    <cellStyle name="40% - Акцент5 9 2 3" xfId="33732"/>
    <cellStyle name="40% - Акцент5 9 3" xfId="3225"/>
    <cellStyle name="40% - Акцент5 9 3 2" xfId="33733"/>
    <cellStyle name="40% - Акцент5 9 4" xfId="33734"/>
    <cellStyle name="40% - Акцент6 10" xfId="3226"/>
    <cellStyle name="40% - Акцент6 10 2" xfId="3227"/>
    <cellStyle name="40% - Акцент6 10 2 2" xfId="3228"/>
    <cellStyle name="40% - Акцент6 10 2 2 2" xfId="33735"/>
    <cellStyle name="40% - Акцент6 10 2 3" xfId="33736"/>
    <cellStyle name="40% - Акцент6 10 3" xfId="3229"/>
    <cellStyle name="40% - Акцент6 10 3 2" xfId="33737"/>
    <cellStyle name="40% - Акцент6 10 4" xfId="33738"/>
    <cellStyle name="40% - Акцент6 11" xfId="3230"/>
    <cellStyle name="40% - Акцент6 11 2" xfId="3231"/>
    <cellStyle name="40% - Акцент6 11 2 2" xfId="3232"/>
    <cellStyle name="40% - Акцент6 11 2 2 2" xfId="33739"/>
    <cellStyle name="40% - Акцент6 11 2 3" xfId="33740"/>
    <cellStyle name="40% - Акцент6 11 3" xfId="3233"/>
    <cellStyle name="40% - Акцент6 11 3 2" xfId="33741"/>
    <cellStyle name="40% - Акцент6 11 4" xfId="33742"/>
    <cellStyle name="40% - Акцент6 12" xfId="3234"/>
    <cellStyle name="40% - Акцент6 12 2" xfId="3235"/>
    <cellStyle name="40% - Акцент6 12 2 2" xfId="3236"/>
    <cellStyle name="40% - Акцент6 12 2 2 2" xfId="33743"/>
    <cellStyle name="40% - Акцент6 12 2 3" xfId="33744"/>
    <cellStyle name="40% - Акцент6 12 3" xfId="3237"/>
    <cellStyle name="40% - Акцент6 12 3 2" xfId="33745"/>
    <cellStyle name="40% - Акцент6 12 4" xfId="33746"/>
    <cellStyle name="40% - Акцент6 13" xfId="3238"/>
    <cellStyle name="40% - Акцент6 13 2" xfId="3239"/>
    <cellStyle name="40% - Акцент6 13 2 2" xfId="3240"/>
    <cellStyle name="40% - Акцент6 13 2 2 2" xfId="33747"/>
    <cellStyle name="40% - Акцент6 13 2 3" xfId="33748"/>
    <cellStyle name="40% - Акцент6 13 3" xfId="3241"/>
    <cellStyle name="40% - Акцент6 13 3 2" xfId="33749"/>
    <cellStyle name="40% - Акцент6 13 4" xfId="33750"/>
    <cellStyle name="40% - Акцент6 14" xfId="3242"/>
    <cellStyle name="40% - Акцент6 14 2" xfId="3243"/>
    <cellStyle name="40% - Акцент6 14 2 2" xfId="3244"/>
    <cellStyle name="40% - Акцент6 14 2 2 2" xfId="33751"/>
    <cellStyle name="40% - Акцент6 14 2 3" xfId="33752"/>
    <cellStyle name="40% - Акцент6 14 3" xfId="3245"/>
    <cellStyle name="40% - Акцент6 14 3 2" xfId="33753"/>
    <cellStyle name="40% - Акцент6 14 4" xfId="33754"/>
    <cellStyle name="40% - Акцент6 15" xfId="3246"/>
    <cellStyle name="40% - Акцент6 15 2" xfId="3247"/>
    <cellStyle name="40% - Акцент6 15 2 2" xfId="3248"/>
    <cellStyle name="40% - Акцент6 15 2 2 2" xfId="33755"/>
    <cellStyle name="40% - Акцент6 15 2 3" xfId="33756"/>
    <cellStyle name="40% - Акцент6 15 3" xfId="3249"/>
    <cellStyle name="40% - Акцент6 15 3 2" xfId="33757"/>
    <cellStyle name="40% - Акцент6 15 4" xfId="33758"/>
    <cellStyle name="40% - Акцент6 16" xfId="3250"/>
    <cellStyle name="40% - Акцент6 16 2" xfId="3251"/>
    <cellStyle name="40% - Акцент6 16 2 2" xfId="3252"/>
    <cellStyle name="40% - Акцент6 16 2 2 2" xfId="33759"/>
    <cellStyle name="40% - Акцент6 16 2 3" xfId="33760"/>
    <cellStyle name="40% - Акцент6 16 3" xfId="3253"/>
    <cellStyle name="40% - Акцент6 16 3 2" xfId="33761"/>
    <cellStyle name="40% - Акцент6 16 4" xfId="33762"/>
    <cellStyle name="40% - Акцент6 17" xfId="3254"/>
    <cellStyle name="40% - Акцент6 17 2" xfId="3255"/>
    <cellStyle name="40% - Акцент6 17 2 2" xfId="3256"/>
    <cellStyle name="40% - Акцент6 17 2 2 2" xfId="33763"/>
    <cellStyle name="40% - Акцент6 17 2 3" xfId="33764"/>
    <cellStyle name="40% - Акцент6 17 3" xfId="3257"/>
    <cellStyle name="40% - Акцент6 17 3 2" xfId="33765"/>
    <cellStyle name="40% - Акцент6 17 4" xfId="33766"/>
    <cellStyle name="40% - Акцент6 18" xfId="3258"/>
    <cellStyle name="40% - Акцент6 18 2" xfId="3259"/>
    <cellStyle name="40% - Акцент6 18 2 2" xfId="33767"/>
    <cellStyle name="40% - Акцент6 18 3" xfId="33768"/>
    <cellStyle name="40% - Акцент6 19" xfId="3260"/>
    <cellStyle name="40% - Акцент6 19 2" xfId="33769"/>
    <cellStyle name="40% - Акцент6 2" xfId="3261"/>
    <cellStyle name="40% - Акцент6 2 10" xfId="3262"/>
    <cellStyle name="40% - Акцент6 2 10 2" xfId="3263"/>
    <cellStyle name="40% - Акцент6 2 10 2 2" xfId="3264"/>
    <cellStyle name="40% - Акцент6 2 10 2 2 2" xfId="33770"/>
    <cellStyle name="40% - Акцент6 2 10 2 3" xfId="33771"/>
    <cellStyle name="40% - Акцент6 2 10 3" xfId="3265"/>
    <cellStyle name="40% - Акцент6 2 10 3 2" xfId="33772"/>
    <cellStyle name="40% - Акцент6 2 10 4" xfId="33773"/>
    <cellStyle name="40% - Акцент6 2 11" xfId="3266"/>
    <cellStyle name="40% - Акцент6 2 11 2" xfId="3267"/>
    <cellStyle name="40% - Акцент6 2 11 2 2" xfId="3268"/>
    <cellStyle name="40% - Акцент6 2 11 2 2 2" xfId="33774"/>
    <cellStyle name="40% - Акцент6 2 11 2 3" xfId="33775"/>
    <cellStyle name="40% - Акцент6 2 11 3" xfId="3269"/>
    <cellStyle name="40% - Акцент6 2 11 3 2" xfId="33776"/>
    <cellStyle name="40% - Акцент6 2 11 4" xfId="33777"/>
    <cellStyle name="40% - Акцент6 2 12" xfId="3270"/>
    <cellStyle name="40% - Акцент6 2 12 2" xfId="3271"/>
    <cellStyle name="40% - Акцент6 2 12 2 2" xfId="3272"/>
    <cellStyle name="40% - Акцент6 2 12 2 2 2" xfId="33778"/>
    <cellStyle name="40% - Акцент6 2 12 2 3" xfId="33779"/>
    <cellStyle name="40% - Акцент6 2 12 3" xfId="3273"/>
    <cellStyle name="40% - Акцент6 2 12 3 2" xfId="33780"/>
    <cellStyle name="40% - Акцент6 2 12 4" xfId="33781"/>
    <cellStyle name="40% - Акцент6 2 13" xfId="3274"/>
    <cellStyle name="40% - Акцент6 2 13 2" xfId="3275"/>
    <cellStyle name="40% - Акцент6 2 13 2 2" xfId="3276"/>
    <cellStyle name="40% - Акцент6 2 13 2 2 2" xfId="33782"/>
    <cellStyle name="40% - Акцент6 2 13 2 3" xfId="33783"/>
    <cellStyle name="40% - Акцент6 2 13 3" xfId="3277"/>
    <cellStyle name="40% - Акцент6 2 13 3 2" xfId="33784"/>
    <cellStyle name="40% - Акцент6 2 13 4" xfId="33785"/>
    <cellStyle name="40% - Акцент6 2 14" xfId="3278"/>
    <cellStyle name="40% - Акцент6 2 14 2" xfId="3279"/>
    <cellStyle name="40% - Акцент6 2 14 2 2" xfId="3280"/>
    <cellStyle name="40% - Акцент6 2 14 2 2 2" xfId="33786"/>
    <cellStyle name="40% - Акцент6 2 14 2 3" xfId="33787"/>
    <cellStyle name="40% - Акцент6 2 14 3" xfId="3281"/>
    <cellStyle name="40% - Акцент6 2 14 3 2" xfId="33788"/>
    <cellStyle name="40% - Акцент6 2 14 4" xfId="33789"/>
    <cellStyle name="40% - Акцент6 2 15" xfId="3282"/>
    <cellStyle name="40% - Акцент6 2 15 2" xfId="3283"/>
    <cellStyle name="40% - Акцент6 2 15 2 2" xfId="3284"/>
    <cellStyle name="40% - Акцент6 2 15 2 2 2" xfId="33790"/>
    <cellStyle name="40% - Акцент6 2 15 2 3" xfId="33791"/>
    <cellStyle name="40% - Акцент6 2 15 3" xfId="3285"/>
    <cellStyle name="40% - Акцент6 2 15 3 2" xfId="33792"/>
    <cellStyle name="40% - Акцент6 2 15 4" xfId="33793"/>
    <cellStyle name="40% - Акцент6 2 16" xfId="3286"/>
    <cellStyle name="40% - Акцент6 2 16 2" xfId="3287"/>
    <cellStyle name="40% - Акцент6 2 16 2 2" xfId="3288"/>
    <cellStyle name="40% - Акцент6 2 16 2 2 2" xfId="33794"/>
    <cellStyle name="40% - Акцент6 2 16 2 3" xfId="33795"/>
    <cellStyle name="40% - Акцент6 2 16 3" xfId="3289"/>
    <cellStyle name="40% - Акцент6 2 16 3 2" xfId="33796"/>
    <cellStyle name="40% - Акцент6 2 16 4" xfId="33797"/>
    <cellStyle name="40% - Акцент6 2 17" xfId="3290"/>
    <cellStyle name="40% - Акцент6 2 17 2" xfId="3291"/>
    <cellStyle name="40% - Акцент6 2 17 2 2" xfId="3292"/>
    <cellStyle name="40% - Акцент6 2 17 2 2 2" xfId="33798"/>
    <cellStyle name="40% - Акцент6 2 17 2 3" xfId="33799"/>
    <cellStyle name="40% - Акцент6 2 17 3" xfId="3293"/>
    <cellStyle name="40% - Акцент6 2 17 3 2" xfId="33800"/>
    <cellStyle name="40% - Акцент6 2 17 4" xfId="33801"/>
    <cellStyle name="40% - Акцент6 2 18" xfId="3294"/>
    <cellStyle name="40% - Акцент6 2 18 2" xfId="3295"/>
    <cellStyle name="40% - Акцент6 2 18 2 2" xfId="3296"/>
    <cellStyle name="40% - Акцент6 2 18 2 2 2" xfId="33802"/>
    <cellStyle name="40% - Акцент6 2 18 2 3" xfId="33803"/>
    <cellStyle name="40% - Акцент6 2 18 3" xfId="3297"/>
    <cellStyle name="40% - Акцент6 2 18 3 2" xfId="33804"/>
    <cellStyle name="40% - Акцент6 2 18 4" xfId="33805"/>
    <cellStyle name="40% - Акцент6 2 19" xfId="3298"/>
    <cellStyle name="40% - Акцент6 2 19 2" xfId="3299"/>
    <cellStyle name="40% - Акцент6 2 19 2 2" xfId="3300"/>
    <cellStyle name="40% - Акцент6 2 19 2 2 2" xfId="33806"/>
    <cellStyle name="40% - Акцент6 2 19 2 3" xfId="33807"/>
    <cellStyle name="40% - Акцент6 2 19 3" xfId="3301"/>
    <cellStyle name="40% - Акцент6 2 19 3 2" xfId="33808"/>
    <cellStyle name="40% - Акцент6 2 19 4" xfId="33809"/>
    <cellStyle name="40% - Акцент6 2 2" xfId="3302"/>
    <cellStyle name="40% - Акцент6 2 2 2" xfId="33810"/>
    <cellStyle name="40% - Акцент6 2 20" xfId="3303"/>
    <cellStyle name="40% - Акцент6 2 20 2" xfId="3304"/>
    <cellStyle name="40% - Акцент6 2 20 2 2" xfId="3305"/>
    <cellStyle name="40% - Акцент6 2 20 2 2 2" xfId="33811"/>
    <cellStyle name="40% - Акцент6 2 20 2 3" xfId="33812"/>
    <cellStyle name="40% - Акцент6 2 20 3" xfId="3306"/>
    <cellStyle name="40% - Акцент6 2 20 3 2" xfId="33813"/>
    <cellStyle name="40% - Акцент6 2 20 4" xfId="33814"/>
    <cellStyle name="40% - Акцент6 2 21" xfId="3307"/>
    <cellStyle name="40% - Акцент6 2 21 2" xfId="3308"/>
    <cellStyle name="40% - Акцент6 2 21 2 2" xfId="3309"/>
    <cellStyle name="40% - Акцент6 2 21 2 2 2" xfId="33815"/>
    <cellStyle name="40% - Акцент6 2 21 2 3" xfId="33816"/>
    <cellStyle name="40% - Акцент6 2 21 3" xfId="3310"/>
    <cellStyle name="40% - Акцент6 2 21 3 2" xfId="33817"/>
    <cellStyle name="40% - Акцент6 2 21 4" xfId="33818"/>
    <cellStyle name="40% - Акцент6 2 22" xfId="3311"/>
    <cellStyle name="40% - Акцент6 2 22 2" xfId="3312"/>
    <cellStyle name="40% - Акцент6 2 22 2 2" xfId="3313"/>
    <cellStyle name="40% - Акцент6 2 22 2 2 2" xfId="33819"/>
    <cellStyle name="40% - Акцент6 2 22 2 3" xfId="33820"/>
    <cellStyle name="40% - Акцент6 2 22 3" xfId="3314"/>
    <cellStyle name="40% - Акцент6 2 22 3 2" xfId="33821"/>
    <cellStyle name="40% - Акцент6 2 22 4" xfId="33822"/>
    <cellStyle name="40% - Акцент6 2 23" xfId="3315"/>
    <cellStyle name="40% - Акцент6 2 23 2" xfId="3316"/>
    <cellStyle name="40% - Акцент6 2 23 2 2" xfId="3317"/>
    <cellStyle name="40% - Акцент6 2 23 2 2 2" xfId="33823"/>
    <cellStyle name="40% - Акцент6 2 23 2 3" xfId="33824"/>
    <cellStyle name="40% - Акцент6 2 23 3" xfId="3318"/>
    <cellStyle name="40% - Акцент6 2 23 3 2" xfId="33825"/>
    <cellStyle name="40% - Акцент6 2 23 4" xfId="33826"/>
    <cellStyle name="40% - Акцент6 2 24" xfId="3319"/>
    <cellStyle name="40% - Акцент6 2 24 2" xfId="3320"/>
    <cellStyle name="40% - Акцент6 2 24 2 2" xfId="3321"/>
    <cellStyle name="40% - Акцент6 2 24 2 2 2" xfId="33827"/>
    <cellStyle name="40% - Акцент6 2 24 2 3" xfId="33828"/>
    <cellStyle name="40% - Акцент6 2 24 3" xfId="3322"/>
    <cellStyle name="40% - Акцент6 2 24 3 2" xfId="33829"/>
    <cellStyle name="40% - Акцент6 2 24 4" xfId="33830"/>
    <cellStyle name="40% - Акцент6 2 25" xfId="33831"/>
    <cellStyle name="40% - Акцент6 2 3" xfId="3323"/>
    <cellStyle name="40% - Акцент6 2 3 2" xfId="3324"/>
    <cellStyle name="40% - Акцент6 2 3 2 2" xfId="3325"/>
    <cellStyle name="40% - Акцент6 2 3 2 2 2" xfId="33832"/>
    <cellStyle name="40% - Акцент6 2 3 2 3" xfId="33833"/>
    <cellStyle name="40% - Акцент6 2 3 3" xfId="3326"/>
    <cellStyle name="40% - Акцент6 2 3 3 2" xfId="33834"/>
    <cellStyle name="40% - Акцент6 2 3 4" xfId="33835"/>
    <cellStyle name="40% - Акцент6 2 4" xfId="3327"/>
    <cellStyle name="40% - Акцент6 2 4 2" xfId="3328"/>
    <cellStyle name="40% - Акцент6 2 4 2 2" xfId="3329"/>
    <cellStyle name="40% - Акцент6 2 4 2 2 2" xfId="33836"/>
    <cellStyle name="40% - Акцент6 2 4 2 3" xfId="33837"/>
    <cellStyle name="40% - Акцент6 2 4 3" xfId="3330"/>
    <cellStyle name="40% - Акцент6 2 4 3 2" xfId="33838"/>
    <cellStyle name="40% - Акцент6 2 4 4" xfId="33839"/>
    <cellStyle name="40% - Акцент6 2 5" xfId="3331"/>
    <cellStyle name="40% - Акцент6 2 5 2" xfId="3332"/>
    <cellStyle name="40% - Акцент6 2 5 2 2" xfId="3333"/>
    <cellStyle name="40% - Акцент6 2 5 2 2 2" xfId="33840"/>
    <cellStyle name="40% - Акцент6 2 5 2 3" xfId="33841"/>
    <cellStyle name="40% - Акцент6 2 5 3" xfId="3334"/>
    <cellStyle name="40% - Акцент6 2 5 3 2" xfId="33842"/>
    <cellStyle name="40% - Акцент6 2 5 4" xfId="33843"/>
    <cellStyle name="40% - Акцент6 2 6" xfId="3335"/>
    <cellStyle name="40% - Акцент6 2 6 2" xfId="3336"/>
    <cellStyle name="40% - Акцент6 2 6 2 2" xfId="3337"/>
    <cellStyle name="40% - Акцент6 2 6 2 2 2" xfId="33844"/>
    <cellStyle name="40% - Акцент6 2 6 2 3" xfId="33845"/>
    <cellStyle name="40% - Акцент6 2 6 3" xfId="3338"/>
    <cellStyle name="40% - Акцент6 2 6 3 2" xfId="33846"/>
    <cellStyle name="40% - Акцент6 2 6 4" xfId="33847"/>
    <cellStyle name="40% - Акцент6 2 7" xfId="3339"/>
    <cellStyle name="40% - Акцент6 2 7 2" xfId="3340"/>
    <cellStyle name="40% - Акцент6 2 7 2 2" xfId="3341"/>
    <cellStyle name="40% - Акцент6 2 7 2 2 2" xfId="33848"/>
    <cellStyle name="40% - Акцент6 2 7 2 3" xfId="33849"/>
    <cellStyle name="40% - Акцент6 2 7 3" xfId="3342"/>
    <cellStyle name="40% - Акцент6 2 7 3 2" xfId="33850"/>
    <cellStyle name="40% - Акцент6 2 7 4" xfId="33851"/>
    <cellStyle name="40% - Акцент6 2 8" xfId="3343"/>
    <cellStyle name="40% - Акцент6 2 8 2" xfId="3344"/>
    <cellStyle name="40% - Акцент6 2 8 2 2" xfId="3345"/>
    <cellStyle name="40% - Акцент6 2 8 2 2 2" xfId="33852"/>
    <cellStyle name="40% - Акцент6 2 8 2 3" xfId="33853"/>
    <cellStyle name="40% - Акцент6 2 8 3" xfId="3346"/>
    <cellStyle name="40% - Акцент6 2 8 3 2" xfId="33854"/>
    <cellStyle name="40% - Акцент6 2 8 4" xfId="33855"/>
    <cellStyle name="40% - Акцент6 2 9" xfId="3347"/>
    <cellStyle name="40% - Акцент6 2 9 2" xfId="3348"/>
    <cellStyle name="40% - Акцент6 2 9 2 2" xfId="3349"/>
    <cellStyle name="40% - Акцент6 2 9 2 2 2" xfId="33856"/>
    <cellStyle name="40% - Акцент6 2 9 2 3" xfId="33857"/>
    <cellStyle name="40% - Акцент6 2 9 3" xfId="3350"/>
    <cellStyle name="40% - Акцент6 2 9 3 2" xfId="33858"/>
    <cellStyle name="40% - Акцент6 2 9 4" xfId="33859"/>
    <cellStyle name="40% - Акцент6 3" xfId="3351"/>
    <cellStyle name="40% - Акцент6 3 10" xfId="3352"/>
    <cellStyle name="40% - Акцент6 3 10 2" xfId="3353"/>
    <cellStyle name="40% - Акцент6 3 10 2 2" xfId="3354"/>
    <cellStyle name="40% - Акцент6 3 10 2 2 2" xfId="33860"/>
    <cellStyle name="40% - Акцент6 3 10 2 3" xfId="33861"/>
    <cellStyle name="40% - Акцент6 3 10 3" xfId="3355"/>
    <cellStyle name="40% - Акцент6 3 10 3 2" xfId="33862"/>
    <cellStyle name="40% - Акцент6 3 10 4" xfId="33863"/>
    <cellStyle name="40% - Акцент6 3 11" xfId="3356"/>
    <cellStyle name="40% - Акцент6 3 11 2" xfId="3357"/>
    <cellStyle name="40% - Акцент6 3 11 2 2" xfId="3358"/>
    <cellStyle name="40% - Акцент6 3 11 2 2 2" xfId="33864"/>
    <cellStyle name="40% - Акцент6 3 11 2 3" xfId="33865"/>
    <cellStyle name="40% - Акцент6 3 11 3" xfId="3359"/>
    <cellStyle name="40% - Акцент6 3 11 3 2" xfId="33866"/>
    <cellStyle name="40% - Акцент6 3 11 4" xfId="33867"/>
    <cellStyle name="40% - Акцент6 3 12" xfId="3360"/>
    <cellStyle name="40% - Акцент6 3 12 2" xfId="3361"/>
    <cellStyle name="40% - Акцент6 3 12 2 2" xfId="3362"/>
    <cellStyle name="40% - Акцент6 3 12 2 2 2" xfId="33868"/>
    <cellStyle name="40% - Акцент6 3 12 2 3" xfId="33869"/>
    <cellStyle name="40% - Акцент6 3 12 3" xfId="3363"/>
    <cellStyle name="40% - Акцент6 3 12 3 2" xfId="33870"/>
    <cellStyle name="40% - Акцент6 3 12 4" xfId="33871"/>
    <cellStyle name="40% - Акцент6 3 13" xfId="3364"/>
    <cellStyle name="40% - Акцент6 3 13 2" xfId="3365"/>
    <cellStyle name="40% - Акцент6 3 13 2 2" xfId="3366"/>
    <cellStyle name="40% - Акцент6 3 13 2 2 2" xfId="33872"/>
    <cellStyle name="40% - Акцент6 3 13 2 3" xfId="33873"/>
    <cellStyle name="40% - Акцент6 3 13 3" xfId="3367"/>
    <cellStyle name="40% - Акцент6 3 13 3 2" xfId="33874"/>
    <cellStyle name="40% - Акцент6 3 13 4" xfId="33875"/>
    <cellStyle name="40% - Акцент6 3 14" xfId="3368"/>
    <cellStyle name="40% - Акцент6 3 14 2" xfId="3369"/>
    <cellStyle name="40% - Акцент6 3 14 2 2" xfId="3370"/>
    <cellStyle name="40% - Акцент6 3 14 2 2 2" xfId="33876"/>
    <cellStyle name="40% - Акцент6 3 14 2 3" xfId="33877"/>
    <cellStyle name="40% - Акцент6 3 14 3" xfId="3371"/>
    <cellStyle name="40% - Акцент6 3 14 3 2" xfId="33878"/>
    <cellStyle name="40% - Акцент6 3 14 4" xfId="33879"/>
    <cellStyle name="40% - Акцент6 3 15" xfId="3372"/>
    <cellStyle name="40% - Акцент6 3 15 2" xfId="3373"/>
    <cellStyle name="40% - Акцент6 3 15 2 2" xfId="3374"/>
    <cellStyle name="40% - Акцент6 3 15 2 2 2" xfId="33880"/>
    <cellStyle name="40% - Акцент6 3 15 2 3" xfId="33881"/>
    <cellStyle name="40% - Акцент6 3 15 3" xfId="3375"/>
    <cellStyle name="40% - Акцент6 3 15 3 2" xfId="33882"/>
    <cellStyle name="40% - Акцент6 3 15 4" xfId="33883"/>
    <cellStyle name="40% - Акцент6 3 16" xfId="3376"/>
    <cellStyle name="40% - Акцент6 3 16 2" xfId="3377"/>
    <cellStyle name="40% - Акцент6 3 16 2 2" xfId="3378"/>
    <cellStyle name="40% - Акцент6 3 16 2 2 2" xfId="33884"/>
    <cellStyle name="40% - Акцент6 3 16 2 3" xfId="33885"/>
    <cellStyle name="40% - Акцент6 3 16 3" xfId="3379"/>
    <cellStyle name="40% - Акцент6 3 16 3 2" xfId="33886"/>
    <cellStyle name="40% - Акцент6 3 16 4" xfId="33887"/>
    <cellStyle name="40% - Акцент6 3 17" xfId="3380"/>
    <cellStyle name="40% - Акцент6 3 17 2" xfId="3381"/>
    <cellStyle name="40% - Акцент6 3 17 2 2" xfId="3382"/>
    <cellStyle name="40% - Акцент6 3 17 2 2 2" xfId="33888"/>
    <cellStyle name="40% - Акцент6 3 17 2 3" xfId="33889"/>
    <cellStyle name="40% - Акцент6 3 17 3" xfId="3383"/>
    <cellStyle name="40% - Акцент6 3 17 3 2" xfId="33890"/>
    <cellStyle name="40% - Акцент6 3 17 4" xfId="33891"/>
    <cellStyle name="40% - Акцент6 3 18" xfId="3384"/>
    <cellStyle name="40% - Акцент6 3 18 2" xfId="3385"/>
    <cellStyle name="40% - Акцент6 3 18 2 2" xfId="3386"/>
    <cellStyle name="40% - Акцент6 3 18 2 2 2" xfId="33892"/>
    <cellStyle name="40% - Акцент6 3 18 2 3" xfId="33893"/>
    <cellStyle name="40% - Акцент6 3 18 3" xfId="3387"/>
    <cellStyle name="40% - Акцент6 3 18 3 2" xfId="33894"/>
    <cellStyle name="40% - Акцент6 3 18 4" xfId="33895"/>
    <cellStyle name="40% - Акцент6 3 19" xfId="3388"/>
    <cellStyle name="40% - Акцент6 3 19 2" xfId="3389"/>
    <cellStyle name="40% - Акцент6 3 19 2 2" xfId="3390"/>
    <cellStyle name="40% - Акцент6 3 19 2 2 2" xfId="33896"/>
    <cellStyle name="40% - Акцент6 3 19 2 3" xfId="33897"/>
    <cellStyle name="40% - Акцент6 3 19 3" xfId="3391"/>
    <cellStyle name="40% - Акцент6 3 19 3 2" xfId="33898"/>
    <cellStyle name="40% - Акцент6 3 19 4" xfId="33899"/>
    <cellStyle name="40% - Акцент6 3 2" xfId="3392"/>
    <cellStyle name="40% - Акцент6 3 2 2" xfId="33900"/>
    <cellStyle name="40% - Акцент6 3 20" xfId="3393"/>
    <cellStyle name="40% - Акцент6 3 20 2" xfId="3394"/>
    <cellStyle name="40% - Акцент6 3 20 2 2" xfId="3395"/>
    <cellStyle name="40% - Акцент6 3 20 2 2 2" xfId="33901"/>
    <cellStyle name="40% - Акцент6 3 20 2 3" xfId="33902"/>
    <cellStyle name="40% - Акцент6 3 20 3" xfId="3396"/>
    <cellStyle name="40% - Акцент6 3 20 3 2" xfId="33903"/>
    <cellStyle name="40% - Акцент6 3 20 4" xfId="33904"/>
    <cellStyle name="40% - Акцент6 3 21" xfId="3397"/>
    <cellStyle name="40% - Акцент6 3 21 2" xfId="3398"/>
    <cellStyle name="40% - Акцент6 3 21 2 2" xfId="3399"/>
    <cellStyle name="40% - Акцент6 3 21 2 2 2" xfId="33905"/>
    <cellStyle name="40% - Акцент6 3 21 2 3" xfId="33906"/>
    <cellStyle name="40% - Акцент6 3 21 3" xfId="3400"/>
    <cellStyle name="40% - Акцент6 3 21 3 2" xfId="33907"/>
    <cellStyle name="40% - Акцент6 3 21 4" xfId="33908"/>
    <cellStyle name="40% - Акцент6 3 22" xfId="3401"/>
    <cellStyle name="40% - Акцент6 3 22 2" xfId="3402"/>
    <cellStyle name="40% - Акцент6 3 22 2 2" xfId="3403"/>
    <cellStyle name="40% - Акцент6 3 22 2 2 2" xfId="33909"/>
    <cellStyle name="40% - Акцент6 3 22 2 3" xfId="33910"/>
    <cellStyle name="40% - Акцент6 3 22 3" xfId="3404"/>
    <cellStyle name="40% - Акцент6 3 22 3 2" xfId="33911"/>
    <cellStyle name="40% - Акцент6 3 22 4" xfId="33912"/>
    <cellStyle name="40% - Акцент6 3 23" xfId="3405"/>
    <cellStyle name="40% - Акцент6 3 23 2" xfId="3406"/>
    <cellStyle name="40% - Акцент6 3 23 2 2" xfId="3407"/>
    <cellStyle name="40% - Акцент6 3 23 2 2 2" xfId="33913"/>
    <cellStyle name="40% - Акцент6 3 23 2 3" xfId="33914"/>
    <cellStyle name="40% - Акцент6 3 23 3" xfId="3408"/>
    <cellStyle name="40% - Акцент6 3 23 3 2" xfId="33915"/>
    <cellStyle name="40% - Акцент6 3 23 4" xfId="33916"/>
    <cellStyle name="40% - Акцент6 3 24" xfId="3409"/>
    <cellStyle name="40% - Акцент6 3 24 2" xfId="3410"/>
    <cellStyle name="40% - Акцент6 3 24 2 2" xfId="3411"/>
    <cellStyle name="40% - Акцент6 3 24 2 2 2" xfId="33917"/>
    <cellStyle name="40% - Акцент6 3 24 2 3" xfId="33918"/>
    <cellStyle name="40% - Акцент6 3 24 3" xfId="3412"/>
    <cellStyle name="40% - Акцент6 3 24 3 2" xfId="33919"/>
    <cellStyle name="40% - Акцент6 3 24 4" xfId="33920"/>
    <cellStyle name="40% - Акцент6 3 25" xfId="33921"/>
    <cellStyle name="40% - Акцент6 3 3" xfId="3413"/>
    <cellStyle name="40% - Акцент6 3 3 2" xfId="3414"/>
    <cellStyle name="40% - Акцент6 3 3 2 2" xfId="3415"/>
    <cellStyle name="40% - Акцент6 3 3 2 2 2" xfId="33922"/>
    <cellStyle name="40% - Акцент6 3 3 2 3" xfId="33923"/>
    <cellStyle name="40% - Акцент6 3 3 3" xfId="3416"/>
    <cellStyle name="40% - Акцент6 3 3 3 2" xfId="33924"/>
    <cellStyle name="40% - Акцент6 3 3 4" xfId="33925"/>
    <cellStyle name="40% - Акцент6 3 4" xfId="3417"/>
    <cellStyle name="40% - Акцент6 3 4 2" xfId="3418"/>
    <cellStyle name="40% - Акцент6 3 4 2 2" xfId="3419"/>
    <cellStyle name="40% - Акцент6 3 4 2 2 2" xfId="33926"/>
    <cellStyle name="40% - Акцент6 3 4 2 3" xfId="33927"/>
    <cellStyle name="40% - Акцент6 3 4 3" xfId="3420"/>
    <cellStyle name="40% - Акцент6 3 4 3 2" xfId="33928"/>
    <cellStyle name="40% - Акцент6 3 4 4" xfId="33929"/>
    <cellStyle name="40% - Акцент6 3 5" xfId="3421"/>
    <cellStyle name="40% - Акцент6 3 5 2" xfId="3422"/>
    <cellStyle name="40% - Акцент6 3 5 2 2" xfId="3423"/>
    <cellStyle name="40% - Акцент6 3 5 2 2 2" xfId="33930"/>
    <cellStyle name="40% - Акцент6 3 5 2 3" xfId="33931"/>
    <cellStyle name="40% - Акцент6 3 5 3" xfId="3424"/>
    <cellStyle name="40% - Акцент6 3 5 3 2" xfId="33932"/>
    <cellStyle name="40% - Акцент6 3 5 4" xfId="33933"/>
    <cellStyle name="40% - Акцент6 3 6" xfId="3425"/>
    <cellStyle name="40% - Акцент6 3 6 2" xfId="3426"/>
    <cellStyle name="40% - Акцент6 3 6 2 2" xfId="3427"/>
    <cellStyle name="40% - Акцент6 3 6 2 2 2" xfId="33934"/>
    <cellStyle name="40% - Акцент6 3 6 2 3" xfId="33935"/>
    <cellStyle name="40% - Акцент6 3 6 3" xfId="3428"/>
    <cellStyle name="40% - Акцент6 3 6 3 2" xfId="33936"/>
    <cellStyle name="40% - Акцент6 3 6 4" xfId="33937"/>
    <cellStyle name="40% - Акцент6 3 7" xfId="3429"/>
    <cellStyle name="40% - Акцент6 3 7 2" xfId="3430"/>
    <cellStyle name="40% - Акцент6 3 7 2 2" xfId="3431"/>
    <cellStyle name="40% - Акцент6 3 7 2 2 2" xfId="33938"/>
    <cellStyle name="40% - Акцент6 3 7 2 3" xfId="33939"/>
    <cellStyle name="40% - Акцент6 3 7 3" xfId="3432"/>
    <cellStyle name="40% - Акцент6 3 7 3 2" xfId="33940"/>
    <cellStyle name="40% - Акцент6 3 7 4" xfId="33941"/>
    <cellStyle name="40% - Акцент6 3 8" xfId="3433"/>
    <cellStyle name="40% - Акцент6 3 8 2" xfId="3434"/>
    <cellStyle name="40% - Акцент6 3 8 2 2" xfId="3435"/>
    <cellStyle name="40% - Акцент6 3 8 2 2 2" xfId="33942"/>
    <cellStyle name="40% - Акцент6 3 8 2 3" xfId="33943"/>
    <cellStyle name="40% - Акцент6 3 8 3" xfId="3436"/>
    <cellStyle name="40% - Акцент6 3 8 3 2" xfId="33944"/>
    <cellStyle name="40% - Акцент6 3 8 4" xfId="33945"/>
    <cellStyle name="40% - Акцент6 3 9" xfId="3437"/>
    <cellStyle name="40% - Акцент6 3 9 2" xfId="3438"/>
    <cellStyle name="40% - Акцент6 3 9 2 2" xfId="3439"/>
    <cellStyle name="40% - Акцент6 3 9 2 2 2" xfId="33946"/>
    <cellStyle name="40% - Акцент6 3 9 2 3" xfId="33947"/>
    <cellStyle name="40% - Акцент6 3 9 3" xfId="3440"/>
    <cellStyle name="40% - Акцент6 3 9 3 2" xfId="33948"/>
    <cellStyle name="40% - Акцент6 3 9 4" xfId="33949"/>
    <cellStyle name="40% - Акцент6 4" xfId="3441"/>
    <cellStyle name="40% - Акцент6 4 2" xfId="3442"/>
    <cellStyle name="40% - Акцент6 4 2 2" xfId="33950"/>
    <cellStyle name="40% - Акцент6 4 3" xfId="33951"/>
    <cellStyle name="40% - Акцент6 5" xfId="3443"/>
    <cellStyle name="40% - Акцент6 5 2" xfId="3444"/>
    <cellStyle name="40% - Акцент6 5 2 2" xfId="33952"/>
    <cellStyle name="40% - Акцент6 5 3" xfId="33953"/>
    <cellStyle name="40% - Акцент6 6" xfId="3445"/>
    <cellStyle name="40% - Акцент6 6 2" xfId="33954"/>
    <cellStyle name="40% - Акцент6 7" xfId="3446"/>
    <cellStyle name="40% - Акцент6 7 2" xfId="3447"/>
    <cellStyle name="40% - Акцент6 7 2 2" xfId="3448"/>
    <cellStyle name="40% - Акцент6 7 2 2 2" xfId="33955"/>
    <cellStyle name="40% - Акцент6 7 2 3" xfId="33956"/>
    <cellStyle name="40% - Акцент6 7 3" xfId="3449"/>
    <cellStyle name="40% - Акцент6 7 3 2" xfId="33957"/>
    <cellStyle name="40% - Акцент6 7 4" xfId="33958"/>
    <cellStyle name="40% - Акцент6 8" xfId="3450"/>
    <cellStyle name="40% - Акцент6 8 2" xfId="3451"/>
    <cellStyle name="40% - Акцент6 8 2 2" xfId="3452"/>
    <cellStyle name="40% - Акцент6 8 2 2 2" xfId="33959"/>
    <cellStyle name="40% - Акцент6 8 2 3" xfId="33960"/>
    <cellStyle name="40% - Акцент6 8 3" xfId="3453"/>
    <cellStyle name="40% - Акцент6 8 3 2" xfId="33961"/>
    <cellStyle name="40% - Акцент6 8 4" xfId="33962"/>
    <cellStyle name="40% - Акцент6 9" xfId="3454"/>
    <cellStyle name="40% - Акцент6 9 2" xfId="3455"/>
    <cellStyle name="40% - Акцент6 9 2 2" xfId="3456"/>
    <cellStyle name="40% - Акцент6 9 2 2 2" xfId="33963"/>
    <cellStyle name="40% - Акцент6 9 2 3" xfId="33964"/>
    <cellStyle name="40% - Акцент6 9 3" xfId="3457"/>
    <cellStyle name="40% - Акцент6 9 3 2" xfId="33965"/>
    <cellStyle name="40% - Акцент6 9 4" xfId="33966"/>
    <cellStyle name="60% - Accent1 10" xfId="3458"/>
    <cellStyle name="60% - Accent1 10 2" xfId="33967"/>
    <cellStyle name="60% - Accent1 11" xfId="3459"/>
    <cellStyle name="60% - Accent1 11 2" xfId="33968"/>
    <cellStyle name="60% - Accent1 12" xfId="3460"/>
    <cellStyle name="60% - Accent1 12 2" xfId="33969"/>
    <cellStyle name="60% - Accent1 13" xfId="3461"/>
    <cellStyle name="60% - Accent1 13 2" xfId="33970"/>
    <cellStyle name="60% - Accent1 2" xfId="3462"/>
    <cellStyle name="60% - Accent1 2 2" xfId="33971"/>
    <cellStyle name="60% - Accent1 3" xfId="3463"/>
    <cellStyle name="60% - Accent1 3 2" xfId="33972"/>
    <cellStyle name="60% - Accent1 4" xfId="3464"/>
    <cellStyle name="60% - Accent1 4 2" xfId="33973"/>
    <cellStyle name="60% - Accent1 5" xfId="3465"/>
    <cellStyle name="60% - Accent1 5 2" xfId="33974"/>
    <cellStyle name="60% - Accent1 6" xfId="3466"/>
    <cellStyle name="60% - Accent1 6 2" xfId="33975"/>
    <cellStyle name="60% - Accent1 7" xfId="3467"/>
    <cellStyle name="60% - Accent1 7 2" xfId="33976"/>
    <cellStyle name="60% - Accent1 8" xfId="3468"/>
    <cellStyle name="60% - Accent1 8 2" xfId="33977"/>
    <cellStyle name="60% - Accent1 9" xfId="3469"/>
    <cellStyle name="60% - Accent1 9 2" xfId="33978"/>
    <cellStyle name="60% - Accent2 10" xfId="3470"/>
    <cellStyle name="60% - Accent2 10 2" xfId="33979"/>
    <cellStyle name="60% - Accent2 11" xfId="3471"/>
    <cellStyle name="60% - Accent2 11 2" xfId="33980"/>
    <cellStyle name="60% - Accent2 12" xfId="3472"/>
    <cellStyle name="60% - Accent2 12 2" xfId="33981"/>
    <cellStyle name="60% - Accent2 13" xfId="3473"/>
    <cellStyle name="60% - Accent2 13 2" xfId="33982"/>
    <cellStyle name="60% - Accent2 2" xfId="3474"/>
    <cellStyle name="60% - Accent2 2 2" xfId="33983"/>
    <cellStyle name="60% - Accent2 3" xfId="3475"/>
    <cellStyle name="60% - Accent2 3 2" xfId="33984"/>
    <cellStyle name="60% - Accent2 4" xfId="3476"/>
    <cellStyle name="60% - Accent2 4 2" xfId="33985"/>
    <cellStyle name="60% - Accent2 5" xfId="3477"/>
    <cellStyle name="60% - Accent2 5 2" xfId="33986"/>
    <cellStyle name="60% - Accent2 6" xfId="3478"/>
    <cellStyle name="60% - Accent2 6 2" xfId="33987"/>
    <cellStyle name="60% - Accent2 7" xfId="3479"/>
    <cellStyle name="60% - Accent2 7 2" xfId="33988"/>
    <cellStyle name="60% - Accent2 8" xfId="3480"/>
    <cellStyle name="60% - Accent2 8 2" xfId="33989"/>
    <cellStyle name="60% - Accent2 9" xfId="3481"/>
    <cellStyle name="60% - Accent2 9 2" xfId="33990"/>
    <cellStyle name="60% - Accent3 10" xfId="3482"/>
    <cellStyle name="60% - Accent3 10 2" xfId="33991"/>
    <cellStyle name="60% - Accent3 11" xfId="3483"/>
    <cellStyle name="60% - Accent3 11 2" xfId="33992"/>
    <cellStyle name="60% - Accent3 12" xfId="3484"/>
    <cellStyle name="60% - Accent3 12 2" xfId="33993"/>
    <cellStyle name="60% - Accent3 13" xfId="3485"/>
    <cellStyle name="60% - Accent3 13 2" xfId="33994"/>
    <cellStyle name="60% - Accent3 2" xfId="3486"/>
    <cellStyle name="60% - Accent3 2 2" xfId="33995"/>
    <cellStyle name="60% - Accent3 3" xfId="3487"/>
    <cellStyle name="60% - Accent3 3 2" xfId="33996"/>
    <cellStyle name="60% - Accent3 4" xfId="3488"/>
    <cellStyle name="60% - Accent3 4 2" xfId="33997"/>
    <cellStyle name="60% - Accent3 5" xfId="3489"/>
    <cellStyle name="60% - Accent3 5 2" xfId="33998"/>
    <cellStyle name="60% - Accent3 6" xfId="3490"/>
    <cellStyle name="60% - Accent3 6 2" xfId="33999"/>
    <cellStyle name="60% - Accent3 7" xfId="3491"/>
    <cellStyle name="60% - Accent3 7 2" xfId="34000"/>
    <cellStyle name="60% - Accent3 8" xfId="3492"/>
    <cellStyle name="60% - Accent3 8 2" xfId="34001"/>
    <cellStyle name="60% - Accent3 9" xfId="3493"/>
    <cellStyle name="60% - Accent3 9 2" xfId="34002"/>
    <cellStyle name="60% - Accent4 10" xfId="3494"/>
    <cellStyle name="60% - Accent4 10 2" xfId="34003"/>
    <cellStyle name="60% - Accent4 11" xfId="3495"/>
    <cellStyle name="60% - Accent4 11 2" xfId="34004"/>
    <cellStyle name="60% - Accent4 12" xfId="3496"/>
    <cellStyle name="60% - Accent4 12 2" xfId="34005"/>
    <cellStyle name="60% - Accent4 13" xfId="3497"/>
    <cellStyle name="60% - Accent4 13 2" xfId="34006"/>
    <cellStyle name="60% - Accent4 2" xfId="3498"/>
    <cellStyle name="60% - Accent4 2 2" xfId="34007"/>
    <cellStyle name="60% - Accent4 3" xfId="3499"/>
    <cellStyle name="60% - Accent4 3 2" xfId="34008"/>
    <cellStyle name="60% - Accent4 4" xfId="3500"/>
    <cellStyle name="60% - Accent4 4 2" xfId="34009"/>
    <cellStyle name="60% - Accent4 5" xfId="3501"/>
    <cellStyle name="60% - Accent4 5 2" xfId="34010"/>
    <cellStyle name="60% - Accent4 6" xfId="3502"/>
    <cellStyle name="60% - Accent4 6 2" xfId="34011"/>
    <cellStyle name="60% - Accent4 7" xfId="3503"/>
    <cellStyle name="60% - Accent4 7 2" xfId="34012"/>
    <cellStyle name="60% - Accent4 8" xfId="3504"/>
    <cellStyle name="60% - Accent4 8 2" xfId="34013"/>
    <cellStyle name="60% - Accent4 9" xfId="3505"/>
    <cellStyle name="60% - Accent4 9 2" xfId="34014"/>
    <cellStyle name="60% - Accent5 10" xfId="3506"/>
    <cellStyle name="60% - Accent5 10 2" xfId="34015"/>
    <cellStyle name="60% - Accent5 11" xfId="3507"/>
    <cellStyle name="60% - Accent5 11 2" xfId="34016"/>
    <cellStyle name="60% - Accent5 12" xfId="3508"/>
    <cellStyle name="60% - Accent5 12 2" xfId="34017"/>
    <cellStyle name="60% - Accent5 13" xfId="3509"/>
    <cellStyle name="60% - Accent5 13 2" xfId="34018"/>
    <cellStyle name="60% - Accent5 2" xfId="3510"/>
    <cellStyle name="60% - Accent5 2 2" xfId="34019"/>
    <cellStyle name="60% - Accent5 3" xfId="3511"/>
    <cellStyle name="60% - Accent5 3 2" xfId="34020"/>
    <cellStyle name="60% - Accent5 4" xfId="3512"/>
    <cellStyle name="60% - Accent5 4 2" xfId="34021"/>
    <cellStyle name="60% - Accent5 5" xfId="3513"/>
    <cellStyle name="60% - Accent5 5 2" xfId="34022"/>
    <cellStyle name="60% - Accent5 6" xfId="3514"/>
    <cellStyle name="60% - Accent5 6 2" xfId="34023"/>
    <cellStyle name="60% - Accent5 7" xfId="3515"/>
    <cellStyle name="60% - Accent5 7 2" xfId="34024"/>
    <cellStyle name="60% - Accent5 8" xfId="3516"/>
    <cellStyle name="60% - Accent5 8 2" xfId="34025"/>
    <cellStyle name="60% - Accent5 9" xfId="3517"/>
    <cellStyle name="60% - Accent5 9 2" xfId="34026"/>
    <cellStyle name="60% - Accent6 10" xfId="3518"/>
    <cellStyle name="60% - Accent6 10 2" xfId="34027"/>
    <cellStyle name="60% - Accent6 11" xfId="3519"/>
    <cellStyle name="60% - Accent6 11 2" xfId="34028"/>
    <cellStyle name="60% - Accent6 12" xfId="3520"/>
    <cellStyle name="60% - Accent6 12 2" xfId="34029"/>
    <cellStyle name="60% - Accent6 13" xfId="3521"/>
    <cellStyle name="60% - Accent6 13 2" xfId="34030"/>
    <cellStyle name="60% - Accent6 2" xfId="3522"/>
    <cellStyle name="60% - Accent6 2 2" xfId="34031"/>
    <cellStyle name="60% - Accent6 3" xfId="3523"/>
    <cellStyle name="60% - Accent6 3 2" xfId="34032"/>
    <cellStyle name="60% - Accent6 4" xfId="3524"/>
    <cellStyle name="60% - Accent6 4 2" xfId="34033"/>
    <cellStyle name="60% - Accent6 5" xfId="3525"/>
    <cellStyle name="60% - Accent6 5 2" xfId="34034"/>
    <cellStyle name="60% - Accent6 6" xfId="3526"/>
    <cellStyle name="60% - Accent6 6 2" xfId="34035"/>
    <cellStyle name="60% - Accent6 7" xfId="3527"/>
    <cellStyle name="60% - Accent6 7 2" xfId="34036"/>
    <cellStyle name="60% - Accent6 8" xfId="3528"/>
    <cellStyle name="60% - Accent6 8 2" xfId="34037"/>
    <cellStyle name="60% - Accent6 9" xfId="3529"/>
    <cellStyle name="60% - Accent6 9 2" xfId="34038"/>
    <cellStyle name="60% - Акцент1 2" xfId="3530"/>
    <cellStyle name="60% - Акцент1 2 10" xfId="3531"/>
    <cellStyle name="60% - Акцент1 2 10 2" xfId="34039"/>
    <cellStyle name="60% - Акцент1 2 11" xfId="3532"/>
    <cellStyle name="60% - Акцент1 2 11 2" xfId="34040"/>
    <cellStyle name="60% - Акцент1 2 12" xfId="3533"/>
    <cellStyle name="60% - Акцент1 2 12 2" xfId="34041"/>
    <cellStyle name="60% - Акцент1 2 13" xfId="3534"/>
    <cellStyle name="60% - Акцент1 2 13 2" xfId="34042"/>
    <cellStyle name="60% - Акцент1 2 14" xfId="3535"/>
    <cellStyle name="60% - Акцент1 2 14 2" xfId="34043"/>
    <cellStyle name="60% - Акцент1 2 15" xfId="3536"/>
    <cellStyle name="60% - Акцент1 2 15 2" xfId="34044"/>
    <cellStyle name="60% - Акцент1 2 16" xfId="3537"/>
    <cellStyle name="60% - Акцент1 2 16 2" xfId="34045"/>
    <cellStyle name="60% - Акцент1 2 17" xfId="3538"/>
    <cellStyle name="60% - Акцент1 2 17 2" xfId="34046"/>
    <cellStyle name="60% - Акцент1 2 18" xfId="3539"/>
    <cellStyle name="60% - Акцент1 2 18 2" xfId="34047"/>
    <cellStyle name="60% - Акцент1 2 19" xfId="3540"/>
    <cellStyle name="60% - Акцент1 2 19 2" xfId="34048"/>
    <cellStyle name="60% - Акцент1 2 2" xfId="3541"/>
    <cellStyle name="60% - Акцент1 2 2 2" xfId="34049"/>
    <cellStyle name="60% - Акцент1 2 20" xfId="3542"/>
    <cellStyle name="60% - Акцент1 2 20 2" xfId="34050"/>
    <cellStyle name="60% - Акцент1 2 21" xfId="3543"/>
    <cellStyle name="60% - Акцент1 2 21 2" xfId="34051"/>
    <cellStyle name="60% - Акцент1 2 22" xfId="3544"/>
    <cellStyle name="60% - Акцент1 2 22 2" xfId="34052"/>
    <cellStyle name="60% - Акцент1 2 23" xfId="3545"/>
    <cellStyle name="60% - Акцент1 2 23 2" xfId="34053"/>
    <cellStyle name="60% - Акцент1 2 24" xfId="34054"/>
    <cellStyle name="60% - Акцент1 2 3" xfId="3546"/>
    <cellStyle name="60% - Акцент1 2 3 2" xfId="34055"/>
    <cellStyle name="60% - Акцент1 2 4" xfId="3547"/>
    <cellStyle name="60% - Акцент1 2 4 2" xfId="34056"/>
    <cellStyle name="60% - Акцент1 2 5" xfId="3548"/>
    <cellStyle name="60% - Акцент1 2 5 2" xfId="34057"/>
    <cellStyle name="60% - Акцент1 2 6" xfId="3549"/>
    <cellStyle name="60% - Акцент1 2 6 2" xfId="34058"/>
    <cellStyle name="60% - Акцент1 2 7" xfId="3550"/>
    <cellStyle name="60% - Акцент1 2 7 2" xfId="34059"/>
    <cellStyle name="60% - Акцент1 2 8" xfId="3551"/>
    <cellStyle name="60% - Акцент1 2 8 2" xfId="34060"/>
    <cellStyle name="60% - Акцент1 2 9" xfId="3552"/>
    <cellStyle name="60% - Акцент1 2 9 2" xfId="34061"/>
    <cellStyle name="60% - Акцент1 3" xfId="3553"/>
    <cellStyle name="60% - Акцент1 3 10" xfId="3554"/>
    <cellStyle name="60% - Акцент1 3 10 2" xfId="34062"/>
    <cellStyle name="60% - Акцент1 3 11" xfId="3555"/>
    <cellStyle name="60% - Акцент1 3 11 2" xfId="34063"/>
    <cellStyle name="60% - Акцент1 3 12" xfId="3556"/>
    <cellStyle name="60% - Акцент1 3 12 2" xfId="34064"/>
    <cellStyle name="60% - Акцент1 3 13" xfId="3557"/>
    <cellStyle name="60% - Акцент1 3 13 2" xfId="34065"/>
    <cellStyle name="60% - Акцент1 3 14" xfId="3558"/>
    <cellStyle name="60% - Акцент1 3 14 2" xfId="34066"/>
    <cellStyle name="60% - Акцент1 3 15" xfId="3559"/>
    <cellStyle name="60% - Акцент1 3 15 2" xfId="34067"/>
    <cellStyle name="60% - Акцент1 3 16" xfId="3560"/>
    <cellStyle name="60% - Акцент1 3 16 2" xfId="34068"/>
    <cellStyle name="60% - Акцент1 3 17" xfId="3561"/>
    <cellStyle name="60% - Акцент1 3 17 2" xfId="34069"/>
    <cellStyle name="60% - Акцент1 3 18" xfId="3562"/>
    <cellStyle name="60% - Акцент1 3 18 2" xfId="34070"/>
    <cellStyle name="60% - Акцент1 3 19" xfId="3563"/>
    <cellStyle name="60% - Акцент1 3 19 2" xfId="34071"/>
    <cellStyle name="60% - Акцент1 3 2" xfId="3564"/>
    <cellStyle name="60% - Акцент1 3 2 2" xfId="34072"/>
    <cellStyle name="60% - Акцент1 3 20" xfId="3565"/>
    <cellStyle name="60% - Акцент1 3 20 2" xfId="34073"/>
    <cellStyle name="60% - Акцент1 3 21" xfId="3566"/>
    <cellStyle name="60% - Акцент1 3 21 2" xfId="34074"/>
    <cellStyle name="60% - Акцент1 3 22" xfId="3567"/>
    <cellStyle name="60% - Акцент1 3 22 2" xfId="34075"/>
    <cellStyle name="60% - Акцент1 3 23" xfId="3568"/>
    <cellStyle name="60% - Акцент1 3 23 2" xfId="34076"/>
    <cellStyle name="60% - Акцент1 3 24" xfId="34077"/>
    <cellStyle name="60% - Акцент1 3 3" xfId="3569"/>
    <cellStyle name="60% - Акцент1 3 3 2" xfId="34078"/>
    <cellStyle name="60% - Акцент1 3 4" xfId="3570"/>
    <cellStyle name="60% - Акцент1 3 4 2" xfId="34079"/>
    <cellStyle name="60% - Акцент1 3 5" xfId="3571"/>
    <cellStyle name="60% - Акцент1 3 5 2" xfId="34080"/>
    <cellStyle name="60% - Акцент1 3 6" xfId="3572"/>
    <cellStyle name="60% - Акцент1 3 6 2" xfId="34081"/>
    <cellStyle name="60% - Акцент1 3 7" xfId="3573"/>
    <cellStyle name="60% - Акцент1 3 7 2" xfId="34082"/>
    <cellStyle name="60% - Акцент1 3 8" xfId="3574"/>
    <cellStyle name="60% - Акцент1 3 8 2" xfId="34083"/>
    <cellStyle name="60% - Акцент1 3 9" xfId="3575"/>
    <cellStyle name="60% - Акцент1 3 9 2" xfId="34084"/>
    <cellStyle name="60% - Акцент1 4" xfId="3576"/>
    <cellStyle name="60% - Акцент1 4 2" xfId="34085"/>
    <cellStyle name="60% - Акцент1 5" xfId="3577"/>
    <cellStyle name="60% - Акцент1 5 2" xfId="34086"/>
    <cellStyle name="60% - Акцент1 6" xfId="3578"/>
    <cellStyle name="60% - Акцент1 6 2" xfId="34087"/>
    <cellStyle name="60% - Акцент1 7" xfId="3579"/>
    <cellStyle name="60% - Акцент2 2" xfId="3580"/>
    <cellStyle name="60% - Акцент2 2 10" xfId="3581"/>
    <cellStyle name="60% - Акцент2 2 10 2" xfId="34088"/>
    <cellStyle name="60% - Акцент2 2 11" xfId="3582"/>
    <cellStyle name="60% - Акцент2 2 11 2" xfId="34089"/>
    <cellStyle name="60% - Акцент2 2 12" xfId="3583"/>
    <cellStyle name="60% - Акцент2 2 12 2" xfId="34090"/>
    <cellStyle name="60% - Акцент2 2 13" xfId="3584"/>
    <cellStyle name="60% - Акцент2 2 13 2" xfId="34091"/>
    <cellStyle name="60% - Акцент2 2 14" xfId="3585"/>
    <cellStyle name="60% - Акцент2 2 14 2" xfId="34092"/>
    <cellStyle name="60% - Акцент2 2 15" xfId="3586"/>
    <cellStyle name="60% - Акцент2 2 15 2" xfId="34093"/>
    <cellStyle name="60% - Акцент2 2 16" xfId="3587"/>
    <cellStyle name="60% - Акцент2 2 16 2" xfId="34094"/>
    <cellStyle name="60% - Акцент2 2 17" xfId="3588"/>
    <cellStyle name="60% - Акцент2 2 17 2" xfId="34095"/>
    <cellStyle name="60% - Акцент2 2 18" xfId="3589"/>
    <cellStyle name="60% - Акцент2 2 18 2" xfId="34096"/>
    <cellStyle name="60% - Акцент2 2 19" xfId="3590"/>
    <cellStyle name="60% - Акцент2 2 19 2" xfId="34097"/>
    <cellStyle name="60% - Акцент2 2 2" xfId="3591"/>
    <cellStyle name="60% - Акцент2 2 2 2" xfId="34098"/>
    <cellStyle name="60% - Акцент2 2 20" xfId="3592"/>
    <cellStyle name="60% - Акцент2 2 20 2" xfId="34099"/>
    <cellStyle name="60% - Акцент2 2 21" xfId="3593"/>
    <cellStyle name="60% - Акцент2 2 21 2" xfId="34100"/>
    <cellStyle name="60% - Акцент2 2 22" xfId="3594"/>
    <cellStyle name="60% - Акцент2 2 22 2" xfId="34101"/>
    <cellStyle name="60% - Акцент2 2 23" xfId="3595"/>
    <cellStyle name="60% - Акцент2 2 23 2" xfId="34102"/>
    <cellStyle name="60% - Акцент2 2 24" xfId="34103"/>
    <cellStyle name="60% - Акцент2 2 3" xfId="3596"/>
    <cellStyle name="60% - Акцент2 2 3 2" xfId="34104"/>
    <cellStyle name="60% - Акцент2 2 4" xfId="3597"/>
    <cellStyle name="60% - Акцент2 2 4 2" xfId="34105"/>
    <cellStyle name="60% - Акцент2 2 5" xfId="3598"/>
    <cellStyle name="60% - Акцент2 2 5 2" xfId="34106"/>
    <cellStyle name="60% - Акцент2 2 6" xfId="3599"/>
    <cellStyle name="60% - Акцент2 2 6 2" xfId="34107"/>
    <cellStyle name="60% - Акцент2 2 7" xfId="3600"/>
    <cellStyle name="60% - Акцент2 2 7 2" xfId="34108"/>
    <cellStyle name="60% - Акцент2 2 8" xfId="3601"/>
    <cellStyle name="60% - Акцент2 2 8 2" xfId="34109"/>
    <cellStyle name="60% - Акцент2 2 9" xfId="3602"/>
    <cellStyle name="60% - Акцент2 2 9 2" xfId="34110"/>
    <cellStyle name="60% - Акцент2 3" xfId="3603"/>
    <cellStyle name="60% - Акцент2 3 10" xfId="3604"/>
    <cellStyle name="60% - Акцент2 3 10 2" xfId="34111"/>
    <cellStyle name="60% - Акцент2 3 11" xfId="3605"/>
    <cellStyle name="60% - Акцент2 3 11 2" xfId="34112"/>
    <cellStyle name="60% - Акцент2 3 12" xfId="3606"/>
    <cellStyle name="60% - Акцент2 3 12 2" xfId="34113"/>
    <cellStyle name="60% - Акцент2 3 13" xfId="3607"/>
    <cellStyle name="60% - Акцент2 3 13 2" xfId="34114"/>
    <cellStyle name="60% - Акцент2 3 14" xfId="3608"/>
    <cellStyle name="60% - Акцент2 3 14 2" xfId="34115"/>
    <cellStyle name="60% - Акцент2 3 15" xfId="3609"/>
    <cellStyle name="60% - Акцент2 3 15 2" xfId="34116"/>
    <cellStyle name="60% - Акцент2 3 16" xfId="3610"/>
    <cellStyle name="60% - Акцент2 3 16 2" xfId="34117"/>
    <cellStyle name="60% - Акцент2 3 17" xfId="3611"/>
    <cellStyle name="60% - Акцент2 3 17 2" xfId="34118"/>
    <cellStyle name="60% - Акцент2 3 18" xfId="3612"/>
    <cellStyle name="60% - Акцент2 3 18 2" xfId="34119"/>
    <cellStyle name="60% - Акцент2 3 19" xfId="3613"/>
    <cellStyle name="60% - Акцент2 3 19 2" xfId="34120"/>
    <cellStyle name="60% - Акцент2 3 2" xfId="3614"/>
    <cellStyle name="60% - Акцент2 3 2 2" xfId="34121"/>
    <cellStyle name="60% - Акцент2 3 20" xfId="3615"/>
    <cellStyle name="60% - Акцент2 3 20 2" xfId="34122"/>
    <cellStyle name="60% - Акцент2 3 21" xfId="3616"/>
    <cellStyle name="60% - Акцент2 3 21 2" xfId="34123"/>
    <cellStyle name="60% - Акцент2 3 22" xfId="3617"/>
    <cellStyle name="60% - Акцент2 3 22 2" xfId="34124"/>
    <cellStyle name="60% - Акцент2 3 23" xfId="3618"/>
    <cellStyle name="60% - Акцент2 3 23 2" xfId="34125"/>
    <cellStyle name="60% - Акцент2 3 24" xfId="34126"/>
    <cellStyle name="60% - Акцент2 3 3" xfId="3619"/>
    <cellStyle name="60% - Акцент2 3 3 2" xfId="34127"/>
    <cellStyle name="60% - Акцент2 3 4" xfId="3620"/>
    <cellStyle name="60% - Акцент2 3 4 2" xfId="34128"/>
    <cellStyle name="60% - Акцент2 3 5" xfId="3621"/>
    <cellStyle name="60% - Акцент2 3 5 2" xfId="34129"/>
    <cellStyle name="60% - Акцент2 3 6" xfId="3622"/>
    <cellStyle name="60% - Акцент2 3 6 2" xfId="34130"/>
    <cellStyle name="60% - Акцент2 3 7" xfId="3623"/>
    <cellStyle name="60% - Акцент2 3 7 2" xfId="34131"/>
    <cellStyle name="60% - Акцент2 3 8" xfId="3624"/>
    <cellStyle name="60% - Акцент2 3 8 2" xfId="34132"/>
    <cellStyle name="60% - Акцент2 3 9" xfId="3625"/>
    <cellStyle name="60% - Акцент2 3 9 2" xfId="34133"/>
    <cellStyle name="60% - Акцент2 4" xfId="3626"/>
    <cellStyle name="60% - Акцент2 4 2" xfId="34134"/>
    <cellStyle name="60% - Акцент2 5" xfId="3627"/>
    <cellStyle name="60% - Акцент2 5 2" xfId="34135"/>
    <cellStyle name="60% - Акцент2 6" xfId="3628"/>
    <cellStyle name="60% - Акцент2 6 2" xfId="34136"/>
    <cellStyle name="60% - Акцент2 7" xfId="3629"/>
    <cellStyle name="60% - Акцент3 2" xfId="3630"/>
    <cellStyle name="60% - Акцент3 2 10" xfId="3631"/>
    <cellStyle name="60% - Акцент3 2 10 2" xfId="34137"/>
    <cellStyle name="60% - Акцент3 2 11" xfId="3632"/>
    <cellStyle name="60% - Акцент3 2 11 2" xfId="34138"/>
    <cellStyle name="60% - Акцент3 2 12" xfId="3633"/>
    <cellStyle name="60% - Акцент3 2 12 2" xfId="34139"/>
    <cellStyle name="60% - Акцент3 2 13" xfId="3634"/>
    <cellStyle name="60% - Акцент3 2 13 2" xfId="34140"/>
    <cellStyle name="60% - Акцент3 2 14" xfId="3635"/>
    <cellStyle name="60% - Акцент3 2 14 2" xfId="34141"/>
    <cellStyle name="60% - Акцент3 2 15" xfId="3636"/>
    <cellStyle name="60% - Акцент3 2 15 2" xfId="34142"/>
    <cellStyle name="60% - Акцент3 2 16" xfId="3637"/>
    <cellStyle name="60% - Акцент3 2 16 2" xfId="34143"/>
    <cellStyle name="60% - Акцент3 2 17" xfId="3638"/>
    <cellStyle name="60% - Акцент3 2 17 2" xfId="34144"/>
    <cellStyle name="60% - Акцент3 2 18" xfId="3639"/>
    <cellStyle name="60% - Акцент3 2 18 2" xfId="34145"/>
    <cellStyle name="60% - Акцент3 2 19" xfId="3640"/>
    <cellStyle name="60% - Акцент3 2 19 2" xfId="34146"/>
    <cellStyle name="60% - Акцент3 2 2" xfId="3641"/>
    <cellStyle name="60% - Акцент3 2 2 2" xfId="34147"/>
    <cellStyle name="60% - Акцент3 2 20" xfId="3642"/>
    <cellStyle name="60% - Акцент3 2 20 2" xfId="34148"/>
    <cellStyle name="60% - Акцент3 2 21" xfId="3643"/>
    <cellStyle name="60% - Акцент3 2 21 2" xfId="34149"/>
    <cellStyle name="60% - Акцент3 2 22" xfId="3644"/>
    <cellStyle name="60% - Акцент3 2 22 2" xfId="34150"/>
    <cellStyle name="60% - Акцент3 2 23" xfId="3645"/>
    <cellStyle name="60% - Акцент3 2 23 2" xfId="34151"/>
    <cellStyle name="60% - Акцент3 2 24" xfId="34152"/>
    <cellStyle name="60% - Акцент3 2 3" xfId="3646"/>
    <cellStyle name="60% - Акцент3 2 3 2" xfId="34153"/>
    <cellStyle name="60% - Акцент3 2 4" xfId="3647"/>
    <cellStyle name="60% - Акцент3 2 4 2" xfId="34154"/>
    <cellStyle name="60% - Акцент3 2 5" xfId="3648"/>
    <cellStyle name="60% - Акцент3 2 5 2" xfId="34155"/>
    <cellStyle name="60% - Акцент3 2 6" xfId="3649"/>
    <cellStyle name="60% - Акцент3 2 6 2" xfId="34156"/>
    <cellStyle name="60% - Акцент3 2 7" xfId="3650"/>
    <cellStyle name="60% - Акцент3 2 7 2" xfId="34157"/>
    <cellStyle name="60% - Акцент3 2 8" xfId="3651"/>
    <cellStyle name="60% - Акцент3 2 8 2" xfId="34158"/>
    <cellStyle name="60% - Акцент3 2 9" xfId="3652"/>
    <cellStyle name="60% - Акцент3 2 9 2" xfId="34159"/>
    <cellStyle name="60% - Акцент3 3" xfId="3653"/>
    <cellStyle name="60% - Акцент3 3 10" xfId="3654"/>
    <cellStyle name="60% - Акцент3 3 10 2" xfId="34160"/>
    <cellStyle name="60% - Акцент3 3 11" xfId="3655"/>
    <cellStyle name="60% - Акцент3 3 11 2" xfId="34161"/>
    <cellStyle name="60% - Акцент3 3 12" xfId="3656"/>
    <cellStyle name="60% - Акцент3 3 12 2" xfId="34162"/>
    <cellStyle name="60% - Акцент3 3 13" xfId="3657"/>
    <cellStyle name="60% - Акцент3 3 13 2" xfId="34163"/>
    <cellStyle name="60% - Акцент3 3 14" xfId="3658"/>
    <cellStyle name="60% - Акцент3 3 14 2" xfId="34164"/>
    <cellStyle name="60% - Акцент3 3 15" xfId="3659"/>
    <cellStyle name="60% - Акцент3 3 15 2" xfId="34165"/>
    <cellStyle name="60% - Акцент3 3 16" xfId="3660"/>
    <cellStyle name="60% - Акцент3 3 16 2" xfId="34166"/>
    <cellStyle name="60% - Акцент3 3 17" xfId="3661"/>
    <cellStyle name="60% - Акцент3 3 17 2" xfId="34167"/>
    <cellStyle name="60% - Акцент3 3 18" xfId="3662"/>
    <cellStyle name="60% - Акцент3 3 18 2" xfId="34168"/>
    <cellStyle name="60% - Акцент3 3 19" xfId="3663"/>
    <cellStyle name="60% - Акцент3 3 19 2" xfId="34169"/>
    <cellStyle name="60% - Акцент3 3 2" xfId="3664"/>
    <cellStyle name="60% - Акцент3 3 2 2" xfId="34170"/>
    <cellStyle name="60% - Акцент3 3 20" xfId="3665"/>
    <cellStyle name="60% - Акцент3 3 20 2" xfId="34171"/>
    <cellStyle name="60% - Акцент3 3 21" xfId="3666"/>
    <cellStyle name="60% - Акцент3 3 21 2" xfId="34172"/>
    <cellStyle name="60% - Акцент3 3 22" xfId="3667"/>
    <cellStyle name="60% - Акцент3 3 22 2" xfId="34173"/>
    <cellStyle name="60% - Акцент3 3 23" xfId="3668"/>
    <cellStyle name="60% - Акцент3 3 23 2" xfId="34174"/>
    <cellStyle name="60% - Акцент3 3 24" xfId="34175"/>
    <cellStyle name="60% - Акцент3 3 3" xfId="3669"/>
    <cellStyle name="60% - Акцент3 3 3 2" xfId="34176"/>
    <cellStyle name="60% - Акцент3 3 4" xfId="3670"/>
    <cellStyle name="60% - Акцент3 3 4 2" xfId="34177"/>
    <cellStyle name="60% - Акцент3 3 5" xfId="3671"/>
    <cellStyle name="60% - Акцент3 3 5 2" xfId="34178"/>
    <cellStyle name="60% - Акцент3 3 6" xfId="3672"/>
    <cellStyle name="60% - Акцент3 3 6 2" xfId="34179"/>
    <cellStyle name="60% - Акцент3 3 7" xfId="3673"/>
    <cellStyle name="60% - Акцент3 3 7 2" xfId="34180"/>
    <cellStyle name="60% - Акцент3 3 8" xfId="3674"/>
    <cellStyle name="60% - Акцент3 3 8 2" xfId="34181"/>
    <cellStyle name="60% - Акцент3 3 9" xfId="3675"/>
    <cellStyle name="60% - Акцент3 3 9 2" xfId="34182"/>
    <cellStyle name="60% - Акцент3 4" xfId="3676"/>
    <cellStyle name="60% - Акцент3 4 10" xfId="3677"/>
    <cellStyle name="60% - Акцент3 4 10 2" xfId="34183"/>
    <cellStyle name="60% - Акцент3 4 11" xfId="3678"/>
    <cellStyle name="60% - Акцент3 4 11 2" xfId="34184"/>
    <cellStyle name="60% - Акцент3 4 12" xfId="3679"/>
    <cellStyle name="60% - Акцент3 4 12 2" xfId="34185"/>
    <cellStyle name="60% - Акцент3 4 13" xfId="3680"/>
    <cellStyle name="60% - Акцент3 4 13 2" xfId="34186"/>
    <cellStyle name="60% - Акцент3 4 14" xfId="3681"/>
    <cellStyle name="60% - Акцент3 4 14 2" xfId="34187"/>
    <cellStyle name="60% - Акцент3 4 15" xfId="3682"/>
    <cellStyle name="60% - Акцент3 4 15 2" xfId="34188"/>
    <cellStyle name="60% - Акцент3 4 16" xfId="3683"/>
    <cellStyle name="60% - Акцент3 4 16 2" xfId="34189"/>
    <cellStyle name="60% - Акцент3 4 17" xfId="3684"/>
    <cellStyle name="60% - Акцент3 4 17 2" xfId="34190"/>
    <cellStyle name="60% - Акцент3 4 18" xfId="3685"/>
    <cellStyle name="60% - Акцент3 4 18 2" xfId="34191"/>
    <cellStyle name="60% - Акцент3 4 19" xfId="3686"/>
    <cellStyle name="60% - Акцент3 4 19 2" xfId="34192"/>
    <cellStyle name="60% - Акцент3 4 2" xfId="3687"/>
    <cellStyle name="60% - Акцент3 4 2 2" xfId="34193"/>
    <cellStyle name="60% - Акцент3 4 20" xfId="3688"/>
    <cellStyle name="60% - Акцент3 4 20 2" xfId="34194"/>
    <cellStyle name="60% - Акцент3 4 21" xfId="3689"/>
    <cellStyle name="60% - Акцент3 4 21 2" xfId="34195"/>
    <cellStyle name="60% - Акцент3 4 22" xfId="3690"/>
    <cellStyle name="60% - Акцент3 4 22 2" xfId="34196"/>
    <cellStyle name="60% - Акцент3 4 23" xfId="3691"/>
    <cellStyle name="60% - Акцент3 4 23 2" xfId="34197"/>
    <cellStyle name="60% - Акцент3 4 24" xfId="34198"/>
    <cellStyle name="60% - Акцент3 4 3" xfId="3692"/>
    <cellStyle name="60% - Акцент3 4 3 2" xfId="34199"/>
    <cellStyle name="60% - Акцент3 4 4" xfId="3693"/>
    <cellStyle name="60% - Акцент3 4 4 2" xfId="34200"/>
    <cellStyle name="60% - Акцент3 4 5" xfId="3694"/>
    <cellStyle name="60% - Акцент3 4 5 2" xfId="34201"/>
    <cellStyle name="60% - Акцент3 4 6" xfId="3695"/>
    <cellStyle name="60% - Акцент3 4 6 2" xfId="34202"/>
    <cellStyle name="60% - Акцент3 4 7" xfId="3696"/>
    <cellStyle name="60% - Акцент3 4 7 2" xfId="34203"/>
    <cellStyle name="60% - Акцент3 4 8" xfId="3697"/>
    <cellStyle name="60% - Акцент3 4 8 2" xfId="34204"/>
    <cellStyle name="60% - Акцент3 4 9" xfId="3698"/>
    <cellStyle name="60% - Акцент3 4 9 2" xfId="34205"/>
    <cellStyle name="60% - Акцент3 5" xfId="3699"/>
    <cellStyle name="60% - Акцент3 5 2" xfId="34206"/>
    <cellStyle name="60% - Акцент3 6" xfId="3700"/>
    <cellStyle name="60% - Акцент3 6 2" xfId="34207"/>
    <cellStyle name="60% - Акцент3 7" xfId="3701"/>
    <cellStyle name="60% - Акцент4 2" xfId="3702"/>
    <cellStyle name="60% - Акцент4 2 10" xfId="3703"/>
    <cellStyle name="60% - Акцент4 2 10 2" xfId="34208"/>
    <cellStyle name="60% - Акцент4 2 11" xfId="3704"/>
    <cellStyle name="60% - Акцент4 2 11 2" xfId="34209"/>
    <cellStyle name="60% - Акцент4 2 12" xfId="3705"/>
    <cellStyle name="60% - Акцент4 2 12 2" xfId="34210"/>
    <cellStyle name="60% - Акцент4 2 13" xfId="3706"/>
    <cellStyle name="60% - Акцент4 2 13 2" xfId="34211"/>
    <cellStyle name="60% - Акцент4 2 14" xfId="3707"/>
    <cellStyle name="60% - Акцент4 2 14 2" xfId="34212"/>
    <cellStyle name="60% - Акцент4 2 15" xfId="3708"/>
    <cellStyle name="60% - Акцент4 2 15 2" xfId="34213"/>
    <cellStyle name="60% - Акцент4 2 16" xfId="3709"/>
    <cellStyle name="60% - Акцент4 2 16 2" xfId="34214"/>
    <cellStyle name="60% - Акцент4 2 17" xfId="3710"/>
    <cellStyle name="60% - Акцент4 2 17 2" xfId="34215"/>
    <cellStyle name="60% - Акцент4 2 18" xfId="3711"/>
    <cellStyle name="60% - Акцент4 2 18 2" xfId="34216"/>
    <cellStyle name="60% - Акцент4 2 19" xfId="3712"/>
    <cellStyle name="60% - Акцент4 2 19 2" xfId="34217"/>
    <cellStyle name="60% - Акцент4 2 2" xfId="3713"/>
    <cellStyle name="60% - Акцент4 2 2 2" xfId="34218"/>
    <cellStyle name="60% - Акцент4 2 20" xfId="3714"/>
    <cellStyle name="60% - Акцент4 2 20 2" xfId="34219"/>
    <cellStyle name="60% - Акцент4 2 21" xfId="3715"/>
    <cellStyle name="60% - Акцент4 2 21 2" xfId="34220"/>
    <cellStyle name="60% - Акцент4 2 22" xfId="3716"/>
    <cellStyle name="60% - Акцент4 2 22 2" xfId="34221"/>
    <cellStyle name="60% - Акцент4 2 23" xfId="3717"/>
    <cellStyle name="60% - Акцент4 2 23 2" xfId="34222"/>
    <cellStyle name="60% - Акцент4 2 24" xfId="34223"/>
    <cellStyle name="60% - Акцент4 2 3" xfId="3718"/>
    <cellStyle name="60% - Акцент4 2 3 2" xfId="34224"/>
    <cellStyle name="60% - Акцент4 2 4" xfId="3719"/>
    <cellStyle name="60% - Акцент4 2 4 2" xfId="34225"/>
    <cellStyle name="60% - Акцент4 2 5" xfId="3720"/>
    <cellStyle name="60% - Акцент4 2 5 2" xfId="34226"/>
    <cellStyle name="60% - Акцент4 2 6" xfId="3721"/>
    <cellStyle name="60% - Акцент4 2 6 2" xfId="34227"/>
    <cellStyle name="60% - Акцент4 2 7" xfId="3722"/>
    <cellStyle name="60% - Акцент4 2 7 2" xfId="34228"/>
    <cellStyle name="60% - Акцент4 2 8" xfId="3723"/>
    <cellStyle name="60% - Акцент4 2 8 2" xfId="34229"/>
    <cellStyle name="60% - Акцент4 2 9" xfId="3724"/>
    <cellStyle name="60% - Акцент4 2 9 2" xfId="34230"/>
    <cellStyle name="60% - Акцент4 3" xfId="3725"/>
    <cellStyle name="60% - Акцент4 3 10" xfId="3726"/>
    <cellStyle name="60% - Акцент4 3 10 2" xfId="34231"/>
    <cellStyle name="60% - Акцент4 3 11" xfId="3727"/>
    <cellStyle name="60% - Акцент4 3 11 2" xfId="34232"/>
    <cellStyle name="60% - Акцент4 3 12" xfId="3728"/>
    <cellStyle name="60% - Акцент4 3 12 2" xfId="34233"/>
    <cellStyle name="60% - Акцент4 3 13" xfId="3729"/>
    <cellStyle name="60% - Акцент4 3 13 2" xfId="34234"/>
    <cellStyle name="60% - Акцент4 3 14" xfId="3730"/>
    <cellStyle name="60% - Акцент4 3 14 2" xfId="34235"/>
    <cellStyle name="60% - Акцент4 3 15" xfId="3731"/>
    <cellStyle name="60% - Акцент4 3 15 2" xfId="34236"/>
    <cellStyle name="60% - Акцент4 3 16" xfId="3732"/>
    <cellStyle name="60% - Акцент4 3 16 2" xfId="34237"/>
    <cellStyle name="60% - Акцент4 3 17" xfId="3733"/>
    <cellStyle name="60% - Акцент4 3 17 2" xfId="34238"/>
    <cellStyle name="60% - Акцент4 3 18" xfId="3734"/>
    <cellStyle name="60% - Акцент4 3 18 2" xfId="34239"/>
    <cellStyle name="60% - Акцент4 3 19" xfId="3735"/>
    <cellStyle name="60% - Акцент4 3 19 2" xfId="34240"/>
    <cellStyle name="60% - Акцент4 3 2" xfId="3736"/>
    <cellStyle name="60% - Акцент4 3 2 2" xfId="34241"/>
    <cellStyle name="60% - Акцент4 3 20" xfId="3737"/>
    <cellStyle name="60% - Акцент4 3 20 2" xfId="34242"/>
    <cellStyle name="60% - Акцент4 3 21" xfId="3738"/>
    <cellStyle name="60% - Акцент4 3 21 2" xfId="34243"/>
    <cellStyle name="60% - Акцент4 3 22" xfId="3739"/>
    <cellStyle name="60% - Акцент4 3 22 2" xfId="34244"/>
    <cellStyle name="60% - Акцент4 3 23" xfId="3740"/>
    <cellStyle name="60% - Акцент4 3 23 2" xfId="34245"/>
    <cellStyle name="60% - Акцент4 3 24" xfId="34246"/>
    <cellStyle name="60% - Акцент4 3 3" xfId="3741"/>
    <cellStyle name="60% - Акцент4 3 3 2" xfId="34247"/>
    <cellStyle name="60% - Акцент4 3 4" xfId="3742"/>
    <cellStyle name="60% - Акцент4 3 4 2" xfId="34248"/>
    <cellStyle name="60% - Акцент4 3 5" xfId="3743"/>
    <cellStyle name="60% - Акцент4 3 5 2" xfId="34249"/>
    <cellStyle name="60% - Акцент4 3 6" xfId="3744"/>
    <cellStyle name="60% - Акцент4 3 6 2" xfId="34250"/>
    <cellStyle name="60% - Акцент4 3 7" xfId="3745"/>
    <cellStyle name="60% - Акцент4 3 7 2" xfId="34251"/>
    <cellStyle name="60% - Акцент4 3 8" xfId="3746"/>
    <cellStyle name="60% - Акцент4 3 8 2" xfId="34252"/>
    <cellStyle name="60% - Акцент4 3 9" xfId="3747"/>
    <cellStyle name="60% - Акцент4 3 9 2" xfId="34253"/>
    <cellStyle name="60% - Акцент4 4" xfId="3748"/>
    <cellStyle name="60% - Акцент4 4 10" xfId="3749"/>
    <cellStyle name="60% - Акцент4 4 10 2" xfId="34254"/>
    <cellStyle name="60% - Акцент4 4 11" xfId="3750"/>
    <cellStyle name="60% - Акцент4 4 11 2" xfId="34255"/>
    <cellStyle name="60% - Акцент4 4 12" xfId="3751"/>
    <cellStyle name="60% - Акцент4 4 12 2" xfId="34256"/>
    <cellStyle name="60% - Акцент4 4 13" xfId="3752"/>
    <cellStyle name="60% - Акцент4 4 13 2" xfId="34257"/>
    <cellStyle name="60% - Акцент4 4 14" xfId="3753"/>
    <cellStyle name="60% - Акцент4 4 14 2" xfId="34258"/>
    <cellStyle name="60% - Акцент4 4 15" xfId="3754"/>
    <cellStyle name="60% - Акцент4 4 15 2" xfId="34259"/>
    <cellStyle name="60% - Акцент4 4 16" xfId="3755"/>
    <cellStyle name="60% - Акцент4 4 16 2" xfId="34260"/>
    <cellStyle name="60% - Акцент4 4 17" xfId="3756"/>
    <cellStyle name="60% - Акцент4 4 17 2" xfId="34261"/>
    <cellStyle name="60% - Акцент4 4 18" xfId="3757"/>
    <cellStyle name="60% - Акцент4 4 18 2" xfId="34262"/>
    <cellStyle name="60% - Акцент4 4 19" xfId="3758"/>
    <cellStyle name="60% - Акцент4 4 19 2" xfId="34263"/>
    <cellStyle name="60% - Акцент4 4 2" xfId="3759"/>
    <cellStyle name="60% - Акцент4 4 2 2" xfId="34264"/>
    <cellStyle name="60% - Акцент4 4 20" xfId="3760"/>
    <cellStyle name="60% - Акцент4 4 20 2" xfId="34265"/>
    <cellStyle name="60% - Акцент4 4 21" xfId="3761"/>
    <cellStyle name="60% - Акцент4 4 21 2" xfId="34266"/>
    <cellStyle name="60% - Акцент4 4 22" xfId="3762"/>
    <cellStyle name="60% - Акцент4 4 22 2" xfId="34267"/>
    <cellStyle name="60% - Акцент4 4 23" xfId="3763"/>
    <cellStyle name="60% - Акцент4 4 23 2" xfId="34268"/>
    <cellStyle name="60% - Акцент4 4 24" xfId="34269"/>
    <cellStyle name="60% - Акцент4 4 3" xfId="3764"/>
    <cellStyle name="60% - Акцент4 4 3 2" xfId="34270"/>
    <cellStyle name="60% - Акцент4 4 4" xfId="3765"/>
    <cellStyle name="60% - Акцент4 4 4 2" xfId="34271"/>
    <cellStyle name="60% - Акцент4 4 5" xfId="3766"/>
    <cellStyle name="60% - Акцент4 4 5 2" xfId="34272"/>
    <cellStyle name="60% - Акцент4 4 6" xfId="3767"/>
    <cellStyle name="60% - Акцент4 4 6 2" xfId="34273"/>
    <cellStyle name="60% - Акцент4 4 7" xfId="3768"/>
    <cellStyle name="60% - Акцент4 4 7 2" xfId="34274"/>
    <cellStyle name="60% - Акцент4 4 8" xfId="3769"/>
    <cellStyle name="60% - Акцент4 4 8 2" xfId="34275"/>
    <cellStyle name="60% - Акцент4 4 9" xfId="3770"/>
    <cellStyle name="60% - Акцент4 4 9 2" xfId="34276"/>
    <cellStyle name="60% - Акцент4 5" xfId="3771"/>
    <cellStyle name="60% - Акцент4 5 2" xfId="34277"/>
    <cellStyle name="60% - Акцент4 6" xfId="3772"/>
    <cellStyle name="60% - Акцент4 6 2" xfId="34278"/>
    <cellStyle name="60% - Акцент4 7" xfId="3773"/>
    <cellStyle name="60% - Акцент5 2" xfId="3774"/>
    <cellStyle name="60% - Акцент5 2 10" xfId="3775"/>
    <cellStyle name="60% - Акцент5 2 10 2" xfId="34279"/>
    <cellStyle name="60% - Акцент5 2 11" xfId="3776"/>
    <cellStyle name="60% - Акцент5 2 11 2" xfId="34280"/>
    <cellStyle name="60% - Акцент5 2 12" xfId="3777"/>
    <cellStyle name="60% - Акцент5 2 12 2" xfId="34281"/>
    <cellStyle name="60% - Акцент5 2 13" xfId="3778"/>
    <cellStyle name="60% - Акцент5 2 13 2" xfId="34282"/>
    <cellStyle name="60% - Акцент5 2 14" xfId="3779"/>
    <cellStyle name="60% - Акцент5 2 14 2" xfId="34283"/>
    <cellStyle name="60% - Акцент5 2 15" xfId="3780"/>
    <cellStyle name="60% - Акцент5 2 15 2" xfId="34284"/>
    <cellStyle name="60% - Акцент5 2 16" xfId="3781"/>
    <cellStyle name="60% - Акцент5 2 16 2" xfId="34285"/>
    <cellStyle name="60% - Акцент5 2 17" xfId="3782"/>
    <cellStyle name="60% - Акцент5 2 17 2" xfId="34286"/>
    <cellStyle name="60% - Акцент5 2 18" xfId="3783"/>
    <cellStyle name="60% - Акцент5 2 18 2" xfId="34287"/>
    <cellStyle name="60% - Акцент5 2 19" xfId="3784"/>
    <cellStyle name="60% - Акцент5 2 19 2" xfId="34288"/>
    <cellStyle name="60% - Акцент5 2 2" xfId="3785"/>
    <cellStyle name="60% - Акцент5 2 2 2" xfId="34289"/>
    <cellStyle name="60% - Акцент5 2 20" xfId="3786"/>
    <cellStyle name="60% - Акцент5 2 20 2" xfId="34290"/>
    <cellStyle name="60% - Акцент5 2 21" xfId="3787"/>
    <cellStyle name="60% - Акцент5 2 21 2" xfId="34291"/>
    <cellStyle name="60% - Акцент5 2 22" xfId="3788"/>
    <cellStyle name="60% - Акцент5 2 22 2" xfId="34292"/>
    <cellStyle name="60% - Акцент5 2 23" xfId="3789"/>
    <cellStyle name="60% - Акцент5 2 23 2" xfId="34293"/>
    <cellStyle name="60% - Акцент5 2 24" xfId="34294"/>
    <cellStyle name="60% - Акцент5 2 3" xfId="3790"/>
    <cellStyle name="60% - Акцент5 2 3 2" xfId="34295"/>
    <cellStyle name="60% - Акцент5 2 4" xfId="3791"/>
    <cellStyle name="60% - Акцент5 2 4 2" xfId="34296"/>
    <cellStyle name="60% - Акцент5 2 5" xfId="3792"/>
    <cellStyle name="60% - Акцент5 2 5 2" xfId="34297"/>
    <cellStyle name="60% - Акцент5 2 6" xfId="3793"/>
    <cellStyle name="60% - Акцент5 2 6 2" xfId="34298"/>
    <cellStyle name="60% - Акцент5 2 7" xfId="3794"/>
    <cellStyle name="60% - Акцент5 2 7 2" xfId="34299"/>
    <cellStyle name="60% - Акцент5 2 8" xfId="3795"/>
    <cellStyle name="60% - Акцент5 2 8 2" xfId="34300"/>
    <cellStyle name="60% - Акцент5 2 9" xfId="3796"/>
    <cellStyle name="60% - Акцент5 2 9 2" xfId="34301"/>
    <cellStyle name="60% - Акцент5 3" xfId="3797"/>
    <cellStyle name="60% - Акцент5 3 10" xfId="3798"/>
    <cellStyle name="60% - Акцент5 3 10 2" xfId="34302"/>
    <cellStyle name="60% - Акцент5 3 11" xfId="3799"/>
    <cellStyle name="60% - Акцент5 3 11 2" xfId="34303"/>
    <cellStyle name="60% - Акцент5 3 12" xfId="3800"/>
    <cellStyle name="60% - Акцент5 3 12 2" xfId="34304"/>
    <cellStyle name="60% - Акцент5 3 13" xfId="3801"/>
    <cellStyle name="60% - Акцент5 3 13 2" xfId="34305"/>
    <cellStyle name="60% - Акцент5 3 14" xfId="3802"/>
    <cellStyle name="60% - Акцент5 3 14 2" xfId="34306"/>
    <cellStyle name="60% - Акцент5 3 15" xfId="3803"/>
    <cellStyle name="60% - Акцент5 3 15 2" xfId="34307"/>
    <cellStyle name="60% - Акцент5 3 16" xfId="3804"/>
    <cellStyle name="60% - Акцент5 3 16 2" xfId="34308"/>
    <cellStyle name="60% - Акцент5 3 17" xfId="3805"/>
    <cellStyle name="60% - Акцент5 3 17 2" xfId="34309"/>
    <cellStyle name="60% - Акцент5 3 18" xfId="3806"/>
    <cellStyle name="60% - Акцент5 3 18 2" xfId="34310"/>
    <cellStyle name="60% - Акцент5 3 19" xfId="3807"/>
    <cellStyle name="60% - Акцент5 3 19 2" xfId="34311"/>
    <cellStyle name="60% - Акцент5 3 2" xfId="3808"/>
    <cellStyle name="60% - Акцент5 3 2 2" xfId="34312"/>
    <cellStyle name="60% - Акцент5 3 20" xfId="3809"/>
    <cellStyle name="60% - Акцент5 3 20 2" xfId="34313"/>
    <cellStyle name="60% - Акцент5 3 21" xfId="3810"/>
    <cellStyle name="60% - Акцент5 3 21 2" xfId="34314"/>
    <cellStyle name="60% - Акцент5 3 22" xfId="3811"/>
    <cellStyle name="60% - Акцент5 3 22 2" xfId="34315"/>
    <cellStyle name="60% - Акцент5 3 23" xfId="3812"/>
    <cellStyle name="60% - Акцент5 3 23 2" xfId="34316"/>
    <cellStyle name="60% - Акцент5 3 24" xfId="34317"/>
    <cellStyle name="60% - Акцент5 3 3" xfId="3813"/>
    <cellStyle name="60% - Акцент5 3 3 2" xfId="34318"/>
    <cellStyle name="60% - Акцент5 3 4" xfId="3814"/>
    <cellStyle name="60% - Акцент5 3 4 2" xfId="34319"/>
    <cellStyle name="60% - Акцент5 3 5" xfId="3815"/>
    <cellStyle name="60% - Акцент5 3 5 2" xfId="34320"/>
    <cellStyle name="60% - Акцент5 3 6" xfId="3816"/>
    <cellStyle name="60% - Акцент5 3 6 2" xfId="34321"/>
    <cellStyle name="60% - Акцент5 3 7" xfId="3817"/>
    <cellStyle name="60% - Акцент5 3 7 2" xfId="34322"/>
    <cellStyle name="60% - Акцент5 3 8" xfId="3818"/>
    <cellStyle name="60% - Акцент5 3 8 2" xfId="34323"/>
    <cellStyle name="60% - Акцент5 3 9" xfId="3819"/>
    <cellStyle name="60% - Акцент5 3 9 2" xfId="34324"/>
    <cellStyle name="60% - Акцент5 4" xfId="3820"/>
    <cellStyle name="60% - Акцент5 4 2" xfId="34325"/>
    <cellStyle name="60% - Акцент5 5" xfId="3821"/>
    <cellStyle name="60% - Акцент5 5 2" xfId="34326"/>
    <cellStyle name="60% - Акцент5 6" xfId="3822"/>
    <cellStyle name="60% - Акцент5 6 2" xfId="34327"/>
    <cellStyle name="60% - Акцент5 7" xfId="3823"/>
    <cellStyle name="60% - Акцент6 2" xfId="3824"/>
    <cellStyle name="60% - Акцент6 2 10" xfId="3825"/>
    <cellStyle name="60% - Акцент6 2 10 2" xfId="34328"/>
    <cellStyle name="60% - Акцент6 2 11" xfId="3826"/>
    <cellStyle name="60% - Акцент6 2 11 2" xfId="34329"/>
    <cellStyle name="60% - Акцент6 2 12" xfId="3827"/>
    <cellStyle name="60% - Акцент6 2 12 2" xfId="34330"/>
    <cellStyle name="60% - Акцент6 2 13" xfId="3828"/>
    <cellStyle name="60% - Акцент6 2 13 2" xfId="34331"/>
    <cellStyle name="60% - Акцент6 2 14" xfId="3829"/>
    <cellStyle name="60% - Акцент6 2 14 2" xfId="34332"/>
    <cellStyle name="60% - Акцент6 2 15" xfId="3830"/>
    <cellStyle name="60% - Акцент6 2 15 2" xfId="34333"/>
    <cellStyle name="60% - Акцент6 2 16" xfId="3831"/>
    <cellStyle name="60% - Акцент6 2 16 2" xfId="34334"/>
    <cellStyle name="60% - Акцент6 2 17" xfId="3832"/>
    <cellStyle name="60% - Акцент6 2 17 2" xfId="34335"/>
    <cellStyle name="60% - Акцент6 2 18" xfId="3833"/>
    <cellStyle name="60% - Акцент6 2 18 2" xfId="34336"/>
    <cellStyle name="60% - Акцент6 2 19" xfId="3834"/>
    <cellStyle name="60% - Акцент6 2 19 2" xfId="34337"/>
    <cellStyle name="60% - Акцент6 2 2" xfId="3835"/>
    <cellStyle name="60% - Акцент6 2 2 2" xfId="34338"/>
    <cellStyle name="60% - Акцент6 2 20" xfId="3836"/>
    <cellStyle name="60% - Акцент6 2 20 2" xfId="34339"/>
    <cellStyle name="60% - Акцент6 2 21" xfId="3837"/>
    <cellStyle name="60% - Акцент6 2 21 2" xfId="34340"/>
    <cellStyle name="60% - Акцент6 2 22" xfId="3838"/>
    <cellStyle name="60% - Акцент6 2 22 2" xfId="34341"/>
    <cellStyle name="60% - Акцент6 2 23" xfId="3839"/>
    <cellStyle name="60% - Акцент6 2 23 2" xfId="34342"/>
    <cellStyle name="60% - Акцент6 2 24" xfId="34343"/>
    <cellStyle name="60% - Акцент6 2 3" xfId="3840"/>
    <cellStyle name="60% - Акцент6 2 3 2" xfId="34344"/>
    <cellStyle name="60% - Акцент6 2 4" xfId="3841"/>
    <cellStyle name="60% - Акцент6 2 4 2" xfId="34345"/>
    <cellStyle name="60% - Акцент6 2 5" xfId="3842"/>
    <cellStyle name="60% - Акцент6 2 5 2" xfId="34346"/>
    <cellStyle name="60% - Акцент6 2 6" xfId="3843"/>
    <cellStyle name="60% - Акцент6 2 6 2" xfId="34347"/>
    <cellStyle name="60% - Акцент6 2 7" xfId="3844"/>
    <cellStyle name="60% - Акцент6 2 7 2" xfId="34348"/>
    <cellStyle name="60% - Акцент6 2 8" xfId="3845"/>
    <cellStyle name="60% - Акцент6 2 8 2" xfId="34349"/>
    <cellStyle name="60% - Акцент6 2 9" xfId="3846"/>
    <cellStyle name="60% - Акцент6 2 9 2" xfId="34350"/>
    <cellStyle name="60% - Акцент6 3" xfId="3847"/>
    <cellStyle name="60% - Акцент6 3 10" xfId="3848"/>
    <cellStyle name="60% - Акцент6 3 10 2" xfId="34351"/>
    <cellStyle name="60% - Акцент6 3 11" xfId="3849"/>
    <cellStyle name="60% - Акцент6 3 11 2" xfId="34352"/>
    <cellStyle name="60% - Акцент6 3 12" xfId="3850"/>
    <cellStyle name="60% - Акцент6 3 12 2" xfId="34353"/>
    <cellStyle name="60% - Акцент6 3 13" xfId="3851"/>
    <cellStyle name="60% - Акцент6 3 13 2" xfId="34354"/>
    <cellStyle name="60% - Акцент6 3 14" xfId="3852"/>
    <cellStyle name="60% - Акцент6 3 14 2" xfId="34355"/>
    <cellStyle name="60% - Акцент6 3 15" xfId="3853"/>
    <cellStyle name="60% - Акцент6 3 15 2" xfId="34356"/>
    <cellStyle name="60% - Акцент6 3 16" xfId="3854"/>
    <cellStyle name="60% - Акцент6 3 16 2" xfId="34357"/>
    <cellStyle name="60% - Акцент6 3 17" xfId="3855"/>
    <cellStyle name="60% - Акцент6 3 17 2" xfId="34358"/>
    <cellStyle name="60% - Акцент6 3 18" xfId="3856"/>
    <cellStyle name="60% - Акцент6 3 18 2" xfId="34359"/>
    <cellStyle name="60% - Акцент6 3 19" xfId="3857"/>
    <cellStyle name="60% - Акцент6 3 19 2" xfId="34360"/>
    <cellStyle name="60% - Акцент6 3 2" xfId="3858"/>
    <cellStyle name="60% - Акцент6 3 2 2" xfId="34361"/>
    <cellStyle name="60% - Акцент6 3 20" xfId="3859"/>
    <cellStyle name="60% - Акцент6 3 20 2" xfId="34362"/>
    <cellStyle name="60% - Акцент6 3 21" xfId="3860"/>
    <cellStyle name="60% - Акцент6 3 21 2" xfId="34363"/>
    <cellStyle name="60% - Акцент6 3 22" xfId="3861"/>
    <cellStyle name="60% - Акцент6 3 22 2" xfId="34364"/>
    <cellStyle name="60% - Акцент6 3 23" xfId="3862"/>
    <cellStyle name="60% - Акцент6 3 23 2" xfId="34365"/>
    <cellStyle name="60% - Акцент6 3 24" xfId="34366"/>
    <cellStyle name="60% - Акцент6 3 3" xfId="3863"/>
    <cellStyle name="60% - Акцент6 3 3 2" xfId="34367"/>
    <cellStyle name="60% - Акцент6 3 4" xfId="3864"/>
    <cellStyle name="60% - Акцент6 3 4 2" xfId="34368"/>
    <cellStyle name="60% - Акцент6 3 5" xfId="3865"/>
    <cellStyle name="60% - Акцент6 3 5 2" xfId="34369"/>
    <cellStyle name="60% - Акцент6 3 6" xfId="3866"/>
    <cellStyle name="60% - Акцент6 3 6 2" xfId="34370"/>
    <cellStyle name="60% - Акцент6 3 7" xfId="3867"/>
    <cellStyle name="60% - Акцент6 3 7 2" xfId="34371"/>
    <cellStyle name="60% - Акцент6 3 8" xfId="3868"/>
    <cellStyle name="60% - Акцент6 3 8 2" xfId="34372"/>
    <cellStyle name="60% - Акцент6 3 9" xfId="3869"/>
    <cellStyle name="60% - Акцент6 3 9 2" xfId="34373"/>
    <cellStyle name="60% - Акцент6 4" xfId="3870"/>
    <cellStyle name="60% - Акцент6 4 10" xfId="3871"/>
    <cellStyle name="60% - Акцент6 4 10 2" xfId="34374"/>
    <cellStyle name="60% - Акцент6 4 11" xfId="3872"/>
    <cellStyle name="60% - Акцент6 4 11 2" xfId="34375"/>
    <cellStyle name="60% - Акцент6 4 12" xfId="3873"/>
    <cellStyle name="60% - Акцент6 4 12 2" xfId="34376"/>
    <cellStyle name="60% - Акцент6 4 13" xfId="3874"/>
    <cellStyle name="60% - Акцент6 4 13 2" xfId="34377"/>
    <cellStyle name="60% - Акцент6 4 14" xfId="3875"/>
    <cellStyle name="60% - Акцент6 4 14 2" xfId="34378"/>
    <cellStyle name="60% - Акцент6 4 15" xfId="3876"/>
    <cellStyle name="60% - Акцент6 4 15 2" xfId="34379"/>
    <cellStyle name="60% - Акцент6 4 16" xfId="3877"/>
    <cellStyle name="60% - Акцент6 4 16 2" xfId="34380"/>
    <cellStyle name="60% - Акцент6 4 17" xfId="3878"/>
    <cellStyle name="60% - Акцент6 4 17 2" xfId="34381"/>
    <cellStyle name="60% - Акцент6 4 18" xfId="3879"/>
    <cellStyle name="60% - Акцент6 4 18 2" xfId="34382"/>
    <cellStyle name="60% - Акцент6 4 19" xfId="3880"/>
    <cellStyle name="60% - Акцент6 4 19 2" xfId="34383"/>
    <cellStyle name="60% - Акцент6 4 2" xfId="3881"/>
    <cellStyle name="60% - Акцент6 4 2 2" xfId="34384"/>
    <cellStyle name="60% - Акцент6 4 20" xfId="3882"/>
    <cellStyle name="60% - Акцент6 4 20 2" xfId="34385"/>
    <cellStyle name="60% - Акцент6 4 21" xfId="3883"/>
    <cellStyle name="60% - Акцент6 4 21 2" xfId="34386"/>
    <cellStyle name="60% - Акцент6 4 22" xfId="3884"/>
    <cellStyle name="60% - Акцент6 4 22 2" xfId="34387"/>
    <cellStyle name="60% - Акцент6 4 23" xfId="3885"/>
    <cellStyle name="60% - Акцент6 4 23 2" xfId="34388"/>
    <cellStyle name="60% - Акцент6 4 24" xfId="34389"/>
    <cellStyle name="60% - Акцент6 4 3" xfId="3886"/>
    <cellStyle name="60% - Акцент6 4 3 2" xfId="34390"/>
    <cellStyle name="60% - Акцент6 4 4" xfId="3887"/>
    <cellStyle name="60% - Акцент6 4 4 2" xfId="34391"/>
    <cellStyle name="60% - Акцент6 4 5" xfId="3888"/>
    <cellStyle name="60% - Акцент6 4 5 2" xfId="34392"/>
    <cellStyle name="60% - Акцент6 4 6" xfId="3889"/>
    <cellStyle name="60% - Акцент6 4 6 2" xfId="34393"/>
    <cellStyle name="60% - Акцент6 4 7" xfId="3890"/>
    <cellStyle name="60% - Акцент6 4 7 2" xfId="34394"/>
    <cellStyle name="60% - Акцент6 4 8" xfId="3891"/>
    <cellStyle name="60% - Акцент6 4 8 2" xfId="34395"/>
    <cellStyle name="60% - Акцент6 4 9" xfId="3892"/>
    <cellStyle name="60% - Акцент6 4 9 2" xfId="34396"/>
    <cellStyle name="60% - Акцент6 5" xfId="3893"/>
    <cellStyle name="60% - Акцент6 5 2" xfId="34397"/>
    <cellStyle name="60% - Акцент6 6" xfId="3894"/>
    <cellStyle name="60% - Акцент6 6 2" xfId="34398"/>
    <cellStyle name="60% - Акцент6 7" xfId="3895"/>
    <cellStyle name="Accent1 10" xfId="3896"/>
    <cellStyle name="Accent1 10 2" xfId="34399"/>
    <cellStyle name="Accent1 11" xfId="3897"/>
    <cellStyle name="Accent1 11 2" xfId="34400"/>
    <cellStyle name="Accent1 12" xfId="3898"/>
    <cellStyle name="Accent1 12 2" xfId="34401"/>
    <cellStyle name="Accent1 13" xfId="3899"/>
    <cellStyle name="Accent1 13 2" xfId="34402"/>
    <cellStyle name="Accent1 2" xfId="3900"/>
    <cellStyle name="Accent1 2 2" xfId="34403"/>
    <cellStyle name="Accent1 3" xfId="3901"/>
    <cellStyle name="Accent1 3 2" xfId="34404"/>
    <cellStyle name="Accent1 4" xfId="3902"/>
    <cellStyle name="Accent1 4 2" xfId="34405"/>
    <cellStyle name="Accent1 5" xfId="3903"/>
    <cellStyle name="Accent1 5 2" xfId="34406"/>
    <cellStyle name="Accent1 6" xfId="3904"/>
    <cellStyle name="Accent1 6 2" xfId="34407"/>
    <cellStyle name="Accent1 7" xfId="3905"/>
    <cellStyle name="Accent1 7 2" xfId="34408"/>
    <cellStyle name="Accent1 8" xfId="3906"/>
    <cellStyle name="Accent1 8 2" xfId="34409"/>
    <cellStyle name="Accent1 9" xfId="3907"/>
    <cellStyle name="Accent1 9 2" xfId="34410"/>
    <cellStyle name="Accent2 10" xfId="3908"/>
    <cellStyle name="Accent2 10 2" xfId="34411"/>
    <cellStyle name="Accent2 11" xfId="3909"/>
    <cellStyle name="Accent2 11 2" xfId="34412"/>
    <cellStyle name="Accent2 12" xfId="3910"/>
    <cellStyle name="Accent2 12 2" xfId="34413"/>
    <cellStyle name="Accent2 13" xfId="3911"/>
    <cellStyle name="Accent2 13 2" xfId="34414"/>
    <cellStyle name="Accent2 2" xfId="3912"/>
    <cellStyle name="Accent2 2 2" xfId="34415"/>
    <cellStyle name="Accent2 3" xfId="3913"/>
    <cellStyle name="Accent2 3 2" xfId="34416"/>
    <cellStyle name="Accent2 4" xfId="3914"/>
    <cellStyle name="Accent2 4 2" xfId="34417"/>
    <cellStyle name="Accent2 5" xfId="3915"/>
    <cellStyle name="Accent2 5 2" xfId="34418"/>
    <cellStyle name="Accent2 6" xfId="3916"/>
    <cellStyle name="Accent2 6 2" xfId="34419"/>
    <cellStyle name="Accent2 7" xfId="3917"/>
    <cellStyle name="Accent2 7 2" xfId="34420"/>
    <cellStyle name="Accent2 8" xfId="3918"/>
    <cellStyle name="Accent2 8 2" xfId="34421"/>
    <cellStyle name="Accent2 9" xfId="3919"/>
    <cellStyle name="Accent2 9 2" xfId="34422"/>
    <cellStyle name="Accent3 10" xfId="3920"/>
    <cellStyle name="Accent3 10 2" xfId="34423"/>
    <cellStyle name="Accent3 11" xfId="3921"/>
    <cellStyle name="Accent3 11 2" xfId="34424"/>
    <cellStyle name="Accent3 12" xfId="3922"/>
    <cellStyle name="Accent3 12 2" xfId="34425"/>
    <cellStyle name="Accent3 13" xfId="3923"/>
    <cellStyle name="Accent3 13 2" xfId="34426"/>
    <cellStyle name="Accent3 2" xfId="3924"/>
    <cellStyle name="Accent3 2 2" xfId="34427"/>
    <cellStyle name="Accent3 3" xfId="3925"/>
    <cellStyle name="Accent3 3 2" xfId="34428"/>
    <cellStyle name="Accent3 4" xfId="3926"/>
    <cellStyle name="Accent3 4 2" xfId="34429"/>
    <cellStyle name="Accent3 5" xfId="3927"/>
    <cellStyle name="Accent3 5 2" xfId="34430"/>
    <cellStyle name="Accent3 6" xfId="3928"/>
    <cellStyle name="Accent3 6 2" xfId="34431"/>
    <cellStyle name="Accent3 7" xfId="3929"/>
    <cellStyle name="Accent3 7 2" xfId="34432"/>
    <cellStyle name="Accent3 8" xfId="3930"/>
    <cellStyle name="Accent3 8 2" xfId="34433"/>
    <cellStyle name="Accent3 9" xfId="3931"/>
    <cellStyle name="Accent3 9 2" xfId="34434"/>
    <cellStyle name="Accent4 10" xfId="3932"/>
    <cellStyle name="Accent4 10 2" xfId="34435"/>
    <cellStyle name="Accent4 11" xfId="3933"/>
    <cellStyle name="Accent4 11 2" xfId="34436"/>
    <cellStyle name="Accent4 12" xfId="3934"/>
    <cellStyle name="Accent4 12 2" xfId="34437"/>
    <cellStyle name="Accent4 13" xfId="3935"/>
    <cellStyle name="Accent4 13 2" xfId="34438"/>
    <cellStyle name="Accent4 2" xfId="3936"/>
    <cellStyle name="Accent4 2 2" xfId="34439"/>
    <cellStyle name="Accent4 3" xfId="3937"/>
    <cellStyle name="Accent4 3 2" xfId="34440"/>
    <cellStyle name="Accent4 4" xfId="3938"/>
    <cellStyle name="Accent4 4 2" xfId="34441"/>
    <cellStyle name="Accent4 5" xfId="3939"/>
    <cellStyle name="Accent4 5 2" xfId="34442"/>
    <cellStyle name="Accent4 6" xfId="3940"/>
    <cellStyle name="Accent4 6 2" xfId="34443"/>
    <cellStyle name="Accent4 7" xfId="3941"/>
    <cellStyle name="Accent4 7 2" xfId="34444"/>
    <cellStyle name="Accent4 8" xfId="3942"/>
    <cellStyle name="Accent4 8 2" xfId="34445"/>
    <cellStyle name="Accent4 9" xfId="3943"/>
    <cellStyle name="Accent4 9 2" xfId="34446"/>
    <cellStyle name="Accent5 10" xfId="3944"/>
    <cellStyle name="Accent5 10 2" xfId="34447"/>
    <cellStyle name="Accent5 11" xfId="3945"/>
    <cellStyle name="Accent5 11 2" xfId="34448"/>
    <cellStyle name="Accent5 12" xfId="3946"/>
    <cellStyle name="Accent5 12 2" xfId="34449"/>
    <cellStyle name="Accent5 13" xfId="3947"/>
    <cellStyle name="Accent5 13 2" xfId="34450"/>
    <cellStyle name="Accent5 2" xfId="3948"/>
    <cellStyle name="Accent5 2 2" xfId="34451"/>
    <cellStyle name="Accent5 3" xfId="3949"/>
    <cellStyle name="Accent5 3 2" xfId="34452"/>
    <cellStyle name="Accent5 4" xfId="3950"/>
    <cellStyle name="Accent5 4 2" xfId="34453"/>
    <cellStyle name="Accent5 5" xfId="3951"/>
    <cellStyle name="Accent5 5 2" xfId="34454"/>
    <cellStyle name="Accent5 6" xfId="3952"/>
    <cellStyle name="Accent5 6 2" xfId="34455"/>
    <cellStyle name="Accent5 7" xfId="3953"/>
    <cellStyle name="Accent5 7 2" xfId="34456"/>
    <cellStyle name="Accent5 8" xfId="3954"/>
    <cellStyle name="Accent5 8 2" xfId="34457"/>
    <cellStyle name="Accent5 9" xfId="3955"/>
    <cellStyle name="Accent5 9 2" xfId="34458"/>
    <cellStyle name="Accent6 10" xfId="3956"/>
    <cellStyle name="Accent6 10 2" xfId="34459"/>
    <cellStyle name="Accent6 11" xfId="3957"/>
    <cellStyle name="Accent6 11 2" xfId="34460"/>
    <cellStyle name="Accent6 12" xfId="3958"/>
    <cellStyle name="Accent6 12 2" xfId="34461"/>
    <cellStyle name="Accent6 13" xfId="3959"/>
    <cellStyle name="Accent6 13 2" xfId="34462"/>
    <cellStyle name="Accent6 2" xfId="3960"/>
    <cellStyle name="Accent6 2 2" xfId="34463"/>
    <cellStyle name="Accent6 3" xfId="3961"/>
    <cellStyle name="Accent6 3 2" xfId="34464"/>
    <cellStyle name="Accent6 4" xfId="3962"/>
    <cellStyle name="Accent6 4 2" xfId="34465"/>
    <cellStyle name="Accent6 5" xfId="3963"/>
    <cellStyle name="Accent6 5 2" xfId="34466"/>
    <cellStyle name="Accent6 6" xfId="3964"/>
    <cellStyle name="Accent6 6 2" xfId="34467"/>
    <cellStyle name="Accent6 7" xfId="3965"/>
    <cellStyle name="Accent6 7 2" xfId="34468"/>
    <cellStyle name="Accent6 8" xfId="3966"/>
    <cellStyle name="Accent6 8 2" xfId="34469"/>
    <cellStyle name="Accent6 9" xfId="3967"/>
    <cellStyle name="Accent6 9 2" xfId="34470"/>
    <cellStyle name="Bad 10" xfId="3968"/>
    <cellStyle name="Bad 10 2" xfId="34471"/>
    <cellStyle name="Bad 11" xfId="3969"/>
    <cellStyle name="Bad 11 2" xfId="34472"/>
    <cellStyle name="Bad 12" xfId="3970"/>
    <cellStyle name="Bad 12 2" xfId="34473"/>
    <cellStyle name="Bad 13" xfId="3971"/>
    <cellStyle name="Bad 13 2" xfId="34474"/>
    <cellStyle name="Bad 2" xfId="3972"/>
    <cellStyle name="Bad 2 2" xfId="34475"/>
    <cellStyle name="Bad 3" xfId="3973"/>
    <cellStyle name="Bad 3 2" xfId="34476"/>
    <cellStyle name="Bad 4" xfId="3974"/>
    <cellStyle name="Bad 4 2" xfId="34477"/>
    <cellStyle name="Bad 5" xfId="3975"/>
    <cellStyle name="Bad 5 2" xfId="34478"/>
    <cellStyle name="Bad 6" xfId="3976"/>
    <cellStyle name="Bad 6 2" xfId="34479"/>
    <cellStyle name="Bad 7" xfId="3977"/>
    <cellStyle name="Bad 7 2" xfId="34480"/>
    <cellStyle name="Bad 8" xfId="3978"/>
    <cellStyle name="Bad 8 2" xfId="34481"/>
    <cellStyle name="Bad 9" xfId="3979"/>
    <cellStyle name="Bad 9 2" xfId="34482"/>
    <cellStyle name="Calculation 10" xfId="3980"/>
    <cellStyle name="Calculation 10 2" xfId="34483"/>
    <cellStyle name="Calculation 11" xfId="3981"/>
    <cellStyle name="Calculation 11 2" xfId="34484"/>
    <cellStyle name="Calculation 12" xfId="3982"/>
    <cellStyle name="Calculation 12 2" xfId="34485"/>
    <cellStyle name="Calculation 13" xfId="3983"/>
    <cellStyle name="Calculation 13 2" xfId="34486"/>
    <cellStyle name="Calculation 2" xfId="3984"/>
    <cellStyle name="Calculation 2 2" xfId="34487"/>
    <cellStyle name="Calculation 3" xfId="3985"/>
    <cellStyle name="Calculation 3 2" xfId="34488"/>
    <cellStyle name="Calculation 4" xfId="3986"/>
    <cellStyle name="Calculation 4 2" xfId="34489"/>
    <cellStyle name="Calculation 5" xfId="3987"/>
    <cellStyle name="Calculation 5 2" xfId="34490"/>
    <cellStyle name="Calculation 6" xfId="3988"/>
    <cellStyle name="Calculation 6 2" xfId="34491"/>
    <cellStyle name="Calculation 7" xfId="3989"/>
    <cellStyle name="Calculation 7 2" xfId="34492"/>
    <cellStyle name="Calculation 8" xfId="3990"/>
    <cellStyle name="Calculation 8 2" xfId="34493"/>
    <cellStyle name="Calculation 9" xfId="3991"/>
    <cellStyle name="Calculation 9 2" xfId="34494"/>
    <cellStyle name="Check Cell 10" xfId="3992"/>
    <cellStyle name="Check Cell 10 2" xfId="34495"/>
    <cellStyle name="Check Cell 11" xfId="3993"/>
    <cellStyle name="Check Cell 11 2" xfId="34496"/>
    <cellStyle name="Check Cell 12" xfId="3994"/>
    <cellStyle name="Check Cell 12 2" xfId="34497"/>
    <cellStyle name="Check Cell 13" xfId="3995"/>
    <cellStyle name="Check Cell 13 2" xfId="34498"/>
    <cellStyle name="Check Cell 2" xfId="3996"/>
    <cellStyle name="Check Cell 2 2" xfId="34499"/>
    <cellStyle name="Check Cell 3" xfId="3997"/>
    <cellStyle name="Check Cell 3 2" xfId="34500"/>
    <cellStyle name="Check Cell 4" xfId="3998"/>
    <cellStyle name="Check Cell 4 2" xfId="34501"/>
    <cellStyle name="Check Cell 5" xfId="3999"/>
    <cellStyle name="Check Cell 5 2" xfId="34502"/>
    <cellStyle name="Check Cell 6" xfId="4000"/>
    <cellStyle name="Check Cell 6 2" xfId="34503"/>
    <cellStyle name="Check Cell 7" xfId="4001"/>
    <cellStyle name="Check Cell 7 2" xfId="34504"/>
    <cellStyle name="Check Cell 8" xfId="4002"/>
    <cellStyle name="Check Cell 8 2" xfId="34505"/>
    <cellStyle name="Check Cell 9" xfId="4003"/>
    <cellStyle name="Check Cell 9 2" xfId="34506"/>
    <cellStyle name="Comma [0]_irl tel sep5" xfId="4004"/>
    <cellStyle name="Comma 2" xfId="4005"/>
    <cellStyle name="Comma 2 10" xfId="4006"/>
    <cellStyle name="Comma 2 10 2" xfId="4007"/>
    <cellStyle name="Comma 2 11" xfId="4008"/>
    <cellStyle name="Comma 2 11 2" xfId="4009"/>
    <cellStyle name="Comma 2 12" xfId="4010"/>
    <cellStyle name="Comma 2 12 2" xfId="4011"/>
    <cellStyle name="Comma 2 13" xfId="4012"/>
    <cellStyle name="Comma 2 13 2" xfId="4013"/>
    <cellStyle name="Comma 2 14" xfId="4014"/>
    <cellStyle name="Comma 2 14 2" xfId="4015"/>
    <cellStyle name="Comma 2 15" xfId="4016"/>
    <cellStyle name="Comma 2 15 2" xfId="4017"/>
    <cellStyle name="Comma 2 16" xfId="4018"/>
    <cellStyle name="Comma 2 16 2" xfId="4019"/>
    <cellStyle name="Comma 2 17" xfId="4020"/>
    <cellStyle name="Comma 2 17 2" xfId="4021"/>
    <cellStyle name="Comma 2 18" xfId="4022"/>
    <cellStyle name="Comma 2 18 2" xfId="4023"/>
    <cellStyle name="Comma 2 19" xfId="4024"/>
    <cellStyle name="Comma 2 19 2" xfId="4025"/>
    <cellStyle name="Comma 2 2" xfId="4026"/>
    <cellStyle name="Comma 2 2 10" xfId="4027"/>
    <cellStyle name="Comma 2 2 10 2" xfId="4028"/>
    <cellStyle name="Comma 2 2 11" xfId="4029"/>
    <cellStyle name="Comma 2 2 11 2" xfId="4030"/>
    <cellStyle name="Comma 2 2 12" xfId="4031"/>
    <cellStyle name="Comma 2 2 12 2" xfId="4032"/>
    <cellStyle name="Comma 2 2 13" xfId="4033"/>
    <cellStyle name="Comma 2 2 13 2" xfId="4034"/>
    <cellStyle name="Comma 2 2 14" xfId="4035"/>
    <cellStyle name="Comma 2 2 14 2" xfId="4036"/>
    <cellStyle name="Comma 2 2 15" xfId="4037"/>
    <cellStyle name="Comma 2 2 15 2" xfId="4038"/>
    <cellStyle name="Comma 2 2 16" xfId="4039"/>
    <cellStyle name="Comma 2 2 16 2" xfId="4040"/>
    <cellStyle name="Comma 2 2 17" xfId="4041"/>
    <cellStyle name="Comma 2 2 17 2" xfId="4042"/>
    <cellStyle name="Comma 2 2 18" xfId="4043"/>
    <cellStyle name="Comma 2 2 18 2" xfId="4044"/>
    <cellStyle name="Comma 2 2 19" xfId="4045"/>
    <cellStyle name="Comma 2 2 19 2" xfId="4046"/>
    <cellStyle name="Comma 2 2 2" xfId="4047"/>
    <cellStyle name="Comma 2 2 2 2" xfId="4048"/>
    <cellStyle name="Comma 2 2 20" xfId="4049"/>
    <cellStyle name="Comma 2 2 20 2" xfId="4050"/>
    <cellStyle name="Comma 2 2 21" xfId="4051"/>
    <cellStyle name="Comma 2 2 21 2" xfId="4052"/>
    <cellStyle name="Comma 2 2 22" xfId="4053"/>
    <cellStyle name="Comma 2 2 22 2" xfId="4054"/>
    <cellStyle name="Comma 2 2 23" xfId="4055"/>
    <cellStyle name="Comma 2 2 23 2" xfId="4056"/>
    <cellStyle name="Comma 2 2 24" xfId="4057"/>
    <cellStyle name="Comma 2 2 24 2" xfId="4058"/>
    <cellStyle name="Comma 2 2 25" xfId="4059"/>
    <cellStyle name="Comma 2 2 25 2" xfId="4060"/>
    <cellStyle name="Comma 2 2 26" xfId="4061"/>
    <cellStyle name="Comma 2 2 26 2" xfId="4062"/>
    <cellStyle name="Comma 2 2 27" xfId="4063"/>
    <cellStyle name="Comma 2 2 27 2" xfId="4064"/>
    <cellStyle name="Comma 2 2 28" xfId="4065"/>
    <cellStyle name="Comma 2 2 28 2" xfId="4066"/>
    <cellStyle name="Comma 2 2 29" xfId="4067"/>
    <cellStyle name="Comma 2 2 29 2" xfId="4068"/>
    <cellStyle name="Comma 2 2 3" xfId="4069"/>
    <cellStyle name="Comma 2 2 3 2" xfId="4070"/>
    <cellStyle name="Comma 2 2 30" xfId="4071"/>
    <cellStyle name="Comma 2 2 4" xfId="4072"/>
    <cellStyle name="Comma 2 2 4 2" xfId="4073"/>
    <cellStyle name="Comma 2 2 5" xfId="4074"/>
    <cellStyle name="Comma 2 2 5 2" xfId="4075"/>
    <cellStyle name="Comma 2 2 6" xfId="4076"/>
    <cellStyle name="Comma 2 2 6 2" xfId="4077"/>
    <cellStyle name="Comma 2 2 7" xfId="4078"/>
    <cellStyle name="Comma 2 2 7 2" xfId="4079"/>
    <cellStyle name="Comma 2 2 8" xfId="4080"/>
    <cellStyle name="Comma 2 2 8 2" xfId="4081"/>
    <cellStyle name="Comma 2 2 9" xfId="4082"/>
    <cellStyle name="Comma 2 2 9 2" xfId="4083"/>
    <cellStyle name="Comma 2 20" xfId="4084"/>
    <cellStyle name="Comma 2 20 2" xfId="4085"/>
    <cellStyle name="Comma 2 21" xfId="4086"/>
    <cellStyle name="Comma 2 21 2" xfId="4087"/>
    <cellStyle name="Comma 2 22" xfId="4088"/>
    <cellStyle name="Comma 2 22 2" xfId="4089"/>
    <cellStyle name="Comma 2 23" xfId="4090"/>
    <cellStyle name="Comma 2 23 2" xfId="4091"/>
    <cellStyle name="Comma 2 24" xfId="4092"/>
    <cellStyle name="Comma 2 24 2" xfId="4093"/>
    <cellStyle name="Comma 2 25" xfId="4094"/>
    <cellStyle name="Comma 2 25 2" xfId="4095"/>
    <cellStyle name="Comma 2 26" xfId="4096"/>
    <cellStyle name="Comma 2 26 2" xfId="4097"/>
    <cellStyle name="Comma 2 27" xfId="4098"/>
    <cellStyle name="Comma 2 27 2" xfId="4099"/>
    <cellStyle name="Comma 2 28" xfId="4100"/>
    <cellStyle name="Comma 2 28 2" xfId="4101"/>
    <cellStyle name="Comma 2 29" xfId="4102"/>
    <cellStyle name="Comma 2 29 2" xfId="4103"/>
    <cellStyle name="Comma 2 3" xfId="4104"/>
    <cellStyle name="Comma 2 3 10" xfId="4105"/>
    <cellStyle name="Comma 2 3 10 2" xfId="4106"/>
    <cellStyle name="Comma 2 3 11" xfId="4107"/>
    <cellStyle name="Comma 2 3 11 2" xfId="4108"/>
    <cellStyle name="Comma 2 3 12" xfId="4109"/>
    <cellStyle name="Comma 2 3 12 2" xfId="4110"/>
    <cellStyle name="Comma 2 3 13" xfId="4111"/>
    <cellStyle name="Comma 2 3 13 2" xfId="4112"/>
    <cellStyle name="Comma 2 3 14" xfId="4113"/>
    <cellStyle name="Comma 2 3 14 2" xfId="4114"/>
    <cellStyle name="Comma 2 3 15" xfId="4115"/>
    <cellStyle name="Comma 2 3 15 2" xfId="4116"/>
    <cellStyle name="Comma 2 3 16" xfId="4117"/>
    <cellStyle name="Comma 2 3 16 2" xfId="4118"/>
    <cellStyle name="Comma 2 3 17" xfId="4119"/>
    <cellStyle name="Comma 2 3 17 2" xfId="4120"/>
    <cellStyle name="Comma 2 3 18" xfId="4121"/>
    <cellStyle name="Comma 2 3 18 2" xfId="4122"/>
    <cellStyle name="Comma 2 3 19" xfId="4123"/>
    <cellStyle name="Comma 2 3 19 2" xfId="4124"/>
    <cellStyle name="Comma 2 3 2" xfId="4125"/>
    <cellStyle name="Comma 2 3 2 2" xfId="4126"/>
    <cellStyle name="Comma 2 3 20" xfId="4127"/>
    <cellStyle name="Comma 2 3 20 2" xfId="4128"/>
    <cellStyle name="Comma 2 3 21" xfId="4129"/>
    <cellStyle name="Comma 2 3 21 2" xfId="4130"/>
    <cellStyle name="Comma 2 3 22" xfId="4131"/>
    <cellStyle name="Comma 2 3 22 2" xfId="4132"/>
    <cellStyle name="Comma 2 3 23" xfId="4133"/>
    <cellStyle name="Comma 2 3 23 2" xfId="4134"/>
    <cellStyle name="Comma 2 3 24" xfId="4135"/>
    <cellStyle name="Comma 2 3 24 2" xfId="4136"/>
    <cellStyle name="Comma 2 3 25" xfId="4137"/>
    <cellStyle name="Comma 2 3 25 2" xfId="4138"/>
    <cellStyle name="Comma 2 3 26" xfId="4139"/>
    <cellStyle name="Comma 2 3 26 2" xfId="4140"/>
    <cellStyle name="Comma 2 3 27" xfId="4141"/>
    <cellStyle name="Comma 2 3 27 2" xfId="4142"/>
    <cellStyle name="Comma 2 3 28" xfId="4143"/>
    <cellStyle name="Comma 2 3 28 2" xfId="4144"/>
    <cellStyle name="Comma 2 3 29" xfId="4145"/>
    <cellStyle name="Comma 2 3 29 2" xfId="4146"/>
    <cellStyle name="Comma 2 3 3" xfId="4147"/>
    <cellStyle name="Comma 2 3 3 2" xfId="4148"/>
    <cellStyle name="Comma 2 3 30" xfId="4149"/>
    <cellStyle name="Comma 2 3 4" xfId="4150"/>
    <cellStyle name="Comma 2 3 4 2" xfId="4151"/>
    <cellStyle name="Comma 2 3 5" xfId="4152"/>
    <cellStyle name="Comma 2 3 5 2" xfId="4153"/>
    <cellStyle name="Comma 2 3 6" xfId="4154"/>
    <cellStyle name="Comma 2 3 6 2" xfId="4155"/>
    <cellStyle name="Comma 2 3 7" xfId="4156"/>
    <cellStyle name="Comma 2 3 7 2" xfId="4157"/>
    <cellStyle name="Comma 2 3 8" xfId="4158"/>
    <cellStyle name="Comma 2 3 8 2" xfId="4159"/>
    <cellStyle name="Comma 2 3 9" xfId="4160"/>
    <cellStyle name="Comma 2 3 9 2" xfId="4161"/>
    <cellStyle name="Comma 2 30" xfId="4162"/>
    <cellStyle name="Comma 2 30 2" xfId="4163"/>
    <cellStyle name="Comma 2 31" xfId="4164"/>
    <cellStyle name="Comma 2 31 2" xfId="4165"/>
    <cellStyle name="Comma 2 32" xfId="4166"/>
    <cellStyle name="Comma 2 32 2" xfId="4167"/>
    <cellStyle name="Comma 2 33" xfId="4168"/>
    <cellStyle name="Comma 2 33 2" xfId="4169"/>
    <cellStyle name="Comma 2 34" xfId="4170"/>
    <cellStyle name="Comma 2 34 2" xfId="4171"/>
    <cellStyle name="Comma 2 35" xfId="4172"/>
    <cellStyle name="Comma 2 35 2" xfId="4173"/>
    <cellStyle name="Comma 2 36" xfId="4174"/>
    <cellStyle name="Comma 2 36 2" xfId="4175"/>
    <cellStyle name="Comma 2 37" xfId="4176"/>
    <cellStyle name="Comma 2 4" xfId="4177"/>
    <cellStyle name="Comma 2 4 10" xfId="4178"/>
    <cellStyle name="Comma 2 4 10 2" xfId="4179"/>
    <cellStyle name="Comma 2 4 11" xfId="4180"/>
    <cellStyle name="Comma 2 4 11 2" xfId="4181"/>
    <cellStyle name="Comma 2 4 12" xfId="4182"/>
    <cellStyle name="Comma 2 4 12 2" xfId="4183"/>
    <cellStyle name="Comma 2 4 13" xfId="4184"/>
    <cellStyle name="Comma 2 4 13 2" xfId="4185"/>
    <cellStyle name="Comma 2 4 14" xfId="4186"/>
    <cellStyle name="Comma 2 4 14 2" xfId="4187"/>
    <cellStyle name="Comma 2 4 15" xfId="4188"/>
    <cellStyle name="Comma 2 4 15 2" xfId="4189"/>
    <cellStyle name="Comma 2 4 16" xfId="4190"/>
    <cellStyle name="Comma 2 4 16 2" xfId="4191"/>
    <cellStyle name="Comma 2 4 17" xfId="4192"/>
    <cellStyle name="Comma 2 4 17 2" xfId="4193"/>
    <cellStyle name="Comma 2 4 18" xfId="4194"/>
    <cellStyle name="Comma 2 4 18 2" xfId="4195"/>
    <cellStyle name="Comma 2 4 19" xfId="4196"/>
    <cellStyle name="Comma 2 4 19 2" xfId="4197"/>
    <cellStyle name="Comma 2 4 2" xfId="4198"/>
    <cellStyle name="Comma 2 4 2 2" xfId="4199"/>
    <cellStyle name="Comma 2 4 20" xfId="4200"/>
    <cellStyle name="Comma 2 4 20 2" xfId="4201"/>
    <cellStyle name="Comma 2 4 21" xfId="4202"/>
    <cellStyle name="Comma 2 4 21 2" xfId="4203"/>
    <cellStyle name="Comma 2 4 22" xfId="4204"/>
    <cellStyle name="Comma 2 4 22 2" xfId="4205"/>
    <cellStyle name="Comma 2 4 23" xfId="4206"/>
    <cellStyle name="Comma 2 4 23 2" xfId="4207"/>
    <cellStyle name="Comma 2 4 24" xfId="4208"/>
    <cellStyle name="Comma 2 4 24 2" xfId="4209"/>
    <cellStyle name="Comma 2 4 25" xfId="4210"/>
    <cellStyle name="Comma 2 4 25 2" xfId="4211"/>
    <cellStyle name="Comma 2 4 26" xfId="4212"/>
    <cellStyle name="Comma 2 4 26 2" xfId="4213"/>
    <cellStyle name="Comma 2 4 27" xfId="4214"/>
    <cellStyle name="Comma 2 4 27 2" xfId="4215"/>
    <cellStyle name="Comma 2 4 28" xfId="4216"/>
    <cellStyle name="Comma 2 4 28 2" xfId="4217"/>
    <cellStyle name="Comma 2 4 29" xfId="4218"/>
    <cellStyle name="Comma 2 4 29 2" xfId="4219"/>
    <cellStyle name="Comma 2 4 3" xfId="4220"/>
    <cellStyle name="Comma 2 4 3 2" xfId="4221"/>
    <cellStyle name="Comma 2 4 30" xfId="4222"/>
    <cellStyle name="Comma 2 4 4" xfId="4223"/>
    <cellStyle name="Comma 2 4 4 2" xfId="4224"/>
    <cellStyle name="Comma 2 4 5" xfId="4225"/>
    <cellStyle name="Comma 2 4 5 2" xfId="4226"/>
    <cellStyle name="Comma 2 4 6" xfId="4227"/>
    <cellStyle name="Comma 2 4 6 2" xfId="4228"/>
    <cellStyle name="Comma 2 4 7" xfId="4229"/>
    <cellStyle name="Comma 2 4 7 2" xfId="4230"/>
    <cellStyle name="Comma 2 4 8" xfId="4231"/>
    <cellStyle name="Comma 2 4 8 2" xfId="4232"/>
    <cellStyle name="Comma 2 4 9" xfId="4233"/>
    <cellStyle name="Comma 2 4 9 2" xfId="4234"/>
    <cellStyle name="Comma 2 5" xfId="4235"/>
    <cellStyle name="Comma 2 5 10" xfId="4236"/>
    <cellStyle name="Comma 2 5 10 2" xfId="4237"/>
    <cellStyle name="Comma 2 5 11" xfId="4238"/>
    <cellStyle name="Comma 2 5 11 2" xfId="4239"/>
    <cellStyle name="Comma 2 5 12" xfId="4240"/>
    <cellStyle name="Comma 2 5 12 2" xfId="4241"/>
    <cellStyle name="Comma 2 5 13" xfId="4242"/>
    <cellStyle name="Comma 2 5 13 2" xfId="4243"/>
    <cellStyle name="Comma 2 5 14" xfId="4244"/>
    <cellStyle name="Comma 2 5 14 2" xfId="4245"/>
    <cellStyle name="Comma 2 5 15" xfId="4246"/>
    <cellStyle name="Comma 2 5 15 2" xfId="4247"/>
    <cellStyle name="Comma 2 5 16" xfId="4248"/>
    <cellStyle name="Comma 2 5 16 2" xfId="4249"/>
    <cellStyle name="Comma 2 5 17" xfId="4250"/>
    <cellStyle name="Comma 2 5 17 2" xfId="4251"/>
    <cellStyle name="Comma 2 5 18" xfId="4252"/>
    <cellStyle name="Comma 2 5 18 2" xfId="4253"/>
    <cellStyle name="Comma 2 5 19" xfId="4254"/>
    <cellStyle name="Comma 2 5 19 2" xfId="4255"/>
    <cellStyle name="Comma 2 5 2" xfId="4256"/>
    <cellStyle name="Comma 2 5 2 2" xfId="4257"/>
    <cellStyle name="Comma 2 5 20" xfId="4258"/>
    <cellStyle name="Comma 2 5 20 2" xfId="4259"/>
    <cellStyle name="Comma 2 5 21" xfId="4260"/>
    <cellStyle name="Comma 2 5 21 2" xfId="4261"/>
    <cellStyle name="Comma 2 5 22" xfId="4262"/>
    <cellStyle name="Comma 2 5 22 2" xfId="4263"/>
    <cellStyle name="Comma 2 5 23" xfId="4264"/>
    <cellStyle name="Comma 2 5 23 2" xfId="4265"/>
    <cellStyle name="Comma 2 5 24" xfId="4266"/>
    <cellStyle name="Comma 2 5 24 2" xfId="4267"/>
    <cellStyle name="Comma 2 5 25" xfId="4268"/>
    <cellStyle name="Comma 2 5 25 2" xfId="4269"/>
    <cellStyle name="Comma 2 5 26" xfId="4270"/>
    <cellStyle name="Comma 2 5 26 2" xfId="4271"/>
    <cellStyle name="Comma 2 5 27" xfId="4272"/>
    <cellStyle name="Comma 2 5 27 2" xfId="4273"/>
    <cellStyle name="Comma 2 5 28" xfId="4274"/>
    <cellStyle name="Comma 2 5 28 2" xfId="4275"/>
    <cellStyle name="Comma 2 5 29" xfId="4276"/>
    <cellStyle name="Comma 2 5 29 2" xfId="4277"/>
    <cellStyle name="Comma 2 5 3" xfId="4278"/>
    <cellStyle name="Comma 2 5 3 2" xfId="4279"/>
    <cellStyle name="Comma 2 5 30" xfId="4280"/>
    <cellStyle name="Comma 2 5 4" xfId="4281"/>
    <cellStyle name="Comma 2 5 4 2" xfId="4282"/>
    <cellStyle name="Comma 2 5 5" xfId="4283"/>
    <cellStyle name="Comma 2 5 5 2" xfId="4284"/>
    <cellStyle name="Comma 2 5 6" xfId="4285"/>
    <cellStyle name="Comma 2 5 6 2" xfId="4286"/>
    <cellStyle name="Comma 2 5 7" xfId="4287"/>
    <cellStyle name="Comma 2 5 7 2" xfId="4288"/>
    <cellStyle name="Comma 2 5 8" xfId="4289"/>
    <cellStyle name="Comma 2 5 8 2" xfId="4290"/>
    <cellStyle name="Comma 2 5 9" xfId="4291"/>
    <cellStyle name="Comma 2 5 9 2" xfId="4292"/>
    <cellStyle name="Comma 2 6" xfId="4293"/>
    <cellStyle name="Comma 2 6 10" xfId="4294"/>
    <cellStyle name="Comma 2 6 10 2" xfId="4295"/>
    <cellStyle name="Comma 2 6 11" xfId="4296"/>
    <cellStyle name="Comma 2 6 11 2" xfId="4297"/>
    <cellStyle name="Comma 2 6 12" xfId="4298"/>
    <cellStyle name="Comma 2 6 12 2" xfId="4299"/>
    <cellStyle name="Comma 2 6 13" xfId="4300"/>
    <cellStyle name="Comma 2 6 13 2" xfId="4301"/>
    <cellStyle name="Comma 2 6 14" xfId="4302"/>
    <cellStyle name="Comma 2 6 14 2" xfId="4303"/>
    <cellStyle name="Comma 2 6 15" xfId="4304"/>
    <cellStyle name="Comma 2 6 15 2" xfId="4305"/>
    <cellStyle name="Comma 2 6 16" xfId="4306"/>
    <cellStyle name="Comma 2 6 16 2" xfId="4307"/>
    <cellStyle name="Comma 2 6 17" xfId="4308"/>
    <cellStyle name="Comma 2 6 17 2" xfId="4309"/>
    <cellStyle name="Comma 2 6 18" xfId="4310"/>
    <cellStyle name="Comma 2 6 18 2" xfId="4311"/>
    <cellStyle name="Comma 2 6 19" xfId="4312"/>
    <cellStyle name="Comma 2 6 19 2" xfId="4313"/>
    <cellStyle name="Comma 2 6 2" xfId="4314"/>
    <cellStyle name="Comma 2 6 2 2" xfId="4315"/>
    <cellStyle name="Comma 2 6 20" xfId="4316"/>
    <cellStyle name="Comma 2 6 20 2" xfId="4317"/>
    <cellStyle name="Comma 2 6 21" xfId="4318"/>
    <cellStyle name="Comma 2 6 21 2" xfId="4319"/>
    <cellStyle name="Comma 2 6 22" xfId="4320"/>
    <cellStyle name="Comma 2 6 22 2" xfId="4321"/>
    <cellStyle name="Comma 2 6 23" xfId="4322"/>
    <cellStyle name="Comma 2 6 23 2" xfId="4323"/>
    <cellStyle name="Comma 2 6 24" xfId="4324"/>
    <cellStyle name="Comma 2 6 24 2" xfId="4325"/>
    <cellStyle name="Comma 2 6 25" xfId="4326"/>
    <cellStyle name="Comma 2 6 25 2" xfId="4327"/>
    <cellStyle name="Comma 2 6 26" xfId="4328"/>
    <cellStyle name="Comma 2 6 26 2" xfId="4329"/>
    <cellStyle name="Comma 2 6 27" xfId="4330"/>
    <cellStyle name="Comma 2 6 27 2" xfId="4331"/>
    <cellStyle name="Comma 2 6 28" xfId="4332"/>
    <cellStyle name="Comma 2 6 28 2" xfId="4333"/>
    <cellStyle name="Comma 2 6 29" xfId="4334"/>
    <cellStyle name="Comma 2 6 29 2" xfId="4335"/>
    <cellStyle name="Comma 2 6 3" xfId="4336"/>
    <cellStyle name="Comma 2 6 3 2" xfId="4337"/>
    <cellStyle name="Comma 2 6 30" xfId="4338"/>
    <cellStyle name="Comma 2 6 4" xfId="4339"/>
    <cellStyle name="Comma 2 6 4 2" xfId="4340"/>
    <cellStyle name="Comma 2 6 5" xfId="4341"/>
    <cellStyle name="Comma 2 6 5 2" xfId="4342"/>
    <cellStyle name="Comma 2 6 6" xfId="4343"/>
    <cellStyle name="Comma 2 6 6 2" xfId="4344"/>
    <cellStyle name="Comma 2 6 7" xfId="4345"/>
    <cellStyle name="Comma 2 6 7 2" xfId="4346"/>
    <cellStyle name="Comma 2 6 8" xfId="4347"/>
    <cellStyle name="Comma 2 6 8 2" xfId="4348"/>
    <cellStyle name="Comma 2 6 9" xfId="4349"/>
    <cellStyle name="Comma 2 6 9 2" xfId="4350"/>
    <cellStyle name="Comma 2 7" xfId="4351"/>
    <cellStyle name="Comma 2 7 10" xfId="4352"/>
    <cellStyle name="Comma 2 7 10 2" xfId="4353"/>
    <cellStyle name="Comma 2 7 11" xfId="4354"/>
    <cellStyle name="Comma 2 7 11 2" xfId="4355"/>
    <cellStyle name="Comma 2 7 12" xfId="4356"/>
    <cellStyle name="Comma 2 7 12 2" xfId="4357"/>
    <cellStyle name="Comma 2 7 13" xfId="4358"/>
    <cellStyle name="Comma 2 7 13 2" xfId="4359"/>
    <cellStyle name="Comma 2 7 14" xfId="4360"/>
    <cellStyle name="Comma 2 7 14 2" xfId="4361"/>
    <cellStyle name="Comma 2 7 15" xfId="4362"/>
    <cellStyle name="Comma 2 7 15 2" xfId="4363"/>
    <cellStyle name="Comma 2 7 16" xfId="4364"/>
    <cellStyle name="Comma 2 7 16 2" xfId="4365"/>
    <cellStyle name="Comma 2 7 17" xfId="4366"/>
    <cellStyle name="Comma 2 7 17 2" xfId="4367"/>
    <cellStyle name="Comma 2 7 18" xfId="4368"/>
    <cellStyle name="Comma 2 7 18 2" xfId="4369"/>
    <cellStyle name="Comma 2 7 19" xfId="4370"/>
    <cellStyle name="Comma 2 7 19 2" xfId="4371"/>
    <cellStyle name="Comma 2 7 2" xfId="4372"/>
    <cellStyle name="Comma 2 7 2 2" xfId="4373"/>
    <cellStyle name="Comma 2 7 20" xfId="4374"/>
    <cellStyle name="Comma 2 7 20 2" xfId="4375"/>
    <cellStyle name="Comma 2 7 21" xfId="4376"/>
    <cellStyle name="Comma 2 7 21 2" xfId="4377"/>
    <cellStyle name="Comma 2 7 22" xfId="4378"/>
    <cellStyle name="Comma 2 7 22 2" xfId="4379"/>
    <cellStyle name="Comma 2 7 23" xfId="4380"/>
    <cellStyle name="Comma 2 7 23 2" xfId="4381"/>
    <cellStyle name="Comma 2 7 24" xfId="4382"/>
    <cellStyle name="Comma 2 7 24 2" xfId="4383"/>
    <cellStyle name="Comma 2 7 25" xfId="4384"/>
    <cellStyle name="Comma 2 7 25 2" xfId="4385"/>
    <cellStyle name="Comma 2 7 26" xfId="4386"/>
    <cellStyle name="Comma 2 7 26 2" xfId="4387"/>
    <cellStyle name="Comma 2 7 27" xfId="4388"/>
    <cellStyle name="Comma 2 7 27 2" xfId="4389"/>
    <cellStyle name="Comma 2 7 28" xfId="4390"/>
    <cellStyle name="Comma 2 7 28 2" xfId="4391"/>
    <cellStyle name="Comma 2 7 29" xfId="4392"/>
    <cellStyle name="Comma 2 7 29 2" xfId="4393"/>
    <cellStyle name="Comma 2 7 3" xfId="4394"/>
    <cellStyle name="Comma 2 7 3 2" xfId="4395"/>
    <cellStyle name="Comma 2 7 30" xfId="4396"/>
    <cellStyle name="Comma 2 7 4" xfId="4397"/>
    <cellStyle name="Comma 2 7 4 2" xfId="4398"/>
    <cellStyle name="Comma 2 7 5" xfId="4399"/>
    <cellStyle name="Comma 2 7 5 2" xfId="4400"/>
    <cellStyle name="Comma 2 7 6" xfId="4401"/>
    <cellStyle name="Comma 2 7 6 2" xfId="4402"/>
    <cellStyle name="Comma 2 7 7" xfId="4403"/>
    <cellStyle name="Comma 2 7 7 2" xfId="4404"/>
    <cellStyle name="Comma 2 7 8" xfId="4405"/>
    <cellStyle name="Comma 2 7 8 2" xfId="4406"/>
    <cellStyle name="Comma 2 7 9" xfId="4407"/>
    <cellStyle name="Comma 2 7 9 2" xfId="4408"/>
    <cellStyle name="Comma 2 8" xfId="4409"/>
    <cellStyle name="Comma 2 8 2" xfId="4410"/>
    <cellStyle name="Comma 2 9" xfId="4411"/>
    <cellStyle name="Comma 2 9 2" xfId="4412"/>
    <cellStyle name="Comma_irl tel sep5" xfId="4413"/>
    <cellStyle name="Currency [0]" xfId="4414"/>
    <cellStyle name="Currency_irl tel sep5" xfId="4415"/>
    <cellStyle name="date" xfId="4416"/>
    <cellStyle name="Euro" xfId="4417"/>
    <cellStyle name="Explanatory Text 10" xfId="4418"/>
    <cellStyle name="Explanatory Text 10 2" xfId="34507"/>
    <cellStyle name="Explanatory Text 11" xfId="4419"/>
    <cellStyle name="Explanatory Text 11 2" xfId="34508"/>
    <cellStyle name="Explanatory Text 12" xfId="4420"/>
    <cellStyle name="Explanatory Text 12 2" xfId="34509"/>
    <cellStyle name="Explanatory Text 13" xfId="4421"/>
    <cellStyle name="Explanatory Text 13 2" xfId="34510"/>
    <cellStyle name="Explanatory Text 2" xfId="4422"/>
    <cellStyle name="Explanatory Text 2 2" xfId="34511"/>
    <cellStyle name="Explanatory Text 3" xfId="4423"/>
    <cellStyle name="Explanatory Text 3 2" xfId="34512"/>
    <cellStyle name="Explanatory Text 4" xfId="4424"/>
    <cellStyle name="Explanatory Text 4 2" xfId="34513"/>
    <cellStyle name="Explanatory Text 5" xfId="4425"/>
    <cellStyle name="Explanatory Text 5 2" xfId="34514"/>
    <cellStyle name="Explanatory Text 6" xfId="4426"/>
    <cellStyle name="Explanatory Text 6 2" xfId="34515"/>
    <cellStyle name="Explanatory Text 7" xfId="4427"/>
    <cellStyle name="Explanatory Text 7 2" xfId="34516"/>
    <cellStyle name="Explanatory Text 8" xfId="4428"/>
    <cellStyle name="Explanatory Text 8 2" xfId="34517"/>
    <cellStyle name="Explanatory Text 9" xfId="4429"/>
    <cellStyle name="Explanatory Text 9 2" xfId="34518"/>
    <cellStyle name="Good 10" xfId="4430"/>
    <cellStyle name="Good 10 2" xfId="34519"/>
    <cellStyle name="Good 11" xfId="4431"/>
    <cellStyle name="Good 11 2" xfId="34520"/>
    <cellStyle name="Good 12" xfId="4432"/>
    <cellStyle name="Good 12 2" xfId="34521"/>
    <cellStyle name="Good 13" xfId="4433"/>
    <cellStyle name="Good 13 2" xfId="34522"/>
    <cellStyle name="Good 2" xfId="4434"/>
    <cellStyle name="Good 2 2" xfId="34523"/>
    <cellStyle name="Good 3" xfId="4435"/>
    <cellStyle name="Good 3 2" xfId="34524"/>
    <cellStyle name="Good 4" xfId="4436"/>
    <cellStyle name="Good 4 2" xfId="34525"/>
    <cellStyle name="Good 5" xfId="4437"/>
    <cellStyle name="Good 5 2" xfId="34526"/>
    <cellStyle name="Good 6" xfId="4438"/>
    <cellStyle name="Good 6 2" xfId="34527"/>
    <cellStyle name="Good 7" xfId="4439"/>
    <cellStyle name="Good 7 2" xfId="34528"/>
    <cellStyle name="Good 8" xfId="4440"/>
    <cellStyle name="Good 8 2" xfId="34529"/>
    <cellStyle name="Good 9" xfId="4441"/>
    <cellStyle name="Good 9 2" xfId="34530"/>
    <cellStyle name="Heading 1 10" xfId="4442"/>
    <cellStyle name="Heading 1 10 2" xfId="34531"/>
    <cellStyle name="Heading 1 11" xfId="4443"/>
    <cellStyle name="Heading 1 11 2" xfId="34532"/>
    <cellStyle name="Heading 1 12" xfId="4444"/>
    <cellStyle name="Heading 1 12 2" xfId="34533"/>
    <cellStyle name="Heading 1 13" xfId="4445"/>
    <cellStyle name="Heading 1 13 2" xfId="34534"/>
    <cellStyle name="Heading 1 2" xfId="4446"/>
    <cellStyle name="Heading 1 2 2" xfId="34535"/>
    <cellStyle name="Heading 1 3" xfId="4447"/>
    <cellStyle name="Heading 1 3 2" xfId="34536"/>
    <cellStyle name="Heading 1 4" xfId="4448"/>
    <cellStyle name="Heading 1 4 2" xfId="34537"/>
    <cellStyle name="Heading 1 5" xfId="4449"/>
    <cellStyle name="Heading 1 5 2" xfId="34538"/>
    <cellStyle name="Heading 1 6" xfId="4450"/>
    <cellStyle name="Heading 1 6 2" xfId="34539"/>
    <cellStyle name="Heading 1 7" xfId="4451"/>
    <cellStyle name="Heading 1 7 2" xfId="34540"/>
    <cellStyle name="Heading 1 8" xfId="4452"/>
    <cellStyle name="Heading 1 8 2" xfId="34541"/>
    <cellStyle name="Heading 1 9" xfId="4453"/>
    <cellStyle name="Heading 1 9 2" xfId="34542"/>
    <cellStyle name="Heading 2 10" xfId="4454"/>
    <cellStyle name="Heading 2 10 2" xfId="34543"/>
    <cellStyle name="Heading 2 11" xfId="4455"/>
    <cellStyle name="Heading 2 11 2" xfId="34544"/>
    <cellStyle name="Heading 2 12" xfId="4456"/>
    <cellStyle name="Heading 2 12 2" xfId="34545"/>
    <cellStyle name="Heading 2 13" xfId="4457"/>
    <cellStyle name="Heading 2 13 2" xfId="34546"/>
    <cellStyle name="Heading 2 2" xfId="4458"/>
    <cellStyle name="Heading 2 2 2" xfId="34547"/>
    <cellStyle name="Heading 2 3" xfId="4459"/>
    <cellStyle name="Heading 2 3 2" xfId="34548"/>
    <cellStyle name="Heading 2 4" xfId="4460"/>
    <cellStyle name="Heading 2 4 2" xfId="34549"/>
    <cellStyle name="Heading 2 5" xfId="4461"/>
    <cellStyle name="Heading 2 5 2" xfId="34550"/>
    <cellStyle name="Heading 2 6" xfId="4462"/>
    <cellStyle name="Heading 2 6 2" xfId="34551"/>
    <cellStyle name="Heading 2 7" xfId="4463"/>
    <cellStyle name="Heading 2 7 2" xfId="34552"/>
    <cellStyle name="Heading 2 8" xfId="4464"/>
    <cellStyle name="Heading 2 8 2" xfId="34553"/>
    <cellStyle name="Heading 2 9" xfId="4465"/>
    <cellStyle name="Heading 2 9 2" xfId="34554"/>
    <cellStyle name="Heading 3 10" xfId="4466"/>
    <cellStyle name="Heading 3 10 2" xfId="34555"/>
    <cellStyle name="Heading 3 11" xfId="4467"/>
    <cellStyle name="Heading 3 11 2" xfId="34556"/>
    <cellStyle name="Heading 3 12" xfId="4468"/>
    <cellStyle name="Heading 3 12 2" xfId="34557"/>
    <cellStyle name="Heading 3 13" xfId="4469"/>
    <cellStyle name="Heading 3 13 2" xfId="34558"/>
    <cellStyle name="Heading 3 2" xfId="4470"/>
    <cellStyle name="Heading 3 2 2" xfId="34559"/>
    <cellStyle name="Heading 3 3" xfId="4471"/>
    <cellStyle name="Heading 3 3 2" xfId="34560"/>
    <cellStyle name="Heading 3 4" xfId="4472"/>
    <cellStyle name="Heading 3 4 2" xfId="34561"/>
    <cellStyle name="Heading 3 5" xfId="4473"/>
    <cellStyle name="Heading 3 5 2" xfId="34562"/>
    <cellStyle name="Heading 3 6" xfId="4474"/>
    <cellStyle name="Heading 3 6 2" xfId="34563"/>
    <cellStyle name="Heading 3 7" xfId="4475"/>
    <cellStyle name="Heading 3 7 2" xfId="34564"/>
    <cellStyle name="Heading 3 8" xfId="4476"/>
    <cellStyle name="Heading 3 8 2" xfId="34565"/>
    <cellStyle name="Heading 3 9" xfId="4477"/>
    <cellStyle name="Heading 3 9 2" xfId="34566"/>
    <cellStyle name="Heading 4 10" xfId="4478"/>
    <cellStyle name="Heading 4 10 2" xfId="34567"/>
    <cellStyle name="Heading 4 11" xfId="4479"/>
    <cellStyle name="Heading 4 11 2" xfId="34568"/>
    <cellStyle name="Heading 4 12" xfId="4480"/>
    <cellStyle name="Heading 4 12 2" xfId="34569"/>
    <cellStyle name="Heading 4 13" xfId="4481"/>
    <cellStyle name="Heading 4 13 2" xfId="34570"/>
    <cellStyle name="Heading 4 2" xfId="4482"/>
    <cellStyle name="Heading 4 2 2" xfId="34571"/>
    <cellStyle name="Heading 4 3" xfId="4483"/>
    <cellStyle name="Heading 4 3 2" xfId="34572"/>
    <cellStyle name="Heading 4 4" xfId="4484"/>
    <cellStyle name="Heading 4 4 2" xfId="34573"/>
    <cellStyle name="Heading 4 5" xfId="4485"/>
    <cellStyle name="Heading 4 5 2" xfId="34574"/>
    <cellStyle name="Heading 4 6" xfId="4486"/>
    <cellStyle name="Heading 4 6 2" xfId="34575"/>
    <cellStyle name="Heading 4 7" xfId="4487"/>
    <cellStyle name="Heading 4 7 2" xfId="34576"/>
    <cellStyle name="Heading 4 8" xfId="4488"/>
    <cellStyle name="Heading 4 8 2" xfId="34577"/>
    <cellStyle name="Heading 4 9" xfId="4489"/>
    <cellStyle name="Heading 4 9 2" xfId="34578"/>
    <cellStyle name="Input 10" xfId="4490"/>
    <cellStyle name="Input 10 2" xfId="34579"/>
    <cellStyle name="Input 11" xfId="4491"/>
    <cellStyle name="Input 11 2" xfId="34580"/>
    <cellStyle name="Input 12" xfId="4492"/>
    <cellStyle name="Input 12 2" xfId="34581"/>
    <cellStyle name="Input 13" xfId="4493"/>
    <cellStyle name="Input 13 2" xfId="34582"/>
    <cellStyle name="Input 2" xfId="4494"/>
    <cellStyle name="Input 2 2" xfId="34583"/>
    <cellStyle name="Input 3" xfId="4495"/>
    <cellStyle name="Input 3 2" xfId="34584"/>
    <cellStyle name="Input 4" xfId="4496"/>
    <cellStyle name="Input 4 2" xfId="34585"/>
    <cellStyle name="Input 5" xfId="4497"/>
    <cellStyle name="Input 5 2" xfId="34586"/>
    <cellStyle name="Input 6" xfId="4498"/>
    <cellStyle name="Input 6 2" xfId="34587"/>
    <cellStyle name="Input 7" xfId="4499"/>
    <cellStyle name="Input 7 2" xfId="34588"/>
    <cellStyle name="Input 8" xfId="4500"/>
    <cellStyle name="Input 8 2" xfId="34589"/>
    <cellStyle name="Input 9" xfId="4501"/>
    <cellStyle name="Input 9 2" xfId="34590"/>
    <cellStyle name="Linked Cell 10" xfId="4502"/>
    <cellStyle name="Linked Cell 10 2" xfId="34591"/>
    <cellStyle name="Linked Cell 11" xfId="4503"/>
    <cellStyle name="Linked Cell 11 2" xfId="34592"/>
    <cellStyle name="Linked Cell 12" xfId="4504"/>
    <cellStyle name="Linked Cell 12 2" xfId="34593"/>
    <cellStyle name="Linked Cell 13" xfId="4505"/>
    <cellStyle name="Linked Cell 13 2" xfId="34594"/>
    <cellStyle name="Linked Cell 2" xfId="4506"/>
    <cellStyle name="Linked Cell 2 2" xfId="34595"/>
    <cellStyle name="Linked Cell 3" xfId="4507"/>
    <cellStyle name="Linked Cell 3 2" xfId="34596"/>
    <cellStyle name="Linked Cell 4" xfId="4508"/>
    <cellStyle name="Linked Cell 4 2" xfId="34597"/>
    <cellStyle name="Linked Cell 5" xfId="4509"/>
    <cellStyle name="Linked Cell 5 2" xfId="34598"/>
    <cellStyle name="Linked Cell 6" xfId="4510"/>
    <cellStyle name="Linked Cell 6 2" xfId="34599"/>
    <cellStyle name="Linked Cell 7" xfId="4511"/>
    <cellStyle name="Linked Cell 7 2" xfId="34600"/>
    <cellStyle name="Linked Cell 8" xfId="4512"/>
    <cellStyle name="Linked Cell 8 2" xfId="34601"/>
    <cellStyle name="Linked Cell 9" xfId="4513"/>
    <cellStyle name="Linked Cell 9 2" xfId="34602"/>
    <cellStyle name="Neutral 10" xfId="4514"/>
    <cellStyle name="Neutral 10 2" xfId="34603"/>
    <cellStyle name="Neutral 11" xfId="4515"/>
    <cellStyle name="Neutral 11 2" xfId="34604"/>
    <cellStyle name="Neutral 12" xfId="4516"/>
    <cellStyle name="Neutral 12 2" xfId="34605"/>
    <cellStyle name="Neutral 13" xfId="4517"/>
    <cellStyle name="Neutral 13 2" xfId="34606"/>
    <cellStyle name="Neutral 2" xfId="4518"/>
    <cellStyle name="Neutral 2 2" xfId="34607"/>
    <cellStyle name="Neutral 3" xfId="4519"/>
    <cellStyle name="Neutral 3 2" xfId="34608"/>
    <cellStyle name="Neutral 4" xfId="4520"/>
    <cellStyle name="Neutral 4 2" xfId="34609"/>
    <cellStyle name="Neutral 5" xfId="4521"/>
    <cellStyle name="Neutral 5 2" xfId="34610"/>
    <cellStyle name="Neutral 6" xfId="4522"/>
    <cellStyle name="Neutral 6 2" xfId="34611"/>
    <cellStyle name="Neutral 7" xfId="4523"/>
    <cellStyle name="Neutral 7 2" xfId="34612"/>
    <cellStyle name="Neutral 8" xfId="4524"/>
    <cellStyle name="Neutral 8 2" xfId="34613"/>
    <cellStyle name="Neutral 9" xfId="4525"/>
    <cellStyle name="Neutral 9 2" xfId="34614"/>
    <cellStyle name="Norma11l" xfId="4526"/>
    <cellStyle name="Norma11l 2" xfId="34615"/>
    <cellStyle name="Normal 2" xfId="4527"/>
    <cellStyle name="Normal 2 10" xfId="4528"/>
    <cellStyle name="Normal 2 10 2" xfId="4529"/>
    <cellStyle name="Normal 2 10 2 2" xfId="4530"/>
    <cellStyle name="Normal 2 10 2 2 2" xfId="4531"/>
    <cellStyle name="Normal 2 10 2 2 2 2" xfId="34616"/>
    <cellStyle name="Normal 2 10 2 2 3" xfId="34617"/>
    <cellStyle name="Normal 2 10 2 3" xfId="4532"/>
    <cellStyle name="Normal 2 10 2 3 2" xfId="34618"/>
    <cellStyle name="Normal 2 10 2 4" xfId="34619"/>
    <cellStyle name="Normal 2 10 3" xfId="4533"/>
    <cellStyle name="Normal 2 10 3 2" xfId="4534"/>
    <cellStyle name="Normal 2 10 3 2 2" xfId="4535"/>
    <cellStyle name="Normal 2 10 3 2 2 2" xfId="34620"/>
    <cellStyle name="Normal 2 10 3 2 3" xfId="34621"/>
    <cellStyle name="Normal 2 10 3 3" xfId="4536"/>
    <cellStyle name="Normal 2 10 3 3 2" xfId="34622"/>
    <cellStyle name="Normal 2 10 3 4" xfId="34623"/>
    <cellStyle name="Normal 2 10 4" xfId="4537"/>
    <cellStyle name="Normal 2 10 4 2" xfId="4538"/>
    <cellStyle name="Normal 2 10 4 2 2" xfId="4539"/>
    <cellStyle name="Normal 2 10 4 2 2 2" xfId="34624"/>
    <cellStyle name="Normal 2 10 4 2 3" xfId="34625"/>
    <cellStyle name="Normal 2 10 4 3" xfId="4540"/>
    <cellStyle name="Normal 2 10 4 3 2" xfId="34626"/>
    <cellStyle name="Normal 2 10 4 4" xfId="34627"/>
    <cellStyle name="Normal 2 10 5" xfId="4541"/>
    <cellStyle name="Normal 2 10 5 2" xfId="4542"/>
    <cellStyle name="Normal 2 10 5 2 2" xfId="34628"/>
    <cellStyle name="Normal 2 10 5 3" xfId="34629"/>
    <cellStyle name="Normal 2 10 6" xfId="4543"/>
    <cellStyle name="Normal 2 10 6 2" xfId="34630"/>
    <cellStyle name="Normal 2 10 7" xfId="4544"/>
    <cellStyle name="Normal 2 10 7 2" xfId="34631"/>
    <cellStyle name="Normal 2 10 8" xfId="34632"/>
    <cellStyle name="Normal 2 11" xfId="4545"/>
    <cellStyle name="Normal 2 11 2" xfId="4546"/>
    <cellStyle name="Normal 2 11 2 2" xfId="4547"/>
    <cellStyle name="Normal 2 11 2 2 2" xfId="4548"/>
    <cellStyle name="Normal 2 11 2 2 2 2" xfId="34633"/>
    <cellStyle name="Normal 2 11 2 2 3" xfId="34634"/>
    <cellStyle name="Normal 2 11 2 3" xfId="4549"/>
    <cellStyle name="Normal 2 11 2 3 2" xfId="34635"/>
    <cellStyle name="Normal 2 11 2 4" xfId="34636"/>
    <cellStyle name="Normal 2 11 3" xfId="4550"/>
    <cellStyle name="Normal 2 11 3 2" xfId="4551"/>
    <cellStyle name="Normal 2 11 3 2 2" xfId="4552"/>
    <cellStyle name="Normal 2 11 3 2 2 2" xfId="34637"/>
    <cellStyle name="Normal 2 11 3 2 3" xfId="34638"/>
    <cellStyle name="Normal 2 11 3 3" xfId="4553"/>
    <cellStyle name="Normal 2 11 3 3 2" xfId="34639"/>
    <cellStyle name="Normal 2 11 3 4" xfId="34640"/>
    <cellStyle name="Normal 2 11 4" xfId="4554"/>
    <cellStyle name="Normal 2 11 4 2" xfId="4555"/>
    <cellStyle name="Normal 2 11 4 2 2" xfId="4556"/>
    <cellStyle name="Normal 2 11 4 2 2 2" xfId="34641"/>
    <cellStyle name="Normal 2 11 4 2 3" xfId="34642"/>
    <cellStyle name="Normal 2 11 4 3" xfId="4557"/>
    <cellStyle name="Normal 2 11 4 3 2" xfId="34643"/>
    <cellStyle name="Normal 2 11 4 4" xfId="34644"/>
    <cellStyle name="Normal 2 11 5" xfId="4558"/>
    <cellStyle name="Normal 2 11 5 2" xfId="4559"/>
    <cellStyle name="Normal 2 11 5 2 2" xfId="34645"/>
    <cellStyle name="Normal 2 11 5 3" xfId="34646"/>
    <cellStyle name="Normal 2 11 6" xfId="4560"/>
    <cellStyle name="Normal 2 11 6 2" xfId="34647"/>
    <cellStyle name="Normal 2 11 7" xfId="4561"/>
    <cellStyle name="Normal 2 11 7 2" xfId="34648"/>
    <cellStyle name="Normal 2 11 8" xfId="34649"/>
    <cellStyle name="Normal 2 12" xfId="4562"/>
    <cellStyle name="Normal 2 12 2" xfId="4563"/>
    <cellStyle name="Normal 2 12 2 2" xfId="4564"/>
    <cellStyle name="Normal 2 12 2 2 2" xfId="4565"/>
    <cellStyle name="Normal 2 12 2 2 2 2" xfId="34650"/>
    <cellStyle name="Normal 2 12 2 2 3" xfId="34651"/>
    <cellStyle name="Normal 2 12 2 3" xfId="4566"/>
    <cellStyle name="Normal 2 12 2 3 2" xfId="34652"/>
    <cellStyle name="Normal 2 12 2 4" xfId="34653"/>
    <cellStyle name="Normal 2 12 3" xfId="4567"/>
    <cellStyle name="Normal 2 12 3 2" xfId="4568"/>
    <cellStyle name="Normal 2 12 3 2 2" xfId="4569"/>
    <cellStyle name="Normal 2 12 3 2 2 2" xfId="34654"/>
    <cellStyle name="Normal 2 12 3 2 3" xfId="34655"/>
    <cellStyle name="Normal 2 12 3 3" xfId="4570"/>
    <cellStyle name="Normal 2 12 3 3 2" xfId="34656"/>
    <cellStyle name="Normal 2 12 3 4" xfId="34657"/>
    <cellStyle name="Normal 2 12 4" xfId="4571"/>
    <cellStyle name="Normal 2 12 4 2" xfId="4572"/>
    <cellStyle name="Normal 2 12 4 2 2" xfId="4573"/>
    <cellStyle name="Normal 2 12 4 2 2 2" xfId="34658"/>
    <cellStyle name="Normal 2 12 4 2 3" xfId="34659"/>
    <cellStyle name="Normal 2 12 4 3" xfId="4574"/>
    <cellStyle name="Normal 2 12 4 3 2" xfId="34660"/>
    <cellStyle name="Normal 2 12 4 4" xfId="34661"/>
    <cellStyle name="Normal 2 12 5" xfId="4575"/>
    <cellStyle name="Normal 2 12 5 2" xfId="4576"/>
    <cellStyle name="Normal 2 12 5 2 2" xfId="34662"/>
    <cellStyle name="Normal 2 12 5 3" xfId="34663"/>
    <cellStyle name="Normal 2 12 6" xfId="4577"/>
    <cellStyle name="Normal 2 12 6 2" xfId="34664"/>
    <cellStyle name="Normal 2 12 7" xfId="4578"/>
    <cellStyle name="Normal 2 12 7 2" xfId="34665"/>
    <cellStyle name="Normal 2 12 8" xfId="34666"/>
    <cellStyle name="Normal 2 13" xfId="4579"/>
    <cellStyle name="Normal 2 13 2" xfId="4580"/>
    <cellStyle name="Normal 2 13 2 2" xfId="4581"/>
    <cellStyle name="Normal 2 13 2 2 2" xfId="4582"/>
    <cellStyle name="Normal 2 13 2 2 2 2" xfId="34667"/>
    <cellStyle name="Normal 2 13 2 2 3" xfId="34668"/>
    <cellStyle name="Normal 2 13 2 3" xfId="4583"/>
    <cellStyle name="Normal 2 13 2 3 2" xfId="34669"/>
    <cellStyle name="Normal 2 13 2 4" xfId="34670"/>
    <cellStyle name="Normal 2 13 3" xfId="4584"/>
    <cellStyle name="Normal 2 13 3 2" xfId="4585"/>
    <cellStyle name="Normal 2 13 3 2 2" xfId="4586"/>
    <cellStyle name="Normal 2 13 3 2 2 2" xfId="34671"/>
    <cellStyle name="Normal 2 13 3 2 3" xfId="34672"/>
    <cellStyle name="Normal 2 13 3 3" xfId="4587"/>
    <cellStyle name="Normal 2 13 3 3 2" xfId="34673"/>
    <cellStyle name="Normal 2 13 3 4" xfId="34674"/>
    <cellStyle name="Normal 2 13 4" xfId="4588"/>
    <cellStyle name="Normal 2 13 4 2" xfId="4589"/>
    <cellStyle name="Normal 2 13 4 2 2" xfId="4590"/>
    <cellStyle name="Normal 2 13 4 2 2 2" xfId="34675"/>
    <cellStyle name="Normal 2 13 4 2 3" xfId="34676"/>
    <cellStyle name="Normal 2 13 4 3" xfId="4591"/>
    <cellStyle name="Normal 2 13 4 3 2" xfId="34677"/>
    <cellStyle name="Normal 2 13 4 4" xfId="34678"/>
    <cellStyle name="Normal 2 13 5" xfId="4592"/>
    <cellStyle name="Normal 2 13 5 2" xfId="4593"/>
    <cellStyle name="Normal 2 13 5 2 2" xfId="34679"/>
    <cellStyle name="Normal 2 13 5 3" xfId="34680"/>
    <cellStyle name="Normal 2 13 6" xfId="4594"/>
    <cellStyle name="Normal 2 13 6 2" xfId="34681"/>
    <cellStyle name="Normal 2 13 7" xfId="4595"/>
    <cellStyle name="Normal 2 13 7 2" xfId="34682"/>
    <cellStyle name="Normal 2 13 8" xfId="34683"/>
    <cellStyle name="Normal 2 14" xfId="4596"/>
    <cellStyle name="Normal 2 14 2" xfId="4597"/>
    <cellStyle name="Normal 2 14 2 2" xfId="4598"/>
    <cellStyle name="Normal 2 14 2 2 2" xfId="4599"/>
    <cellStyle name="Normal 2 14 2 2 2 2" xfId="34684"/>
    <cellStyle name="Normal 2 14 2 2 3" xfId="34685"/>
    <cellStyle name="Normal 2 14 2 3" xfId="4600"/>
    <cellStyle name="Normal 2 14 2 3 2" xfId="34686"/>
    <cellStyle name="Normal 2 14 2 4" xfId="34687"/>
    <cellStyle name="Normal 2 14 3" xfId="4601"/>
    <cellStyle name="Normal 2 14 3 2" xfId="4602"/>
    <cellStyle name="Normal 2 14 3 2 2" xfId="4603"/>
    <cellStyle name="Normal 2 14 3 2 2 2" xfId="34688"/>
    <cellStyle name="Normal 2 14 3 2 3" xfId="34689"/>
    <cellStyle name="Normal 2 14 3 3" xfId="4604"/>
    <cellStyle name="Normal 2 14 3 3 2" xfId="34690"/>
    <cellStyle name="Normal 2 14 3 4" xfId="34691"/>
    <cellStyle name="Normal 2 14 4" xfId="4605"/>
    <cellStyle name="Normal 2 14 4 2" xfId="4606"/>
    <cellStyle name="Normal 2 14 4 2 2" xfId="4607"/>
    <cellStyle name="Normal 2 14 4 2 2 2" xfId="34692"/>
    <cellStyle name="Normal 2 14 4 2 3" xfId="34693"/>
    <cellStyle name="Normal 2 14 4 3" xfId="4608"/>
    <cellStyle name="Normal 2 14 4 3 2" xfId="34694"/>
    <cellStyle name="Normal 2 14 4 4" xfId="34695"/>
    <cellStyle name="Normal 2 14 5" xfId="4609"/>
    <cellStyle name="Normal 2 14 5 2" xfId="4610"/>
    <cellStyle name="Normal 2 14 5 2 2" xfId="34696"/>
    <cellStyle name="Normal 2 14 5 3" xfId="34697"/>
    <cellStyle name="Normal 2 14 6" xfId="4611"/>
    <cellStyle name="Normal 2 14 6 2" xfId="34698"/>
    <cellStyle name="Normal 2 14 7" xfId="4612"/>
    <cellStyle name="Normal 2 14 7 2" xfId="34699"/>
    <cellStyle name="Normal 2 14 8" xfId="34700"/>
    <cellStyle name="Normal 2 15" xfId="4613"/>
    <cellStyle name="Normal 2 15 2" xfId="4614"/>
    <cellStyle name="Normal 2 15 2 2" xfId="4615"/>
    <cellStyle name="Normal 2 15 2 2 2" xfId="4616"/>
    <cellStyle name="Normal 2 15 2 2 2 2" xfId="34701"/>
    <cellStyle name="Normal 2 15 2 2 3" xfId="34702"/>
    <cellStyle name="Normal 2 15 2 3" xfId="4617"/>
    <cellStyle name="Normal 2 15 2 3 2" xfId="34703"/>
    <cellStyle name="Normal 2 15 2 4" xfId="34704"/>
    <cellStyle name="Normal 2 15 3" xfId="4618"/>
    <cellStyle name="Normal 2 15 3 2" xfId="4619"/>
    <cellStyle name="Normal 2 15 3 2 2" xfId="4620"/>
    <cellStyle name="Normal 2 15 3 2 2 2" xfId="34705"/>
    <cellStyle name="Normal 2 15 3 2 3" xfId="34706"/>
    <cellStyle name="Normal 2 15 3 3" xfId="4621"/>
    <cellStyle name="Normal 2 15 3 3 2" xfId="34707"/>
    <cellStyle name="Normal 2 15 3 4" xfId="34708"/>
    <cellStyle name="Normal 2 15 4" xfId="4622"/>
    <cellStyle name="Normal 2 15 4 2" xfId="4623"/>
    <cellStyle name="Normal 2 15 4 2 2" xfId="4624"/>
    <cellStyle name="Normal 2 15 4 2 2 2" xfId="34709"/>
    <cellStyle name="Normal 2 15 4 2 3" xfId="34710"/>
    <cellStyle name="Normal 2 15 4 3" xfId="4625"/>
    <cellStyle name="Normal 2 15 4 3 2" xfId="34711"/>
    <cellStyle name="Normal 2 15 4 4" xfId="34712"/>
    <cellStyle name="Normal 2 15 5" xfId="4626"/>
    <cellStyle name="Normal 2 15 5 2" xfId="4627"/>
    <cellStyle name="Normal 2 15 5 2 2" xfId="34713"/>
    <cellStyle name="Normal 2 15 5 3" xfId="34714"/>
    <cellStyle name="Normal 2 15 6" xfId="4628"/>
    <cellStyle name="Normal 2 15 6 2" xfId="34715"/>
    <cellStyle name="Normal 2 15 7" xfId="4629"/>
    <cellStyle name="Normal 2 15 7 2" xfId="34716"/>
    <cellStyle name="Normal 2 15 8" xfId="34717"/>
    <cellStyle name="Normal 2 16" xfId="4630"/>
    <cellStyle name="Normal 2 16 2" xfId="4631"/>
    <cellStyle name="Normal 2 16 2 2" xfId="4632"/>
    <cellStyle name="Normal 2 16 2 2 2" xfId="4633"/>
    <cellStyle name="Normal 2 16 2 2 2 2" xfId="34718"/>
    <cellStyle name="Normal 2 16 2 2 3" xfId="34719"/>
    <cellStyle name="Normal 2 16 2 3" xfId="4634"/>
    <cellStyle name="Normal 2 16 2 3 2" xfId="34720"/>
    <cellStyle name="Normal 2 16 2 4" xfId="34721"/>
    <cellStyle name="Normal 2 16 3" xfId="4635"/>
    <cellStyle name="Normal 2 16 3 2" xfId="4636"/>
    <cellStyle name="Normal 2 16 3 2 2" xfId="4637"/>
    <cellStyle name="Normal 2 16 3 2 2 2" xfId="34722"/>
    <cellStyle name="Normal 2 16 3 2 3" xfId="34723"/>
    <cellStyle name="Normal 2 16 3 3" xfId="4638"/>
    <cellStyle name="Normal 2 16 3 3 2" xfId="34724"/>
    <cellStyle name="Normal 2 16 3 4" xfId="34725"/>
    <cellStyle name="Normal 2 16 4" xfId="4639"/>
    <cellStyle name="Normal 2 16 4 2" xfId="4640"/>
    <cellStyle name="Normal 2 16 4 2 2" xfId="4641"/>
    <cellStyle name="Normal 2 16 4 2 2 2" xfId="34726"/>
    <cellStyle name="Normal 2 16 4 2 3" xfId="34727"/>
    <cellStyle name="Normal 2 16 4 3" xfId="4642"/>
    <cellStyle name="Normal 2 16 4 3 2" xfId="34728"/>
    <cellStyle name="Normal 2 16 4 4" xfId="34729"/>
    <cellStyle name="Normal 2 16 5" xfId="4643"/>
    <cellStyle name="Normal 2 16 5 2" xfId="4644"/>
    <cellStyle name="Normal 2 16 5 2 2" xfId="34730"/>
    <cellStyle name="Normal 2 16 5 3" xfId="34731"/>
    <cellStyle name="Normal 2 16 6" xfId="4645"/>
    <cellStyle name="Normal 2 16 6 2" xfId="34732"/>
    <cellStyle name="Normal 2 16 7" xfId="4646"/>
    <cellStyle name="Normal 2 16 7 2" xfId="34733"/>
    <cellStyle name="Normal 2 16 8" xfId="34734"/>
    <cellStyle name="Normal 2 17" xfId="4647"/>
    <cellStyle name="Normal 2 17 2" xfId="4648"/>
    <cellStyle name="Normal 2 17 2 2" xfId="4649"/>
    <cellStyle name="Normal 2 17 2 2 2" xfId="4650"/>
    <cellStyle name="Normal 2 17 2 2 2 2" xfId="34735"/>
    <cellStyle name="Normal 2 17 2 2 3" xfId="34736"/>
    <cellStyle name="Normal 2 17 2 3" xfId="4651"/>
    <cellStyle name="Normal 2 17 2 3 2" xfId="34737"/>
    <cellStyle name="Normal 2 17 2 4" xfId="34738"/>
    <cellStyle name="Normal 2 17 3" xfId="4652"/>
    <cellStyle name="Normal 2 17 3 2" xfId="4653"/>
    <cellStyle name="Normal 2 17 3 2 2" xfId="4654"/>
    <cellStyle name="Normal 2 17 3 2 2 2" xfId="34739"/>
    <cellStyle name="Normal 2 17 3 2 3" xfId="34740"/>
    <cellStyle name="Normal 2 17 3 3" xfId="4655"/>
    <cellStyle name="Normal 2 17 3 3 2" xfId="34741"/>
    <cellStyle name="Normal 2 17 3 4" xfId="34742"/>
    <cellStyle name="Normal 2 17 4" xfId="4656"/>
    <cellStyle name="Normal 2 17 4 2" xfId="4657"/>
    <cellStyle name="Normal 2 17 4 2 2" xfId="4658"/>
    <cellStyle name="Normal 2 17 4 2 2 2" xfId="34743"/>
    <cellStyle name="Normal 2 17 4 2 3" xfId="34744"/>
    <cellStyle name="Normal 2 17 4 3" xfId="4659"/>
    <cellStyle name="Normal 2 17 4 3 2" xfId="34745"/>
    <cellStyle name="Normal 2 17 4 4" xfId="34746"/>
    <cellStyle name="Normal 2 17 5" xfId="4660"/>
    <cellStyle name="Normal 2 17 5 2" xfId="4661"/>
    <cellStyle name="Normal 2 17 5 2 2" xfId="34747"/>
    <cellStyle name="Normal 2 17 5 3" xfId="34748"/>
    <cellStyle name="Normal 2 17 6" xfId="4662"/>
    <cellStyle name="Normal 2 17 6 2" xfId="34749"/>
    <cellStyle name="Normal 2 17 7" xfId="4663"/>
    <cellStyle name="Normal 2 17 7 2" xfId="34750"/>
    <cellStyle name="Normal 2 17 8" xfId="34751"/>
    <cellStyle name="Normal 2 18" xfId="4664"/>
    <cellStyle name="Normal 2 18 2" xfId="4665"/>
    <cellStyle name="Normal 2 18 2 2" xfId="4666"/>
    <cellStyle name="Normal 2 18 2 2 2" xfId="4667"/>
    <cellStyle name="Normal 2 18 2 2 2 2" xfId="34752"/>
    <cellStyle name="Normal 2 18 2 2 3" xfId="34753"/>
    <cellStyle name="Normal 2 18 2 3" xfId="4668"/>
    <cellStyle name="Normal 2 18 2 3 2" xfId="34754"/>
    <cellStyle name="Normal 2 18 2 4" xfId="34755"/>
    <cellStyle name="Normal 2 18 3" xfId="4669"/>
    <cellStyle name="Normal 2 18 3 2" xfId="4670"/>
    <cellStyle name="Normal 2 18 3 2 2" xfId="4671"/>
    <cellStyle name="Normal 2 18 3 2 2 2" xfId="34756"/>
    <cellStyle name="Normal 2 18 3 2 3" xfId="34757"/>
    <cellStyle name="Normal 2 18 3 3" xfId="4672"/>
    <cellStyle name="Normal 2 18 3 3 2" xfId="34758"/>
    <cellStyle name="Normal 2 18 3 4" xfId="34759"/>
    <cellStyle name="Normal 2 18 4" xfId="4673"/>
    <cellStyle name="Normal 2 18 4 2" xfId="4674"/>
    <cellStyle name="Normal 2 18 4 2 2" xfId="4675"/>
    <cellStyle name="Normal 2 18 4 2 2 2" xfId="34760"/>
    <cellStyle name="Normal 2 18 4 2 3" xfId="34761"/>
    <cellStyle name="Normal 2 18 4 3" xfId="4676"/>
    <cellStyle name="Normal 2 18 4 3 2" xfId="34762"/>
    <cellStyle name="Normal 2 18 4 4" xfId="34763"/>
    <cellStyle name="Normal 2 18 5" xfId="4677"/>
    <cellStyle name="Normal 2 18 5 2" xfId="4678"/>
    <cellStyle name="Normal 2 18 5 2 2" xfId="34764"/>
    <cellStyle name="Normal 2 18 5 3" xfId="34765"/>
    <cellStyle name="Normal 2 18 6" xfId="4679"/>
    <cellStyle name="Normal 2 18 6 2" xfId="34766"/>
    <cellStyle name="Normal 2 18 7" xfId="4680"/>
    <cellStyle name="Normal 2 18 7 2" xfId="34767"/>
    <cellStyle name="Normal 2 18 8" xfId="34768"/>
    <cellStyle name="Normal 2 19" xfId="4681"/>
    <cellStyle name="Normal 2 19 2" xfId="4682"/>
    <cellStyle name="Normal 2 19 2 2" xfId="4683"/>
    <cellStyle name="Normal 2 19 2 2 2" xfId="4684"/>
    <cellStyle name="Normal 2 19 2 2 2 2" xfId="34769"/>
    <cellStyle name="Normal 2 19 2 2 3" xfId="34770"/>
    <cellStyle name="Normal 2 19 2 3" xfId="4685"/>
    <cellStyle name="Normal 2 19 2 3 2" xfId="34771"/>
    <cellStyle name="Normal 2 19 2 4" xfId="34772"/>
    <cellStyle name="Normal 2 19 3" xfId="4686"/>
    <cellStyle name="Normal 2 19 3 2" xfId="4687"/>
    <cellStyle name="Normal 2 19 3 2 2" xfId="4688"/>
    <cellStyle name="Normal 2 19 3 2 2 2" xfId="34773"/>
    <cellStyle name="Normal 2 19 3 2 3" xfId="34774"/>
    <cellStyle name="Normal 2 19 3 3" xfId="4689"/>
    <cellStyle name="Normal 2 19 3 3 2" xfId="34775"/>
    <cellStyle name="Normal 2 19 3 4" xfId="34776"/>
    <cellStyle name="Normal 2 19 4" xfId="4690"/>
    <cellStyle name="Normal 2 19 4 2" xfId="4691"/>
    <cellStyle name="Normal 2 19 4 2 2" xfId="4692"/>
    <cellStyle name="Normal 2 19 4 2 2 2" xfId="34777"/>
    <cellStyle name="Normal 2 19 4 2 3" xfId="34778"/>
    <cellStyle name="Normal 2 19 4 3" xfId="4693"/>
    <cellStyle name="Normal 2 19 4 3 2" xfId="34779"/>
    <cellStyle name="Normal 2 19 4 4" xfId="34780"/>
    <cellStyle name="Normal 2 19 5" xfId="4694"/>
    <cellStyle name="Normal 2 19 5 2" xfId="4695"/>
    <cellStyle name="Normal 2 19 5 2 2" xfId="34781"/>
    <cellStyle name="Normal 2 19 5 3" xfId="34782"/>
    <cellStyle name="Normal 2 19 6" xfId="4696"/>
    <cellStyle name="Normal 2 19 6 2" xfId="34783"/>
    <cellStyle name="Normal 2 19 7" xfId="4697"/>
    <cellStyle name="Normal 2 19 7 2" xfId="34784"/>
    <cellStyle name="Normal 2 19 8" xfId="34785"/>
    <cellStyle name="Normal 2 2" xfId="4698"/>
    <cellStyle name="Normal 2 2 10" xfId="4699"/>
    <cellStyle name="Normal 2 2 10 2" xfId="4700"/>
    <cellStyle name="Normal 2 2 10 2 2" xfId="4701"/>
    <cellStyle name="Normal 2 2 10 2 2 2" xfId="4702"/>
    <cellStyle name="Normal 2 2 10 2 2 2 2" xfId="34786"/>
    <cellStyle name="Normal 2 2 10 2 2 3" xfId="34787"/>
    <cellStyle name="Normal 2 2 10 2 3" xfId="4703"/>
    <cellStyle name="Normal 2 2 10 2 3 2" xfId="34788"/>
    <cellStyle name="Normal 2 2 10 2 4" xfId="34789"/>
    <cellStyle name="Normal 2 2 10 3" xfId="4704"/>
    <cellStyle name="Normal 2 2 10 3 2" xfId="4705"/>
    <cellStyle name="Normal 2 2 10 3 2 2" xfId="4706"/>
    <cellStyle name="Normal 2 2 10 3 2 2 2" xfId="34790"/>
    <cellStyle name="Normal 2 2 10 3 2 3" xfId="34791"/>
    <cellStyle name="Normal 2 2 10 3 3" xfId="4707"/>
    <cellStyle name="Normal 2 2 10 3 3 2" xfId="34792"/>
    <cellStyle name="Normal 2 2 10 3 4" xfId="34793"/>
    <cellStyle name="Normal 2 2 10 4" xfId="4708"/>
    <cellStyle name="Normal 2 2 10 4 2" xfId="4709"/>
    <cellStyle name="Normal 2 2 10 4 2 2" xfId="4710"/>
    <cellStyle name="Normal 2 2 10 4 2 2 2" xfId="34794"/>
    <cellStyle name="Normal 2 2 10 4 2 3" xfId="34795"/>
    <cellStyle name="Normal 2 2 10 4 3" xfId="4711"/>
    <cellStyle name="Normal 2 2 10 4 3 2" xfId="34796"/>
    <cellStyle name="Normal 2 2 10 4 4" xfId="34797"/>
    <cellStyle name="Normal 2 2 10 5" xfId="4712"/>
    <cellStyle name="Normal 2 2 10 5 2" xfId="4713"/>
    <cellStyle name="Normal 2 2 10 5 2 2" xfId="34798"/>
    <cellStyle name="Normal 2 2 10 5 3" xfId="34799"/>
    <cellStyle name="Normal 2 2 10 6" xfId="4714"/>
    <cellStyle name="Normal 2 2 10 6 2" xfId="34800"/>
    <cellStyle name="Normal 2 2 10 7" xfId="4715"/>
    <cellStyle name="Normal 2 2 10 7 2" xfId="34801"/>
    <cellStyle name="Normal 2 2 10 8" xfId="34802"/>
    <cellStyle name="Normal 2 2 11" xfId="4716"/>
    <cellStyle name="Normal 2 2 11 2" xfId="4717"/>
    <cellStyle name="Normal 2 2 11 2 2" xfId="4718"/>
    <cellStyle name="Normal 2 2 11 2 2 2" xfId="4719"/>
    <cellStyle name="Normal 2 2 11 2 2 2 2" xfId="34803"/>
    <cellStyle name="Normal 2 2 11 2 2 3" xfId="34804"/>
    <cellStyle name="Normal 2 2 11 2 3" xfId="4720"/>
    <cellStyle name="Normal 2 2 11 2 3 2" xfId="34805"/>
    <cellStyle name="Normal 2 2 11 2 4" xfId="34806"/>
    <cellStyle name="Normal 2 2 11 3" xfId="4721"/>
    <cellStyle name="Normal 2 2 11 3 2" xfId="4722"/>
    <cellStyle name="Normal 2 2 11 3 2 2" xfId="4723"/>
    <cellStyle name="Normal 2 2 11 3 2 2 2" xfId="34807"/>
    <cellStyle name="Normal 2 2 11 3 2 3" xfId="34808"/>
    <cellStyle name="Normal 2 2 11 3 3" xfId="4724"/>
    <cellStyle name="Normal 2 2 11 3 3 2" xfId="34809"/>
    <cellStyle name="Normal 2 2 11 3 4" xfId="34810"/>
    <cellStyle name="Normal 2 2 11 4" xfId="4725"/>
    <cellStyle name="Normal 2 2 11 4 2" xfId="4726"/>
    <cellStyle name="Normal 2 2 11 4 2 2" xfId="4727"/>
    <cellStyle name="Normal 2 2 11 4 2 2 2" xfId="34811"/>
    <cellStyle name="Normal 2 2 11 4 2 3" xfId="34812"/>
    <cellStyle name="Normal 2 2 11 4 3" xfId="4728"/>
    <cellStyle name="Normal 2 2 11 4 3 2" xfId="34813"/>
    <cellStyle name="Normal 2 2 11 4 4" xfId="34814"/>
    <cellStyle name="Normal 2 2 11 5" xfId="4729"/>
    <cellStyle name="Normal 2 2 11 5 2" xfId="4730"/>
    <cellStyle name="Normal 2 2 11 5 2 2" xfId="34815"/>
    <cellStyle name="Normal 2 2 11 5 3" xfId="34816"/>
    <cellStyle name="Normal 2 2 11 6" xfId="4731"/>
    <cellStyle name="Normal 2 2 11 6 2" xfId="34817"/>
    <cellStyle name="Normal 2 2 11 7" xfId="4732"/>
    <cellStyle name="Normal 2 2 11 7 2" xfId="34818"/>
    <cellStyle name="Normal 2 2 11 8" xfId="34819"/>
    <cellStyle name="Normal 2 2 12" xfId="4733"/>
    <cellStyle name="Normal 2 2 12 2" xfId="4734"/>
    <cellStyle name="Normal 2 2 12 2 2" xfId="4735"/>
    <cellStyle name="Normal 2 2 12 2 2 2" xfId="4736"/>
    <cellStyle name="Normal 2 2 12 2 2 2 2" xfId="34820"/>
    <cellStyle name="Normal 2 2 12 2 2 3" xfId="34821"/>
    <cellStyle name="Normal 2 2 12 2 3" xfId="4737"/>
    <cellStyle name="Normal 2 2 12 2 3 2" xfId="34822"/>
    <cellStyle name="Normal 2 2 12 2 4" xfId="34823"/>
    <cellStyle name="Normal 2 2 12 3" xfId="4738"/>
    <cellStyle name="Normal 2 2 12 3 2" xfId="4739"/>
    <cellStyle name="Normal 2 2 12 3 2 2" xfId="4740"/>
    <cellStyle name="Normal 2 2 12 3 2 2 2" xfId="34824"/>
    <cellStyle name="Normal 2 2 12 3 2 3" xfId="34825"/>
    <cellStyle name="Normal 2 2 12 3 3" xfId="4741"/>
    <cellStyle name="Normal 2 2 12 3 3 2" xfId="34826"/>
    <cellStyle name="Normal 2 2 12 3 4" xfId="34827"/>
    <cellStyle name="Normal 2 2 12 4" xfId="4742"/>
    <cellStyle name="Normal 2 2 12 4 2" xfId="4743"/>
    <cellStyle name="Normal 2 2 12 4 2 2" xfId="4744"/>
    <cellStyle name="Normal 2 2 12 4 2 2 2" xfId="34828"/>
    <cellStyle name="Normal 2 2 12 4 2 3" xfId="34829"/>
    <cellStyle name="Normal 2 2 12 4 3" xfId="4745"/>
    <cellStyle name="Normal 2 2 12 4 3 2" xfId="34830"/>
    <cellStyle name="Normal 2 2 12 4 4" xfId="34831"/>
    <cellStyle name="Normal 2 2 12 5" xfId="4746"/>
    <cellStyle name="Normal 2 2 12 5 2" xfId="4747"/>
    <cellStyle name="Normal 2 2 12 5 2 2" xfId="34832"/>
    <cellStyle name="Normal 2 2 12 5 3" xfId="34833"/>
    <cellStyle name="Normal 2 2 12 6" xfId="4748"/>
    <cellStyle name="Normal 2 2 12 6 2" xfId="34834"/>
    <cellStyle name="Normal 2 2 12 7" xfId="4749"/>
    <cellStyle name="Normal 2 2 12 7 2" xfId="34835"/>
    <cellStyle name="Normal 2 2 12 8" xfId="34836"/>
    <cellStyle name="Normal 2 2 13" xfId="4750"/>
    <cellStyle name="Normal 2 2 13 2" xfId="4751"/>
    <cellStyle name="Normal 2 2 13 2 2" xfId="4752"/>
    <cellStyle name="Normal 2 2 13 2 2 2" xfId="4753"/>
    <cellStyle name="Normal 2 2 13 2 2 2 2" xfId="34837"/>
    <cellStyle name="Normal 2 2 13 2 2 3" xfId="34838"/>
    <cellStyle name="Normal 2 2 13 2 3" xfId="4754"/>
    <cellStyle name="Normal 2 2 13 2 3 2" xfId="34839"/>
    <cellStyle name="Normal 2 2 13 2 4" xfId="34840"/>
    <cellStyle name="Normal 2 2 13 3" xfId="4755"/>
    <cellStyle name="Normal 2 2 13 3 2" xfId="4756"/>
    <cellStyle name="Normal 2 2 13 3 2 2" xfId="4757"/>
    <cellStyle name="Normal 2 2 13 3 2 2 2" xfId="34841"/>
    <cellStyle name="Normal 2 2 13 3 2 3" xfId="34842"/>
    <cellStyle name="Normal 2 2 13 3 3" xfId="4758"/>
    <cellStyle name="Normal 2 2 13 3 3 2" xfId="34843"/>
    <cellStyle name="Normal 2 2 13 3 4" xfId="34844"/>
    <cellStyle name="Normal 2 2 13 4" xfId="4759"/>
    <cellStyle name="Normal 2 2 13 4 2" xfId="4760"/>
    <cellStyle name="Normal 2 2 13 4 2 2" xfId="4761"/>
    <cellStyle name="Normal 2 2 13 4 2 2 2" xfId="34845"/>
    <cellStyle name="Normal 2 2 13 4 2 3" xfId="34846"/>
    <cellStyle name="Normal 2 2 13 4 3" xfId="4762"/>
    <cellStyle name="Normal 2 2 13 4 3 2" xfId="34847"/>
    <cellStyle name="Normal 2 2 13 4 4" xfId="34848"/>
    <cellStyle name="Normal 2 2 13 5" xfId="4763"/>
    <cellStyle name="Normal 2 2 13 5 2" xfId="4764"/>
    <cellStyle name="Normal 2 2 13 5 2 2" xfId="34849"/>
    <cellStyle name="Normal 2 2 13 5 3" xfId="34850"/>
    <cellStyle name="Normal 2 2 13 6" xfId="4765"/>
    <cellStyle name="Normal 2 2 13 6 2" xfId="34851"/>
    <cellStyle name="Normal 2 2 13 7" xfId="4766"/>
    <cellStyle name="Normal 2 2 13 7 2" xfId="34852"/>
    <cellStyle name="Normal 2 2 13 8" xfId="34853"/>
    <cellStyle name="Normal 2 2 14" xfId="4767"/>
    <cellStyle name="Normal 2 2 14 2" xfId="4768"/>
    <cellStyle name="Normal 2 2 14 2 2" xfId="4769"/>
    <cellStyle name="Normal 2 2 14 2 2 2" xfId="4770"/>
    <cellStyle name="Normal 2 2 14 2 2 2 2" xfId="34854"/>
    <cellStyle name="Normal 2 2 14 2 2 3" xfId="34855"/>
    <cellStyle name="Normal 2 2 14 2 3" xfId="4771"/>
    <cellStyle name="Normal 2 2 14 2 3 2" xfId="34856"/>
    <cellStyle name="Normal 2 2 14 2 4" xfId="34857"/>
    <cellStyle name="Normal 2 2 14 3" xfId="4772"/>
    <cellStyle name="Normal 2 2 14 3 2" xfId="4773"/>
    <cellStyle name="Normal 2 2 14 3 2 2" xfId="4774"/>
    <cellStyle name="Normal 2 2 14 3 2 2 2" xfId="34858"/>
    <cellStyle name="Normal 2 2 14 3 2 3" xfId="34859"/>
    <cellStyle name="Normal 2 2 14 3 3" xfId="4775"/>
    <cellStyle name="Normal 2 2 14 3 3 2" xfId="34860"/>
    <cellStyle name="Normal 2 2 14 3 4" xfId="34861"/>
    <cellStyle name="Normal 2 2 14 4" xfId="4776"/>
    <cellStyle name="Normal 2 2 14 4 2" xfId="4777"/>
    <cellStyle name="Normal 2 2 14 4 2 2" xfId="4778"/>
    <cellStyle name="Normal 2 2 14 4 2 2 2" xfId="34862"/>
    <cellStyle name="Normal 2 2 14 4 2 3" xfId="34863"/>
    <cellStyle name="Normal 2 2 14 4 3" xfId="4779"/>
    <cellStyle name="Normal 2 2 14 4 3 2" xfId="34864"/>
    <cellStyle name="Normal 2 2 14 4 4" xfId="34865"/>
    <cellStyle name="Normal 2 2 14 5" xfId="4780"/>
    <cellStyle name="Normal 2 2 14 5 2" xfId="4781"/>
    <cellStyle name="Normal 2 2 14 5 2 2" xfId="34866"/>
    <cellStyle name="Normal 2 2 14 5 3" xfId="34867"/>
    <cellStyle name="Normal 2 2 14 6" xfId="4782"/>
    <cellStyle name="Normal 2 2 14 6 2" xfId="34868"/>
    <cellStyle name="Normal 2 2 14 7" xfId="4783"/>
    <cellStyle name="Normal 2 2 14 7 2" xfId="34869"/>
    <cellStyle name="Normal 2 2 14 8" xfId="34870"/>
    <cellStyle name="Normal 2 2 15" xfId="4784"/>
    <cellStyle name="Normal 2 2 15 2" xfId="4785"/>
    <cellStyle name="Normal 2 2 15 2 2" xfId="4786"/>
    <cellStyle name="Normal 2 2 15 2 2 2" xfId="4787"/>
    <cellStyle name="Normal 2 2 15 2 2 2 2" xfId="34871"/>
    <cellStyle name="Normal 2 2 15 2 2 3" xfId="34872"/>
    <cellStyle name="Normal 2 2 15 2 3" xfId="4788"/>
    <cellStyle name="Normal 2 2 15 2 3 2" xfId="34873"/>
    <cellStyle name="Normal 2 2 15 2 4" xfId="34874"/>
    <cellStyle name="Normal 2 2 15 3" xfId="4789"/>
    <cellStyle name="Normal 2 2 15 3 2" xfId="4790"/>
    <cellStyle name="Normal 2 2 15 3 2 2" xfId="4791"/>
    <cellStyle name="Normal 2 2 15 3 2 2 2" xfId="34875"/>
    <cellStyle name="Normal 2 2 15 3 2 3" xfId="34876"/>
    <cellStyle name="Normal 2 2 15 3 3" xfId="4792"/>
    <cellStyle name="Normal 2 2 15 3 3 2" xfId="34877"/>
    <cellStyle name="Normal 2 2 15 3 4" xfId="34878"/>
    <cellStyle name="Normal 2 2 15 4" xfId="4793"/>
    <cellStyle name="Normal 2 2 15 4 2" xfId="4794"/>
    <cellStyle name="Normal 2 2 15 4 2 2" xfId="4795"/>
    <cellStyle name="Normal 2 2 15 4 2 2 2" xfId="34879"/>
    <cellStyle name="Normal 2 2 15 4 2 3" xfId="34880"/>
    <cellStyle name="Normal 2 2 15 4 3" xfId="4796"/>
    <cellStyle name="Normal 2 2 15 4 3 2" xfId="34881"/>
    <cellStyle name="Normal 2 2 15 4 4" xfId="34882"/>
    <cellStyle name="Normal 2 2 15 5" xfId="4797"/>
    <cellStyle name="Normal 2 2 15 5 2" xfId="4798"/>
    <cellStyle name="Normal 2 2 15 5 2 2" xfId="34883"/>
    <cellStyle name="Normal 2 2 15 5 3" xfId="34884"/>
    <cellStyle name="Normal 2 2 15 6" xfId="4799"/>
    <cellStyle name="Normal 2 2 15 6 2" xfId="34885"/>
    <cellStyle name="Normal 2 2 15 7" xfId="4800"/>
    <cellStyle name="Normal 2 2 15 7 2" xfId="34886"/>
    <cellStyle name="Normal 2 2 15 8" xfId="34887"/>
    <cellStyle name="Normal 2 2 16" xfId="4801"/>
    <cellStyle name="Normal 2 2 16 2" xfId="4802"/>
    <cellStyle name="Normal 2 2 16 2 2" xfId="4803"/>
    <cellStyle name="Normal 2 2 16 2 2 2" xfId="4804"/>
    <cellStyle name="Normal 2 2 16 2 2 2 2" xfId="34888"/>
    <cellStyle name="Normal 2 2 16 2 2 3" xfId="34889"/>
    <cellStyle name="Normal 2 2 16 2 3" xfId="4805"/>
    <cellStyle name="Normal 2 2 16 2 3 2" xfId="34890"/>
    <cellStyle name="Normal 2 2 16 2 4" xfId="34891"/>
    <cellStyle name="Normal 2 2 16 3" xfId="4806"/>
    <cellStyle name="Normal 2 2 16 3 2" xfId="4807"/>
    <cellStyle name="Normal 2 2 16 3 2 2" xfId="4808"/>
    <cellStyle name="Normal 2 2 16 3 2 2 2" xfId="34892"/>
    <cellStyle name="Normal 2 2 16 3 2 3" xfId="34893"/>
    <cellStyle name="Normal 2 2 16 3 3" xfId="4809"/>
    <cellStyle name="Normal 2 2 16 3 3 2" xfId="34894"/>
    <cellStyle name="Normal 2 2 16 3 4" xfId="34895"/>
    <cellStyle name="Normal 2 2 16 4" xfId="4810"/>
    <cellStyle name="Normal 2 2 16 4 2" xfId="4811"/>
    <cellStyle name="Normal 2 2 16 4 2 2" xfId="4812"/>
    <cellStyle name="Normal 2 2 16 4 2 2 2" xfId="34896"/>
    <cellStyle name="Normal 2 2 16 4 2 3" xfId="34897"/>
    <cellStyle name="Normal 2 2 16 4 3" xfId="4813"/>
    <cellStyle name="Normal 2 2 16 4 3 2" xfId="34898"/>
    <cellStyle name="Normal 2 2 16 4 4" xfId="34899"/>
    <cellStyle name="Normal 2 2 16 5" xfId="4814"/>
    <cellStyle name="Normal 2 2 16 5 2" xfId="4815"/>
    <cellStyle name="Normal 2 2 16 5 2 2" xfId="34900"/>
    <cellStyle name="Normal 2 2 16 5 3" xfId="34901"/>
    <cellStyle name="Normal 2 2 16 6" xfId="4816"/>
    <cellStyle name="Normal 2 2 16 6 2" xfId="34902"/>
    <cellStyle name="Normal 2 2 16 7" xfId="4817"/>
    <cellStyle name="Normal 2 2 16 7 2" xfId="34903"/>
    <cellStyle name="Normal 2 2 16 8" xfId="34904"/>
    <cellStyle name="Normal 2 2 17" xfId="4818"/>
    <cellStyle name="Normal 2 2 17 2" xfId="4819"/>
    <cellStyle name="Normal 2 2 17 2 2" xfId="4820"/>
    <cellStyle name="Normal 2 2 17 2 2 2" xfId="4821"/>
    <cellStyle name="Normal 2 2 17 2 2 2 2" xfId="34905"/>
    <cellStyle name="Normal 2 2 17 2 2 3" xfId="34906"/>
    <cellStyle name="Normal 2 2 17 2 3" xfId="4822"/>
    <cellStyle name="Normal 2 2 17 2 3 2" xfId="34907"/>
    <cellStyle name="Normal 2 2 17 2 4" xfId="34908"/>
    <cellStyle name="Normal 2 2 17 3" xfId="4823"/>
    <cellStyle name="Normal 2 2 17 3 2" xfId="4824"/>
    <cellStyle name="Normal 2 2 17 3 2 2" xfId="4825"/>
    <cellStyle name="Normal 2 2 17 3 2 2 2" xfId="34909"/>
    <cellStyle name="Normal 2 2 17 3 2 3" xfId="34910"/>
    <cellStyle name="Normal 2 2 17 3 3" xfId="4826"/>
    <cellStyle name="Normal 2 2 17 3 3 2" xfId="34911"/>
    <cellStyle name="Normal 2 2 17 3 4" xfId="34912"/>
    <cellStyle name="Normal 2 2 17 4" xfId="4827"/>
    <cellStyle name="Normal 2 2 17 4 2" xfId="4828"/>
    <cellStyle name="Normal 2 2 17 4 2 2" xfId="4829"/>
    <cellStyle name="Normal 2 2 17 4 2 2 2" xfId="34913"/>
    <cellStyle name="Normal 2 2 17 4 2 3" xfId="34914"/>
    <cellStyle name="Normal 2 2 17 4 3" xfId="4830"/>
    <cellStyle name="Normal 2 2 17 4 3 2" xfId="34915"/>
    <cellStyle name="Normal 2 2 17 4 4" xfId="34916"/>
    <cellStyle name="Normal 2 2 17 5" xfId="4831"/>
    <cellStyle name="Normal 2 2 17 5 2" xfId="4832"/>
    <cellStyle name="Normal 2 2 17 5 2 2" xfId="34917"/>
    <cellStyle name="Normal 2 2 17 5 3" xfId="34918"/>
    <cellStyle name="Normal 2 2 17 6" xfId="4833"/>
    <cellStyle name="Normal 2 2 17 6 2" xfId="34919"/>
    <cellStyle name="Normal 2 2 17 7" xfId="4834"/>
    <cellStyle name="Normal 2 2 17 7 2" xfId="34920"/>
    <cellStyle name="Normal 2 2 17 8" xfId="34921"/>
    <cellStyle name="Normal 2 2 18" xfId="4835"/>
    <cellStyle name="Normal 2 2 18 2" xfId="4836"/>
    <cellStyle name="Normal 2 2 18 2 2" xfId="4837"/>
    <cellStyle name="Normal 2 2 18 2 2 2" xfId="4838"/>
    <cellStyle name="Normal 2 2 18 2 2 2 2" xfId="34922"/>
    <cellStyle name="Normal 2 2 18 2 2 3" xfId="34923"/>
    <cellStyle name="Normal 2 2 18 2 3" xfId="4839"/>
    <cellStyle name="Normal 2 2 18 2 3 2" xfId="34924"/>
    <cellStyle name="Normal 2 2 18 2 4" xfId="34925"/>
    <cellStyle name="Normal 2 2 18 3" xfId="4840"/>
    <cellStyle name="Normal 2 2 18 3 2" xfId="4841"/>
    <cellStyle name="Normal 2 2 18 3 2 2" xfId="4842"/>
    <cellStyle name="Normal 2 2 18 3 2 2 2" xfId="34926"/>
    <cellStyle name="Normal 2 2 18 3 2 3" xfId="34927"/>
    <cellStyle name="Normal 2 2 18 3 3" xfId="4843"/>
    <cellStyle name="Normal 2 2 18 3 3 2" xfId="34928"/>
    <cellStyle name="Normal 2 2 18 3 4" xfId="34929"/>
    <cellStyle name="Normal 2 2 18 4" xfId="4844"/>
    <cellStyle name="Normal 2 2 18 4 2" xfId="4845"/>
    <cellStyle name="Normal 2 2 18 4 2 2" xfId="4846"/>
    <cellStyle name="Normal 2 2 18 4 2 2 2" xfId="34930"/>
    <cellStyle name="Normal 2 2 18 4 2 3" xfId="34931"/>
    <cellStyle name="Normal 2 2 18 4 3" xfId="4847"/>
    <cellStyle name="Normal 2 2 18 4 3 2" xfId="34932"/>
    <cellStyle name="Normal 2 2 18 4 4" xfId="34933"/>
    <cellStyle name="Normal 2 2 18 5" xfId="4848"/>
    <cellStyle name="Normal 2 2 18 5 2" xfId="4849"/>
    <cellStyle name="Normal 2 2 18 5 2 2" xfId="34934"/>
    <cellStyle name="Normal 2 2 18 5 3" xfId="34935"/>
    <cellStyle name="Normal 2 2 18 6" xfId="4850"/>
    <cellStyle name="Normal 2 2 18 6 2" xfId="34936"/>
    <cellStyle name="Normal 2 2 18 7" xfId="4851"/>
    <cellStyle name="Normal 2 2 18 7 2" xfId="34937"/>
    <cellStyle name="Normal 2 2 18 8" xfId="34938"/>
    <cellStyle name="Normal 2 2 19" xfId="4852"/>
    <cellStyle name="Normal 2 2 19 2" xfId="4853"/>
    <cellStyle name="Normal 2 2 19 2 2" xfId="4854"/>
    <cellStyle name="Normal 2 2 19 2 2 2" xfId="4855"/>
    <cellStyle name="Normal 2 2 19 2 2 2 2" xfId="34939"/>
    <cellStyle name="Normal 2 2 19 2 2 3" xfId="34940"/>
    <cellStyle name="Normal 2 2 19 2 3" xfId="4856"/>
    <cellStyle name="Normal 2 2 19 2 3 2" xfId="34941"/>
    <cellStyle name="Normal 2 2 19 2 4" xfId="34942"/>
    <cellStyle name="Normal 2 2 19 3" xfId="4857"/>
    <cellStyle name="Normal 2 2 19 3 2" xfId="4858"/>
    <cellStyle name="Normal 2 2 19 3 2 2" xfId="4859"/>
    <cellStyle name="Normal 2 2 19 3 2 2 2" xfId="34943"/>
    <cellStyle name="Normal 2 2 19 3 2 3" xfId="34944"/>
    <cellStyle name="Normal 2 2 19 3 3" xfId="4860"/>
    <cellStyle name="Normal 2 2 19 3 3 2" xfId="34945"/>
    <cellStyle name="Normal 2 2 19 3 4" xfId="34946"/>
    <cellStyle name="Normal 2 2 19 4" xfId="4861"/>
    <cellStyle name="Normal 2 2 19 4 2" xfId="4862"/>
    <cellStyle name="Normal 2 2 19 4 2 2" xfId="4863"/>
    <cellStyle name="Normal 2 2 19 4 2 2 2" xfId="34947"/>
    <cellStyle name="Normal 2 2 19 4 2 3" xfId="34948"/>
    <cellStyle name="Normal 2 2 19 4 3" xfId="4864"/>
    <cellStyle name="Normal 2 2 19 4 3 2" xfId="34949"/>
    <cellStyle name="Normal 2 2 19 4 4" xfId="34950"/>
    <cellStyle name="Normal 2 2 19 5" xfId="4865"/>
    <cellStyle name="Normal 2 2 19 5 2" xfId="4866"/>
    <cellStyle name="Normal 2 2 19 5 2 2" xfId="34951"/>
    <cellStyle name="Normal 2 2 19 5 3" xfId="34952"/>
    <cellStyle name="Normal 2 2 19 6" xfId="4867"/>
    <cellStyle name="Normal 2 2 19 6 2" xfId="34953"/>
    <cellStyle name="Normal 2 2 19 7" xfId="4868"/>
    <cellStyle name="Normal 2 2 19 7 2" xfId="34954"/>
    <cellStyle name="Normal 2 2 19 8" xfId="34955"/>
    <cellStyle name="Normal 2 2 2" xfId="4869"/>
    <cellStyle name="Normal 2 2 2 10" xfId="4870"/>
    <cellStyle name="Normal 2 2 2 10 2" xfId="4871"/>
    <cellStyle name="Normal 2 2 2 10 2 2" xfId="4872"/>
    <cellStyle name="Normal 2 2 2 10 2 2 2" xfId="4873"/>
    <cellStyle name="Normal 2 2 2 10 2 2 2 2" xfId="34956"/>
    <cellStyle name="Normal 2 2 2 10 2 2 3" xfId="34957"/>
    <cellStyle name="Normal 2 2 2 10 2 3" xfId="4874"/>
    <cellStyle name="Normal 2 2 2 10 2 3 2" xfId="34958"/>
    <cellStyle name="Normal 2 2 2 10 2 4" xfId="34959"/>
    <cellStyle name="Normal 2 2 2 10 3" xfId="4875"/>
    <cellStyle name="Normal 2 2 2 10 3 2" xfId="4876"/>
    <cellStyle name="Normal 2 2 2 10 3 2 2" xfId="4877"/>
    <cellStyle name="Normal 2 2 2 10 3 2 2 2" xfId="34960"/>
    <cellStyle name="Normal 2 2 2 10 3 2 3" xfId="34961"/>
    <cellStyle name="Normal 2 2 2 10 3 3" xfId="4878"/>
    <cellStyle name="Normal 2 2 2 10 3 3 2" xfId="34962"/>
    <cellStyle name="Normal 2 2 2 10 3 4" xfId="34963"/>
    <cellStyle name="Normal 2 2 2 10 4" xfId="4879"/>
    <cellStyle name="Normal 2 2 2 10 4 2" xfId="4880"/>
    <cellStyle name="Normal 2 2 2 10 4 2 2" xfId="4881"/>
    <cellStyle name="Normal 2 2 2 10 4 2 2 2" xfId="34964"/>
    <cellStyle name="Normal 2 2 2 10 4 2 3" xfId="34965"/>
    <cellStyle name="Normal 2 2 2 10 4 3" xfId="4882"/>
    <cellStyle name="Normal 2 2 2 10 4 3 2" xfId="34966"/>
    <cellStyle name="Normal 2 2 2 10 4 4" xfId="34967"/>
    <cellStyle name="Normal 2 2 2 10 5" xfId="4883"/>
    <cellStyle name="Normal 2 2 2 10 5 2" xfId="4884"/>
    <cellStyle name="Normal 2 2 2 10 5 2 2" xfId="34968"/>
    <cellStyle name="Normal 2 2 2 10 5 3" xfId="34969"/>
    <cellStyle name="Normal 2 2 2 10 6" xfId="4885"/>
    <cellStyle name="Normal 2 2 2 10 6 2" xfId="34970"/>
    <cellStyle name="Normal 2 2 2 10 7" xfId="4886"/>
    <cellStyle name="Normal 2 2 2 10 7 2" xfId="34971"/>
    <cellStyle name="Normal 2 2 2 10 8" xfId="34972"/>
    <cellStyle name="Normal 2 2 2 11" xfId="4887"/>
    <cellStyle name="Normal 2 2 2 11 2" xfId="4888"/>
    <cellStyle name="Normal 2 2 2 11 2 2" xfId="4889"/>
    <cellStyle name="Normal 2 2 2 11 2 2 2" xfId="4890"/>
    <cellStyle name="Normal 2 2 2 11 2 2 2 2" xfId="34973"/>
    <cellStyle name="Normal 2 2 2 11 2 2 3" xfId="34974"/>
    <cellStyle name="Normal 2 2 2 11 2 3" xfId="4891"/>
    <cellStyle name="Normal 2 2 2 11 2 3 2" xfId="34975"/>
    <cellStyle name="Normal 2 2 2 11 2 4" xfId="34976"/>
    <cellStyle name="Normal 2 2 2 11 3" xfId="4892"/>
    <cellStyle name="Normal 2 2 2 11 3 2" xfId="4893"/>
    <cellStyle name="Normal 2 2 2 11 3 2 2" xfId="4894"/>
    <cellStyle name="Normal 2 2 2 11 3 2 2 2" xfId="34977"/>
    <cellStyle name="Normal 2 2 2 11 3 2 3" xfId="34978"/>
    <cellStyle name="Normal 2 2 2 11 3 3" xfId="4895"/>
    <cellStyle name="Normal 2 2 2 11 3 3 2" xfId="34979"/>
    <cellStyle name="Normal 2 2 2 11 3 4" xfId="34980"/>
    <cellStyle name="Normal 2 2 2 11 4" xfId="4896"/>
    <cellStyle name="Normal 2 2 2 11 4 2" xfId="4897"/>
    <cellStyle name="Normal 2 2 2 11 4 2 2" xfId="4898"/>
    <cellStyle name="Normal 2 2 2 11 4 2 2 2" xfId="34981"/>
    <cellStyle name="Normal 2 2 2 11 4 2 3" xfId="34982"/>
    <cellStyle name="Normal 2 2 2 11 4 3" xfId="4899"/>
    <cellStyle name="Normal 2 2 2 11 4 3 2" xfId="34983"/>
    <cellStyle name="Normal 2 2 2 11 4 4" xfId="34984"/>
    <cellStyle name="Normal 2 2 2 11 5" xfId="4900"/>
    <cellStyle name="Normal 2 2 2 11 5 2" xfId="4901"/>
    <cellStyle name="Normal 2 2 2 11 5 2 2" xfId="34985"/>
    <cellStyle name="Normal 2 2 2 11 5 3" xfId="34986"/>
    <cellStyle name="Normal 2 2 2 11 6" xfId="4902"/>
    <cellStyle name="Normal 2 2 2 11 6 2" xfId="34987"/>
    <cellStyle name="Normal 2 2 2 11 7" xfId="4903"/>
    <cellStyle name="Normal 2 2 2 11 7 2" xfId="34988"/>
    <cellStyle name="Normal 2 2 2 11 8" xfId="34989"/>
    <cellStyle name="Normal 2 2 2 12" xfId="4904"/>
    <cellStyle name="Normal 2 2 2 12 2" xfId="4905"/>
    <cellStyle name="Normal 2 2 2 12 2 2" xfId="4906"/>
    <cellStyle name="Normal 2 2 2 12 2 2 2" xfId="4907"/>
    <cellStyle name="Normal 2 2 2 12 2 2 2 2" xfId="34990"/>
    <cellStyle name="Normal 2 2 2 12 2 2 3" xfId="34991"/>
    <cellStyle name="Normal 2 2 2 12 2 3" xfId="4908"/>
    <cellStyle name="Normal 2 2 2 12 2 3 2" xfId="34992"/>
    <cellStyle name="Normal 2 2 2 12 2 4" xfId="34993"/>
    <cellStyle name="Normal 2 2 2 12 3" xfId="4909"/>
    <cellStyle name="Normal 2 2 2 12 3 2" xfId="4910"/>
    <cellStyle name="Normal 2 2 2 12 3 2 2" xfId="4911"/>
    <cellStyle name="Normal 2 2 2 12 3 2 2 2" xfId="34994"/>
    <cellStyle name="Normal 2 2 2 12 3 2 3" xfId="34995"/>
    <cellStyle name="Normal 2 2 2 12 3 3" xfId="4912"/>
    <cellStyle name="Normal 2 2 2 12 3 3 2" xfId="34996"/>
    <cellStyle name="Normal 2 2 2 12 3 4" xfId="34997"/>
    <cellStyle name="Normal 2 2 2 12 4" xfId="4913"/>
    <cellStyle name="Normal 2 2 2 12 4 2" xfId="4914"/>
    <cellStyle name="Normal 2 2 2 12 4 2 2" xfId="4915"/>
    <cellStyle name="Normal 2 2 2 12 4 2 2 2" xfId="34998"/>
    <cellStyle name="Normal 2 2 2 12 4 2 3" xfId="34999"/>
    <cellStyle name="Normal 2 2 2 12 4 3" xfId="4916"/>
    <cellStyle name="Normal 2 2 2 12 4 3 2" xfId="35000"/>
    <cellStyle name="Normal 2 2 2 12 4 4" xfId="35001"/>
    <cellStyle name="Normal 2 2 2 12 5" xfId="4917"/>
    <cellStyle name="Normal 2 2 2 12 5 2" xfId="4918"/>
    <cellStyle name="Normal 2 2 2 12 5 2 2" xfId="35002"/>
    <cellStyle name="Normal 2 2 2 12 5 3" xfId="35003"/>
    <cellStyle name="Normal 2 2 2 12 6" xfId="4919"/>
    <cellStyle name="Normal 2 2 2 12 6 2" xfId="35004"/>
    <cellStyle name="Normal 2 2 2 12 7" xfId="4920"/>
    <cellStyle name="Normal 2 2 2 12 7 2" xfId="35005"/>
    <cellStyle name="Normal 2 2 2 12 8" xfId="35006"/>
    <cellStyle name="Normal 2 2 2 13" xfId="4921"/>
    <cellStyle name="Normal 2 2 2 13 2" xfId="4922"/>
    <cellStyle name="Normal 2 2 2 13 2 2" xfId="4923"/>
    <cellStyle name="Normal 2 2 2 13 2 2 2" xfId="4924"/>
    <cellStyle name="Normal 2 2 2 13 2 2 2 2" xfId="35007"/>
    <cellStyle name="Normal 2 2 2 13 2 2 3" xfId="35008"/>
    <cellStyle name="Normal 2 2 2 13 2 3" xfId="4925"/>
    <cellStyle name="Normal 2 2 2 13 2 3 2" xfId="35009"/>
    <cellStyle name="Normal 2 2 2 13 2 4" xfId="35010"/>
    <cellStyle name="Normal 2 2 2 13 3" xfId="4926"/>
    <cellStyle name="Normal 2 2 2 13 3 2" xfId="4927"/>
    <cellStyle name="Normal 2 2 2 13 3 2 2" xfId="4928"/>
    <cellStyle name="Normal 2 2 2 13 3 2 2 2" xfId="35011"/>
    <cellStyle name="Normal 2 2 2 13 3 2 3" xfId="35012"/>
    <cellStyle name="Normal 2 2 2 13 3 3" xfId="4929"/>
    <cellStyle name="Normal 2 2 2 13 3 3 2" xfId="35013"/>
    <cellStyle name="Normal 2 2 2 13 3 4" xfId="35014"/>
    <cellStyle name="Normal 2 2 2 13 4" xfId="4930"/>
    <cellStyle name="Normal 2 2 2 13 4 2" xfId="4931"/>
    <cellStyle name="Normal 2 2 2 13 4 2 2" xfId="4932"/>
    <cellStyle name="Normal 2 2 2 13 4 2 2 2" xfId="35015"/>
    <cellStyle name="Normal 2 2 2 13 4 2 3" xfId="35016"/>
    <cellStyle name="Normal 2 2 2 13 4 3" xfId="4933"/>
    <cellStyle name="Normal 2 2 2 13 4 3 2" xfId="35017"/>
    <cellStyle name="Normal 2 2 2 13 4 4" xfId="35018"/>
    <cellStyle name="Normal 2 2 2 13 5" xfId="4934"/>
    <cellStyle name="Normal 2 2 2 13 5 2" xfId="4935"/>
    <cellStyle name="Normal 2 2 2 13 5 2 2" xfId="35019"/>
    <cellStyle name="Normal 2 2 2 13 5 3" xfId="35020"/>
    <cellStyle name="Normal 2 2 2 13 6" xfId="4936"/>
    <cellStyle name="Normal 2 2 2 13 6 2" xfId="35021"/>
    <cellStyle name="Normal 2 2 2 13 7" xfId="4937"/>
    <cellStyle name="Normal 2 2 2 13 7 2" xfId="35022"/>
    <cellStyle name="Normal 2 2 2 13 8" xfId="35023"/>
    <cellStyle name="Normal 2 2 2 14" xfId="4938"/>
    <cellStyle name="Normal 2 2 2 14 2" xfId="4939"/>
    <cellStyle name="Normal 2 2 2 14 2 2" xfId="4940"/>
    <cellStyle name="Normal 2 2 2 14 2 2 2" xfId="4941"/>
    <cellStyle name="Normal 2 2 2 14 2 2 2 2" xfId="35024"/>
    <cellStyle name="Normal 2 2 2 14 2 2 3" xfId="35025"/>
    <cellStyle name="Normal 2 2 2 14 2 3" xfId="4942"/>
    <cellStyle name="Normal 2 2 2 14 2 3 2" xfId="35026"/>
    <cellStyle name="Normal 2 2 2 14 2 4" xfId="35027"/>
    <cellStyle name="Normal 2 2 2 14 3" xfId="4943"/>
    <cellStyle name="Normal 2 2 2 14 3 2" xfId="4944"/>
    <cellStyle name="Normal 2 2 2 14 3 2 2" xfId="4945"/>
    <cellStyle name="Normal 2 2 2 14 3 2 2 2" xfId="35028"/>
    <cellStyle name="Normal 2 2 2 14 3 2 3" xfId="35029"/>
    <cellStyle name="Normal 2 2 2 14 3 3" xfId="4946"/>
    <cellStyle name="Normal 2 2 2 14 3 3 2" xfId="35030"/>
    <cellStyle name="Normal 2 2 2 14 3 4" xfId="35031"/>
    <cellStyle name="Normal 2 2 2 14 4" xfId="4947"/>
    <cellStyle name="Normal 2 2 2 14 4 2" xfId="4948"/>
    <cellStyle name="Normal 2 2 2 14 4 2 2" xfId="4949"/>
    <cellStyle name="Normal 2 2 2 14 4 2 2 2" xfId="35032"/>
    <cellStyle name="Normal 2 2 2 14 4 2 3" xfId="35033"/>
    <cellStyle name="Normal 2 2 2 14 4 3" xfId="4950"/>
    <cellStyle name="Normal 2 2 2 14 4 3 2" xfId="35034"/>
    <cellStyle name="Normal 2 2 2 14 4 4" xfId="35035"/>
    <cellStyle name="Normal 2 2 2 14 5" xfId="4951"/>
    <cellStyle name="Normal 2 2 2 14 5 2" xfId="4952"/>
    <cellStyle name="Normal 2 2 2 14 5 2 2" xfId="35036"/>
    <cellStyle name="Normal 2 2 2 14 5 3" xfId="35037"/>
    <cellStyle name="Normal 2 2 2 14 6" xfId="4953"/>
    <cellStyle name="Normal 2 2 2 14 6 2" xfId="35038"/>
    <cellStyle name="Normal 2 2 2 14 7" xfId="4954"/>
    <cellStyle name="Normal 2 2 2 14 7 2" xfId="35039"/>
    <cellStyle name="Normal 2 2 2 14 8" xfId="35040"/>
    <cellStyle name="Normal 2 2 2 15" xfId="4955"/>
    <cellStyle name="Normal 2 2 2 15 2" xfId="4956"/>
    <cellStyle name="Normal 2 2 2 15 2 2" xfId="4957"/>
    <cellStyle name="Normal 2 2 2 15 2 2 2" xfId="4958"/>
    <cellStyle name="Normal 2 2 2 15 2 2 2 2" xfId="35041"/>
    <cellStyle name="Normal 2 2 2 15 2 2 3" xfId="35042"/>
    <cellStyle name="Normal 2 2 2 15 2 3" xfId="4959"/>
    <cellStyle name="Normal 2 2 2 15 2 3 2" xfId="35043"/>
    <cellStyle name="Normal 2 2 2 15 2 4" xfId="35044"/>
    <cellStyle name="Normal 2 2 2 15 3" xfId="4960"/>
    <cellStyle name="Normal 2 2 2 15 3 2" xfId="4961"/>
    <cellStyle name="Normal 2 2 2 15 3 2 2" xfId="4962"/>
    <cellStyle name="Normal 2 2 2 15 3 2 2 2" xfId="35045"/>
    <cellStyle name="Normal 2 2 2 15 3 2 3" xfId="35046"/>
    <cellStyle name="Normal 2 2 2 15 3 3" xfId="4963"/>
    <cellStyle name="Normal 2 2 2 15 3 3 2" xfId="35047"/>
    <cellStyle name="Normal 2 2 2 15 3 4" xfId="35048"/>
    <cellStyle name="Normal 2 2 2 15 4" xfId="4964"/>
    <cellStyle name="Normal 2 2 2 15 4 2" xfId="4965"/>
    <cellStyle name="Normal 2 2 2 15 4 2 2" xfId="4966"/>
    <cellStyle name="Normal 2 2 2 15 4 2 2 2" xfId="35049"/>
    <cellStyle name="Normal 2 2 2 15 4 2 3" xfId="35050"/>
    <cellStyle name="Normal 2 2 2 15 4 3" xfId="4967"/>
    <cellStyle name="Normal 2 2 2 15 4 3 2" xfId="35051"/>
    <cellStyle name="Normal 2 2 2 15 4 4" xfId="35052"/>
    <cellStyle name="Normal 2 2 2 15 5" xfId="4968"/>
    <cellStyle name="Normal 2 2 2 15 5 2" xfId="4969"/>
    <cellStyle name="Normal 2 2 2 15 5 2 2" xfId="35053"/>
    <cellStyle name="Normal 2 2 2 15 5 3" xfId="35054"/>
    <cellStyle name="Normal 2 2 2 15 6" xfId="4970"/>
    <cellStyle name="Normal 2 2 2 15 6 2" xfId="35055"/>
    <cellStyle name="Normal 2 2 2 15 7" xfId="4971"/>
    <cellStyle name="Normal 2 2 2 15 7 2" xfId="35056"/>
    <cellStyle name="Normal 2 2 2 15 8" xfId="35057"/>
    <cellStyle name="Normal 2 2 2 16" xfId="4972"/>
    <cellStyle name="Normal 2 2 2 16 2" xfId="4973"/>
    <cellStyle name="Normal 2 2 2 16 2 2" xfId="4974"/>
    <cellStyle name="Normal 2 2 2 16 2 2 2" xfId="4975"/>
    <cellStyle name="Normal 2 2 2 16 2 2 2 2" xfId="35058"/>
    <cellStyle name="Normal 2 2 2 16 2 2 3" xfId="35059"/>
    <cellStyle name="Normal 2 2 2 16 2 3" xfId="4976"/>
    <cellStyle name="Normal 2 2 2 16 2 3 2" xfId="35060"/>
    <cellStyle name="Normal 2 2 2 16 2 4" xfId="35061"/>
    <cellStyle name="Normal 2 2 2 16 3" xfId="4977"/>
    <cellStyle name="Normal 2 2 2 16 3 2" xfId="4978"/>
    <cellStyle name="Normal 2 2 2 16 3 2 2" xfId="4979"/>
    <cellStyle name="Normal 2 2 2 16 3 2 2 2" xfId="35062"/>
    <cellStyle name="Normal 2 2 2 16 3 2 3" xfId="35063"/>
    <cellStyle name="Normal 2 2 2 16 3 3" xfId="4980"/>
    <cellStyle name="Normal 2 2 2 16 3 3 2" xfId="35064"/>
    <cellStyle name="Normal 2 2 2 16 3 4" xfId="35065"/>
    <cellStyle name="Normal 2 2 2 16 4" xfId="4981"/>
    <cellStyle name="Normal 2 2 2 16 4 2" xfId="4982"/>
    <cellStyle name="Normal 2 2 2 16 4 2 2" xfId="4983"/>
    <cellStyle name="Normal 2 2 2 16 4 2 2 2" xfId="35066"/>
    <cellStyle name="Normal 2 2 2 16 4 2 3" xfId="35067"/>
    <cellStyle name="Normal 2 2 2 16 4 3" xfId="4984"/>
    <cellStyle name="Normal 2 2 2 16 4 3 2" xfId="35068"/>
    <cellStyle name="Normal 2 2 2 16 4 4" xfId="35069"/>
    <cellStyle name="Normal 2 2 2 16 5" xfId="4985"/>
    <cellStyle name="Normal 2 2 2 16 5 2" xfId="4986"/>
    <cellStyle name="Normal 2 2 2 16 5 2 2" xfId="35070"/>
    <cellStyle name="Normal 2 2 2 16 5 3" xfId="35071"/>
    <cellStyle name="Normal 2 2 2 16 6" xfId="4987"/>
    <cellStyle name="Normal 2 2 2 16 6 2" xfId="35072"/>
    <cellStyle name="Normal 2 2 2 16 7" xfId="4988"/>
    <cellStyle name="Normal 2 2 2 16 7 2" xfId="35073"/>
    <cellStyle name="Normal 2 2 2 16 8" xfId="35074"/>
    <cellStyle name="Normal 2 2 2 17" xfId="4989"/>
    <cellStyle name="Normal 2 2 2 17 2" xfId="4990"/>
    <cellStyle name="Normal 2 2 2 17 2 2" xfId="4991"/>
    <cellStyle name="Normal 2 2 2 17 2 2 2" xfId="4992"/>
    <cellStyle name="Normal 2 2 2 17 2 2 2 2" xfId="35075"/>
    <cellStyle name="Normal 2 2 2 17 2 2 3" xfId="35076"/>
    <cellStyle name="Normal 2 2 2 17 2 3" xfId="4993"/>
    <cellStyle name="Normal 2 2 2 17 2 3 2" xfId="35077"/>
    <cellStyle name="Normal 2 2 2 17 2 4" xfId="35078"/>
    <cellStyle name="Normal 2 2 2 17 3" xfId="4994"/>
    <cellStyle name="Normal 2 2 2 17 3 2" xfId="4995"/>
    <cellStyle name="Normal 2 2 2 17 3 2 2" xfId="4996"/>
    <cellStyle name="Normal 2 2 2 17 3 2 2 2" xfId="35079"/>
    <cellStyle name="Normal 2 2 2 17 3 2 3" xfId="35080"/>
    <cellStyle name="Normal 2 2 2 17 3 3" xfId="4997"/>
    <cellStyle name="Normal 2 2 2 17 3 3 2" xfId="35081"/>
    <cellStyle name="Normal 2 2 2 17 3 4" xfId="35082"/>
    <cellStyle name="Normal 2 2 2 17 4" xfId="4998"/>
    <cellStyle name="Normal 2 2 2 17 4 2" xfId="4999"/>
    <cellStyle name="Normal 2 2 2 17 4 2 2" xfId="5000"/>
    <cellStyle name="Normal 2 2 2 17 4 2 2 2" xfId="35083"/>
    <cellStyle name="Normal 2 2 2 17 4 2 3" xfId="35084"/>
    <cellStyle name="Normal 2 2 2 17 4 3" xfId="5001"/>
    <cellStyle name="Normal 2 2 2 17 4 3 2" xfId="35085"/>
    <cellStyle name="Normal 2 2 2 17 4 4" xfId="35086"/>
    <cellStyle name="Normal 2 2 2 17 5" xfId="5002"/>
    <cellStyle name="Normal 2 2 2 17 5 2" xfId="5003"/>
    <cellStyle name="Normal 2 2 2 17 5 2 2" xfId="35087"/>
    <cellStyle name="Normal 2 2 2 17 5 3" xfId="35088"/>
    <cellStyle name="Normal 2 2 2 17 6" xfId="5004"/>
    <cellStyle name="Normal 2 2 2 17 6 2" xfId="35089"/>
    <cellStyle name="Normal 2 2 2 17 7" xfId="5005"/>
    <cellStyle name="Normal 2 2 2 17 7 2" xfId="35090"/>
    <cellStyle name="Normal 2 2 2 17 8" xfId="35091"/>
    <cellStyle name="Normal 2 2 2 18" xfId="5006"/>
    <cellStyle name="Normal 2 2 2 18 2" xfId="5007"/>
    <cellStyle name="Normal 2 2 2 18 2 2" xfId="5008"/>
    <cellStyle name="Normal 2 2 2 18 2 2 2" xfId="5009"/>
    <cellStyle name="Normal 2 2 2 18 2 2 2 2" xfId="35092"/>
    <cellStyle name="Normal 2 2 2 18 2 2 3" xfId="35093"/>
    <cellStyle name="Normal 2 2 2 18 2 3" xfId="5010"/>
    <cellStyle name="Normal 2 2 2 18 2 3 2" xfId="35094"/>
    <cellStyle name="Normal 2 2 2 18 2 4" xfId="35095"/>
    <cellStyle name="Normal 2 2 2 18 3" xfId="5011"/>
    <cellStyle name="Normal 2 2 2 18 3 2" xfId="5012"/>
    <cellStyle name="Normal 2 2 2 18 3 2 2" xfId="5013"/>
    <cellStyle name="Normal 2 2 2 18 3 2 2 2" xfId="35096"/>
    <cellStyle name="Normal 2 2 2 18 3 2 3" xfId="35097"/>
    <cellStyle name="Normal 2 2 2 18 3 3" xfId="5014"/>
    <cellStyle name="Normal 2 2 2 18 3 3 2" xfId="35098"/>
    <cellStyle name="Normal 2 2 2 18 3 4" xfId="35099"/>
    <cellStyle name="Normal 2 2 2 18 4" xfId="5015"/>
    <cellStyle name="Normal 2 2 2 18 4 2" xfId="5016"/>
    <cellStyle name="Normal 2 2 2 18 4 2 2" xfId="5017"/>
    <cellStyle name="Normal 2 2 2 18 4 2 2 2" xfId="35100"/>
    <cellStyle name="Normal 2 2 2 18 4 2 3" xfId="35101"/>
    <cellStyle name="Normal 2 2 2 18 4 3" xfId="5018"/>
    <cellStyle name="Normal 2 2 2 18 4 3 2" xfId="35102"/>
    <cellStyle name="Normal 2 2 2 18 4 4" xfId="35103"/>
    <cellStyle name="Normal 2 2 2 18 5" xfId="5019"/>
    <cellStyle name="Normal 2 2 2 18 5 2" xfId="5020"/>
    <cellStyle name="Normal 2 2 2 18 5 2 2" xfId="35104"/>
    <cellStyle name="Normal 2 2 2 18 5 3" xfId="35105"/>
    <cellStyle name="Normal 2 2 2 18 6" xfId="5021"/>
    <cellStyle name="Normal 2 2 2 18 6 2" xfId="35106"/>
    <cellStyle name="Normal 2 2 2 18 7" xfId="5022"/>
    <cellStyle name="Normal 2 2 2 18 7 2" xfId="35107"/>
    <cellStyle name="Normal 2 2 2 18 8" xfId="35108"/>
    <cellStyle name="Normal 2 2 2 19" xfId="5023"/>
    <cellStyle name="Normal 2 2 2 19 2" xfId="5024"/>
    <cellStyle name="Normal 2 2 2 19 2 2" xfId="5025"/>
    <cellStyle name="Normal 2 2 2 19 2 2 2" xfId="5026"/>
    <cellStyle name="Normal 2 2 2 19 2 2 2 2" xfId="35109"/>
    <cellStyle name="Normal 2 2 2 19 2 2 3" xfId="35110"/>
    <cellStyle name="Normal 2 2 2 19 2 3" xfId="5027"/>
    <cellStyle name="Normal 2 2 2 19 2 3 2" xfId="35111"/>
    <cellStyle name="Normal 2 2 2 19 2 4" xfId="35112"/>
    <cellStyle name="Normal 2 2 2 19 3" xfId="5028"/>
    <cellStyle name="Normal 2 2 2 19 3 2" xfId="5029"/>
    <cellStyle name="Normal 2 2 2 19 3 2 2" xfId="5030"/>
    <cellStyle name="Normal 2 2 2 19 3 2 2 2" xfId="35113"/>
    <cellStyle name="Normal 2 2 2 19 3 2 3" xfId="35114"/>
    <cellStyle name="Normal 2 2 2 19 3 3" xfId="5031"/>
    <cellStyle name="Normal 2 2 2 19 3 3 2" xfId="35115"/>
    <cellStyle name="Normal 2 2 2 19 3 4" xfId="35116"/>
    <cellStyle name="Normal 2 2 2 19 4" xfId="5032"/>
    <cellStyle name="Normal 2 2 2 19 4 2" xfId="5033"/>
    <cellStyle name="Normal 2 2 2 19 4 2 2" xfId="5034"/>
    <cellStyle name="Normal 2 2 2 19 4 2 2 2" xfId="35117"/>
    <cellStyle name="Normal 2 2 2 19 4 2 3" xfId="35118"/>
    <cellStyle name="Normal 2 2 2 19 4 3" xfId="5035"/>
    <cellStyle name="Normal 2 2 2 19 4 3 2" xfId="35119"/>
    <cellStyle name="Normal 2 2 2 19 4 4" xfId="35120"/>
    <cellStyle name="Normal 2 2 2 19 5" xfId="5036"/>
    <cellStyle name="Normal 2 2 2 19 5 2" xfId="5037"/>
    <cellStyle name="Normal 2 2 2 19 5 2 2" xfId="35121"/>
    <cellStyle name="Normal 2 2 2 19 5 3" xfId="35122"/>
    <cellStyle name="Normal 2 2 2 19 6" xfId="5038"/>
    <cellStyle name="Normal 2 2 2 19 6 2" xfId="35123"/>
    <cellStyle name="Normal 2 2 2 19 7" xfId="5039"/>
    <cellStyle name="Normal 2 2 2 19 7 2" xfId="35124"/>
    <cellStyle name="Normal 2 2 2 19 8" xfId="35125"/>
    <cellStyle name="Normal 2 2 2 2" xfId="5040"/>
    <cellStyle name="Normal 2 2 2 2 2" xfId="5041"/>
    <cellStyle name="Normal 2 2 2 2 2 2" xfId="5042"/>
    <cellStyle name="Normal 2 2 2 2 2 2 2" xfId="5043"/>
    <cellStyle name="Normal 2 2 2 2 2 2 2 2" xfId="35126"/>
    <cellStyle name="Normal 2 2 2 2 2 2 3" xfId="35127"/>
    <cellStyle name="Normal 2 2 2 2 2 3" xfId="5044"/>
    <cellStyle name="Normal 2 2 2 2 2 3 2" xfId="35128"/>
    <cellStyle name="Normal 2 2 2 2 2 4" xfId="35129"/>
    <cellStyle name="Normal 2 2 2 2 3" xfId="5045"/>
    <cellStyle name="Normal 2 2 2 2 3 2" xfId="5046"/>
    <cellStyle name="Normal 2 2 2 2 3 2 2" xfId="5047"/>
    <cellStyle name="Normal 2 2 2 2 3 2 2 2" xfId="35130"/>
    <cellStyle name="Normal 2 2 2 2 3 2 3" xfId="35131"/>
    <cellStyle name="Normal 2 2 2 2 3 3" xfId="5048"/>
    <cellStyle name="Normal 2 2 2 2 3 3 2" xfId="35132"/>
    <cellStyle name="Normal 2 2 2 2 3 4" xfId="35133"/>
    <cellStyle name="Normal 2 2 2 2 4" xfId="5049"/>
    <cellStyle name="Normal 2 2 2 2 4 2" xfId="5050"/>
    <cellStyle name="Normal 2 2 2 2 4 2 2" xfId="5051"/>
    <cellStyle name="Normal 2 2 2 2 4 2 2 2" xfId="35134"/>
    <cellStyle name="Normal 2 2 2 2 4 2 3" xfId="35135"/>
    <cellStyle name="Normal 2 2 2 2 4 3" xfId="5052"/>
    <cellStyle name="Normal 2 2 2 2 4 3 2" xfId="35136"/>
    <cellStyle name="Normal 2 2 2 2 4 4" xfId="35137"/>
    <cellStyle name="Normal 2 2 2 2 5" xfId="5053"/>
    <cellStyle name="Normal 2 2 2 2 5 2" xfId="5054"/>
    <cellStyle name="Normal 2 2 2 2 5 2 2" xfId="35138"/>
    <cellStyle name="Normal 2 2 2 2 5 3" xfId="35139"/>
    <cellStyle name="Normal 2 2 2 2 6" xfId="5055"/>
    <cellStyle name="Normal 2 2 2 2 6 2" xfId="35140"/>
    <cellStyle name="Normal 2 2 2 2 7" xfId="5056"/>
    <cellStyle name="Normal 2 2 2 2 7 2" xfId="35141"/>
    <cellStyle name="Normal 2 2 2 2 8" xfId="35142"/>
    <cellStyle name="Normal 2 2 2 20" xfId="5057"/>
    <cellStyle name="Normal 2 2 2 20 2" xfId="5058"/>
    <cellStyle name="Normal 2 2 2 20 2 2" xfId="5059"/>
    <cellStyle name="Normal 2 2 2 20 2 2 2" xfId="5060"/>
    <cellStyle name="Normal 2 2 2 20 2 2 2 2" xfId="35143"/>
    <cellStyle name="Normal 2 2 2 20 2 2 3" xfId="35144"/>
    <cellStyle name="Normal 2 2 2 20 2 3" xfId="5061"/>
    <cellStyle name="Normal 2 2 2 20 2 3 2" xfId="35145"/>
    <cellStyle name="Normal 2 2 2 20 2 4" xfId="35146"/>
    <cellStyle name="Normal 2 2 2 20 3" xfId="5062"/>
    <cellStyle name="Normal 2 2 2 20 3 2" xfId="5063"/>
    <cellStyle name="Normal 2 2 2 20 3 2 2" xfId="5064"/>
    <cellStyle name="Normal 2 2 2 20 3 2 2 2" xfId="35147"/>
    <cellStyle name="Normal 2 2 2 20 3 2 3" xfId="35148"/>
    <cellStyle name="Normal 2 2 2 20 3 3" xfId="5065"/>
    <cellStyle name="Normal 2 2 2 20 3 3 2" xfId="35149"/>
    <cellStyle name="Normal 2 2 2 20 3 4" xfId="35150"/>
    <cellStyle name="Normal 2 2 2 20 4" xfId="5066"/>
    <cellStyle name="Normal 2 2 2 20 4 2" xfId="5067"/>
    <cellStyle name="Normal 2 2 2 20 4 2 2" xfId="5068"/>
    <cellStyle name="Normal 2 2 2 20 4 2 2 2" xfId="35151"/>
    <cellStyle name="Normal 2 2 2 20 4 2 3" xfId="35152"/>
    <cellStyle name="Normal 2 2 2 20 4 3" xfId="5069"/>
    <cellStyle name="Normal 2 2 2 20 4 3 2" xfId="35153"/>
    <cellStyle name="Normal 2 2 2 20 4 4" xfId="35154"/>
    <cellStyle name="Normal 2 2 2 20 5" xfId="5070"/>
    <cellStyle name="Normal 2 2 2 20 5 2" xfId="5071"/>
    <cellStyle name="Normal 2 2 2 20 5 2 2" xfId="35155"/>
    <cellStyle name="Normal 2 2 2 20 5 3" xfId="35156"/>
    <cellStyle name="Normal 2 2 2 20 6" xfId="5072"/>
    <cellStyle name="Normal 2 2 2 20 6 2" xfId="35157"/>
    <cellStyle name="Normal 2 2 2 20 7" xfId="5073"/>
    <cellStyle name="Normal 2 2 2 20 7 2" xfId="35158"/>
    <cellStyle name="Normal 2 2 2 20 8" xfId="35159"/>
    <cellStyle name="Normal 2 2 2 21" xfId="5074"/>
    <cellStyle name="Normal 2 2 2 21 2" xfId="5075"/>
    <cellStyle name="Normal 2 2 2 21 2 2" xfId="5076"/>
    <cellStyle name="Normal 2 2 2 21 2 2 2" xfId="5077"/>
    <cellStyle name="Normal 2 2 2 21 2 2 2 2" xfId="35160"/>
    <cellStyle name="Normal 2 2 2 21 2 2 3" xfId="35161"/>
    <cellStyle name="Normal 2 2 2 21 2 3" xfId="5078"/>
    <cellStyle name="Normal 2 2 2 21 2 3 2" xfId="35162"/>
    <cellStyle name="Normal 2 2 2 21 2 4" xfId="35163"/>
    <cellStyle name="Normal 2 2 2 21 3" xfId="5079"/>
    <cellStyle name="Normal 2 2 2 21 3 2" xfId="5080"/>
    <cellStyle name="Normal 2 2 2 21 3 2 2" xfId="5081"/>
    <cellStyle name="Normal 2 2 2 21 3 2 2 2" xfId="35164"/>
    <cellStyle name="Normal 2 2 2 21 3 2 3" xfId="35165"/>
    <cellStyle name="Normal 2 2 2 21 3 3" xfId="5082"/>
    <cellStyle name="Normal 2 2 2 21 3 3 2" xfId="35166"/>
    <cellStyle name="Normal 2 2 2 21 3 4" xfId="35167"/>
    <cellStyle name="Normal 2 2 2 21 4" xfId="5083"/>
    <cellStyle name="Normal 2 2 2 21 4 2" xfId="5084"/>
    <cellStyle name="Normal 2 2 2 21 4 2 2" xfId="5085"/>
    <cellStyle name="Normal 2 2 2 21 4 2 2 2" xfId="35168"/>
    <cellStyle name="Normal 2 2 2 21 4 2 3" xfId="35169"/>
    <cellStyle name="Normal 2 2 2 21 4 3" xfId="5086"/>
    <cellStyle name="Normal 2 2 2 21 4 3 2" xfId="35170"/>
    <cellStyle name="Normal 2 2 2 21 4 4" xfId="35171"/>
    <cellStyle name="Normal 2 2 2 21 5" xfId="5087"/>
    <cellStyle name="Normal 2 2 2 21 5 2" xfId="5088"/>
    <cellStyle name="Normal 2 2 2 21 5 2 2" xfId="35172"/>
    <cellStyle name="Normal 2 2 2 21 5 3" xfId="35173"/>
    <cellStyle name="Normal 2 2 2 21 6" xfId="5089"/>
    <cellStyle name="Normal 2 2 2 21 6 2" xfId="35174"/>
    <cellStyle name="Normal 2 2 2 21 7" xfId="5090"/>
    <cellStyle name="Normal 2 2 2 21 7 2" xfId="35175"/>
    <cellStyle name="Normal 2 2 2 21 8" xfId="35176"/>
    <cellStyle name="Normal 2 2 2 22" xfId="5091"/>
    <cellStyle name="Normal 2 2 2 22 2" xfId="5092"/>
    <cellStyle name="Normal 2 2 2 22 2 2" xfId="5093"/>
    <cellStyle name="Normal 2 2 2 22 2 2 2" xfId="5094"/>
    <cellStyle name="Normal 2 2 2 22 2 2 2 2" xfId="35177"/>
    <cellStyle name="Normal 2 2 2 22 2 2 3" xfId="35178"/>
    <cellStyle name="Normal 2 2 2 22 2 3" xfId="5095"/>
    <cellStyle name="Normal 2 2 2 22 2 3 2" xfId="35179"/>
    <cellStyle name="Normal 2 2 2 22 2 4" xfId="35180"/>
    <cellStyle name="Normal 2 2 2 22 3" xfId="5096"/>
    <cellStyle name="Normal 2 2 2 22 3 2" xfId="5097"/>
    <cellStyle name="Normal 2 2 2 22 3 2 2" xfId="5098"/>
    <cellStyle name="Normal 2 2 2 22 3 2 2 2" xfId="35181"/>
    <cellStyle name="Normal 2 2 2 22 3 2 3" xfId="35182"/>
    <cellStyle name="Normal 2 2 2 22 3 3" xfId="5099"/>
    <cellStyle name="Normal 2 2 2 22 3 3 2" xfId="35183"/>
    <cellStyle name="Normal 2 2 2 22 3 4" xfId="35184"/>
    <cellStyle name="Normal 2 2 2 22 4" xfId="5100"/>
    <cellStyle name="Normal 2 2 2 22 4 2" xfId="5101"/>
    <cellStyle name="Normal 2 2 2 22 4 2 2" xfId="5102"/>
    <cellStyle name="Normal 2 2 2 22 4 2 2 2" xfId="35185"/>
    <cellStyle name="Normal 2 2 2 22 4 2 3" xfId="35186"/>
    <cellStyle name="Normal 2 2 2 22 4 3" xfId="5103"/>
    <cellStyle name="Normal 2 2 2 22 4 3 2" xfId="35187"/>
    <cellStyle name="Normal 2 2 2 22 4 4" xfId="35188"/>
    <cellStyle name="Normal 2 2 2 22 5" xfId="5104"/>
    <cellStyle name="Normal 2 2 2 22 5 2" xfId="5105"/>
    <cellStyle name="Normal 2 2 2 22 5 2 2" xfId="35189"/>
    <cellStyle name="Normal 2 2 2 22 5 3" xfId="35190"/>
    <cellStyle name="Normal 2 2 2 22 6" xfId="5106"/>
    <cellStyle name="Normal 2 2 2 22 6 2" xfId="35191"/>
    <cellStyle name="Normal 2 2 2 22 7" xfId="5107"/>
    <cellStyle name="Normal 2 2 2 22 7 2" xfId="35192"/>
    <cellStyle name="Normal 2 2 2 22 8" xfId="35193"/>
    <cellStyle name="Normal 2 2 2 23" xfId="5108"/>
    <cellStyle name="Normal 2 2 2 23 2" xfId="5109"/>
    <cellStyle name="Normal 2 2 2 23 2 2" xfId="5110"/>
    <cellStyle name="Normal 2 2 2 23 2 2 2" xfId="5111"/>
    <cellStyle name="Normal 2 2 2 23 2 2 2 2" xfId="35194"/>
    <cellStyle name="Normal 2 2 2 23 2 2 3" xfId="35195"/>
    <cellStyle name="Normal 2 2 2 23 2 3" xfId="5112"/>
    <cellStyle name="Normal 2 2 2 23 2 3 2" xfId="35196"/>
    <cellStyle name="Normal 2 2 2 23 2 4" xfId="35197"/>
    <cellStyle name="Normal 2 2 2 23 3" xfId="5113"/>
    <cellStyle name="Normal 2 2 2 23 3 2" xfId="5114"/>
    <cellStyle name="Normal 2 2 2 23 3 2 2" xfId="5115"/>
    <cellStyle name="Normal 2 2 2 23 3 2 2 2" xfId="35198"/>
    <cellStyle name="Normal 2 2 2 23 3 2 3" xfId="35199"/>
    <cellStyle name="Normal 2 2 2 23 3 3" xfId="5116"/>
    <cellStyle name="Normal 2 2 2 23 3 3 2" xfId="35200"/>
    <cellStyle name="Normal 2 2 2 23 3 4" xfId="35201"/>
    <cellStyle name="Normal 2 2 2 23 4" xfId="5117"/>
    <cellStyle name="Normal 2 2 2 23 4 2" xfId="5118"/>
    <cellStyle name="Normal 2 2 2 23 4 2 2" xfId="5119"/>
    <cellStyle name="Normal 2 2 2 23 4 2 2 2" xfId="35202"/>
    <cellStyle name="Normal 2 2 2 23 4 2 3" xfId="35203"/>
    <cellStyle name="Normal 2 2 2 23 4 3" xfId="5120"/>
    <cellStyle name="Normal 2 2 2 23 4 3 2" xfId="35204"/>
    <cellStyle name="Normal 2 2 2 23 4 4" xfId="35205"/>
    <cellStyle name="Normal 2 2 2 23 5" xfId="5121"/>
    <cellStyle name="Normal 2 2 2 23 5 2" xfId="5122"/>
    <cellStyle name="Normal 2 2 2 23 5 2 2" xfId="35206"/>
    <cellStyle name="Normal 2 2 2 23 5 3" xfId="35207"/>
    <cellStyle name="Normal 2 2 2 23 6" xfId="5123"/>
    <cellStyle name="Normal 2 2 2 23 6 2" xfId="35208"/>
    <cellStyle name="Normal 2 2 2 23 7" xfId="5124"/>
    <cellStyle name="Normal 2 2 2 23 7 2" xfId="35209"/>
    <cellStyle name="Normal 2 2 2 23 8" xfId="35210"/>
    <cellStyle name="Normal 2 2 2 24" xfId="5125"/>
    <cellStyle name="Normal 2 2 2 24 2" xfId="5126"/>
    <cellStyle name="Normal 2 2 2 24 2 2" xfId="5127"/>
    <cellStyle name="Normal 2 2 2 24 2 2 2" xfId="5128"/>
    <cellStyle name="Normal 2 2 2 24 2 2 2 2" xfId="35211"/>
    <cellStyle name="Normal 2 2 2 24 2 2 3" xfId="35212"/>
    <cellStyle name="Normal 2 2 2 24 2 3" xfId="5129"/>
    <cellStyle name="Normal 2 2 2 24 2 3 2" xfId="35213"/>
    <cellStyle name="Normal 2 2 2 24 2 4" xfId="35214"/>
    <cellStyle name="Normal 2 2 2 24 3" xfId="5130"/>
    <cellStyle name="Normal 2 2 2 24 3 2" xfId="5131"/>
    <cellStyle name="Normal 2 2 2 24 3 2 2" xfId="5132"/>
    <cellStyle name="Normal 2 2 2 24 3 2 2 2" xfId="35215"/>
    <cellStyle name="Normal 2 2 2 24 3 2 3" xfId="35216"/>
    <cellStyle name="Normal 2 2 2 24 3 3" xfId="5133"/>
    <cellStyle name="Normal 2 2 2 24 3 3 2" xfId="35217"/>
    <cellStyle name="Normal 2 2 2 24 3 4" xfId="35218"/>
    <cellStyle name="Normal 2 2 2 24 4" xfId="5134"/>
    <cellStyle name="Normal 2 2 2 24 4 2" xfId="5135"/>
    <cellStyle name="Normal 2 2 2 24 4 2 2" xfId="5136"/>
    <cellStyle name="Normal 2 2 2 24 4 2 2 2" xfId="35219"/>
    <cellStyle name="Normal 2 2 2 24 4 2 3" xfId="35220"/>
    <cellStyle name="Normal 2 2 2 24 4 3" xfId="5137"/>
    <cellStyle name="Normal 2 2 2 24 4 3 2" xfId="35221"/>
    <cellStyle name="Normal 2 2 2 24 4 4" xfId="35222"/>
    <cellStyle name="Normal 2 2 2 24 5" xfId="5138"/>
    <cellStyle name="Normal 2 2 2 24 5 2" xfId="5139"/>
    <cellStyle name="Normal 2 2 2 24 5 2 2" xfId="35223"/>
    <cellStyle name="Normal 2 2 2 24 5 3" xfId="35224"/>
    <cellStyle name="Normal 2 2 2 24 6" xfId="5140"/>
    <cellStyle name="Normal 2 2 2 24 6 2" xfId="35225"/>
    <cellStyle name="Normal 2 2 2 24 7" xfId="5141"/>
    <cellStyle name="Normal 2 2 2 24 7 2" xfId="35226"/>
    <cellStyle name="Normal 2 2 2 24 8" xfId="35227"/>
    <cellStyle name="Normal 2 2 2 25" xfId="5142"/>
    <cellStyle name="Normal 2 2 2 25 2" xfId="5143"/>
    <cellStyle name="Normal 2 2 2 25 2 2" xfId="5144"/>
    <cellStyle name="Normal 2 2 2 25 2 2 2" xfId="5145"/>
    <cellStyle name="Normal 2 2 2 25 2 2 2 2" xfId="35228"/>
    <cellStyle name="Normal 2 2 2 25 2 2 3" xfId="35229"/>
    <cellStyle name="Normal 2 2 2 25 2 3" xfId="5146"/>
    <cellStyle name="Normal 2 2 2 25 2 3 2" xfId="35230"/>
    <cellStyle name="Normal 2 2 2 25 2 4" xfId="35231"/>
    <cellStyle name="Normal 2 2 2 25 3" xfId="5147"/>
    <cellStyle name="Normal 2 2 2 25 3 2" xfId="5148"/>
    <cellStyle name="Normal 2 2 2 25 3 2 2" xfId="5149"/>
    <cellStyle name="Normal 2 2 2 25 3 2 2 2" xfId="35232"/>
    <cellStyle name="Normal 2 2 2 25 3 2 3" xfId="35233"/>
    <cellStyle name="Normal 2 2 2 25 3 3" xfId="5150"/>
    <cellStyle name="Normal 2 2 2 25 3 3 2" xfId="35234"/>
    <cellStyle name="Normal 2 2 2 25 3 4" xfId="35235"/>
    <cellStyle name="Normal 2 2 2 25 4" xfId="5151"/>
    <cellStyle name="Normal 2 2 2 25 4 2" xfId="5152"/>
    <cellStyle name="Normal 2 2 2 25 4 2 2" xfId="5153"/>
    <cellStyle name="Normal 2 2 2 25 4 2 2 2" xfId="35236"/>
    <cellStyle name="Normal 2 2 2 25 4 2 3" xfId="35237"/>
    <cellStyle name="Normal 2 2 2 25 4 3" xfId="5154"/>
    <cellStyle name="Normal 2 2 2 25 4 3 2" xfId="35238"/>
    <cellStyle name="Normal 2 2 2 25 4 4" xfId="35239"/>
    <cellStyle name="Normal 2 2 2 25 5" xfId="5155"/>
    <cellStyle name="Normal 2 2 2 25 5 2" xfId="5156"/>
    <cellStyle name="Normal 2 2 2 25 5 2 2" xfId="35240"/>
    <cellStyle name="Normal 2 2 2 25 5 3" xfId="35241"/>
    <cellStyle name="Normal 2 2 2 25 6" xfId="5157"/>
    <cellStyle name="Normal 2 2 2 25 6 2" xfId="35242"/>
    <cellStyle name="Normal 2 2 2 25 7" xfId="5158"/>
    <cellStyle name="Normal 2 2 2 25 7 2" xfId="35243"/>
    <cellStyle name="Normal 2 2 2 25 8" xfId="35244"/>
    <cellStyle name="Normal 2 2 2 26" xfId="5159"/>
    <cellStyle name="Normal 2 2 2 26 2" xfId="5160"/>
    <cellStyle name="Normal 2 2 2 26 2 2" xfId="5161"/>
    <cellStyle name="Normal 2 2 2 26 2 2 2" xfId="5162"/>
    <cellStyle name="Normal 2 2 2 26 2 2 2 2" xfId="35245"/>
    <cellStyle name="Normal 2 2 2 26 2 2 3" xfId="35246"/>
    <cellStyle name="Normal 2 2 2 26 2 3" xfId="5163"/>
    <cellStyle name="Normal 2 2 2 26 2 3 2" xfId="35247"/>
    <cellStyle name="Normal 2 2 2 26 2 4" xfId="35248"/>
    <cellStyle name="Normal 2 2 2 26 3" xfId="5164"/>
    <cellStyle name="Normal 2 2 2 26 3 2" xfId="5165"/>
    <cellStyle name="Normal 2 2 2 26 3 2 2" xfId="5166"/>
    <cellStyle name="Normal 2 2 2 26 3 2 2 2" xfId="35249"/>
    <cellStyle name="Normal 2 2 2 26 3 2 3" xfId="35250"/>
    <cellStyle name="Normal 2 2 2 26 3 3" xfId="5167"/>
    <cellStyle name="Normal 2 2 2 26 3 3 2" xfId="35251"/>
    <cellStyle name="Normal 2 2 2 26 3 4" xfId="35252"/>
    <cellStyle name="Normal 2 2 2 26 4" xfId="5168"/>
    <cellStyle name="Normal 2 2 2 26 4 2" xfId="5169"/>
    <cellStyle name="Normal 2 2 2 26 4 2 2" xfId="5170"/>
    <cellStyle name="Normal 2 2 2 26 4 2 2 2" xfId="35253"/>
    <cellStyle name="Normal 2 2 2 26 4 2 3" xfId="35254"/>
    <cellStyle name="Normal 2 2 2 26 4 3" xfId="5171"/>
    <cellStyle name="Normal 2 2 2 26 4 3 2" xfId="35255"/>
    <cellStyle name="Normal 2 2 2 26 4 4" xfId="35256"/>
    <cellStyle name="Normal 2 2 2 26 5" xfId="5172"/>
    <cellStyle name="Normal 2 2 2 26 5 2" xfId="5173"/>
    <cellStyle name="Normal 2 2 2 26 5 2 2" xfId="35257"/>
    <cellStyle name="Normal 2 2 2 26 5 3" xfId="35258"/>
    <cellStyle name="Normal 2 2 2 26 6" xfId="5174"/>
    <cellStyle name="Normal 2 2 2 26 6 2" xfId="35259"/>
    <cellStyle name="Normal 2 2 2 26 7" xfId="5175"/>
    <cellStyle name="Normal 2 2 2 26 7 2" xfId="35260"/>
    <cellStyle name="Normal 2 2 2 26 8" xfId="35261"/>
    <cellStyle name="Normal 2 2 2 27" xfId="5176"/>
    <cellStyle name="Normal 2 2 2 27 2" xfId="5177"/>
    <cellStyle name="Normal 2 2 2 27 2 2" xfId="5178"/>
    <cellStyle name="Normal 2 2 2 27 2 2 2" xfId="5179"/>
    <cellStyle name="Normal 2 2 2 27 2 2 2 2" xfId="35262"/>
    <cellStyle name="Normal 2 2 2 27 2 2 3" xfId="35263"/>
    <cellStyle name="Normal 2 2 2 27 2 3" xfId="5180"/>
    <cellStyle name="Normal 2 2 2 27 2 3 2" xfId="35264"/>
    <cellStyle name="Normal 2 2 2 27 2 4" xfId="35265"/>
    <cellStyle name="Normal 2 2 2 27 3" xfId="5181"/>
    <cellStyle name="Normal 2 2 2 27 3 2" xfId="5182"/>
    <cellStyle name="Normal 2 2 2 27 3 2 2" xfId="5183"/>
    <cellStyle name="Normal 2 2 2 27 3 2 2 2" xfId="35266"/>
    <cellStyle name="Normal 2 2 2 27 3 2 3" xfId="35267"/>
    <cellStyle name="Normal 2 2 2 27 3 3" xfId="5184"/>
    <cellStyle name="Normal 2 2 2 27 3 3 2" xfId="35268"/>
    <cellStyle name="Normal 2 2 2 27 3 4" xfId="35269"/>
    <cellStyle name="Normal 2 2 2 27 4" xfId="5185"/>
    <cellStyle name="Normal 2 2 2 27 4 2" xfId="5186"/>
    <cellStyle name="Normal 2 2 2 27 4 2 2" xfId="5187"/>
    <cellStyle name="Normal 2 2 2 27 4 2 2 2" xfId="35270"/>
    <cellStyle name="Normal 2 2 2 27 4 2 3" xfId="35271"/>
    <cellStyle name="Normal 2 2 2 27 4 3" xfId="5188"/>
    <cellStyle name="Normal 2 2 2 27 4 3 2" xfId="35272"/>
    <cellStyle name="Normal 2 2 2 27 4 4" xfId="35273"/>
    <cellStyle name="Normal 2 2 2 27 5" xfId="5189"/>
    <cellStyle name="Normal 2 2 2 27 5 2" xfId="5190"/>
    <cellStyle name="Normal 2 2 2 27 5 2 2" xfId="35274"/>
    <cellStyle name="Normal 2 2 2 27 5 3" xfId="35275"/>
    <cellStyle name="Normal 2 2 2 27 6" xfId="5191"/>
    <cellStyle name="Normal 2 2 2 27 6 2" xfId="35276"/>
    <cellStyle name="Normal 2 2 2 27 7" xfId="5192"/>
    <cellStyle name="Normal 2 2 2 27 7 2" xfId="35277"/>
    <cellStyle name="Normal 2 2 2 27 8" xfId="35278"/>
    <cellStyle name="Normal 2 2 2 28" xfId="5193"/>
    <cellStyle name="Normal 2 2 2 28 2" xfId="5194"/>
    <cellStyle name="Normal 2 2 2 28 2 2" xfId="5195"/>
    <cellStyle name="Normal 2 2 2 28 2 2 2" xfId="5196"/>
    <cellStyle name="Normal 2 2 2 28 2 2 2 2" xfId="35279"/>
    <cellStyle name="Normal 2 2 2 28 2 2 3" xfId="35280"/>
    <cellStyle name="Normal 2 2 2 28 2 3" xfId="5197"/>
    <cellStyle name="Normal 2 2 2 28 2 3 2" xfId="35281"/>
    <cellStyle name="Normal 2 2 2 28 2 4" xfId="35282"/>
    <cellStyle name="Normal 2 2 2 28 3" xfId="5198"/>
    <cellStyle name="Normal 2 2 2 28 3 2" xfId="5199"/>
    <cellStyle name="Normal 2 2 2 28 3 2 2" xfId="5200"/>
    <cellStyle name="Normal 2 2 2 28 3 2 2 2" xfId="35283"/>
    <cellStyle name="Normal 2 2 2 28 3 2 3" xfId="35284"/>
    <cellStyle name="Normal 2 2 2 28 3 3" xfId="5201"/>
    <cellStyle name="Normal 2 2 2 28 3 3 2" xfId="35285"/>
    <cellStyle name="Normal 2 2 2 28 3 4" xfId="35286"/>
    <cellStyle name="Normal 2 2 2 28 4" xfId="5202"/>
    <cellStyle name="Normal 2 2 2 28 4 2" xfId="5203"/>
    <cellStyle name="Normal 2 2 2 28 4 2 2" xfId="5204"/>
    <cellStyle name="Normal 2 2 2 28 4 2 2 2" xfId="35287"/>
    <cellStyle name="Normal 2 2 2 28 4 2 3" xfId="35288"/>
    <cellStyle name="Normal 2 2 2 28 4 3" xfId="5205"/>
    <cellStyle name="Normal 2 2 2 28 4 3 2" xfId="35289"/>
    <cellStyle name="Normal 2 2 2 28 4 4" xfId="35290"/>
    <cellStyle name="Normal 2 2 2 28 5" xfId="5206"/>
    <cellStyle name="Normal 2 2 2 28 5 2" xfId="5207"/>
    <cellStyle name="Normal 2 2 2 28 5 2 2" xfId="35291"/>
    <cellStyle name="Normal 2 2 2 28 5 3" xfId="35292"/>
    <cellStyle name="Normal 2 2 2 28 6" xfId="5208"/>
    <cellStyle name="Normal 2 2 2 28 6 2" xfId="35293"/>
    <cellStyle name="Normal 2 2 2 28 7" xfId="5209"/>
    <cellStyle name="Normal 2 2 2 28 7 2" xfId="35294"/>
    <cellStyle name="Normal 2 2 2 28 8" xfId="35295"/>
    <cellStyle name="Normal 2 2 2 29" xfId="5210"/>
    <cellStyle name="Normal 2 2 2 29 2" xfId="5211"/>
    <cellStyle name="Normal 2 2 2 29 2 2" xfId="5212"/>
    <cellStyle name="Normal 2 2 2 29 2 2 2" xfId="5213"/>
    <cellStyle name="Normal 2 2 2 29 2 2 2 2" xfId="35296"/>
    <cellStyle name="Normal 2 2 2 29 2 2 3" xfId="35297"/>
    <cellStyle name="Normal 2 2 2 29 2 3" xfId="5214"/>
    <cellStyle name="Normal 2 2 2 29 2 3 2" xfId="35298"/>
    <cellStyle name="Normal 2 2 2 29 2 4" xfId="35299"/>
    <cellStyle name="Normal 2 2 2 29 3" xfId="5215"/>
    <cellStyle name="Normal 2 2 2 29 3 2" xfId="5216"/>
    <cellStyle name="Normal 2 2 2 29 3 2 2" xfId="5217"/>
    <cellStyle name="Normal 2 2 2 29 3 2 2 2" xfId="35300"/>
    <cellStyle name="Normal 2 2 2 29 3 2 3" xfId="35301"/>
    <cellStyle name="Normal 2 2 2 29 3 3" xfId="5218"/>
    <cellStyle name="Normal 2 2 2 29 3 3 2" xfId="35302"/>
    <cellStyle name="Normal 2 2 2 29 3 4" xfId="35303"/>
    <cellStyle name="Normal 2 2 2 29 4" xfId="5219"/>
    <cellStyle name="Normal 2 2 2 29 4 2" xfId="5220"/>
    <cellStyle name="Normal 2 2 2 29 4 2 2" xfId="5221"/>
    <cellStyle name="Normal 2 2 2 29 4 2 2 2" xfId="35304"/>
    <cellStyle name="Normal 2 2 2 29 4 2 3" xfId="35305"/>
    <cellStyle name="Normal 2 2 2 29 4 3" xfId="5222"/>
    <cellStyle name="Normal 2 2 2 29 4 3 2" xfId="35306"/>
    <cellStyle name="Normal 2 2 2 29 4 4" xfId="35307"/>
    <cellStyle name="Normal 2 2 2 29 5" xfId="5223"/>
    <cellStyle name="Normal 2 2 2 29 5 2" xfId="5224"/>
    <cellStyle name="Normal 2 2 2 29 5 2 2" xfId="35308"/>
    <cellStyle name="Normal 2 2 2 29 5 3" xfId="35309"/>
    <cellStyle name="Normal 2 2 2 29 6" xfId="5225"/>
    <cellStyle name="Normal 2 2 2 29 6 2" xfId="35310"/>
    <cellStyle name="Normal 2 2 2 29 7" xfId="5226"/>
    <cellStyle name="Normal 2 2 2 29 7 2" xfId="35311"/>
    <cellStyle name="Normal 2 2 2 29 8" xfId="35312"/>
    <cellStyle name="Normal 2 2 2 3" xfId="5227"/>
    <cellStyle name="Normal 2 2 2 3 2" xfId="5228"/>
    <cellStyle name="Normal 2 2 2 3 2 2" xfId="5229"/>
    <cellStyle name="Normal 2 2 2 3 2 2 2" xfId="5230"/>
    <cellStyle name="Normal 2 2 2 3 2 2 2 2" xfId="35313"/>
    <cellStyle name="Normal 2 2 2 3 2 2 3" xfId="35314"/>
    <cellStyle name="Normal 2 2 2 3 2 3" xfId="5231"/>
    <cellStyle name="Normal 2 2 2 3 2 3 2" xfId="35315"/>
    <cellStyle name="Normal 2 2 2 3 2 4" xfId="35316"/>
    <cellStyle name="Normal 2 2 2 3 3" xfId="5232"/>
    <cellStyle name="Normal 2 2 2 3 3 2" xfId="5233"/>
    <cellStyle name="Normal 2 2 2 3 3 2 2" xfId="5234"/>
    <cellStyle name="Normal 2 2 2 3 3 2 2 2" xfId="35317"/>
    <cellStyle name="Normal 2 2 2 3 3 2 3" xfId="35318"/>
    <cellStyle name="Normal 2 2 2 3 3 3" xfId="5235"/>
    <cellStyle name="Normal 2 2 2 3 3 3 2" xfId="35319"/>
    <cellStyle name="Normal 2 2 2 3 3 4" xfId="35320"/>
    <cellStyle name="Normal 2 2 2 3 4" xfId="5236"/>
    <cellStyle name="Normal 2 2 2 3 4 2" xfId="5237"/>
    <cellStyle name="Normal 2 2 2 3 4 2 2" xfId="5238"/>
    <cellStyle name="Normal 2 2 2 3 4 2 2 2" xfId="35321"/>
    <cellStyle name="Normal 2 2 2 3 4 2 3" xfId="35322"/>
    <cellStyle name="Normal 2 2 2 3 4 3" xfId="5239"/>
    <cellStyle name="Normal 2 2 2 3 4 3 2" xfId="35323"/>
    <cellStyle name="Normal 2 2 2 3 4 4" xfId="35324"/>
    <cellStyle name="Normal 2 2 2 3 5" xfId="5240"/>
    <cellStyle name="Normal 2 2 2 3 5 2" xfId="5241"/>
    <cellStyle name="Normal 2 2 2 3 5 2 2" xfId="35325"/>
    <cellStyle name="Normal 2 2 2 3 5 3" xfId="35326"/>
    <cellStyle name="Normal 2 2 2 3 6" xfId="5242"/>
    <cellStyle name="Normal 2 2 2 3 6 2" xfId="35327"/>
    <cellStyle name="Normal 2 2 2 3 7" xfId="5243"/>
    <cellStyle name="Normal 2 2 2 3 7 2" xfId="35328"/>
    <cellStyle name="Normal 2 2 2 3 8" xfId="35329"/>
    <cellStyle name="Normal 2 2 2 30" xfId="5244"/>
    <cellStyle name="Normal 2 2 2 30 2" xfId="5245"/>
    <cellStyle name="Normal 2 2 2 30 2 2" xfId="5246"/>
    <cellStyle name="Normal 2 2 2 30 2 2 2" xfId="35330"/>
    <cellStyle name="Normal 2 2 2 30 2 3" xfId="35331"/>
    <cellStyle name="Normal 2 2 2 30 3" xfId="5247"/>
    <cellStyle name="Normal 2 2 2 30 3 2" xfId="35332"/>
    <cellStyle name="Normal 2 2 2 30 4" xfId="35333"/>
    <cellStyle name="Normal 2 2 2 31" xfId="5248"/>
    <cellStyle name="Normal 2 2 2 31 2" xfId="5249"/>
    <cellStyle name="Normal 2 2 2 31 2 2" xfId="5250"/>
    <cellStyle name="Normal 2 2 2 31 2 2 2" xfId="35334"/>
    <cellStyle name="Normal 2 2 2 31 2 3" xfId="35335"/>
    <cellStyle name="Normal 2 2 2 31 3" xfId="5251"/>
    <cellStyle name="Normal 2 2 2 31 3 2" xfId="35336"/>
    <cellStyle name="Normal 2 2 2 31 4" xfId="35337"/>
    <cellStyle name="Normal 2 2 2 32" xfId="5252"/>
    <cellStyle name="Normal 2 2 2 32 2" xfId="5253"/>
    <cellStyle name="Normal 2 2 2 32 2 2" xfId="5254"/>
    <cellStyle name="Normal 2 2 2 32 2 2 2" xfId="35338"/>
    <cellStyle name="Normal 2 2 2 32 2 3" xfId="35339"/>
    <cellStyle name="Normal 2 2 2 32 3" xfId="5255"/>
    <cellStyle name="Normal 2 2 2 32 3 2" xfId="35340"/>
    <cellStyle name="Normal 2 2 2 32 4" xfId="35341"/>
    <cellStyle name="Normal 2 2 2 33" xfId="5256"/>
    <cellStyle name="Normal 2 2 2 33 2" xfId="5257"/>
    <cellStyle name="Normal 2 2 2 33 2 2" xfId="35342"/>
    <cellStyle name="Normal 2 2 2 33 3" xfId="35343"/>
    <cellStyle name="Normal 2 2 2 34" xfId="5258"/>
    <cellStyle name="Normal 2 2 2 34 2" xfId="35344"/>
    <cellStyle name="Normal 2 2 2 35" xfId="5259"/>
    <cellStyle name="Normal 2 2 2 35 2" xfId="35345"/>
    <cellStyle name="Normal 2 2 2 36" xfId="35346"/>
    <cellStyle name="Normal 2 2 2 4" xfId="5260"/>
    <cellStyle name="Normal 2 2 2 4 2" xfId="5261"/>
    <cellStyle name="Normal 2 2 2 4 2 2" xfId="5262"/>
    <cellStyle name="Normal 2 2 2 4 2 2 2" xfId="5263"/>
    <cellStyle name="Normal 2 2 2 4 2 2 2 2" xfId="35347"/>
    <cellStyle name="Normal 2 2 2 4 2 2 3" xfId="35348"/>
    <cellStyle name="Normal 2 2 2 4 2 3" xfId="5264"/>
    <cellStyle name="Normal 2 2 2 4 2 3 2" xfId="35349"/>
    <cellStyle name="Normal 2 2 2 4 2 4" xfId="35350"/>
    <cellStyle name="Normal 2 2 2 4 3" xfId="5265"/>
    <cellStyle name="Normal 2 2 2 4 3 2" xfId="5266"/>
    <cellStyle name="Normal 2 2 2 4 3 2 2" xfId="5267"/>
    <cellStyle name="Normal 2 2 2 4 3 2 2 2" xfId="35351"/>
    <cellStyle name="Normal 2 2 2 4 3 2 3" xfId="35352"/>
    <cellStyle name="Normal 2 2 2 4 3 3" xfId="5268"/>
    <cellStyle name="Normal 2 2 2 4 3 3 2" xfId="35353"/>
    <cellStyle name="Normal 2 2 2 4 3 4" xfId="35354"/>
    <cellStyle name="Normal 2 2 2 4 4" xfId="5269"/>
    <cellStyle name="Normal 2 2 2 4 4 2" xfId="5270"/>
    <cellStyle name="Normal 2 2 2 4 4 2 2" xfId="5271"/>
    <cellStyle name="Normal 2 2 2 4 4 2 2 2" xfId="35355"/>
    <cellStyle name="Normal 2 2 2 4 4 2 3" xfId="35356"/>
    <cellStyle name="Normal 2 2 2 4 4 3" xfId="5272"/>
    <cellStyle name="Normal 2 2 2 4 4 3 2" xfId="35357"/>
    <cellStyle name="Normal 2 2 2 4 4 4" xfId="35358"/>
    <cellStyle name="Normal 2 2 2 4 5" xfId="5273"/>
    <cellStyle name="Normal 2 2 2 4 5 2" xfId="5274"/>
    <cellStyle name="Normal 2 2 2 4 5 2 2" xfId="35359"/>
    <cellStyle name="Normal 2 2 2 4 5 3" xfId="35360"/>
    <cellStyle name="Normal 2 2 2 4 6" xfId="5275"/>
    <cellStyle name="Normal 2 2 2 4 6 2" xfId="35361"/>
    <cellStyle name="Normal 2 2 2 4 7" xfId="5276"/>
    <cellStyle name="Normal 2 2 2 4 7 2" xfId="35362"/>
    <cellStyle name="Normal 2 2 2 4 8" xfId="35363"/>
    <cellStyle name="Normal 2 2 2 5" xfId="5277"/>
    <cellStyle name="Normal 2 2 2 5 2" xfId="5278"/>
    <cellStyle name="Normal 2 2 2 5 2 2" xfId="5279"/>
    <cellStyle name="Normal 2 2 2 5 2 2 2" xfId="5280"/>
    <cellStyle name="Normal 2 2 2 5 2 2 2 2" xfId="35364"/>
    <cellStyle name="Normal 2 2 2 5 2 2 3" xfId="35365"/>
    <cellStyle name="Normal 2 2 2 5 2 3" xfId="5281"/>
    <cellStyle name="Normal 2 2 2 5 2 3 2" xfId="35366"/>
    <cellStyle name="Normal 2 2 2 5 2 4" xfId="35367"/>
    <cellStyle name="Normal 2 2 2 5 3" xfId="5282"/>
    <cellStyle name="Normal 2 2 2 5 3 2" xfId="5283"/>
    <cellStyle name="Normal 2 2 2 5 3 2 2" xfId="5284"/>
    <cellStyle name="Normal 2 2 2 5 3 2 2 2" xfId="35368"/>
    <cellStyle name="Normal 2 2 2 5 3 2 3" xfId="35369"/>
    <cellStyle name="Normal 2 2 2 5 3 3" xfId="5285"/>
    <cellStyle name="Normal 2 2 2 5 3 3 2" xfId="35370"/>
    <cellStyle name="Normal 2 2 2 5 3 4" xfId="35371"/>
    <cellStyle name="Normal 2 2 2 5 4" xfId="5286"/>
    <cellStyle name="Normal 2 2 2 5 4 2" xfId="5287"/>
    <cellStyle name="Normal 2 2 2 5 4 2 2" xfId="5288"/>
    <cellStyle name="Normal 2 2 2 5 4 2 2 2" xfId="35372"/>
    <cellStyle name="Normal 2 2 2 5 4 2 3" xfId="35373"/>
    <cellStyle name="Normal 2 2 2 5 4 3" xfId="5289"/>
    <cellStyle name="Normal 2 2 2 5 4 3 2" xfId="35374"/>
    <cellStyle name="Normal 2 2 2 5 4 4" xfId="35375"/>
    <cellStyle name="Normal 2 2 2 5 5" xfId="5290"/>
    <cellStyle name="Normal 2 2 2 5 5 2" xfId="5291"/>
    <cellStyle name="Normal 2 2 2 5 5 2 2" xfId="35376"/>
    <cellStyle name="Normal 2 2 2 5 5 3" xfId="35377"/>
    <cellStyle name="Normal 2 2 2 5 6" xfId="5292"/>
    <cellStyle name="Normal 2 2 2 5 6 2" xfId="35378"/>
    <cellStyle name="Normal 2 2 2 5 7" xfId="5293"/>
    <cellStyle name="Normal 2 2 2 5 7 2" xfId="35379"/>
    <cellStyle name="Normal 2 2 2 5 8" xfId="35380"/>
    <cellStyle name="Normal 2 2 2 6" xfId="5294"/>
    <cellStyle name="Normal 2 2 2 6 2" xfId="5295"/>
    <cellStyle name="Normal 2 2 2 6 2 2" xfId="5296"/>
    <cellStyle name="Normal 2 2 2 6 2 2 2" xfId="5297"/>
    <cellStyle name="Normal 2 2 2 6 2 2 2 2" xfId="35381"/>
    <cellStyle name="Normal 2 2 2 6 2 2 3" xfId="35382"/>
    <cellStyle name="Normal 2 2 2 6 2 3" xfId="5298"/>
    <cellStyle name="Normal 2 2 2 6 2 3 2" xfId="35383"/>
    <cellStyle name="Normal 2 2 2 6 2 4" xfId="35384"/>
    <cellStyle name="Normal 2 2 2 6 3" xfId="5299"/>
    <cellStyle name="Normal 2 2 2 6 3 2" xfId="5300"/>
    <cellStyle name="Normal 2 2 2 6 3 2 2" xfId="5301"/>
    <cellStyle name="Normal 2 2 2 6 3 2 2 2" xfId="35385"/>
    <cellStyle name="Normal 2 2 2 6 3 2 3" xfId="35386"/>
    <cellStyle name="Normal 2 2 2 6 3 3" xfId="5302"/>
    <cellStyle name="Normal 2 2 2 6 3 3 2" xfId="35387"/>
    <cellStyle name="Normal 2 2 2 6 3 4" xfId="35388"/>
    <cellStyle name="Normal 2 2 2 6 4" xfId="5303"/>
    <cellStyle name="Normal 2 2 2 6 4 2" xfId="5304"/>
    <cellStyle name="Normal 2 2 2 6 4 2 2" xfId="5305"/>
    <cellStyle name="Normal 2 2 2 6 4 2 2 2" xfId="35389"/>
    <cellStyle name="Normal 2 2 2 6 4 2 3" xfId="35390"/>
    <cellStyle name="Normal 2 2 2 6 4 3" xfId="5306"/>
    <cellStyle name="Normal 2 2 2 6 4 3 2" xfId="35391"/>
    <cellStyle name="Normal 2 2 2 6 4 4" xfId="35392"/>
    <cellStyle name="Normal 2 2 2 6 5" xfId="5307"/>
    <cellStyle name="Normal 2 2 2 6 5 2" xfId="5308"/>
    <cellStyle name="Normal 2 2 2 6 5 2 2" xfId="35393"/>
    <cellStyle name="Normal 2 2 2 6 5 3" xfId="35394"/>
    <cellStyle name="Normal 2 2 2 6 6" xfId="5309"/>
    <cellStyle name="Normal 2 2 2 6 6 2" xfId="35395"/>
    <cellStyle name="Normal 2 2 2 6 7" xfId="5310"/>
    <cellStyle name="Normal 2 2 2 6 7 2" xfId="35396"/>
    <cellStyle name="Normal 2 2 2 6 8" xfId="35397"/>
    <cellStyle name="Normal 2 2 2 7" xfId="5311"/>
    <cellStyle name="Normal 2 2 2 7 2" xfId="5312"/>
    <cellStyle name="Normal 2 2 2 7 2 2" xfId="5313"/>
    <cellStyle name="Normal 2 2 2 7 2 2 2" xfId="5314"/>
    <cellStyle name="Normal 2 2 2 7 2 2 2 2" xfId="35398"/>
    <cellStyle name="Normal 2 2 2 7 2 2 3" xfId="35399"/>
    <cellStyle name="Normal 2 2 2 7 2 3" xfId="5315"/>
    <cellStyle name="Normal 2 2 2 7 2 3 2" xfId="35400"/>
    <cellStyle name="Normal 2 2 2 7 2 4" xfId="35401"/>
    <cellStyle name="Normal 2 2 2 7 3" xfId="5316"/>
    <cellStyle name="Normal 2 2 2 7 3 2" xfId="5317"/>
    <cellStyle name="Normal 2 2 2 7 3 2 2" xfId="5318"/>
    <cellStyle name="Normal 2 2 2 7 3 2 2 2" xfId="35402"/>
    <cellStyle name="Normal 2 2 2 7 3 2 3" xfId="35403"/>
    <cellStyle name="Normal 2 2 2 7 3 3" xfId="5319"/>
    <cellStyle name="Normal 2 2 2 7 3 3 2" xfId="35404"/>
    <cellStyle name="Normal 2 2 2 7 3 4" xfId="35405"/>
    <cellStyle name="Normal 2 2 2 7 4" xfId="5320"/>
    <cellStyle name="Normal 2 2 2 7 4 2" xfId="5321"/>
    <cellStyle name="Normal 2 2 2 7 4 2 2" xfId="5322"/>
    <cellStyle name="Normal 2 2 2 7 4 2 2 2" xfId="35406"/>
    <cellStyle name="Normal 2 2 2 7 4 2 3" xfId="35407"/>
    <cellStyle name="Normal 2 2 2 7 4 3" xfId="5323"/>
    <cellStyle name="Normal 2 2 2 7 4 3 2" xfId="35408"/>
    <cellStyle name="Normal 2 2 2 7 4 4" xfId="35409"/>
    <cellStyle name="Normal 2 2 2 7 5" xfId="5324"/>
    <cellStyle name="Normal 2 2 2 7 5 2" xfId="5325"/>
    <cellStyle name="Normal 2 2 2 7 5 2 2" xfId="35410"/>
    <cellStyle name="Normal 2 2 2 7 5 3" xfId="35411"/>
    <cellStyle name="Normal 2 2 2 7 6" xfId="5326"/>
    <cellStyle name="Normal 2 2 2 7 6 2" xfId="35412"/>
    <cellStyle name="Normal 2 2 2 7 7" xfId="5327"/>
    <cellStyle name="Normal 2 2 2 7 7 2" xfId="35413"/>
    <cellStyle name="Normal 2 2 2 7 8" xfId="35414"/>
    <cellStyle name="Normal 2 2 2 8" xfId="5328"/>
    <cellStyle name="Normal 2 2 2 8 2" xfId="5329"/>
    <cellStyle name="Normal 2 2 2 8 2 2" xfId="5330"/>
    <cellStyle name="Normal 2 2 2 8 2 2 2" xfId="5331"/>
    <cellStyle name="Normal 2 2 2 8 2 2 2 2" xfId="35415"/>
    <cellStyle name="Normal 2 2 2 8 2 2 3" xfId="35416"/>
    <cellStyle name="Normal 2 2 2 8 2 3" xfId="5332"/>
    <cellStyle name="Normal 2 2 2 8 2 3 2" xfId="35417"/>
    <cellStyle name="Normal 2 2 2 8 2 4" xfId="35418"/>
    <cellStyle name="Normal 2 2 2 8 3" xfId="5333"/>
    <cellStyle name="Normal 2 2 2 8 3 2" xfId="5334"/>
    <cellStyle name="Normal 2 2 2 8 3 2 2" xfId="5335"/>
    <cellStyle name="Normal 2 2 2 8 3 2 2 2" xfId="35419"/>
    <cellStyle name="Normal 2 2 2 8 3 2 3" xfId="35420"/>
    <cellStyle name="Normal 2 2 2 8 3 3" xfId="5336"/>
    <cellStyle name="Normal 2 2 2 8 3 3 2" xfId="35421"/>
    <cellStyle name="Normal 2 2 2 8 3 4" xfId="35422"/>
    <cellStyle name="Normal 2 2 2 8 4" xfId="5337"/>
    <cellStyle name="Normal 2 2 2 8 4 2" xfId="5338"/>
    <cellStyle name="Normal 2 2 2 8 4 2 2" xfId="5339"/>
    <cellStyle name="Normal 2 2 2 8 4 2 2 2" xfId="35423"/>
    <cellStyle name="Normal 2 2 2 8 4 2 3" xfId="35424"/>
    <cellStyle name="Normal 2 2 2 8 4 3" xfId="5340"/>
    <cellStyle name="Normal 2 2 2 8 4 3 2" xfId="35425"/>
    <cellStyle name="Normal 2 2 2 8 4 4" xfId="35426"/>
    <cellStyle name="Normal 2 2 2 8 5" xfId="5341"/>
    <cellStyle name="Normal 2 2 2 8 5 2" xfId="5342"/>
    <cellStyle name="Normal 2 2 2 8 5 2 2" xfId="35427"/>
    <cellStyle name="Normal 2 2 2 8 5 3" xfId="35428"/>
    <cellStyle name="Normal 2 2 2 8 6" xfId="5343"/>
    <cellStyle name="Normal 2 2 2 8 6 2" xfId="35429"/>
    <cellStyle name="Normal 2 2 2 8 7" xfId="5344"/>
    <cellStyle name="Normal 2 2 2 8 7 2" xfId="35430"/>
    <cellStyle name="Normal 2 2 2 8 8" xfId="35431"/>
    <cellStyle name="Normal 2 2 2 9" xfId="5345"/>
    <cellStyle name="Normal 2 2 2 9 2" xfId="5346"/>
    <cellStyle name="Normal 2 2 2 9 2 2" xfId="5347"/>
    <cellStyle name="Normal 2 2 2 9 2 2 2" xfId="5348"/>
    <cellStyle name="Normal 2 2 2 9 2 2 2 2" xfId="35432"/>
    <cellStyle name="Normal 2 2 2 9 2 2 3" xfId="35433"/>
    <cellStyle name="Normal 2 2 2 9 2 3" xfId="5349"/>
    <cellStyle name="Normal 2 2 2 9 2 3 2" xfId="35434"/>
    <cellStyle name="Normal 2 2 2 9 2 4" xfId="35435"/>
    <cellStyle name="Normal 2 2 2 9 3" xfId="5350"/>
    <cellStyle name="Normal 2 2 2 9 3 2" xfId="5351"/>
    <cellStyle name="Normal 2 2 2 9 3 2 2" xfId="5352"/>
    <cellStyle name="Normal 2 2 2 9 3 2 2 2" xfId="35436"/>
    <cellStyle name="Normal 2 2 2 9 3 2 3" xfId="35437"/>
    <cellStyle name="Normal 2 2 2 9 3 3" xfId="5353"/>
    <cellStyle name="Normal 2 2 2 9 3 3 2" xfId="35438"/>
    <cellStyle name="Normal 2 2 2 9 3 4" xfId="35439"/>
    <cellStyle name="Normal 2 2 2 9 4" xfId="5354"/>
    <cellStyle name="Normal 2 2 2 9 4 2" xfId="5355"/>
    <cellStyle name="Normal 2 2 2 9 4 2 2" xfId="5356"/>
    <cellStyle name="Normal 2 2 2 9 4 2 2 2" xfId="35440"/>
    <cellStyle name="Normal 2 2 2 9 4 2 3" xfId="35441"/>
    <cellStyle name="Normal 2 2 2 9 4 3" xfId="5357"/>
    <cellStyle name="Normal 2 2 2 9 4 3 2" xfId="35442"/>
    <cellStyle name="Normal 2 2 2 9 4 4" xfId="35443"/>
    <cellStyle name="Normal 2 2 2 9 5" xfId="5358"/>
    <cellStyle name="Normal 2 2 2 9 5 2" xfId="5359"/>
    <cellStyle name="Normal 2 2 2 9 5 2 2" xfId="35444"/>
    <cellStyle name="Normal 2 2 2 9 5 3" xfId="35445"/>
    <cellStyle name="Normal 2 2 2 9 6" xfId="5360"/>
    <cellStyle name="Normal 2 2 2 9 6 2" xfId="35446"/>
    <cellStyle name="Normal 2 2 2 9 7" xfId="5361"/>
    <cellStyle name="Normal 2 2 2 9 7 2" xfId="35447"/>
    <cellStyle name="Normal 2 2 2 9 8" xfId="35448"/>
    <cellStyle name="Normal 2 2 20" xfId="5362"/>
    <cellStyle name="Normal 2 2 20 2" xfId="5363"/>
    <cellStyle name="Normal 2 2 20 2 2" xfId="5364"/>
    <cellStyle name="Normal 2 2 20 2 2 2" xfId="5365"/>
    <cellStyle name="Normal 2 2 20 2 2 2 2" xfId="35449"/>
    <cellStyle name="Normal 2 2 20 2 2 3" xfId="35450"/>
    <cellStyle name="Normal 2 2 20 2 3" xfId="5366"/>
    <cellStyle name="Normal 2 2 20 2 3 2" xfId="35451"/>
    <cellStyle name="Normal 2 2 20 2 4" xfId="35452"/>
    <cellStyle name="Normal 2 2 20 3" xfId="5367"/>
    <cellStyle name="Normal 2 2 20 3 2" xfId="5368"/>
    <cellStyle name="Normal 2 2 20 3 2 2" xfId="5369"/>
    <cellStyle name="Normal 2 2 20 3 2 2 2" xfId="35453"/>
    <cellStyle name="Normal 2 2 20 3 2 3" xfId="35454"/>
    <cellStyle name="Normal 2 2 20 3 3" xfId="5370"/>
    <cellStyle name="Normal 2 2 20 3 3 2" xfId="35455"/>
    <cellStyle name="Normal 2 2 20 3 4" xfId="35456"/>
    <cellStyle name="Normal 2 2 20 4" xfId="5371"/>
    <cellStyle name="Normal 2 2 20 4 2" xfId="5372"/>
    <cellStyle name="Normal 2 2 20 4 2 2" xfId="5373"/>
    <cellStyle name="Normal 2 2 20 4 2 2 2" xfId="35457"/>
    <cellStyle name="Normal 2 2 20 4 2 3" xfId="35458"/>
    <cellStyle name="Normal 2 2 20 4 3" xfId="5374"/>
    <cellStyle name="Normal 2 2 20 4 3 2" xfId="35459"/>
    <cellStyle name="Normal 2 2 20 4 4" xfId="35460"/>
    <cellStyle name="Normal 2 2 20 5" xfId="5375"/>
    <cellStyle name="Normal 2 2 20 5 2" xfId="5376"/>
    <cellStyle name="Normal 2 2 20 5 2 2" xfId="35461"/>
    <cellStyle name="Normal 2 2 20 5 3" xfId="35462"/>
    <cellStyle name="Normal 2 2 20 6" xfId="5377"/>
    <cellStyle name="Normal 2 2 20 6 2" xfId="35463"/>
    <cellStyle name="Normal 2 2 20 7" xfId="5378"/>
    <cellStyle name="Normal 2 2 20 7 2" xfId="35464"/>
    <cellStyle name="Normal 2 2 20 8" xfId="35465"/>
    <cellStyle name="Normal 2 2 21" xfId="5379"/>
    <cellStyle name="Normal 2 2 21 2" xfId="5380"/>
    <cellStyle name="Normal 2 2 21 2 2" xfId="5381"/>
    <cellStyle name="Normal 2 2 21 2 2 2" xfId="5382"/>
    <cellStyle name="Normal 2 2 21 2 2 2 2" xfId="35466"/>
    <cellStyle name="Normal 2 2 21 2 2 3" xfId="35467"/>
    <cellStyle name="Normal 2 2 21 2 3" xfId="5383"/>
    <cellStyle name="Normal 2 2 21 2 3 2" xfId="35468"/>
    <cellStyle name="Normal 2 2 21 2 4" xfId="35469"/>
    <cellStyle name="Normal 2 2 21 3" xfId="5384"/>
    <cellStyle name="Normal 2 2 21 3 2" xfId="5385"/>
    <cellStyle name="Normal 2 2 21 3 2 2" xfId="5386"/>
    <cellStyle name="Normal 2 2 21 3 2 2 2" xfId="35470"/>
    <cellStyle name="Normal 2 2 21 3 2 3" xfId="35471"/>
    <cellStyle name="Normal 2 2 21 3 3" xfId="5387"/>
    <cellStyle name="Normal 2 2 21 3 3 2" xfId="35472"/>
    <cellStyle name="Normal 2 2 21 3 4" xfId="35473"/>
    <cellStyle name="Normal 2 2 21 4" xfId="5388"/>
    <cellStyle name="Normal 2 2 21 4 2" xfId="5389"/>
    <cellStyle name="Normal 2 2 21 4 2 2" xfId="5390"/>
    <cellStyle name="Normal 2 2 21 4 2 2 2" xfId="35474"/>
    <cellStyle name="Normal 2 2 21 4 2 3" xfId="35475"/>
    <cellStyle name="Normal 2 2 21 4 3" xfId="5391"/>
    <cellStyle name="Normal 2 2 21 4 3 2" xfId="35476"/>
    <cellStyle name="Normal 2 2 21 4 4" xfId="35477"/>
    <cellStyle name="Normal 2 2 21 5" xfId="5392"/>
    <cellStyle name="Normal 2 2 21 5 2" xfId="5393"/>
    <cellStyle name="Normal 2 2 21 5 2 2" xfId="35478"/>
    <cellStyle name="Normal 2 2 21 5 3" xfId="35479"/>
    <cellStyle name="Normal 2 2 21 6" xfId="5394"/>
    <cellStyle name="Normal 2 2 21 6 2" xfId="35480"/>
    <cellStyle name="Normal 2 2 21 7" xfId="5395"/>
    <cellStyle name="Normal 2 2 21 7 2" xfId="35481"/>
    <cellStyle name="Normal 2 2 21 8" xfId="35482"/>
    <cellStyle name="Normal 2 2 22" xfId="5396"/>
    <cellStyle name="Normal 2 2 22 2" xfId="5397"/>
    <cellStyle name="Normal 2 2 22 2 2" xfId="5398"/>
    <cellStyle name="Normal 2 2 22 2 2 2" xfId="5399"/>
    <cellStyle name="Normal 2 2 22 2 2 2 2" xfId="35483"/>
    <cellStyle name="Normal 2 2 22 2 2 3" xfId="35484"/>
    <cellStyle name="Normal 2 2 22 2 3" xfId="5400"/>
    <cellStyle name="Normal 2 2 22 2 3 2" xfId="35485"/>
    <cellStyle name="Normal 2 2 22 2 4" xfId="35486"/>
    <cellStyle name="Normal 2 2 22 3" xfId="5401"/>
    <cellStyle name="Normal 2 2 22 3 2" xfId="5402"/>
    <cellStyle name="Normal 2 2 22 3 2 2" xfId="5403"/>
    <cellStyle name="Normal 2 2 22 3 2 2 2" xfId="35487"/>
    <cellStyle name="Normal 2 2 22 3 2 3" xfId="35488"/>
    <cellStyle name="Normal 2 2 22 3 3" xfId="5404"/>
    <cellStyle name="Normal 2 2 22 3 3 2" xfId="35489"/>
    <cellStyle name="Normal 2 2 22 3 4" xfId="35490"/>
    <cellStyle name="Normal 2 2 22 4" xfId="5405"/>
    <cellStyle name="Normal 2 2 22 4 2" xfId="5406"/>
    <cellStyle name="Normal 2 2 22 4 2 2" xfId="5407"/>
    <cellStyle name="Normal 2 2 22 4 2 2 2" xfId="35491"/>
    <cellStyle name="Normal 2 2 22 4 2 3" xfId="35492"/>
    <cellStyle name="Normal 2 2 22 4 3" xfId="5408"/>
    <cellStyle name="Normal 2 2 22 4 3 2" xfId="35493"/>
    <cellStyle name="Normal 2 2 22 4 4" xfId="35494"/>
    <cellStyle name="Normal 2 2 22 5" xfId="5409"/>
    <cellStyle name="Normal 2 2 22 5 2" xfId="5410"/>
    <cellStyle name="Normal 2 2 22 5 2 2" xfId="35495"/>
    <cellStyle name="Normal 2 2 22 5 3" xfId="35496"/>
    <cellStyle name="Normal 2 2 22 6" xfId="5411"/>
    <cellStyle name="Normal 2 2 22 6 2" xfId="35497"/>
    <cellStyle name="Normal 2 2 22 7" xfId="5412"/>
    <cellStyle name="Normal 2 2 22 7 2" xfId="35498"/>
    <cellStyle name="Normal 2 2 22 8" xfId="35499"/>
    <cellStyle name="Normal 2 2 23" xfId="5413"/>
    <cellStyle name="Normal 2 2 23 2" xfId="5414"/>
    <cellStyle name="Normal 2 2 23 2 2" xfId="5415"/>
    <cellStyle name="Normal 2 2 23 2 2 2" xfId="5416"/>
    <cellStyle name="Normal 2 2 23 2 2 2 2" xfId="35500"/>
    <cellStyle name="Normal 2 2 23 2 2 3" xfId="35501"/>
    <cellStyle name="Normal 2 2 23 2 3" xfId="5417"/>
    <cellStyle name="Normal 2 2 23 2 3 2" xfId="35502"/>
    <cellStyle name="Normal 2 2 23 2 4" xfId="35503"/>
    <cellStyle name="Normal 2 2 23 3" xfId="5418"/>
    <cellStyle name="Normal 2 2 23 3 2" xfId="5419"/>
    <cellStyle name="Normal 2 2 23 3 2 2" xfId="5420"/>
    <cellStyle name="Normal 2 2 23 3 2 2 2" xfId="35504"/>
    <cellStyle name="Normal 2 2 23 3 2 3" xfId="35505"/>
    <cellStyle name="Normal 2 2 23 3 3" xfId="5421"/>
    <cellStyle name="Normal 2 2 23 3 3 2" xfId="35506"/>
    <cellStyle name="Normal 2 2 23 3 4" xfId="35507"/>
    <cellStyle name="Normal 2 2 23 4" xfId="5422"/>
    <cellStyle name="Normal 2 2 23 4 2" xfId="5423"/>
    <cellStyle name="Normal 2 2 23 4 2 2" xfId="5424"/>
    <cellStyle name="Normal 2 2 23 4 2 2 2" xfId="35508"/>
    <cellStyle name="Normal 2 2 23 4 2 3" xfId="35509"/>
    <cellStyle name="Normal 2 2 23 4 3" xfId="5425"/>
    <cellStyle name="Normal 2 2 23 4 3 2" xfId="35510"/>
    <cellStyle name="Normal 2 2 23 4 4" xfId="35511"/>
    <cellStyle name="Normal 2 2 23 5" xfId="5426"/>
    <cellStyle name="Normal 2 2 23 5 2" xfId="5427"/>
    <cellStyle name="Normal 2 2 23 5 2 2" xfId="35512"/>
    <cellStyle name="Normal 2 2 23 5 3" xfId="35513"/>
    <cellStyle name="Normal 2 2 23 6" xfId="5428"/>
    <cellStyle name="Normal 2 2 23 6 2" xfId="35514"/>
    <cellStyle name="Normal 2 2 23 7" xfId="5429"/>
    <cellStyle name="Normal 2 2 23 7 2" xfId="35515"/>
    <cellStyle name="Normal 2 2 23 8" xfId="35516"/>
    <cellStyle name="Normal 2 2 24" xfId="5430"/>
    <cellStyle name="Normal 2 2 24 2" xfId="5431"/>
    <cellStyle name="Normal 2 2 24 2 2" xfId="5432"/>
    <cellStyle name="Normal 2 2 24 2 2 2" xfId="5433"/>
    <cellStyle name="Normal 2 2 24 2 2 2 2" xfId="35517"/>
    <cellStyle name="Normal 2 2 24 2 2 3" xfId="35518"/>
    <cellStyle name="Normal 2 2 24 2 3" xfId="5434"/>
    <cellStyle name="Normal 2 2 24 2 3 2" xfId="35519"/>
    <cellStyle name="Normal 2 2 24 2 4" xfId="35520"/>
    <cellStyle name="Normal 2 2 24 3" xfId="5435"/>
    <cellStyle name="Normal 2 2 24 3 2" xfId="5436"/>
    <cellStyle name="Normal 2 2 24 3 2 2" xfId="5437"/>
    <cellStyle name="Normal 2 2 24 3 2 2 2" xfId="35521"/>
    <cellStyle name="Normal 2 2 24 3 2 3" xfId="35522"/>
    <cellStyle name="Normal 2 2 24 3 3" xfId="5438"/>
    <cellStyle name="Normal 2 2 24 3 3 2" xfId="35523"/>
    <cellStyle name="Normal 2 2 24 3 4" xfId="35524"/>
    <cellStyle name="Normal 2 2 24 4" xfId="5439"/>
    <cellStyle name="Normal 2 2 24 4 2" xfId="5440"/>
    <cellStyle name="Normal 2 2 24 4 2 2" xfId="5441"/>
    <cellStyle name="Normal 2 2 24 4 2 2 2" xfId="35525"/>
    <cellStyle name="Normal 2 2 24 4 2 3" xfId="35526"/>
    <cellStyle name="Normal 2 2 24 4 3" xfId="5442"/>
    <cellStyle name="Normal 2 2 24 4 3 2" xfId="35527"/>
    <cellStyle name="Normal 2 2 24 4 4" xfId="35528"/>
    <cellStyle name="Normal 2 2 24 5" xfId="5443"/>
    <cellStyle name="Normal 2 2 24 5 2" xfId="5444"/>
    <cellStyle name="Normal 2 2 24 5 2 2" xfId="35529"/>
    <cellStyle name="Normal 2 2 24 5 3" xfId="35530"/>
    <cellStyle name="Normal 2 2 24 6" xfId="5445"/>
    <cellStyle name="Normal 2 2 24 6 2" xfId="35531"/>
    <cellStyle name="Normal 2 2 24 7" xfId="5446"/>
    <cellStyle name="Normal 2 2 24 7 2" xfId="35532"/>
    <cellStyle name="Normal 2 2 24 8" xfId="35533"/>
    <cellStyle name="Normal 2 2 25" xfId="5447"/>
    <cellStyle name="Normal 2 2 25 2" xfId="5448"/>
    <cellStyle name="Normal 2 2 25 2 2" xfId="5449"/>
    <cellStyle name="Normal 2 2 25 2 2 2" xfId="5450"/>
    <cellStyle name="Normal 2 2 25 2 2 2 2" xfId="35534"/>
    <cellStyle name="Normal 2 2 25 2 2 3" xfId="35535"/>
    <cellStyle name="Normal 2 2 25 2 3" xfId="5451"/>
    <cellStyle name="Normal 2 2 25 2 3 2" xfId="35536"/>
    <cellStyle name="Normal 2 2 25 2 4" xfId="35537"/>
    <cellStyle name="Normal 2 2 25 3" xfId="5452"/>
    <cellStyle name="Normal 2 2 25 3 2" xfId="5453"/>
    <cellStyle name="Normal 2 2 25 3 2 2" xfId="5454"/>
    <cellStyle name="Normal 2 2 25 3 2 2 2" xfId="35538"/>
    <cellStyle name="Normal 2 2 25 3 2 3" xfId="35539"/>
    <cellStyle name="Normal 2 2 25 3 3" xfId="5455"/>
    <cellStyle name="Normal 2 2 25 3 3 2" xfId="35540"/>
    <cellStyle name="Normal 2 2 25 3 4" xfId="35541"/>
    <cellStyle name="Normal 2 2 25 4" xfId="5456"/>
    <cellStyle name="Normal 2 2 25 4 2" xfId="5457"/>
    <cellStyle name="Normal 2 2 25 4 2 2" xfId="5458"/>
    <cellStyle name="Normal 2 2 25 4 2 2 2" xfId="35542"/>
    <cellStyle name="Normal 2 2 25 4 2 3" xfId="35543"/>
    <cellStyle name="Normal 2 2 25 4 3" xfId="5459"/>
    <cellStyle name="Normal 2 2 25 4 3 2" xfId="35544"/>
    <cellStyle name="Normal 2 2 25 4 4" xfId="35545"/>
    <cellStyle name="Normal 2 2 25 5" xfId="5460"/>
    <cellStyle name="Normal 2 2 25 5 2" xfId="5461"/>
    <cellStyle name="Normal 2 2 25 5 2 2" xfId="35546"/>
    <cellStyle name="Normal 2 2 25 5 3" xfId="35547"/>
    <cellStyle name="Normal 2 2 25 6" xfId="5462"/>
    <cellStyle name="Normal 2 2 25 6 2" xfId="35548"/>
    <cellStyle name="Normal 2 2 25 7" xfId="5463"/>
    <cellStyle name="Normal 2 2 25 7 2" xfId="35549"/>
    <cellStyle name="Normal 2 2 25 8" xfId="35550"/>
    <cellStyle name="Normal 2 2 26" xfId="5464"/>
    <cellStyle name="Normal 2 2 26 2" xfId="5465"/>
    <cellStyle name="Normal 2 2 26 2 2" xfId="5466"/>
    <cellStyle name="Normal 2 2 26 2 2 2" xfId="5467"/>
    <cellStyle name="Normal 2 2 26 2 2 2 2" xfId="35551"/>
    <cellStyle name="Normal 2 2 26 2 2 3" xfId="35552"/>
    <cellStyle name="Normal 2 2 26 2 3" xfId="5468"/>
    <cellStyle name="Normal 2 2 26 2 3 2" xfId="35553"/>
    <cellStyle name="Normal 2 2 26 2 4" xfId="35554"/>
    <cellStyle name="Normal 2 2 26 3" xfId="5469"/>
    <cellStyle name="Normal 2 2 26 3 2" xfId="5470"/>
    <cellStyle name="Normal 2 2 26 3 2 2" xfId="5471"/>
    <cellStyle name="Normal 2 2 26 3 2 2 2" xfId="35555"/>
    <cellStyle name="Normal 2 2 26 3 2 3" xfId="35556"/>
    <cellStyle name="Normal 2 2 26 3 3" xfId="5472"/>
    <cellStyle name="Normal 2 2 26 3 3 2" xfId="35557"/>
    <cellStyle name="Normal 2 2 26 3 4" xfId="35558"/>
    <cellStyle name="Normal 2 2 26 4" xfId="5473"/>
    <cellStyle name="Normal 2 2 26 4 2" xfId="5474"/>
    <cellStyle name="Normal 2 2 26 4 2 2" xfId="5475"/>
    <cellStyle name="Normal 2 2 26 4 2 2 2" xfId="35559"/>
    <cellStyle name="Normal 2 2 26 4 2 3" xfId="35560"/>
    <cellStyle name="Normal 2 2 26 4 3" xfId="5476"/>
    <cellStyle name="Normal 2 2 26 4 3 2" xfId="35561"/>
    <cellStyle name="Normal 2 2 26 4 4" xfId="35562"/>
    <cellStyle name="Normal 2 2 26 5" xfId="5477"/>
    <cellStyle name="Normal 2 2 26 5 2" xfId="5478"/>
    <cellStyle name="Normal 2 2 26 5 2 2" xfId="35563"/>
    <cellStyle name="Normal 2 2 26 5 3" xfId="35564"/>
    <cellStyle name="Normal 2 2 26 6" xfId="5479"/>
    <cellStyle name="Normal 2 2 26 6 2" xfId="35565"/>
    <cellStyle name="Normal 2 2 26 7" xfId="5480"/>
    <cellStyle name="Normal 2 2 26 7 2" xfId="35566"/>
    <cellStyle name="Normal 2 2 26 8" xfId="35567"/>
    <cellStyle name="Normal 2 2 27" xfId="5481"/>
    <cellStyle name="Normal 2 2 27 2" xfId="5482"/>
    <cellStyle name="Normal 2 2 27 2 2" xfId="5483"/>
    <cellStyle name="Normal 2 2 27 2 2 2" xfId="5484"/>
    <cellStyle name="Normal 2 2 27 2 2 2 2" xfId="35568"/>
    <cellStyle name="Normal 2 2 27 2 2 3" xfId="35569"/>
    <cellStyle name="Normal 2 2 27 2 3" xfId="5485"/>
    <cellStyle name="Normal 2 2 27 2 3 2" xfId="35570"/>
    <cellStyle name="Normal 2 2 27 2 4" xfId="35571"/>
    <cellStyle name="Normal 2 2 27 3" xfId="5486"/>
    <cellStyle name="Normal 2 2 27 3 2" xfId="5487"/>
    <cellStyle name="Normal 2 2 27 3 2 2" xfId="5488"/>
    <cellStyle name="Normal 2 2 27 3 2 2 2" xfId="35572"/>
    <cellStyle name="Normal 2 2 27 3 2 3" xfId="35573"/>
    <cellStyle name="Normal 2 2 27 3 3" xfId="5489"/>
    <cellStyle name="Normal 2 2 27 3 3 2" xfId="35574"/>
    <cellStyle name="Normal 2 2 27 3 4" xfId="35575"/>
    <cellStyle name="Normal 2 2 27 4" xfId="5490"/>
    <cellStyle name="Normal 2 2 27 4 2" xfId="5491"/>
    <cellStyle name="Normal 2 2 27 4 2 2" xfId="5492"/>
    <cellStyle name="Normal 2 2 27 4 2 2 2" xfId="35576"/>
    <cellStyle name="Normal 2 2 27 4 2 3" xfId="35577"/>
    <cellStyle name="Normal 2 2 27 4 3" xfId="5493"/>
    <cellStyle name="Normal 2 2 27 4 3 2" xfId="35578"/>
    <cellStyle name="Normal 2 2 27 4 4" xfId="35579"/>
    <cellStyle name="Normal 2 2 27 5" xfId="5494"/>
    <cellStyle name="Normal 2 2 27 5 2" xfId="5495"/>
    <cellStyle name="Normal 2 2 27 5 2 2" xfId="35580"/>
    <cellStyle name="Normal 2 2 27 5 3" xfId="35581"/>
    <cellStyle name="Normal 2 2 27 6" xfId="5496"/>
    <cellStyle name="Normal 2 2 27 6 2" xfId="35582"/>
    <cellStyle name="Normal 2 2 27 7" xfId="5497"/>
    <cellStyle name="Normal 2 2 27 7 2" xfId="35583"/>
    <cellStyle name="Normal 2 2 27 8" xfId="35584"/>
    <cellStyle name="Normal 2 2 28" xfId="5498"/>
    <cellStyle name="Normal 2 2 28 2" xfId="5499"/>
    <cellStyle name="Normal 2 2 28 2 2" xfId="5500"/>
    <cellStyle name="Normal 2 2 28 2 2 2" xfId="5501"/>
    <cellStyle name="Normal 2 2 28 2 2 2 2" xfId="35585"/>
    <cellStyle name="Normal 2 2 28 2 2 3" xfId="35586"/>
    <cellStyle name="Normal 2 2 28 2 3" xfId="5502"/>
    <cellStyle name="Normal 2 2 28 2 3 2" xfId="35587"/>
    <cellStyle name="Normal 2 2 28 2 4" xfId="35588"/>
    <cellStyle name="Normal 2 2 28 3" xfId="5503"/>
    <cellStyle name="Normal 2 2 28 3 2" xfId="5504"/>
    <cellStyle name="Normal 2 2 28 3 2 2" xfId="5505"/>
    <cellStyle name="Normal 2 2 28 3 2 2 2" xfId="35589"/>
    <cellStyle name="Normal 2 2 28 3 2 3" xfId="35590"/>
    <cellStyle name="Normal 2 2 28 3 3" xfId="5506"/>
    <cellStyle name="Normal 2 2 28 3 3 2" xfId="35591"/>
    <cellStyle name="Normal 2 2 28 3 4" xfId="35592"/>
    <cellStyle name="Normal 2 2 28 4" xfId="5507"/>
    <cellStyle name="Normal 2 2 28 4 2" xfId="5508"/>
    <cellStyle name="Normal 2 2 28 4 2 2" xfId="5509"/>
    <cellStyle name="Normal 2 2 28 4 2 2 2" xfId="35593"/>
    <cellStyle name="Normal 2 2 28 4 2 3" xfId="35594"/>
    <cellStyle name="Normal 2 2 28 4 3" xfId="5510"/>
    <cellStyle name="Normal 2 2 28 4 3 2" xfId="35595"/>
    <cellStyle name="Normal 2 2 28 4 4" xfId="35596"/>
    <cellStyle name="Normal 2 2 28 5" xfId="5511"/>
    <cellStyle name="Normal 2 2 28 5 2" xfId="5512"/>
    <cellStyle name="Normal 2 2 28 5 2 2" xfId="35597"/>
    <cellStyle name="Normal 2 2 28 5 3" xfId="35598"/>
    <cellStyle name="Normal 2 2 28 6" xfId="5513"/>
    <cellStyle name="Normal 2 2 28 6 2" xfId="35599"/>
    <cellStyle name="Normal 2 2 28 7" xfId="5514"/>
    <cellStyle name="Normal 2 2 28 7 2" xfId="35600"/>
    <cellStyle name="Normal 2 2 28 8" xfId="35601"/>
    <cellStyle name="Normal 2 2 29" xfId="5515"/>
    <cellStyle name="Normal 2 2 29 2" xfId="5516"/>
    <cellStyle name="Normal 2 2 29 2 2" xfId="5517"/>
    <cellStyle name="Normal 2 2 29 2 2 2" xfId="5518"/>
    <cellStyle name="Normal 2 2 29 2 2 2 2" xfId="35602"/>
    <cellStyle name="Normal 2 2 29 2 2 3" xfId="35603"/>
    <cellStyle name="Normal 2 2 29 2 3" xfId="5519"/>
    <cellStyle name="Normal 2 2 29 2 3 2" xfId="35604"/>
    <cellStyle name="Normal 2 2 29 2 4" xfId="35605"/>
    <cellStyle name="Normal 2 2 29 3" xfId="5520"/>
    <cellStyle name="Normal 2 2 29 3 2" xfId="5521"/>
    <cellStyle name="Normal 2 2 29 3 2 2" xfId="5522"/>
    <cellStyle name="Normal 2 2 29 3 2 2 2" xfId="35606"/>
    <cellStyle name="Normal 2 2 29 3 2 3" xfId="35607"/>
    <cellStyle name="Normal 2 2 29 3 3" xfId="5523"/>
    <cellStyle name="Normal 2 2 29 3 3 2" xfId="35608"/>
    <cellStyle name="Normal 2 2 29 3 4" xfId="35609"/>
    <cellStyle name="Normal 2 2 29 4" xfId="5524"/>
    <cellStyle name="Normal 2 2 29 4 2" xfId="5525"/>
    <cellStyle name="Normal 2 2 29 4 2 2" xfId="5526"/>
    <cellStyle name="Normal 2 2 29 4 2 2 2" xfId="35610"/>
    <cellStyle name="Normal 2 2 29 4 2 3" xfId="35611"/>
    <cellStyle name="Normal 2 2 29 4 3" xfId="5527"/>
    <cellStyle name="Normal 2 2 29 4 3 2" xfId="35612"/>
    <cellStyle name="Normal 2 2 29 4 4" xfId="35613"/>
    <cellStyle name="Normal 2 2 29 5" xfId="5528"/>
    <cellStyle name="Normal 2 2 29 5 2" xfId="5529"/>
    <cellStyle name="Normal 2 2 29 5 2 2" xfId="35614"/>
    <cellStyle name="Normal 2 2 29 5 3" xfId="35615"/>
    <cellStyle name="Normal 2 2 29 6" xfId="5530"/>
    <cellStyle name="Normal 2 2 29 6 2" xfId="35616"/>
    <cellStyle name="Normal 2 2 29 7" xfId="5531"/>
    <cellStyle name="Normal 2 2 29 7 2" xfId="35617"/>
    <cellStyle name="Normal 2 2 29 8" xfId="35618"/>
    <cellStyle name="Normal 2 2 3" xfId="5532"/>
    <cellStyle name="Normal 2 2 3 10" xfId="5533"/>
    <cellStyle name="Normal 2 2 3 10 2" xfId="5534"/>
    <cellStyle name="Normal 2 2 3 10 2 2" xfId="5535"/>
    <cellStyle name="Normal 2 2 3 10 2 2 2" xfId="5536"/>
    <cellStyle name="Normal 2 2 3 10 2 2 2 2" xfId="35619"/>
    <cellStyle name="Normal 2 2 3 10 2 2 3" xfId="35620"/>
    <cellStyle name="Normal 2 2 3 10 2 3" xfId="5537"/>
    <cellStyle name="Normal 2 2 3 10 2 3 2" xfId="35621"/>
    <cellStyle name="Normal 2 2 3 10 2 4" xfId="35622"/>
    <cellStyle name="Normal 2 2 3 10 3" xfId="5538"/>
    <cellStyle name="Normal 2 2 3 10 3 2" xfId="5539"/>
    <cellStyle name="Normal 2 2 3 10 3 2 2" xfId="5540"/>
    <cellStyle name="Normal 2 2 3 10 3 2 2 2" xfId="35623"/>
    <cellStyle name="Normal 2 2 3 10 3 2 3" xfId="35624"/>
    <cellStyle name="Normal 2 2 3 10 3 3" xfId="5541"/>
    <cellStyle name="Normal 2 2 3 10 3 3 2" xfId="35625"/>
    <cellStyle name="Normal 2 2 3 10 3 4" xfId="35626"/>
    <cellStyle name="Normal 2 2 3 10 4" xfId="5542"/>
    <cellStyle name="Normal 2 2 3 10 4 2" xfId="5543"/>
    <cellStyle name="Normal 2 2 3 10 4 2 2" xfId="5544"/>
    <cellStyle name="Normal 2 2 3 10 4 2 2 2" xfId="35627"/>
    <cellStyle name="Normal 2 2 3 10 4 2 3" xfId="35628"/>
    <cellStyle name="Normal 2 2 3 10 4 3" xfId="5545"/>
    <cellStyle name="Normal 2 2 3 10 4 3 2" xfId="35629"/>
    <cellStyle name="Normal 2 2 3 10 4 4" xfId="35630"/>
    <cellStyle name="Normal 2 2 3 10 5" xfId="5546"/>
    <cellStyle name="Normal 2 2 3 10 5 2" xfId="5547"/>
    <cellStyle name="Normal 2 2 3 10 5 2 2" xfId="35631"/>
    <cellStyle name="Normal 2 2 3 10 5 3" xfId="35632"/>
    <cellStyle name="Normal 2 2 3 10 6" xfId="5548"/>
    <cellStyle name="Normal 2 2 3 10 6 2" xfId="35633"/>
    <cellStyle name="Normal 2 2 3 10 7" xfId="5549"/>
    <cellStyle name="Normal 2 2 3 10 7 2" xfId="35634"/>
    <cellStyle name="Normal 2 2 3 10 8" xfId="35635"/>
    <cellStyle name="Normal 2 2 3 11" xfId="5550"/>
    <cellStyle name="Normal 2 2 3 11 2" xfId="5551"/>
    <cellStyle name="Normal 2 2 3 11 2 2" xfId="5552"/>
    <cellStyle name="Normal 2 2 3 11 2 2 2" xfId="5553"/>
    <cellStyle name="Normal 2 2 3 11 2 2 2 2" xfId="35636"/>
    <cellStyle name="Normal 2 2 3 11 2 2 3" xfId="35637"/>
    <cellStyle name="Normal 2 2 3 11 2 3" xfId="5554"/>
    <cellStyle name="Normal 2 2 3 11 2 3 2" xfId="35638"/>
    <cellStyle name="Normal 2 2 3 11 2 4" xfId="35639"/>
    <cellStyle name="Normal 2 2 3 11 3" xfId="5555"/>
    <cellStyle name="Normal 2 2 3 11 3 2" xfId="5556"/>
    <cellStyle name="Normal 2 2 3 11 3 2 2" xfId="5557"/>
    <cellStyle name="Normal 2 2 3 11 3 2 2 2" xfId="35640"/>
    <cellStyle name="Normal 2 2 3 11 3 2 3" xfId="35641"/>
    <cellStyle name="Normal 2 2 3 11 3 3" xfId="5558"/>
    <cellStyle name="Normal 2 2 3 11 3 3 2" xfId="35642"/>
    <cellStyle name="Normal 2 2 3 11 3 4" xfId="35643"/>
    <cellStyle name="Normal 2 2 3 11 4" xfId="5559"/>
    <cellStyle name="Normal 2 2 3 11 4 2" xfId="5560"/>
    <cellStyle name="Normal 2 2 3 11 4 2 2" xfId="5561"/>
    <cellStyle name="Normal 2 2 3 11 4 2 2 2" xfId="35644"/>
    <cellStyle name="Normal 2 2 3 11 4 2 3" xfId="35645"/>
    <cellStyle name="Normal 2 2 3 11 4 3" xfId="5562"/>
    <cellStyle name="Normal 2 2 3 11 4 3 2" xfId="35646"/>
    <cellStyle name="Normal 2 2 3 11 4 4" xfId="35647"/>
    <cellStyle name="Normal 2 2 3 11 5" xfId="5563"/>
    <cellStyle name="Normal 2 2 3 11 5 2" xfId="5564"/>
    <cellStyle name="Normal 2 2 3 11 5 2 2" xfId="35648"/>
    <cellStyle name="Normal 2 2 3 11 5 3" xfId="35649"/>
    <cellStyle name="Normal 2 2 3 11 6" xfId="5565"/>
    <cellStyle name="Normal 2 2 3 11 6 2" xfId="35650"/>
    <cellStyle name="Normal 2 2 3 11 7" xfId="5566"/>
    <cellStyle name="Normal 2 2 3 11 7 2" xfId="35651"/>
    <cellStyle name="Normal 2 2 3 11 8" xfId="35652"/>
    <cellStyle name="Normal 2 2 3 12" xfId="5567"/>
    <cellStyle name="Normal 2 2 3 12 2" xfId="5568"/>
    <cellStyle name="Normal 2 2 3 12 2 2" xfId="5569"/>
    <cellStyle name="Normal 2 2 3 12 2 2 2" xfId="5570"/>
    <cellStyle name="Normal 2 2 3 12 2 2 2 2" xfId="35653"/>
    <cellStyle name="Normal 2 2 3 12 2 2 3" xfId="35654"/>
    <cellStyle name="Normal 2 2 3 12 2 3" xfId="5571"/>
    <cellStyle name="Normal 2 2 3 12 2 3 2" xfId="35655"/>
    <cellStyle name="Normal 2 2 3 12 2 4" xfId="35656"/>
    <cellStyle name="Normal 2 2 3 12 3" xfId="5572"/>
    <cellStyle name="Normal 2 2 3 12 3 2" xfId="5573"/>
    <cellStyle name="Normal 2 2 3 12 3 2 2" xfId="5574"/>
    <cellStyle name="Normal 2 2 3 12 3 2 2 2" xfId="35657"/>
    <cellStyle name="Normal 2 2 3 12 3 2 3" xfId="35658"/>
    <cellStyle name="Normal 2 2 3 12 3 3" xfId="5575"/>
    <cellStyle name="Normal 2 2 3 12 3 3 2" xfId="35659"/>
    <cellStyle name="Normal 2 2 3 12 3 4" xfId="35660"/>
    <cellStyle name="Normal 2 2 3 12 4" xfId="5576"/>
    <cellStyle name="Normal 2 2 3 12 4 2" xfId="5577"/>
    <cellStyle name="Normal 2 2 3 12 4 2 2" xfId="5578"/>
    <cellStyle name="Normal 2 2 3 12 4 2 2 2" xfId="35661"/>
    <cellStyle name="Normal 2 2 3 12 4 2 3" xfId="35662"/>
    <cellStyle name="Normal 2 2 3 12 4 3" xfId="5579"/>
    <cellStyle name="Normal 2 2 3 12 4 3 2" xfId="35663"/>
    <cellStyle name="Normal 2 2 3 12 4 4" xfId="35664"/>
    <cellStyle name="Normal 2 2 3 12 5" xfId="5580"/>
    <cellStyle name="Normal 2 2 3 12 5 2" xfId="5581"/>
    <cellStyle name="Normal 2 2 3 12 5 2 2" xfId="35665"/>
    <cellStyle name="Normal 2 2 3 12 5 3" xfId="35666"/>
    <cellStyle name="Normal 2 2 3 12 6" xfId="5582"/>
    <cellStyle name="Normal 2 2 3 12 6 2" xfId="35667"/>
    <cellStyle name="Normal 2 2 3 12 7" xfId="5583"/>
    <cellStyle name="Normal 2 2 3 12 7 2" xfId="35668"/>
    <cellStyle name="Normal 2 2 3 12 8" xfId="35669"/>
    <cellStyle name="Normal 2 2 3 13" xfId="5584"/>
    <cellStyle name="Normal 2 2 3 13 2" xfId="5585"/>
    <cellStyle name="Normal 2 2 3 13 2 2" xfId="5586"/>
    <cellStyle name="Normal 2 2 3 13 2 2 2" xfId="5587"/>
    <cellStyle name="Normal 2 2 3 13 2 2 2 2" xfId="35670"/>
    <cellStyle name="Normal 2 2 3 13 2 2 3" xfId="35671"/>
    <cellStyle name="Normal 2 2 3 13 2 3" xfId="5588"/>
    <cellStyle name="Normal 2 2 3 13 2 3 2" xfId="35672"/>
    <cellStyle name="Normal 2 2 3 13 2 4" xfId="35673"/>
    <cellStyle name="Normal 2 2 3 13 3" xfId="5589"/>
    <cellStyle name="Normal 2 2 3 13 3 2" xfId="5590"/>
    <cellStyle name="Normal 2 2 3 13 3 2 2" xfId="5591"/>
    <cellStyle name="Normal 2 2 3 13 3 2 2 2" xfId="35674"/>
    <cellStyle name="Normal 2 2 3 13 3 2 3" xfId="35675"/>
    <cellStyle name="Normal 2 2 3 13 3 3" xfId="5592"/>
    <cellStyle name="Normal 2 2 3 13 3 3 2" xfId="35676"/>
    <cellStyle name="Normal 2 2 3 13 3 4" xfId="35677"/>
    <cellStyle name="Normal 2 2 3 13 4" xfId="5593"/>
    <cellStyle name="Normal 2 2 3 13 4 2" xfId="5594"/>
    <cellStyle name="Normal 2 2 3 13 4 2 2" xfId="5595"/>
    <cellStyle name="Normal 2 2 3 13 4 2 2 2" xfId="35678"/>
    <cellStyle name="Normal 2 2 3 13 4 2 3" xfId="35679"/>
    <cellStyle name="Normal 2 2 3 13 4 3" xfId="5596"/>
    <cellStyle name="Normal 2 2 3 13 4 3 2" xfId="35680"/>
    <cellStyle name="Normal 2 2 3 13 4 4" xfId="35681"/>
    <cellStyle name="Normal 2 2 3 13 5" xfId="5597"/>
    <cellStyle name="Normal 2 2 3 13 5 2" xfId="5598"/>
    <cellStyle name="Normal 2 2 3 13 5 2 2" xfId="35682"/>
    <cellStyle name="Normal 2 2 3 13 5 3" xfId="35683"/>
    <cellStyle name="Normal 2 2 3 13 6" xfId="5599"/>
    <cellStyle name="Normal 2 2 3 13 6 2" xfId="35684"/>
    <cellStyle name="Normal 2 2 3 13 7" xfId="5600"/>
    <cellStyle name="Normal 2 2 3 13 7 2" xfId="35685"/>
    <cellStyle name="Normal 2 2 3 13 8" xfId="35686"/>
    <cellStyle name="Normal 2 2 3 14" xfId="5601"/>
    <cellStyle name="Normal 2 2 3 14 2" xfId="5602"/>
    <cellStyle name="Normal 2 2 3 14 2 2" xfId="5603"/>
    <cellStyle name="Normal 2 2 3 14 2 2 2" xfId="5604"/>
    <cellStyle name="Normal 2 2 3 14 2 2 2 2" xfId="35687"/>
    <cellStyle name="Normal 2 2 3 14 2 2 3" xfId="35688"/>
    <cellStyle name="Normal 2 2 3 14 2 3" xfId="5605"/>
    <cellStyle name="Normal 2 2 3 14 2 3 2" xfId="35689"/>
    <cellStyle name="Normal 2 2 3 14 2 4" xfId="35690"/>
    <cellStyle name="Normal 2 2 3 14 3" xfId="5606"/>
    <cellStyle name="Normal 2 2 3 14 3 2" xfId="5607"/>
    <cellStyle name="Normal 2 2 3 14 3 2 2" xfId="5608"/>
    <cellStyle name="Normal 2 2 3 14 3 2 2 2" xfId="35691"/>
    <cellStyle name="Normal 2 2 3 14 3 2 3" xfId="35692"/>
    <cellStyle name="Normal 2 2 3 14 3 3" xfId="5609"/>
    <cellStyle name="Normal 2 2 3 14 3 3 2" xfId="35693"/>
    <cellStyle name="Normal 2 2 3 14 3 4" xfId="35694"/>
    <cellStyle name="Normal 2 2 3 14 4" xfId="5610"/>
    <cellStyle name="Normal 2 2 3 14 4 2" xfId="5611"/>
    <cellStyle name="Normal 2 2 3 14 4 2 2" xfId="5612"/>
    <cellStyle name="Normal 2 2 3 14 4 2 2 2" xfId="35695"/>
    <cellStyle name="Normal 2 2 3 14 4 2 3" xfId="35696"/>
    <cellStyle name="Normal 2 2 3 14 4 3" xfId="5613"/>
    <cellStyle name="Normal 2 2 3 14 4 3 2" xfId="35697"/>
    <cellStyle name="Normal 2 2 3 14 4 4" xfId="35698"/>
    <cellStyle name="Normal 2 2 3 14 5" xfId="5614"/>
    <cellStyle name="Normal 2 2 3 14 5 2" xfId="5615"/>
    <cellStyle name="Normal 2 2 3 14 5 2 2" xfId="35699"/>
    <cellStyle name="Normal 2 2 3 14 5 3" xfId="35700"/>
    <cellStyle name="Normal 2 2 3 14 6" xfId="5616"/>
    <cellStyle name="Normal 2 2 3 14 6 2" xfId="35701"/>
    <cellStyle name="Normal 2 2 3 14 7" xfId="5617"/>
    <cellStyle name="Normal 2 2 3 14 7 2" xfId="35702"/>
    <cellStyle name="Normal 2 2 3 14 8" xfId="35703"/>
    <cellStyle name="Normal 2 2 3 15" xfId="5618"/>
    <cellStyle name="Normal 2 2 3 15 2" xfId="5619"/>
    <cellStyle name="Normal 2 2 3 15 2 2" xfId="5620"/>
    <cellStyle name="Normal 2 2 3 15 2 2 2" xfId="5621"/>
    <cellStyle name="Normal 2 2 3 15 2 2 2 2" xfId="35704"/>
    <cellStyle name="Normal 2 2 3 15 2 2 3" xfId="35705"/>
    <cellStyle name="Normal 2 2 3 15 2 3" xfId="5622"/>
    <cellStyle name="Normal 2 2 3 15 2 3 2" xfId="35706"/>
    <cellStyle name="Normal 2 2 3 15 2 4" xfId="35707"/>
    <cellStyle name="Normal 2 2 3 15 3" xfId="5623"/>
    <cellStyle name="Normal 2 2 3 15 3 2" xfId="5624"/>
    <cellStyle name="Normal 2 2 3 15 3 2 2" xfId="5625"/>
    <cellStyle name="Normal 2 2 3 15 3 2 2 2" xfId="35708"/>
    <cellStyle name="Normal 2 2 3 15 3 2 3" xfId="35709"/>
    <cellStyle name="Normal 2 2 3 15 3 3" xfId="5626"/>
    <cellStyle name="Normal 2 2 3 15 3 3 2" xfId="35710"/>
    <cellStyle name="Normal 2 2 3 15 3 4" xfId="35711"/>
    <cellStyle name="Normal 2 2 3 15 4" xfId="5627"/>
    <cellStyle name="Normal 2 2 3 15 4 2" xfId="5628"/>
    <cellStyle name="Normal 2 2 3 15 4 2 2" xfId="5629"/>
    <cellStyle name="Normal 2 2 3 15 4 2 2 2" xfId="35712"/>
    <cellStyle name="Normal 2 2 3 15 4 2 3" xfId="35713"/>
    <cellStyle name="Normal 2 2 3 15 4 3" xfId="5630"/>
    <cellStyle name="Normal 2 2 3 15 4 3 2" xfId="35714"/>
    <cellStyle name="Normal 2 2 3 15 4 4" xfId="35715"/>
    <cellStyle name="Normal 2 2 3 15 5" xfId="5631"/>
    <cellStyle name="Normal 2 2 3 15 5 2" xfId="5632"/>
    <cellStyle name="Normal 2 2 3 15 5 2 2" xfId="35716"/>
    <cellStyle name="Normal 2 2 3 15 5 3" xfId="35717"/>
    <cellStyle name="Normal 2 2 3 15 6" xfId="5633"/>
    <cellStyle name="Normal 2 2 3 15 6 2" xfId="35718"/>
    <cellStyle name="Normal 2 2 3 15 7" xfId="5634"/>
    <cellStyle name="Normal 2 2 3 15 7 2" xfId="35719"/>
    <cellStyle name="Normal 2 2 3 15 8" xfId="35720"/>
    <cellStyle name="Normal 2 2 3 16" xfId="5635"/>
    <cellStyle name="Normal 2 2 3 16 2" xfId="5636"/>
    <cellStyle name="Normal 2 2 3 16 2 2" xfId="5637"/>
    <cellStyle name="Normal 2 2 3 16 2 2 2" xfId="5638"/>
    <cellStyle name="Normal 2 2 3 16 2 2 2 2" xfId="35721"/>
    <cellStyle name="Normal 2 2 3 16 2 2 3" xfId="35722"/>
    <cellStyle name="Normal 2 2 3 16 2 3" xfId="5639"/>
    <cellStyle name="Normal 2 2 3 16 2 3 2" xfId="35723"/>
    <cellStyle name="Normal 2 2 3 16 2 4" xfId="35724"/>
    <cellStyle name="Normal 2 2 3 16 3" xfId="5640"/>
    <cellStyle name="Normal 2 2 3 16 3 2" xfId="5641"/>
    <cellStyle name="Normal 2 2 3 16 3 2 2" xfId="5642"/>
    <cellStyle name="Normal 2 2 3 16 3 2 2 2" xfId="35725"/>
    <cellStyle name="Normal 2 2 3 16 3 2 3" xfId="35726"/>
    <cellStyle name="Normal 2 2 3 16 3 3" xfId="5643"/>
    <cellStyle name="Normal 2 2 3 16 3 3 2" xfId="35727"/>
    <cellStyle name="Normal 2 2 3 16 3 4" xfId="35728"/>
    <cellStyle name="Normal 2 2 3 16 4" xfId="5644"/>
    <cellStyle name="Normal 2 2 3 16 4 2" xfId="5645"/>
    <cellStyle name="Normal 2 2 3 16 4 2 2" xfId="5646"/>
    <cellStyle name="Normal 2 2 3 16 4 2 2 2" xfId="35729"/>
    <cellStyle name="Normal 2 2 3 16 4 2 3" xfId="35730"/>
    <cellStyle name="Normal 2 2 3 16 4 3" xfId="5647"/>
    <cellStyle name="Normal 2 2 3 16 4 3 2" xfId="35731"/>
    <cellStyle name="Normal 2 2 3 16 4 4" xfId="35732"/>
    <cellStyle name="Normal 2 2 3 16 5" xfId="5648"/>
    <cellStyle name="Normal 2 2 3 16 5 2" xfId="5649"/>
    <cellStyle name="Normal 2 2 3 16 5 2 2" xfId="35733"/>
    <cellStyle name="Normal 2 2 3 16 5 3" xfId="35734"/>
    <cellStyle name="Normal 2 2 3 16 6" xfId="5650"/>
    <cellStyle name="Normal 2 2 3 16 6 2" xfId="35735"/>
    <cellStyle name="Normal 2 2 3 16 7" xfId="5651"/>
    <cellStyle name="Normal 2 2 3 16 7 2" xfId="35736"/>
    <cellStyle name="Normal 2 2 3 16 8" xfId="35737"/>
    <cellStyle name="Normal 2 2 3 17" xfId="5652"/>
    <cellStyle name="Normal 2 2 3 17 2" xfId="5653"/>
    <cellStyle name="Normal 2 2 3 17 2 2" xfId="5654"/>
    <cellStyle name="Normal 2 2 3 17 2 2 2" xfId="5655"/>
    <cellStyle name="Normal 2 2 3 17 2 2 2 2" xfId="35738"/>
    <cellStyle name="Normal 2 2 3 17 2 2 3" xfId="35739"/>
    <cellStyle name="Normal 2 2 3 17 2 3" xfId="5656"/>
    <cellStyle name="Normal 2 2 3 17 2 3 2" xfId="35740"/>
    <cellStyle name="Normal 2 2 3 17 2 4" xfId="35741"/>
    <cellStyle name="Normal 2 2 3 17 3" xfId="5657"/>
    <cellStyle name="Normal 2 2 3 17 3 2" xfId="5658"/>
    <cellStyle name="Normal 2 2 3 17 3 2 2" xfId="5659"/>
    <cellStyle name="Normal 2 2 3 17 3 2 2 2" xfId="35742"/>
    <cellStyle name="Normal 2 2 3 17 3 2 3" xfId="35743"/>
    <cellStyle name="Normal 2 2 3 17 3 3" xfId="5660"/>
    <cellStyle name="Normal 2 2 3 17 3 3 2" xfId="35744"/>
    <cellStyle name="Normal 2 2 3 17 3 4" xfId="35745"/>
    <cellStyle name="Normal 2 2 3 17 4" xfId="5661"/>
    <cellStyle name="Normal 2 2 3 17 4 2" xfId="5662"/>
    <cellStyle name="Normal 2 2 3 17 4 2 2" xfId="5663"/>
    <cellStyle name="Normal 2 2 3 17 4 2 2 2" xfId="35746"/>
    <cellStyle name="Normal 2 2 3 17 4 2 3" xfId="35747"/>
    <cellStyle name="Normal 2 2 3 17 4 3" xfId="5664"/>
    <cellStyle name="Normal 2 2 3 17 4 3 2" xfId="35748"/>
    <cellStyle name="Normal 2 2 3 17 4 4" xfId="35749"/>
    <cellStyle name="Normal 2 2 3 17 5" xfId="5665"/>
    <cellStyle name="Normal 2 2 3 17 5 2" xfId="5666"/>
    <cellStyle name="Normal 2 2 3 17 5 2 2" xfId="35750"/>
    <cellStyle name="Normal 2 2 3 17 5 3" xfId="35751"/>
    <cellStyle name="Normal 2 2 3 17 6" xfId="5667"/>
    <cellStyle name="Normal 2 2 3 17 6 2" xfId="35752"/>
    <cellStyle name="Normal 2 2 3 17 7" xfId="5668"/>
    <cellStyle name="Normal 2 2 3 17 7 2" xfId="35753"/>
    <cellStyle name="Normal 2 2 3 17 8" xfId="35754"/>
    <cellStyle name="Normal 2 2 3 18" xfId="5669"/>
    <cellStyle name="Normal 2 2 3 18 2" xfId="5670"/>
    <cellStyle name="Normal 2 2 3 18 2 2" xfId="5671"/>
    <cellStyle name="Normal 2 2 3 18 2 2 2" xfId="5672"/>
    <cellStyle name="Normal 2 2 3 18 2 2 2 2" xfId="35755"/>
    <cellStyle name="Normal 2 2 3 18 2 2 3" xfId="35756"/>
    <cellStyle name="Normal 2 2 3 18 2 3" xfId="5673"/>
    <cellStyle name="Normal 2 2 3 18 2 3 2" xfId="35757"/>
    <cellStyle name="Normal 2 2 3 18 2 4" xfId="35758"/>
    <cellStyle name="Normal 2 2 3 18 3" xfId="5674"/>
    <cellStyle name="Normal 2 2 3 18 3 2" xfId="5675"/>
    <cellStyle name="Normal 2 2 3 18 3 2 2" xfId="5676"/>
    <cellStyle name="Normal 2 2 3 18 3 2 2 2" xfId="35759"/>
    <cellStyle name="Normal 2 2 3 18 3 2 3" xfId="35760"/>
    <cellStyle name="Normal 2 2 3 18 3 3" xfId="5677"/>
    <cellStyle name="Normal 2 2 3 18 3 3 2" xfId="35761"/>
    <cellStyle name="Normal 2 2 3 18 3 4" xfId="35762"/>
    <cellStyle name="Normal 2 2 3 18 4" xfId="5678"/>
    <cellStyle name="Normal 2 2 3 18 4 2" xfId="5679"/>
    <cellStyle name="Normal 2 2 3 18 4 2 2" xfId="5680"/>
    <cellStyle name="Normal 2 2 3 18 4 2 2 2" xfId="35763"/>
    <cellStyle name="Normal 2 2 3 18 4 2 3" xfId="35764"/>
    <cellStyle name="Normal 2 2 3 18 4 3" xfId="5681"/>
    <cellStyle name="Normal 2 2 3 18 4 3 2" xfId="35765"/>
    <cellStyle name="Normal 2 2 3 18 4 4" xfId="35766"/>
    <cellStyle name="Normal 2 2 3 18 5" xfId="5682"/>
    <cellStyle name="Normal 2 2 3 18 5 2" xfId="5683"/>
    <cellStyle name="Normal 2 2 3 18 5 2 2" xfId="35767"/>
    <cellStyle name="Normal 2 2 3 18 5 3" xfId="35768"/>
    <cellStyle name="Normal 2 2 3 18 6" xfId="5684"/>
    <cellStyle name="Normal 2 2 3 18 6 2" xfId="35769"/>
    <cellStyle name="Normal 2 2 3 18 7" xfId="5685"/>
    <cellStyle name="Normal 2 2 3 18 7 2" xfId="35770"/>
    <cellStyle name="Normal 2 2 3 18 8" xfId="35771"/>
    <cellStyle name="Normal 2 2 3 19" xfId="5686"/>
    <cellStyle name="Normal 2 2 3 19 2" xfId="5687"/>
    <cellStyle name="Normal 2 2 3 19 2 2" xfId="5688"/>
    <cellStyle name="Normal 2 2 3 19 2 2 2" xfId="5689"/>
    <cellStyle name="Normal 2 2 3 19 2 2 2 2" xfId="35772"/>
    <cellStyle name="Normal 2 2 3 19 2 2 3" xfId="35773"/>
    <cellStyle name="Normal 2 2 3 19 2 3" xfId="5690"/>
    <cellStyle name="Normal 2 2 3 19 2 3 2" xfId="35774"/>
    <cellStyle name="Normal 2 2 3 19 2 4" xfId="35775"/>
    <cellStyle name="Normal 2 2 3 19 3" xfId="5691"/>
    <cellStyle name="Normal 2 2 3 19 3 2" xfId="5692"/>
    <cellStyle name="Normal 2 2 3 19 3 2 2" xfId="5693"/>
    <cellStyle name="Normal 2 2 3 19 3 2 2 2" xfId="35776"/>
    <cellStyle name="Normal 2 2 3 19 3 2 3" xfId="35777"/>
    <cellStyle name="Normal 2 2 3 19 3 3" xfId="5694"/>
    <cellStyle name="Normal 2 2 3 19 3 3 2" xfId="35778"/>
    <cellStyle name="Normal 2 2 3 19 3 4" xfId="35779"/>
    <cellStyle name="Normal 2 2 3 19 4" xfId="5695"/>
    <cellStyle name="Normal 2 2 3 19 4 2" xfId="5696"/>
    <cellStyle name="Normal 2 2 3 19 4 2 2" xfId="5697"/>
    <cellStyle name="Normal 2 2 3 19 4 2 2 2" xfId="35780"/>
    <cellStyle name="Normal 2 2 3 19 4 2 3" xfId="35781"/>
    <cellStyle name="Normal 2 2 3 19 4 3" xfId="5698"/>
    <cellStyle name="Normal 2 2 3 19 4 3 2" xfId="35782"/>
    <cellStyle name="Normal 2 2 3 19 4 4" xfId="35783"/>
    <cellStyle name="Normal 2 2 3 19 5" xfId="5699"/>
    <cellStyle name="Normal 2 2 3 19 5 2" xfId="5700"/>
    <cellStyle name="Normal 2 2 3 19 5 2 2" xfId="35784"/>
    <cellStyle name="Normal 2 2 3 19 5 3" xfId="35785"/>
    <cellStyle name="Normal 2 2 3 19 6" xfId="5701"/>
    <cellStyle name="Normal 2 2 3 19 6 2" xfId="35786"/>
    <cellStyle name="Normal 2 2 3 19 7" xfId="5702"/>
    <cellStyle name="Normal 2 2 3 19 7 2" xfId="35787"/>
    <cellStyle name="Normal 2 2 3 19 8" xfId="35788"/>
    <cellStyle name="Normal 2 2 3 2" xfId="5703"/>
    <cellStyle name="Normal 2 2 3 2 2" xfId="5704"/>
    <cellStyle name="Normal 2 2 3 2 2 2" xfId="5705"/>
    <cellStyle name="Normal 2 2 3 2 2 2 2" xfId="5706"/>
    <cellStyle name="Normal 2 2 3 2 2 2 2 2" xfId="35789"/>
    <cellStyle name="Normal 2 2 3 2 2 2 3" xfId="35790"/>
    <cellStyle name="Normal 2 2 3 2 2 3" xfId="5707"/>
    <cellStyle name="Normal 2 2 3 2 2 3 2" xfId="35791"/>
    <cellStyle name="Normal 2 2 3 2 2 4" xfId="35792"/>
    <cellStyle name="Normal 2 2 3 2 3" xfId="5708"/>
    <cellStyle name="Normal 2 2 3 2 3 2" xfId="5709"/>
    <cellStyle name="Normal 2 2 3 2 3 2 2" xfId="5710"/>
    <cellStyle name="Normal 2 2 3 2 3 2 2 2" xfId="35793"/>
    <cellStyle name="Normal 2 2 3 2 3 2 3" xfId="35794"/>
    <cellStyle name="Normal 2 2 3 2 3 3" xfId="5711"/>
    <cellStyle name="Normal 2 2 3 2 3 3 2" xfId="35795"/>
    <cellStyle name="Normal 2 2 3 2 3 4" xfId="35796"/>
    <cellStyle name="Normal 2 2 3 2 4" xfId="5712"/>
    <cellStyle name="Normal 2 2 3 2 4 2" xfId="5713"/>
    <cellStyle name="Normal 2 2 3 2 4 2 2" xfId="5714"/>
    <cellStyle name="Normal 2 2 3 2 4 2 2 2" xfId="35797"/>
    <cellStyle name="Normal 2 2 3 2 4 2 3" xfId="35798"/>
    <cellStyle name="Normal 2 2 3 2 4 3" xfId="5715"/>
    <cellStyle name="Normal 2 2 3 2 4 3 2" xfId="35799"/>
    <cellStyle name="Normal 2 2 3 2 4 4" xfId="35800"/>
    <cellStyle name="Normal 2 2 3 2 5" xfId="5716"/>
    <cellStyle name="Normal 2 2 3 2 5 2" xfId="5717"/>
    <cellStyle name="Normal 2 2 3 2 5 2 2" xfId="35801"/>
    <cellStyle name="Normal 2 2 3 2 5 3" xfId="35802"/>
    <cellStyle name="Normal 2 2 3 2 6" xfId="5718"/>
    <cellStyle name="Normal 2 2 3 2 6 2" xfId="35803"/>
    <cellStyle name="Normal 2 2 3 2 7" xfId="5719"/>
    <cellStyle name="Normal 2 2 3 2 7 2" xfId="35804"/>
    <cellStyle name="Normal 2 2 3 2 8" xfId="35805"/>
    <cellStyle name="Normal 2 2 3 20" xfId="5720"/>
    <cellStyle name="Normal 2 2 3 20 2" xfId="5721"/>
    <cellStyle name="Normal 2 2 3 20 2 2" xfId="5722"/>
    <cellStyle name="Normal 2 2 3 20 2 2 2" xfId="5723"/>
    <cellStyle name="Normal 2 2 3 20 2 2 2 2" xfId="35806"/>
    <cellStyle name="Normal 2 2 3 20 2 2 3" xfId="35807"/>
    <cellStyle name="Normal 2 2 3 20 2 3" xfId="5724"/>
    <cellStyle name="Normal 2 2 3 20 2 3 2" xfId="35808"/>
    <cellStyle name="Normal 2 2 3 20 2 4" xfId="35809"/>
    <cellStyle name="Normal 2 2 3 20 3" xfId="5725"/>
    <cellStyle name="Normal 2 2 3 20 3 2" xfId="5726"/>
    <cellStyle name="Normal 2 2 3 20 3 2 2" xfId="5727"/>
    <cellStyle name="Normal 2 2 3 20 3 2 2 2" xfId="35810"/>
    <cellStyle name="Normal 2 2 3 20 3 2 3" xfId="35811"/>
    <cellStyle name="Normal 2 2 3 20 3 3" xfId="5728"/>
    <cellStyle name="Normal 2 2 3 20 3 3 2" xfId="35812"/>
    <cellStyle name="Normal 2 2 3 20 3 4" xfId="35813"/>
    <cellStyle name="Normal 2 2 3 20 4" xfId="5729"/>
    <cellStyle name="Normal 2 2 3 20 4 2" xfId="5730"/>
    <cellStyle name="Normal 2 2 3 20 4 2 2" xfId="5731"/>
    <cellStyle name="Normal 2 2 3 20 4 2 2 2" xfId="35814"/>
    <cellStyle name="Normal 2 2 3 20 4 2 3" xfId="35815"/>
    <cellStyle name="Normal 2 2 3 20 4 3" xfId="5732"/>
    <cellStyle name="Normal 2 2 3 20 4 3 2" xfId="35816"/>
    <cellStyle name="Normal 2 2 3 20 4 4" xfId="35817"/>
    <cellStyle name="Normal 2 2 3 20 5" xfId="5733"/>
    <cellStyle name="Normal 2 2 3 20 5 2" xfId="5734"/>
    <cellStyle name="Normal 2 2 3 20 5 2 2" xfId="35818"/>
    <cellStyle name="Normal 2 2 3 20 5 3" xfId="35819"/>
    <cellStyle name="Normal 2 2 3 20 6" xfId="5735"/>
    <cellStyle name="Normal 2 2 3 20 6 2" xfId="35820"/>
    <cellStyle name="Normal 2 2 3 20 7" xfId="5736"/>
    <cellStyle name="Normal 2 2 3 20 7 2" xfId="35821"/>
    <cellStyle name="Normal 2 2 3 20 8" xfId="35822"/>
    <cellStyle name="Normal 2 2 3 21" xfId="5737"/>
    <cellStyle name="Normal 2 2 3 21 2" xfId="5738"/>
    <cellStyle name="Normal 2 2 3 21 2 2" xfId="5739"/>
    <cellStyle name="Normal 2 2 3 21 2 2 2" xfId="5740"/>
    <cellStyle name="Normal 2 2 3 21 2 2 2 2" xfId="35823"/>
    <cellStyle name="Normal 2 2 3 21 2 2 3" xfId="35824"/>
    <cellStyle name="Normal 2 2 3 21 2 3" xfId="5741"/>
    <cellStyle name="Normal 2 2 3 21 2 3 2" xfId="35825"/>
    <cellStyle name="Normal 2 2 3 21 2 4" xfId="35826"/>
    <cellStyle name="Normal 2 2 3 21 3" xfId="5742"/>
    <cellStyle name="Normal 2 2 3 21 3 2" xfId="5743"/>
    <cellStyle name="Normal 2 2 3 21 3 2 2" xfId="5744"/>
    <cellStyle name="Normal 2 2 3 21 3 2 2 2" xfId="35827"/>
    <cellStyle name="Normal 2 2 3 21 3 2 3" xfId="35828"/>
    <cellStyle name="Normal 2 2 3 21 3 3" xfId="5745"/>
    <cellStyle name="Normal 2 2 3 21 3 3 2" xfId="35829"/>
    <cellStyle name="Normal 2 2 3 21 3 4" xfId="35830"/>
    <cellStyle name="Normal 2 2 3 21 4" xfId="5746"/>
    <cellStyle name="Normal 2 2 3 21 4 2" xfId="5747"/>
    <cellStyle name="Normal 2 2 3 21 4 2 2" xfId="5748"/>
    <cellStyle name="Normal 2 2 3 21 4 2 2 2" xfId="35831"/>
    <cellStyle name="Normal 2 2 3 21 4 2 3" xfId="35832"/>
    <cellStyle name="Normal 2 2 3 21 4 3" xfId="5749"/>
    <cellStyle name="Normal 2 2 3 21 4 3 2" xfId="35833"/>
    <cellStyle name="Normal 2 2 3 21 4 4" xfId="35834"/>
    <cellStyle name="Normal 2 2 3 21 5" xfId="5750"/>
    <cellStyle name="Normal 2 2 3 21 5 2" xfId="5751"/>
    <cellStyle name="Normal 2 2 3 21 5 2 2" xfId="35835"/>
    <cellStyle name="Normal 2 2 3 21 5 3" xfId="35836"/>
    <cellStyle name="Normal 2 2 3 21 6" xfId="5752"/>
    <cellStyle name="Normal 2 2 3 21 6 2" xfId="35837"/>
    <cellStyle name="Normal 2 2 3 21 7" xfId="5753"/>
    <cellStyle name="Normal 2 2 3 21 7 2" xfId="35838"/>
    <cellStyle name="Normal 2 2 3 21 8" xfId="35839"/>
    <cellStyle name="Normal 2 2 3 22" xfId="5754"/>
    <cellStyle name="Normal 2 2 3 22 2" xfId="5755"/>
    <cellStyle name="Normal 2 2 3 22 2 2" xfId="5756"/>
    <cellStyle name="Normal 2 2 3 22 2 2 2" xfId="5757"/>
    <cellStyle name="Normal 2 2 3 22 2 2 2 2" xfId="35840"/>
    <cellStyle name="Normal 2 2 3 22 2 2 3" xfId="35841"/>
    <cellStyle name="Normal 2 2 3 22 2 3" xfId="5758"/>
    <cellStyle name="Normal 2 2 3 22 2 3 2" xfId="35842"/>
    <cellStyle name="Normal 2 2 3 22 2 4" xfId="35843"/>
    <cellStyle name="Normal 2 2 3 22 3" xfId="5759"/>
    <cellStyle name="Normal 2 2 3 22 3 2" xfId="5760"/>
    <cellStyle name="Normal 2 2 3 22 3 2 2" xfId="5761"/>
    <cellStyle name="Normal 2 2 3 22 3 2 2 2" xfId="35844"/>
    <cellStyle name="Normal 2 2 3 22 3 2 3" xfId="35845"/>
    <cellStyle name="Normal 2 2 3 22 3 3" xfId="5762"/>
    <cellStyle name="Normal 2 2 3 22 3 3 2" xfId="35846"/>
    <cellStyle name="Normal 2 2 3 22 3 4" xfId="35847"/>
    <cellStyle name="Normal 2 2 3 22 4" xfId="5763"/>
    <cellStyle name="Normal 2 2 3 22 4 2" xfId="5764"/>
    <cellStyle name="Normal 2 2 3 22 4 2 2" xfId="5765"/>
    <cellStyle name="Normal 2 2 3 22 4 2 2 2" xfId="35848"/>
    <cellStyle name="Normal 2 2 3 22 4 2 3" xfId="35849"/>
    <cellStyle name="Normal 2 2 3 22 4 3" xfId="5766"/>
    <cellStyle name="Normal 2 2 3 22 4 3 2" xfId="35850"/>
    <cellStyle name="Normal 2 2 3 22 4 4" xfId="35851"/>
    <cellStyle name="Normal 2 2 3 22 5" xfId="5767"/>
    <cellStyle name="Normal 2 2 3 22 5 2" xfId="5768"/>
    <cellStyle name="Normal 2 2 3 22 5 2 2" xfId="35852"/>
    <cellStyle name="Normal 2 2 3 22 5 3" xfId="35853"/>
    <cellStyle name="Normal 2 2 3 22 6" xfId="5769"/>
    <cellStyle name="Normal 2 2 3 22 6 2" xfId="35854"/>
    <cellStyle name="Normal 2 2 3 22 7" xfId="5770"/>
    <cellStyle name="Normal 2 2 3 22 7 2" xfId="35855"/>
    <cellStyle name="Normal 2 2 3 22 8" xfId="35856"/>
    <cellStyle name="Normal 2 2 3 23" xfId="5771"/>
    <cellStyle name="Normal 2 2 3 23 2" xfId="5772"/>
    <cellStyle name="Normal 2 2 3 23 2 2" xfId="5773"/>
    <cellStyle name="Normal 2 2 3 23 2 2 2" xfId="5774"/>
    <cellStyle name="Normal 2 2 3 23 2 2 2 2" xfId="35857"/>
    <cellStyle name="Normal 2 2 3 23 2 2 3" xfId="35858"/>
    <cellStyle name="Normal 2 2 3 23 2 3" xfId="5775"/>
    <cellStyle name="Normal 2 2 3 23 2 3 2" xfId="35859"/>
    <cellStyle name="Normal 2 2 3 23 2 4" xfId="35860"/>
    <cellStyle name="Normal 2 2 3 23 3" xfId="5776"/>
    <cellStyle name="Normal 2 2 3 23 3 2" xfId="5777"/>
    <cellStyle name="Normal 2 2 3 23 3 2 2" xfId="5778"/>
    <cellStyle name="Normal 2 2 3 23 3 2 2 2" xfId="35861"/>
    <cellStyle name="Normal 2 2 3 23 3 2 3" xfId="35862"/>
    <cellStyle name="Normal 2 2 3 23 3 3" xfId="5779"/>
    <cellStyle name="Normal 2 2 3 23 3 3 2" xfId="35863"/>
    <cellStyle name="Normal 2 2 3 23 3 4" xfId="35864"/>
    <cellStyle name="Normal 2 2 3 23 4" xfId="5780"/>
    <cellStyle name="Normal 2 2 3 23 4 2" xfId="5781"/>
    <cellStyle name="Normal 2 2 3 23 4 2 2" xfId="5782"/>
    <cellStyle name="Normal 2 2 3 23 4 2 2 2" xfId="35865"/>
    <cellStyle name="Normal 2 2 3 23 4 2 3" xfId="35866"/>
    <cellStyle name="Normal 2 2 3 23 4 3" xfId="5783"/>
    <cellStyle name="Normal 2 2 3 23 4 3 2" xfId="35867"/>
    <cellStyle name="Normal 2 2 3 23 4 4" xfId="35868"/>
    <cellStyle name="Normal 2 2 3 23 5" xfId="5784"/>
    <cellStyle name="Normal 2 2 3 23 5 2" xfId="5785"/>
    <cellStyle name="Normal 2 2 3 23 5 2 2" xfId="35869"/>
    <cellStyle name="Normal 2 2 3 23 5 3" xfId="35870"/>
    <cellStyle name="Normal 2 2 3 23 6" xfId="5786"/>
    <cellStyle name="Normal 2 2 3 23 6 2" xfId="35871"/>
    <cellStyle name="Normal 2 2 3 23 7" xfId="5787"/>
    <cellStyle name="Normal 2 2 3 23 7 2" xfId="35872"/>
    <cellStyle name="Normal 2 2 3 23 8" xfId="35873"/>
    <cellStyle name="Normal 2 2 3 24" xfId="5788"/>
    <cellStyle name="Normal 2 2 3 24 2" xfId="5789"/>
    <cellStyle name="Normal 2 2 3 24 2 2" xfId="5790"/>
    <cellStyle name="Normal 2 2 3 24 2 2 2" xfId="5791"/>
    <cellStyle name="Normal 2 2 3 24 2 2 2 2" xfId="35874"/>
    <cellStyle name="Normal 2 2 3 24 2 2 3" xfId="35875"/>
    <cellStyle name="Normal 2 2 3 24 2 3" xfId="5792"/>
    <cellStyle name="Normal 2 2 3 24 2 3 2" xfId="35876"/>
    <cellStyle name="Normal 2 2 3 24 2 4" xfId="35877"/>
    <cellStyle name="Normal 2 2 3 24 3" xfId="5793"/>
    <cellStyle name="Normal 2 2 3 24 3 2" xfId="5794"/>
    <cellStyle name="Normal 2 2 3 24 3 2 2" xfId="5795"/>
    <cellStyle name="Normal 2 2 3 24 3 2 2 2" xfId="35878"/>
    <cellStyle name="Normal 2 2 3 24 3 2 3" xfId="35879"/>
    <cellStyle name="Normal 2 2 3 24 3 3" xfId="5796"/>
    <cellStyle name="Normal 2 2 3 24 3 3 2" xfId="35880"/>
    <cellStyle name="Normal 2 2 3 24 3 4" xfId="35881"/>
    <cellStyle name="Normal 2 2 3 24 4" xfId="5797"/>
    <cellStyle name="Normal 2 2 3 24 4 2" xfId="5798"/>
    <cellStyle name="Normal 2 2 3 24 4 2 2" xfId="5799"/>
    <cellStyle name="Normal 2 2 3 24 4 2 2 2" xfId="35882"/>
    <cellStyle name="Normal 2 2 3 24 4 2 3" xfId="35883"/>
    <cellStyle name="Normal 2 2 3 24 4 3" xfId="5800"/>
    <cellStyle name="Normal 2 2 3 24 4 3 2" xfId="35884"/>
    <cellStyle name="Normal 2 2 3 24 4 4" xfId="35885"/>
    <cellStyle name="Normal 2 2 3 24 5" xfId="5801"/>
    <cellStyle name="Normal 2 2 3 24 5 2" xfId="5802"/>
    <cellStyle name="Normal 2 2 3 24 5 2 2" xfId="35886"/>
    <cellStyle name="Normal 2 2 3 24 5 3" xfId="35887"/>
    <cellStyle name="Normal 2 2 3 24 6" xfId="5803"/>
    <cellStyle name="Normal 2 2 3 24 6 2" xfId="35888"/>
    <cellStyle name="Normal 2 2 3 24 7" xfId="5804"/>
    <cellStyle name="Normal 2 2 3 24 7 2" xfId="35889"/>
    <cellStyle name="Normal 2 2 3 24 8" xfId="35890"/>
    <cellStyle name="Normal 2 2 3 25" xfId="5805"/>
    <cellStyle name="Normal 2 2 3 25 2" xfId="5806"/>
    <cellStyle name="Normal 2 2 3 25 2 2" xfId="5807"/>
    <cellStyle name="Normal 2 2 3 25 2 2 2" xfId="5808"/>
    <cellStyle name="Normal 2 2 3 25 2 2 2 2" xfId="35891"/>
    <cellStyle name="Normal 2 2 3 25 2 2 3" xfId="35892"/>
    <cellStyle name="Normal 2 2 3 25 2 3" xfId="5809"/>
    <cellStyle name="Normal 2 2 3 25 2 3 2" xfId="35893"/>
    <cellStyle name="Normal 2 2 3 25 2 4" xfId="35894"/>
    <cellStyle name="Normal 2 2 3 25 3" xfId="5810"/>
    <cellStyle name="Normal 2 2 3 25 3 2" xfId="5811"/>
    <cellStyle name="Normal 2 2 3 25 3 2 2" xfId="5812"/>
    <cellStyle name="Normal 2 2 3 25 3 2 2 2" xfId="35895"/>
    <cellStyle name="Normal 2 2 3 25 3 2 3" xfId="35896"/>
    <cellStyle name="Normal 2 2 3 25 3 3" xfId="5813"/>
    <cellStyle name="Normal 2 2 3 25 3 3 2" xfId="35897"/>
    <cellStyle name="Normal 2 2 3 25 3 4" xfId="35898"/>
    <cellStyle name="Normal 2 2 3 25 4" xfId="5814"/>
    <cellStyle name="Normal 2 2 3 25 4 2" xfId="5815"/>
    <cellStyle name="Normal 2 2 3 25 4 2 2" xfId="5816"/>
    <cellStyle name="Normal 2 2 3 25 4 2 2 2" xfId="35899"/>
    <cellStyle name="Normal 2 2 3 25 4 2 3" xfId="35900"/>
    <cellStyle name="Normal 2 2 3 25 4 3" xfId="5817"/>
    <cellStyle name="Normal 2 2 3 25 4 3 2" xfId="35901"/>
    <cellStyle name="Normal 2 2 3 25 4 4" xfId="35902"/>
    <cellStyle name="Normal 2 2 3 25 5" xfId="5818"/>
    <cellStyle name="Normal 2 2 3 25 5 2" xfId="5819"/>
    <cellStyle name="Normal 2 2 3 25 5 2 2" xfId="35903"/>
    <cellStyle name="Normal 2 2 3 25 5 3" xfId="35904"/>
    <cellStyle name="Normal 2 2 3 25 6" xfId="5820"/>
    <cellStyle name="Normal 2 2 3 25 6 2" xfId="35905"/>
    <cellStyle name="Normal 2 2 3 25 7" xfId="5821"/>
    <cellStyle name="Normal 2 2 3 25 7 2" xfId="35906"/>
    <cellStyle name="Normal 2 2 3 25 8" xfId="35907"/>
    <cellStyle name="Normal 2 2 3 26" xfId="5822"/>
    <cellStyle name="Normal 2 2 3 26 2" xfId="5823"/>
    <cellStyle name="Normal 2 2 3 26 2 2" xfId="5824"/>
    <cellStyle name="Normal 2 2 3 26 2 2 2" xfId="5825"/>
    <cellStyle name="Normal 2 2 3 26 2 2 2 2" xfId="35908"/>
    <cellStyle name="Normal 2 2 3 26 2 2 3" xfId="35909"/>
    <cellStyle name="Normal 2 2 3 26 2 3" xfId="5826"/>
    <cellStyle name="Normal 2 2 3 26 2 3 2" xfId="35910"/>
    <cellStyle name="Normal 2 2 3 26 2 4" xfId="35911"/>
    <cellStyle name="Normal 2 2 3 26 3" xfId="5827"/>
    <cellStyle name="Normal 2 2 3 26 3 2" xfId="5828"/>
    <cellStyle name="Normal 2 2 3 26 3 2 2" xfId="5829"/>
    <cellStyle name="Normal 2 2 3 26 3 2 2 2" xfId="35912"/>
    <cellStyle name="Normal 2 2 3 26 3 2 3" xfId="35913"/>
    <cellStyle name="Normal 2 2 3 26 3 3" xfId="5830"/>
    <cellStyle name="Normal 2 2 3 26 3 3 2" xfId="35914"/>
    <cellStyle name="Normal 2 2 3 26 3 4" xfId="35915"/>
    <cellStyle name="Normal 2 2 3 26 4" xfId="5831"/>
    <cellStyle name="Normal 2 2 3 26 4 2" xfId="5832"/>
    <cellStyle name="Normal 2 2 3 26 4 2 2" xfId="5833"/>
    <cellStyle name="Normal 2 2 3 26 4 2 2 2" xfId="35916"/>
    <cellStyle name="Normal 2 2 3 26 4 2 3" xfId="35917"/>
    <cellStyle name="Normal 2 2 3 26 4 3" xfId="5834"/>
    <cellStyle name="Normal 2 2 3 26 4 3 2" xfId="35918"/>
    <cellStyle name="Normal 2 2 3 26 4 4" xfId="35919"/>
    <cellStyle name="Normal 2 2 3 26 5" xfId="5835"/>
    <cellStyle name="Normal 2 2 3 26 5 2" xfId="5836"/>
    <cellStyle name="Normal 2 2 3 26 5 2 2" xfId="35920"/>
    <cellStyle name="Normal 2 2 3 26 5 3" xfId="35921"/>
    <cellStyle name="Normal 2 2 3 26 6" xfId="5837"/>
    <cellStyle name="Normal 2 2 3 26 6 2" xfId="35922"/>
    <cellStyle name="Normal 2 2 3 26 7" xfId="5838"/>
    <cellStyle name="Normal 2 2 3 26 7 2" xfId="35923"/>
    <cellStyle name="Normal 2 2 3 26 8" xfId="35924"/>
    <cellStyle name="Normal 2 2 3 27" xfId="5839"/>
    <cellStyle name="Normal 2 2 3 27 2" xfId="5840"/>
    <cellStyle name="Normal 2 2 3 27 2 2" xfId="5841"/>
    <cellStyle name="Normal 2 2 3 27 2 2 2" xfId="5842"/>
    <cellStyle name="Normal 2 2 3 27 2 2 2 2" xfId="35925"/>
    <cellStyle name="Normal 2 2 3 27 2 2 3" xfId="35926"/>
    <cellStyle name="Normal 2 2 3 27 2 3" xfId="5843"/>
    <cellStyle name="Normal 2 2 3 27 2 3 2" xfId="35927"/>
    <cellStyle name="Normal 2 2 3 27 2 4" xfId="35928"/>
    <cellStyle name="Normal 2 2 3 27 3" xfId="5844"/>
    <cellStyle name="Normal 2 2 3 27 3 2" xfId="5845"/>
    <cellStyle name="Normal 2 2 3 27 3 2 2" xfId="5846"/>
    <cellStyle name="Normal 2 2 3 27 3 2 2 2" xfId="35929"/>
    <cellStyle name="Normal 2 2 3 27 3 2 3" xfId="35930"/>
    <cellStyle name="Normal 2 2 3 27 3 3" xfId="5847"/>
    <cellStyle name="Normal 2 2 3 27 3 3 2" xfId="35931"/>
    <cellStyle name="Normal 2 2 3 27 3 4" xfId="35932"/>
    <cellStyle name="Normal 2 2 3 27 4" xfId="5848"/>
    <cellStyle name="Normal 2 2 3 27 4 2" xfId="5849"/>
    <cellStyle name="Normal 2 2 3 27 4 2 2" xfId="5850"/>
    <cellStyle name="Normal 2 2 3 27 4 2 2 2" xfId="35933"/>
    <cellStyle name="Normal 2 2 3 27 4 2 3" xfId="35934"/>
    <cellStyle name="Normal 2 2 3 27 4 3" xfId="5851"/>
    <cellStyle name="Normal 2 2 3 27 4 3 2" xfId="35935"/>
    <cellStyle name="Normal 2 2 3 27 4 4" xfId="35936"/>
    <cellStyle name="Normal 2 2 3 27 5" xfId="5852"/>
    <cellStyle name="Normal 2 2 3 27 5 2" xfId="5853"/>
    <cellStyle name="Normal 2 2 3 27 5 2 2" xfId="35937"/>
    <cellStyle name="Normal 2 2 3 27 5 3" xfId="35938"/>
    <cellStyle name="Normal 2 2 3 27 6" xfId="5854"/>
    <cellStyle name="Normal 2 2 3 27 6 2" xfId="35939"/>
    <cellStyle name="Normal 2 2 3 27 7" xfId="5855"/>
    <cellStyle name="Normal 2 2 3 27 7 2" xfId="35940"/>
    <cellStyle name="Normal 2 2 3 27 8" xfId="35941"/>
    <cellStyle name="Normal 2 2 3 28" xfId="5856"/>
    <cellStyle name="Normal 2 2 3 28 2" xfId="5857"/>
    <cellStyle name="Normal 2 2 3 28 2 2" xfId="5858"/>
    <cellStyle name="Normal 2 2 3 28 2 2 2" xfId="5859"/>
    <cellStyle name="Normal 2 2 3 28 2 2 2 2" xfId="35942"/>
    <cellStyle name="Normal 2 2 3 28 2 2 3" xfId="35943"/>
    <cellStyle name="Normal 2 2 3 28 2 3" xfId="5860"/>
    <cellStyle name="Normal 2 2 3 28 2 3 2" xfId="35944"/>
    <cellStyle name="Normal 2 2 3 28 2 4" xfId="35945"/>
    <cellStyle name="Normal 2 2 3 28 3" xfId="5861"/>
    <cellStyle name="Normal 2 2 3 28 3 2" xfId="5862"/>
    <cellStyle name="Normal 2 2 3 28 3 2 2" xfId="5863"/>
    <cellStyle name="Normal 2 2 3 28 3 2 2 2" xfId="35946"/>
    <cellStyle name="Normal 2 2 3 28 3 2 3" xfId="35947"/>
    <cellStyle name="Normal 2 2 3 28 3 3" xfId="5864"/>
    <cellStyle name="Normal 2 2 3 28 3 3 2" xfId="35948"/>
    <cellStyle name="Normal 2 2 3 28 3 4" xfId="35949"/>
    <cellStyle name="Normal 2 2 3 28 4" xfId="5865"/>
    <cellStyle name="Normal 2 2 3 28 4 2" xfId="5866"/>
    <cellStyle name="Normal 2 2 3 28 4 2 2" xfId="5867"/>
    <cellStyle name="Normal 2 2 3 28 4 2 2 2" xfId="35950"/>
    <cellStyle name="Normal 2 2 3 28 4 2 3" xfId="35951"/>
    <cellStyle name="Normal 2 2 3 28 4 3" xfId="5868"/>
    <cellStyle name="Normal 2 2 3 28 4 3 2" xfId="35952"/>
    <cellStyle name="Normal 2 2 3 28 4 4" xfId="35953"/>
    <cellStyle name="Normal 2 2 3 28 5" xfId="5869"/>
    <cellStyle name="Normal 2 2 3 28 5 2" xfId="5870"/>
    <cellStyle name="Normal 2 2 3 28 5 2 2" xfId="35954"/>
    <cellStyle name="Normal 2 2 3 28 5 3" xfId="35955"/>
    <cellStyle name="Normal 2 2 3 28 6" xfId="5871"/>
    <cellStyle name="Normal 2 2 3 28 6 2" xfId="35956"/>
    <cellStyle name="Normal 2 2 3 28 7" xfId="5872"/>
    <cellStyle name="Normal 2 2 3 28 7 2" xfId="35957"/>
    <cellStyle name="Normal 2 2 3 28 8" xfId="35958"/>
    <cellStyle name="Normal 2 2 3 29" xfId="5873"/>
    <cellStyle name="Normal 2 2 3 29 2" xfId="5874"/>
    <cellStyle name="Normal 2 2 3 29 2 2" xfId="5875"/>
    <cellStyle name="Normal 2 2 3 29 2 2 2" xfId="5876"/>
    <cellStyle name="Normal 2 2 3 29 2 2 2 2" xfId="35959"/>
    <cellStyle name="Normal 2 2 3 29 2 2 3" xfId="35960"/>
    <cellStyle name="Normal 2 2 3 29 2 3" xfId="5877"/>
    <cellStyle name="Normal 2 2 3 29 2 3 2" xfId="35961"/>
    <cellStyle name="Normal 2 2 3 29 2 4" xfId="35962"/>
    <cellStyle name="Normal 2 2 3 29 3" xfId="5878"/>
    <cellStyle name="Normal 2 2 3 29 3 2" xfId="5879"/>
    <cellStyle name="Normal 2 2 3 29 3 2 2" xfId="5880"/>
    <cellStyle name="Normal 2 2 3 29 3 2 2 2" xfId="35963"/>
    <cellStyle name="Normal 2 2 3 29 3 2 3" xfId="35964"/>
    <cellStyle name="Normal 2 2 3 29 3 3" xfId="5881"/>
    <cellStyle name="Normal 2 2 3 29 3 3 2" xfId="35965"/>
    <cellStyle name="Normal 2 2 3 29 3 4" xfId="35966"/>
    <cellStyle name="Normal 2 2 3 29 4" xfId="5882"/>
    <cellStyle name="Normal 2 2 3 29 4 2" xfId="5883"/>
    <cellStyle name="Normal 2 2 3 29 4 2 2" xfId="5884"/>
    <cellStyle name="Normal 2 2 3 29 4 2 2 2" xfId="35967"/>
    <cellStyle name="Normal 2 2 3 29 4 2 3" xfId="35968"/>
    <cellStyle name="Normal 2 2 3 29 4 3" xfId="5885"/>
    <cellStyle name="Normal 2 2 3 29 4 3 2" xfId="35969"/>
    <cellStyle name="Normal 2 2 3 29 4 4" xfId="35970"/>
    <cellStyle name="Normal 2 2 3 29 5" xfId="5886"/>
    <cellStyle name="Normal 2 2 3 29 5 2" xfId="5887"/>
    <cellStyle name="Normal 2 2 3 29 5 2 2" xfId="35971"/>
    <cellStyle name="Normal 2 2 3 29 5 3" xfId="35972"/>
    <cellStyle name="Normal 2 2 3 29 6" xfId="5888"/>
    <cellStyle name="Normal 2 2 3 29 6 2" xfId="35973"/>
    <cellStyle name="Normal 2 2 3 29 7" xfId="5889"/>
    <cellStyle name="Normal 2 2 3 29 7 2" xfId="35974"/>
    <cellStyle name="Normal 2 2 3 29 8" xfId="35975"/>
    <cellStyle name="Normal 2 2 3 3" xfId="5890"/>
    <cellStyle name="Normal 2 2 3 3 2" xfId="5891"/>
    <cellStyle name="Normal 2 2 3 3 2 2" xfId="5892"/>
    <cellStyle name="Normal 2 2 3 3 2 2 2" xfId="5893"/>
    <cellStyle name="Normal 2 2 3 3 2 2 2 2" xfId="35976"/>
    <cellStyle name="Normal 2 2 3 3 2 2 3" xfId="35977"/>
    <cellStyle name="Normal 2 2 3 3 2 3" xfId="5894"/>
    <cellStyle name="Normal 2 2 3 3 2 3 2" xfId="35978"/>
    <cellStyle name="Normal 2 2 3 3 2 4" xfId="35979"/>
    <cellStyle name="Normal 2 2 3 3 3" xfId="5895"/>
    <cellStyle name="Normal 2 2 3 3 3 2" xfId="5896"/>
    <cellStyle name="Normal 2 2 3 3 3 2 2" xfId="5897"/>
    <cellStyle name="Normal 2 2 3 3 3 2 2 2" xfId="35980"/>
    <cellStyle name="Normal 2 2 3 3 3 2 3" xfId="35981"/>
    <cellStyle name="Normal 2 2 3 3 3 3" xfId="5898"/>
    <cellStyle name="Normal 2 2 3 3 3 3 2" xfId="35982"/>
    <cellStyle name="Normal 2 2 3 3 3 4" xfId="35983"/>
    <cellStyle name="Normal 2 2 3 3 4" xfId="5899"/>
    <cellStyle name="Normal 2 2 3 3 4 2" xfId="5900"/>
    <cellStyle name="Normal 2 2 3 3 4 2 2" xfId="5901"/>
    <cellStyle name="Normal 2 2 3 3 4 2 2 2" xfId="35984"/>
    <cellStyle name="Normal 2 2 3 3 4 2 3" xfId="35985"/>
    <cellStyle name="Normal 2 2 3 3 4 3" xfId="5902"/>
    <cellStyle name="Normal 2 2 3 3 4 3 2" xfId="35986"/>
    <cellStyle name="Normal 2 2 3 3 4 4" xfId="35987"/>
    <cellStyle name="Normal 2 2 3 3 5" xfId="5903"/>
    <cellStyle name="Normal 2 2 3 3 5 2" xfId="5904"/>
    <cellStyle name="Normal 2 2 3 3 5 2 2" xfId="35988"/>
    <cellStyle name="Normal 2 2 3 3 5 3" xfId="35989"/>
    <cellStyle name="Normal 2 2 3 3 6" xfId="5905"/>
    <cellStyle name="Normal 2 2 3 3 6 2" xfId="35990"/>
    <cellStyle name="Normal 2 2 3 3 7" xfId="5906"/>
    <cellStyle name="Normal 2 2 3 3 7 2" xfId="35991"/>
    <cellStyle name="Normal 2 2 3 3 8" xfId="35992"/>
    <cellStyle name="Normal 2 2 3 30" xfId="5907"/>
    <cellStyle name="Normal 2 2 3 30 2" xfId="5908"/>
    <cellStyle name="Normal 2 2 3 30 2 2" xfId="5909"/>
    <cellStyle name="Normal 2 2 3 30 2 2 2" xfId="35993"/>
    <cellStyle name="Normal 2 2 3 30 2 3" xfId="35994"/>
    <cellStyle name="Normal 2 2 3 30 3" xfId="5910"/>
    <cellStyle name="Normal 2 2 3 30 3 2" xfId="35995"/>
    <cellStyle name="Normal 2 2 3 30 4" xfId="35996"/>
    <cellStyle name="Normal 2 2 3 31" xfId="5911"/>
    <cellStyle name="Normal 2 2 3 31 2" xfId="5912"/>
    <cellStyle name="Normal 2 2 3 31 2 2" xfId="5913"/>
    <cellStyle name="Normal 2 2 3 31 2 2 2" xfId="35997"/>
    <cellStyle name="Normal 2 2 3 31 2 3" xfId="35998"/>
    <cellStyle name="Normal 2 2 3 31 3" xfId="5914"/>
    <cellStyle name="Normal 2 2 3 31 3 2" xfId="35999"/>
    <cellStyle name="Normal 2 2 3 31 4" xfId="36000"/>
    <cellStyle name="Normal 2 2 3 32" xfId="5915"/>
    <cellStyle name="Normal 2 2 3 32 2" xfId="5916"/>
    <cellStyle name="Normal 2 2 3 32 2 2" xfId="5917"/>
    <cellStyle name="Normal 2 2 3 32 2 2 2" xfId="36001"/>
    <cellStyle name="Normal 2 2 3 32 2 3" xfId="36002"/>
    <cellStyle name="Normal 2 2 3 32 3" xfId="5918"/>
    <cellStyle name="Normal 2 2 3 32 3 2" xfId="36003"/>
    <cellStyle name="Normal 2 2 3 32 4" xfId="36004"/>
    <cellStyle name="Normal 2 2 3 33" xfId="5919"/>
    <cellStyle name="Normal 2 2 3 33 2" xfId="5920"/>
    <cellStyle name="Normal 2 2 3 33 2 2" xfId="36005"/>
    <cellStyle name="Normal 2 2 3 33 3" xfId="36006"/>
    <cellStyle name="Normal 2 2 3 34" xfId="5921"/>
    <cellStyle name="Normal 2 2 3 34 2" xfId="36007"/>
    <cellStyle name="Normal 2 2 3 35" xfId="5922"/>
    <cellStyle name="Normal 2 2 3 35 2" xfId="36008"/>
    <cellStyle name="Normal 2 2 3 36" xfId="36009"/>
    <cellStyle name="Normal 2 2 3 4" xfId="5923"/>
    <cellStyle name="Normal 2 2 3 4 2" xfId="5924"/>
    <cellStyle name="Normal 2 2 3 4 2 2" xfId="5925"/>
    <cellStyle name="Normal 2 2 3 4 2 2 2" xfId="5926"/>
    <cellStyle name="Normal 2 2 3 4 2 2 2 2" xfId="36010"/>
    <cellStyle name="Normal 2 2 3 4 2 2 3" xfId="36011"/>
    <cellStyle name="Normal 2 2 3 4 2 3" xfId="5927"/>
    <cellStyle name="Normal 2 2 3 4 2 3 2" xfId="36012"/>
    <cellStyle name="Normal 2 2 3 4 2 4" xfId="36013"/>
    <cellStyle name="Normal 2 2 3 4 3" xfId="5928"/>
    <cellStyle name="Normal 2 2 3 4 3 2" xfId="5929"/>
    <cellStyle name="Normal 2 2 3 4 3 2 2" xfId="5930"/>
    <cellStyle name="Normal 2 2 3 4 3 2 2 2" xfId="36014"/>
    <cellStyle name="Normal 2 2 3 4 3 2 3" xfId="36015"/>
    <cellStyle name="Normal 2 2 3 4 3 3" xfId="5931"/>
    <cellStyle name="Normal 2 2 3 4 3 3 2" xfId="36016"/>
    <cellStyle name="Normal 2 2 3 4 3 4" xfId="36017"/>
    <cellStyle name="Normal 2 2 3 4 4" xfId="5932"/>
    <cellStyle name="Normal 2 2 3 4 4 2" xfId="5933"/>
    <cellStyle name="Normal 2 2 3 4 4 2 2" xfId="5934"/>
    <cellStyle name="Normal 2 2 3 4 4 2 2 2" xfId="36018"/>
    <cellStyle name="Normal 2 2 3 4 4 2 3" xfId="36019"/>
    <cellStyle name="Normal 2 2 3 4 4 3" xfId="5935"/>
    <cellStyle name="Normal 2 2 3 4 4 3 2" xfId="36020"/>
    <cellStyle name="Normal 2 2 3 4 4 4" xfId="36021"/>
    <cellStyle name="Normal 2 2 3 4 5" xfId="5936"/>
    <cellStyle name="Normal 2 2 3 4 5 2" xfId="5937"/>
    <cellStyle name="Normal 2 2 3 4 5 2 2" xfId="36022"/>
    <cellStyle name="Normal 2 2 3 4 5 3" xfId="36023"/>
    <cellStyle name="Normal 2 2 3 4 6" xfId="5938"/>
    <cellStyle name="Normal 2 2 3 4 6 2" xfId="36024"/>
    <cellStyle name="Normal 2 2 3 4 7" xfId="5939"/>
    <cellStyle name="Normal 2 2 3 4 7 2" xfId="36025"/>
    <cellStyle name="Normal 2 2 3 4 8" xfId="36026"/>
    <cellStyle name="Normal 2 2 3 5" xfId="5940"/>
    <cellStyle name="Normal 2 2 3 5 2" xfId="5941"/>
    <cellStyle name="Normal 2 2 3 5 2 2" xfId="5942"/>
    <cellStyle name="Normal 2 2 3 5 2 2 2" xfId="5943"/>
    <cellStyle name="Normal 2 2 3 5 2 2 2 2" xfId="36027"/>
    <cellStyle name="Normal 2 2 3 5 2 2 3" xfId="36028"/>
    <cellStyle name="Normal 2 2 3 5 2 3" xfId="5944"/>
    <cellStyle name="Normal 2 2 3 5 2 3 2" xfId="36029"/>
    <cellStyle name="Normal 2 2 3 5 2 4" xfId="36030"/>
    <cellStyle name="Normal 2 2 3 5 3" xfId="5945"/>
    <cellStyle name="Normal 2 2 3 5 3 2" xfId="5946"/>
    <cellStyle name="Normal 2 2 3 5 3 2 2" xfId="5947"/>
    <cellStyle name="Normal 2 2 3 5 3 2 2 2" xfId="36031"/>
    <cellStyle name="Normal 2 2 3 5 3 2 3" xfId="36032"/>
    <cellStyle name="Normal 2 2 3 5 3 3" xfId="5948"/>
    <cellStyle name="Normal 2 2 3 5 3 3 2" xfId="36033"/>
    <cellStyle name="Normal 2 2 3 5 3 4" xfId="36034"/>
    <cellStyle name="Normal 2 2 3 5 4" xfId="5949"/>
    <cellStyle name="Normal 2 2 3 5 4 2" xfId="5950"/>
    <cellStyle name="Normal 2 2 3 5 4 2 2" xfId="5951"/>
    <cellStyle name="Normal 2 2 3 5 4 2 2 2" xfId="36035"/>
    <cellStyle name="Normal 2 2 3 5 4 2 3" xfId="36036"/>
    <cellStyle name="Normal 2 2 3 5 4 3" xfId="5952"/>
    <cellStyle name="Normal 2 2 3 5 4 3 2" xfId="36037"/>
    <cellStyle name="Normal 2 2 3 5 4 4" xfId="36038"/>
    <cellStyle name="Normal 2 2 3 5 5" xfId="5953"/>
    <cellStyle name="Normal 2 2 3 5 5 2" xfId="5954"/>
    <cellStyle name="Normal 2 2 3 5 5 2 2" xfId="36039"/>
    <cellStyle name="Normal 2 2 3 5 5 3" xfId="36040"/>
    <cellStyle name="Normal 2 2 3 5 6" xfId="5955"/>
    <cellStyle name="Normal 2 2 3 5 6 2" xfId="36041"/>
    <cellStyle name="Normal 2 2 3 5 7" xfId="5956"/>
    <cellStyle name="Normal 2 2 3 5 7 2" xfId="36042"/>
    <cellStyle name="Normal 2 2 3 5 8" xfId="36043"/>
    <cellStyle name="Normal 2 2 3 6" xfId="5957"/>
    <cellStyle name="Normal 2 2 3 6 2" xfId="5958"/>
    <cellStyle name="Normal 2 2 3 6 2 2" xfId="5959"/>
    <cellStyle name="Normal 2 2 3 6 2 2 2" xfId="5960"/>
    <cellStyle name="Normal 2 2 3 6 2 2 2 2" xfId="36044"/>
    <cellStyle name="Normal 2 2 3 6 2 2 3" xfId="36045"/>
    <cellStyle name="Normal 2 2 3 6 2 3" xfId="5961"/>
    <cellStyle name="Normal 2 2 3 6 2 3 2" xfId="36046"/>
    <cellStyle name="Normal 2 2 3 6 2 4" xfId="36047"/>
    <cellStyle name="Normal 2 2 3 6 3" xfId="5962"/>
    <cellStyle name="Normal 2 2 3 6 3 2" xfId="5963"/>
    <cellStyle name="Normal 2 2 3 6 3 2 2" xfId="5964"/>
    <cellStyle name="Normal 2 2 3 6 3 2 2 2" xfId="36048"/>
    <cellStyle name="Normal 2 2 3 6 3 2 3" xfId="36049"/>
    <cellStyle name="Normal 2 2 3 6 3 3" xfId="5965"/>
    <cellStyle name="Normal 2 2 3 6 3 3 2" xfId="36050"/>
    <cellStyle name="Normal 2 2 3 6 3 4" xfId="36051"/>
    <cellStyle name="Normal 2 2 3 6 4" xfId="5966"/>
    <cellStyle name="Normal 2 2 3 6 4 2" xfId="5967"/>
    <cellStyle name="Normal 2 2 3 6 4 2 2" xfId="5968"/>
    <cellStyle name="Normal 2 2 3 6 4 2 2 2" xfId="36052"/>
    <cellStyle name="Normal 2 2 3 6 4 2 3" xfId="36053"/>
    <cellStyle name="Normal 2 2 3 6 4 3" xfId="5969"/>
    <cellStyle name="Normal 2 2 3 6 4 3 2" xfId="36054"/>
    <cellStyle name="Normal 2 2 3 6 4 4" xfId="36055"/>
    <cellStyle name="Normal 2 2 3 6 5" xfId="5970"/>
    <cellStyle name="Normal 2 2 3 6 5 2" xfId="5971"/>
    <cellStyle name="Normal 2 2 3 6 5 2 2" xfId="36056"/>
    <cellStyle name="Normal 2 2 3 6 5 3" xfId="36057"/>
    <cellStyle name="Normal 2 2 3 6 6" xfId="5972"/>
    <cellStyle name="Normal 2 2 3 6 6 2" xfId="36058"/>
    <cellStyle name="Normal 2 2 3 6 7" xfId="5973"/>
    <cellStyle name="Normal 2 2 3 6 7 2" xfId="36059"/>
    <cellStyle name="Normal 2 2 3 6 8" xfId="36060"/>
    <cellStyle name="Normal 2 2 3 7" xfId="5974"/>
    <cellStyle name="Normal 2 2 3 7 2" xfId="5975"/>
    <cellStyle name="Normal 2 2 3 7 2 2" xfId="5976"/>
    <cellStyle name="Normal 2 2 3 7 2 2 2" xfId="5977"/>
    <cellStyle name="Normal 2 2 3 7 2 2 2 2" xfId="36061"/>
    <cellStyle name="Normal 2 2 3 7 2 2 3" xfId="36062"/>
    <cellStyle name="Normal 2 2 3 7 2 3" xfId="5978"/>
    <cellStyle name="Normal 2 2 3 7 2 3 2" xfId="36063"/>
    <cellStyle name="Normal 2 2 3 7 2 4" xfId="36064"/>
    <cellStyle name="Normal 2 2 3 7 3" xfId="5979"/>
    <cellStyle name="Normal 2 2 3 7 3 2" xfId="5980"/>
    <cellStyle name="Normal 2 2 3 7 3 2 2" xfId="5981"/>
    <cellStyle name="Normal 2 2 3 7 3 2 2 2" xfId="36065"/>
    <cellStyle name="Normal 2 2 3 7 3 2 3" xfId="36066"/>
    <cellStyle name="Normal 2 2 3 7 3 3" xfId="5982"/>
    <cellStyle name="Normal 2 2 3 7 3 3 2" xfId="36067"/>
    <cellStyle name="Normal 2 2 3 7 3 4" xfId="36068"/>
    <cellStyle name="Normal 2 2 3 7 4" xfId="5983"/>
    <cellStyle name="Normal 2 2 3 7 4 2" xfId="5984"/>
    <cellStyle name="Normal 2 2 3 7 4 2 2" xfId="5985"/>
    <cellStyle name="Normal 2 2 3 7 4 2 2 2" xfId="36069"/>
    <cellStyle name="Normal 2 2 3 7 4 2 3" xfId="36070"/>
    <cellStyle name="Normal 2 2 3 7 4 3" xfId="5986"/>
    <cellStyle name="Normal 2 2 3 7 4 3 2" xfId="36071"/>
    <cellStyle name="Normal 2 2 3 7 4 4" xfId="36072"/>
    <cellStyle name="Normal 2 2 3 7 5" xfId="5987"/>
    <cellStyle name="Normal 2 2 3 7 5 2" xfId="5988"/>
    <cellStyle name="Normal 2 2 3 7 5 2 2" xfId="36073"/>
    <cellStyle name="Normal 2 2 3 7 5 3" xfId="36074"/>
    <cellStyle name="Normal 2 2 3 7 6" xfId="5989"/>
    <cellStyle name="Normal 2 2 3 7 6 2" xfId="36075"/>
    <cellStyle name="Normal 2 2 3 7 7" xfId="5990"/>
    <cellStyle name="Normal 2 2 3 7 7 2" xfId="36076"/>
    <cellStyle name="Normal 2 2 3 7 8" xfId="36077"/>
    <cellStyle name="Normal 2 2 3 8" xfId="5991"/>
    <cellStyle name="Normal 2 2 3 8 2" xfId="5992"/>
    <cellStyle name="Normal 2 2 3 8 2 2" xfId="5993"/>
    <cellStyle name="Normal 2 2 3 8 2 2 2" xfId="5994"/>
    <cellStyle name="Normal 2 2 3 8 2 2 2 2" xfId="36078"/>
    <cellStyle name="Normal 2 2 3 8 2 2 3" xfId="36079"/>
    <cellStyle name="Normal 2 2 3 8 2 3" xfId="5995"/>
    <cellStyle name="Normal 2 2 3 8 2 3 2" xfId="36080"/>
    <cellStyle name="Normal 2 2 3 8 2 4" xfId="36081"/>
    <cellStyle name="Normal 2 2 3 8 3" xfId="5996"/>
    <cellStyle name="Normal 2 2 3 8 3 2" xfId="5997"/>
    <cellStyle name="Normal 2 2 3 8 3 2 2" xfId="5998"/>
    <cellStyle name="Normal 2 2 3 8 3 2 2 2" xfId="36082"/>
    <cellStyle name="Normal 2 2 3 8 3 2 3" xfId="36083"/>
    <cellStyle name="Normal 2 2 3 8 3 3" xfId="5999"/>
    <cellStyle name="Normal 2 2 3 8 3 3 2" xfId="36084"/>
    <cellStyle name="Normal 2 2 3 8 3 4" xfId="36085"/>
    <cellStyle name="Normal 2 2 3 8 4" xfId="6000"/>
    <cellStyle name="Normal 2 2 3 8 4 2" xfId="6001"/>
    <cellStyle name="Normal 2 2 3 8 4 2 2" xfId="6002"/>
    <cellStyle name="Normal 2 2 3 8 4 2 2 2" xfId="36086"/>
    <cellStyle name="Normal 2 2 3 8 4 2 3" xfId="36087"/>
    <cellStyle name="Normal 2 2 3 8 4 3" xfId="6003"/>
    <cellStyle name="Normal 2 2 3 8 4 3 2" xfId="36088"/>
    <cellStyle name="Normal 2 2 3 8 4 4" xfId="36089"/>
    <cellStyle name="Normal 2 2 3 8 5" xfId="6004"/>
    <cellStyle name="Normal 2 2 3 8 5 2" xfId="6005"/>
    <cellStyle name="Normal 2 2 3 8 5 2 2" xfId="36090"/>
    <cellStyle name="Normal 2 2 3 8 5 3" xfId="36091"/>
    <cellStyle name="Normal 2 2 3 8 6" xfId="6006"/>
    <cellStyle name="Normal 2 2 3 8 6 2" xfId="36092"/>
    <cellStyle name="Normal 2 2 3 8 7" xfId="6007"/>
    <cellStyle name="Normal 2 2 3 8 7 2" xfId="36093"/>
    <cellStyle name="Normal 2 2 3 8 8" xfId="36094"/>
    <cellStyle name="Normal 2 2 3 9" xfId="6008"/>
    <cellStyle name="Normal 2 2 3 9 2" xfId="6009"/>
    <cellStyle name="Normal 2 2 3 9 2 2" xfId="6010"/>
    <cellStyle name="Normal 2 2 3 9 2 2 2" xfId="6011"/>
    <cellStyle name="Normal 2 2 3 9 2 2 2 2" xfId="36095"/>
    <cellStyle name="Normal 2 2 3 9 2 2 3" xfId="36096"/>
    <cellStyle name="Normal 2 2 3 9 2 3" xfId="6012"/>
    <cellStyle name="Normal 2 2 3 9 2 3 2" xfId="36097"/>
    <cellStyle name="Normal 2 2 3 9 2 4" xfId="36098"/>
    <cellStyle name="Normal 2 2 3 9 3" xfId="6013"/>
    <cellStyle name="Normal 2 2 3 9 3 2" xfId="6014"/>
    <cellStyle name="Normal 2 2 3 9 3 2 2" xfId="6015"/>
    <cellStyle name="Normal 2 2 3 9 3 2 2 2" xfId="36099"/>
    <cellStyle name="Normal 2 2 3 9 3 2 3" xfId="36100"/>
    <cellStyle name="Normal 2 2 3 9 3 3" xfId="6016"/>
    <cellStyle name="Normal 2 2 3 9 3 3 2" xfId="36101"/>
    <cellStyle name="Normal 2 2 3 9 3 4" xfId="36102"/>
    <cellStyle name="Normal 2 2 3 9 4" xfId="6017"/>
    <cellStyle name="Normal 2 2 3 9 4 2" xfId="6018"/>
    <cellStyle name="Normal 2 2 3 9 4 2 2" xfId="6019"/>
    <cellStyle name="Normal 2 2 3 9 4 2 2 2" xfId="36103"/>
    <cellStyle name="Normal 2 2 3 9 4 2 3" xfId="36104"/>
    <cellStyle name="Normal 2 2 3 9 4 3" xfId="6020"/>
    <cellStyle name="Normal 2 2 3 9 4 3 2" xfId="36105"/>
    <cellStyle name="Normal 2 2 3 9 4 4" xfId="36106"/>
    <cellStyle name="Normal 2 2 3 9 5" xfId="6021"/>
    <cellStyle name="Normal 2 2 3 9 5 2" xfId="6022"/>
    <cellStyle name="Normal 2 2 3 9 5 2 2" xfId="36107"/>
    <cellStyle name="Normal 2 2 3 9 5 3" xfId="36108"/>
    <cellStyle name="Normal 2 2 3 9 6" xfId="6023"/>
    <cellStyle name="Normal 2 2 3 9 6 2" xfId="36109"/>
    <cellStyle name="Normal 2 2 3 9 7" xfId="6024"/>
    <cellStyle name="Normal 2 2 3 9 7 2" xfId="36110"/>
    <cellStyle name="Normal 2 2 3 9 8" xfId="36111"/>
    <cellStyle name="Normal 2 2 30" xfId="6025"/>
    <cellStyle name="Normal 2 2 30 2" xfId="6026"/>
    <cellStyle name="Normal 2 2 30 2 2" xfId="6027"/>
    <cellStyle name="Normal 2 2 30 2 2 2" xfId="6028"/>
    <cellStyle name="Normal 2 2 30 2 2 2 2" xfId="36112"/>
    <cellStyle name="Normal 2 2 30 2 2 3" xfId="36113"/>
    <cellStyle name="Normal 2 2 30 2 3" xfId="6029"/>
    <cellStyle name="Normal 2 2 30 2 3 2" xfId="36114"/>
    <cellStyle name="Normal 2 2 30 2 4" xfId="36115"/>
    <cellStyle name="Normal 2 2 30 3" xfId="6030"/>
    <cellStyle name="Normal 2 2 30 3 2" xfId="6031"/>
    <cellStyle name="Normal 2 2 30 3 2 2" xfId="6032"/>
    <cellStyle name="Normal 2 2 30 3 2 2 2" xfId="36116"/>
    <cellStyle name="Normal 2 2 30 3 2 3" xfId="36117"/>
    <cellStyle name="Normal 2 2 30 3 3" xfId="6033"/>
    <cellStyle name="Normal 2 2 30 3 3 2" xfId="36118"/>
    <cellStyle name="Normal 2 2 30 3 4" xfId="36119"/>
    <cellStyle name="Normal 2 2 30 4" xfId="6034"/>
    <cellStyle name="Normal 2 2 30 4 2" xfId="6035"/>
    <cellStyle name="Normal 2 2 30 4 2 2" xfId="6036"/>
    <cellStyle name="Normal 2 2 30 4 2 2 2" xfId="36120"/>
    <cellStyle name="Normal 2 2 30 4 2 3" xfId="36121"/>
    <cellStyle name="Normal 2 2 30 4 3" xfId="6037"/>
    <cellStyle name="Normal 2 2 30 4 3 2" xfId="36122"/>
    <cellStyle name="Normal 2 2 30 4 4" xfId="36123"/>
    <cellStyle name="Normal 2 2 30 5" xfId="6038"/>
    <cellStyle name="Normal 2 2 30 5 2" xfId="6039"/>
    <cellStyle name="Normal 2 2 30 5 2 2" xfId="36124"/>
    <cellStyle name="Normal 2 2 30 5 3" xfId="36125"/>
    <cellStyle name="Normal 2 2 30 6" xfId="6040"/>
    <cellStyle name="Normal 2 2 30 6 2" xfId="36126"/>
    <cellStyle name="Normal 2 2 30 7" xfId="6041"/>
    <cellStyle name="Normal 2 2 30 7 2" xfId="36127"/>
    <cellStyle name="Normal 2 2 30 8" xfId="36128"/>
    <cellStyle name="Normal 2 2 31" xfId="6042"/>
    <cellStyle name="Normal 2 2 31 2" xfId="6043"/>
    <cellStyle name="Normal 2 2 31 2 2" xfId="6044"/>
    <cellStyle name="Normal 2 2 31 2 2 2" xfId="6045"/>
    <cellStyle name="Normal 2 2 31 2 2 2 2" xfId="36129"/>
    <cellStyle name="Normal 2 2 31 2 2 3" xfId="36130"/>
    <cellStyle name="Normal 2 2 31 2 3" xfId="6046"/>
    <cellStyle name="Normal 2 2 31 2 3 2" xfId="36131"/>
    <cellStyle name="Normal 2 2 31 2 4" xfId="36132"/>
    <cellStyle name="Normal 2 2 31 3" xfId="6047"/>
    <cellStyle name="Normal 2 2 31 3 2" xfId="6048"/>
    <cellStyle name="Normal 2 2 31 3 2 2" xfId="6049"/>
    <cellStyle name="Normal 2 2 31 3 2 2 2" xfId="36133"/>
    <cellStyle name="Normal 2 2 31 3 2 3" xfId="36134"/>
    <cellStyle name="Normal 2 2 31 3 3" xfId="6050"/>
    <cellStyle name="Normal 2 2 31 3 3 2" xfId="36135"/>
    <cellStyle name="Normal 2 2 31 3 4" xfId="36136"/>
    <cellStyle name="Normal 2 2 31 4" xfId="6051"/>
    <cellStyle name="Normal 2 2 31 4 2" xfId="6052"/>
    <cellStyle name="Normal 2 2 31 4 2 2" xfId="6053"/>
    <cellStyle name="Normal 2 2 31 4 2 2 2" xfId="36137"/>
    <cellStyle name="Normal 2 2 31 4 2 3" xfId="36138"/>
    <cellStyle name="Normal 2 2 31 4 3" xfId="6054"/>
    <cellStyle name="Normal 2 2 31 4 3 2" xfId="36139"/>
    <cellStyle name="Normal 2 2 31 4 4" xfId="36140"/>
    <cellStyle name="Normal 2 2 31 5" xfId="6055"/>
    <cellStyle name="Normal 2 2 31 5 2" xfId="6056"/>
    <cellStyle name="Normal 2 2 31 5 2 2" xfId="36141"/>
    <cellStyle name="Normal 2 2 31 5 3" xfId="36142"/>
    <cellStyle name="Normal 2 2 31 6" xfId="6057"/>
    <cellStyle name="Normal 2 2 31 6 2" xfId="36143"/>
    <cellStyle name="Normal 2 2 31 7" xfId="6058"/>
    <cellStyle name="Normal 2 2 31 7 2" xfId="36144"/>
    <cellStyle name="Normal 2 2 31 8" xfId="36145"/>
    <cellStyle name="Normal 2 2 32" xfId="6059"/>
    <cellStyle name="Normal 2 2 32 2" xfId="6060"/>
    <cellStyle name="Normal 2 2 32 2 2" xfId="6061"/>
    <cellStyle name="Normal 2 2 32 2 2 2" xfId="6062"/>
    <cellStyle name="Normal 2 2 32 2 2 2 2" xfId="36146"/>
    <cellStyle name="Normal 2 2 32 2 2 3" xfId="36147"/>
    <cellStyle name="Normal 2 2 32 2 3" xfId="6063"/>
    <cellStyle name="Normal 2 2 32 2 3 2" xfId="36148"/>
    <cellStyle name="Normal 2 2 32 2 4" xfId="36149"/>
    <cellStyle name="Normal 2 2 32 3" xfId="6064"/>
    <cellStyle name="Normal 2 2 32 3 2" xfId="6065"/>
    <cellStyle name="Normal 2 2 32 3 2 2" xfId="6066"/>
    <cellStyle name="Normal 2 2 32 3 2 2 2" xfId="36150"/>
    <cellStyle name="Normal 2 2 32 3 2 3" xfId="36151"/>
    <cellStyle name="Normal 2 2 32 3 3" xfId="6067"/>
    <cellStyle name="Normal 2 2 32 3 3 2" xfId="36152"/>
    <cellStyle name="Normal 2 2 32 3 4" xfId="36153"/>
    <cellStyle name="Normal 2 2 32 4" xfId="6068"/>
    <cellStyle name="Normal 2 2 32 4 2" xfId="6069"/>
    <cellStyle name="Normal 2 2 32 4 2 2" xfId="6070"/>
    <cellStyle name="Normal 2 2 32 4 2 2 2" xfId="36154"/>
    <cellStyle name="Normal 2 2 32 4 2 3" xfId="36155"/>
    <cellStyle name="Normal 2 2 32 4 3" xfId="6071"/>
    <cellStyle name="Normal 2 2 32 4 3 2" xfId="36156"/>
    <cellStyle name="Normal 2 2 32 4 4" xfId="36157"/>
    <cellStyle name="Normal 2 2 32 5" xfId="6072"/>
    <cellStyle name="Normal 2 2 32 5 2" xfId="6073"/>
    <cellStyle name="Normal 2 2 32 5 2 2" xfId="36158"/>
    <cellStyle name="Normal 2 2 32 5 3" xfId="36159"/>
    <cellStyle name="Normal 2 2 32 6" xfId="6074"/>
    <cellStyle name="Normal 2 2 32 6 2" xfId="36160"/>
    <cellStyle name="Normal 2 2 32 7" xfId="6075"/>
    <cellStyle name="Normal 2 2 32 7 2" xfId="36161"/>
    <cellStyle name="Normal 2 2 32 8" xfId="36162"/>
    <cellStyle name="Normal 2 2 33" xfId="6076"/>
    <cellStyle name="Normal 2 2 33 2" xfId="6077"/>
    <cellStyle name="Normal 2 2 33 2 2" xfId="6078"/>
    <cellStyle name="Normal 2 2 33 2 2 2" xfId="6079"/>
    <cellStyle name="Normal 2 2 33 2 2 2 2" xfId="36163"/>
    <cellStyle name="Normal 2 2 33 2 2 3" xfId="36164"/>
    <cellStyle name="Normal 2 2 33 2 3" xfId="6080"/>
    <cellStyle name="Normal 2 2 33 2 3 2" xfId="36165"/>
    <cellStyle name="Normal 2 2 33 2 4" xfId="36166"/>
    <cellStyle name="Normal 2 2 33 3" xfId="6081"/>
    <cellStyle name="Normal 2 2 33 3 2" xfId="6082"/>
    <cellStyle name="Normal 2 2 33 3 2 2" xfId="6083"/>
    <cellStyle name="Normal 2 2 33 3 2 2 2" xfId="36167"/>
    <cellStyle name="Normal 2 2 33 3 2 3" xfId="36168"/>
    <cellStyle name="Normal 2 2 33 3 3" xfId="6084"/>
    <cellStyle name="Normal 2 2 33 3 3 2" xfId="36169"/>
    <cellStyle name="Normal 2 2 33 3 4" xfId="36170"/>
    <cellStyle name="Normal 2 2 33 4" xfId="6085"/>
    <cellStyle name="Normal 2 2 33 4 2" xfId="6086"/>
    <cellStyle name="Normal 2 2 33 4 2 2" xfId="6087"/>
    <cellStyle name="Normal 2 2 33 4 2 2 2" xfId="36171"/>
    <cellStyle name="Normal 2 2 33 4 2 3" xfId="36172"/>
    <cellStyle name="Normal 2 2 33 4 3" xfId="6088"/>
    <cellStyle name="Normal 2 2 33 4 3 2" xfId="36173"/>
    <cellStyle name="Normal 2 2 33 4 4" xfId="36174"/>
    <cellStyle name="Normal 2 2 33 5" xfId="6089"/>
    <cellStyle name="Normal 2 2 33 5 2" xfId="6090"/>
    <cellStyle name="Normal 2 2 33 5 2 2" xfId="36175"/>
    <cellStyle name="Normal 2 2 33 5 3" xfId="36176"/>
    <cellStyle name="Normal 2 2 33 6" xfId="6091"/>
    <cellStyle name="Normal 2 2 33 6 2" xfId="36177"/>
    <cellStyle name="Normal 2 2 33 7" xfId="6092"/>
    <cellStyle name="Normal 2 2 33 7 2" xfId="36178"/>
    <cellStyle name="Normal 2 2 33 8" xfId="36179"/>
    <cellStyle name="Normal 2 2 34" xfId="6093"/>
    <cellStyle name="Normal 2 2 34 2" xfId="6094"/>
    <cellStyle name="Normal 2 2 34 2 2" xfId="6095"/>
    <cellStyle name="Normal 2 2 34 2 2 2" xfId="6096"/>
    <cellStyle name="Normal 2 2 34 2 2 2 2" xfId="36180"/>
    <cellStyle name="Normal 2 2 34 2 2 3" xfId="36181"/>
    <cellStyle name="Normal 2 2 34 2 3" xfId="6097"/>
    <cellStyle name="Normal 2 2 34 2 3 2" xfId="36182"/>
    <cellStyle name="Normal 2 2 34 2 4" xfId="36183"/>
    <cellStyle name="Normal 2 2 34 3" xfId="6098"/>
    <cellStyle name="Normal 2 2 34 3 2" xfId="6099"/>
    <cellStyle name="Normal 2 2 34 3 2 2" xfId="6100"/>
    <cellStyle name="Normal 2 2 34 3 2 2 2" xfId="36184"/>
    <cellStyle name="Normal 2 2 34 3 2 3" xfId="36185"/>
    <cellStyle name="Normal 2 2 34 3 3" xfId="6101"/>
    <cellStyle name="Normal 2 2 34 3 3 2" xfId="36186"/>
    <cellStyle name="Normal 2 2 34 3 4" xfId="36187"/>
    <cellStyle name="Normal 2 2 34 4" xfId="6102"/>
    <cellStyle name="Normal 2 2 34 4 2" xfId="6103"/>
    <cellStyle name="Normal 2 2 34 4 2 2" xfId="6104"/>
    <cellStyle name="Normal 2 2 34 4 2 2 2" xfId="36188"/>
    <cellStyle name="Normal 2 2 34 4 2 3" xfId="36189"/>
    <cellStyle name="Normal 2 2 34 4 3" xfId="6105"/>
    <cellStyle name="Normal 2 2 34 4 3 2" xfId="36190"/>
    <cellStyle name="Normal 2 2 34 4 4" xfId="36191"/>
    <cellStyle name="Normal 2 2 34 5" xfId="6106"/>
    <cellStyle name="Normal 2 2 34 5 2" xfId="6107"/>
    <cellStyle name="Normal 2 2 34 5 2 2" xfId="36192"/>
    <cellStyle name="Normal 2 2 34 5 3" xfId="36193"/>
    <cellStyle name="Normal 2 2 34 6" xfId="6108"/>
    <cellStyle name="Normal 2 2 34 6 2" xfId="36194"/>
    <cellStyle name="Normal 2 2 34 7" xfId="6109"/>
    <cellStyle name="Normal 2 2 34 7 2" xfId="36195"/>
    <cellStyle name="Normal 2 2 34 8" xfId="36196"/>
    <cellStyle name="Normal 2 2 35" xfId="6110"/>
    <cellStyle name="Normal 2 2 35 2" xfId="6111"/>
    <cellStyle name="Normal 2 2 35 2 2" xfId="6112"/>
    <cellStyle name="Normal 2 2 35 2 2 2" xfId="6113"/>
    <cellStyle name="Normal 2 2 35 2 2 2 2" xfId="36197"/>
    <cellStyle name="Normal 2 2 35 2 2 3" xfId="36198"/>
    <cellStyle name="Normal 2 2 35 2 3" xfId="6114"/>
    <cellStyle name="Normal 2 2 35 2 3 2" xfId="36199"/>
    <cellStyle name="Normal 2 2 35 2 4" xfId="36200"/>
    <cellStyle name="Normal 2 2 35 3" xfId="6115"/>
    <cellStyle name="Normal 2 2 35 3 2" xfId="6116"/>
    <cellStyle name="Normal 2 2 35 3 2 2" xfId="6117"/>
    <cellStyle name="Normal 2 2 35 3 2 2 2" xfId="36201"/>
    <cellStyle name="Normal 2 2 35 3 2 3" xfId="36202"/>
    <cellStyle name="Normal 2 2 35 3 3" xfId="6118"/>
    <cellStyle name="Normal 2 2 35 3 3 2" xfId="36203"/>
    <cellStyle name="Normal 2 2 35 3 4" xfId="36204"/>
    <cellStyle name="Normal 2 2 35 4" xfId="6119"/>
    <cellStyle name="Normal 2 2 35 4 2" xfId="6120"/>
    <cellStyle name="Normal 2 2 35 4 2 2" xfId="6121"/>
    <cellStyle name="Normal 2 2 35 4 2 2 2" xfId="36205"/>
    <cellStyle name="Normal 2 2 35 4 2 3" xfId="36206"/>
    <cellStyle name="Normal 2 2 35 4 3" xfId="6122"/>
    <cellStyle name="Normal 2 2 35 4 3 2" xfId="36207"/>
    <cellStyle name="Normal 2 2 35 4 4" xfId="36208"/>
    <cellStyle name="Normal 2 2 35 5" xfId="6123"/>
    <cellStyle name="Normal 2 2 35 5 2" xfId="6124"/>
    <cellStyle name="Normal 2 2 35 5 2 2" xfId="36209"/>
    <cellStyle name="Normal 2 2 35 5 3" xfId="36210"/>
    <cellStyle name="Normal 2 2 35 6" xfId="6125"/>
    <cellStyle name="Normal 2 2 35 6 2" xfId="36211"/>
    <cellStyle name="Normal 2 2 35 7" xfId="6126"/>
    <cellStyle name="Normal 2 2 35 7 2" xfId="36212"/>
    <cellStyle name="Normal 2 2 35 8" xfId="36213"/>
    <cellStyle name="Normal 2 2 36" xfId="6127"/>
    <cellStyle name="Normal 2 2 36 2" xfId="6128"/>
    <cellStyle name="Normal 2 2 36 2 2" xfId="6129"/>
    <cellStyle name="Normal 2 2 36 2 2 2" xfId="36214"/>
    <cellStyle name="Normal 2 2 36 2 3" xfId="36215"/>
    <cellStyle name="Normal 2 2 36 3" xfId="6130"/>
    <cellStyle name="Normal 2 2 36 3 2" xfId="36216"/>
    <cellStyle name="Normal 2 2 36 4" xfId="36217"/>
    <cellStyle name="Normal 2 2 37" xfId="6131"/>
    <cellStyle name="Normal 2 2 37 2" xfId="6132"/>
    <cellStyle name="Normal 2 2 37 2 2" xfId="6133"/>
    <cellStyle name="Normal 2 2 37 2 2 2" xfId="36218"/>
    <cellStyle name="Normal 2 2 37 2 3" xfId="36219"/>
    <cellStyle name="Normal 2 2 37 3" xfId="6134"/>
    <cellStyle name="Normal 2 2 37 3 2" xfId="36220"/>
    <cellStyle name="Normal 2 2 37 4" xfId="36221"/>
    <cellStyle name="Normal 2 2 38" xfId="6135"/>
    <cellStyle name="Normal 2 2 38 2" xfId="6136"/>
    <cellStyle name="Normal 2 2 38 2 2" xfId="6137"/>
    <cellStyle name="Normal 2 2 38 2 2 2" xfId="36222"/>
    <cellStyle name="Normal 2 2 38 2 3" xfId="36223"/>
    <cellStyle name="Normal 2 2 38 3" xfId="6138"/>
    <cellStyle name="Normal 2 2 38 3 2" xfId="36224"/>
    <cellStyle name="Normal 2 2 38 4" xfId="36225"/>
    <cellStyle name="Normal 2 2 39" xfId="6139"/>
    <cellStyle name="Normal 2 2 39 2" xfId="6140"/>
    <cellStyle name="Normal 2 2 39 2 2" xfId="36226"/>
    <cellStyle name="Normal 2 2 39 3" xfId="36227"/>
    <cellStyle name="Normal 2 2 4" xfId="6141"/>
    <cellStyle name="Normal 2 2 4 10" xfId="6142"/>
    <cellStyle name="Normal 2 2 4 10 2" xfId="6143"/>
    <cellStyle name="Normal 2 2 4 10 2 2" xfId="6144"/>
    <cellStyle name="Normal 2 2 4 10 2 2 2" xfId="6145"/>
    <cellStyle name="Normal 2 2 4 10 2 2 2 2" xfId="36228"/>
    <cellStyle name="Normal 2 2 4 10 2 2 3" xfId="36229"/>
    <cellStyle name="Normal 2 2 4 10 2 3" xfId="6146"/>
    <cellStyle name="Normal 2 2 4 10 2 3 2" xfId="36230"/>
    <cellStyle name="Normal 2 2 4 10 2 4" xfId="36231"/>
    <cellStyle name="Normal 2 2 4 10 3" xfId="6147"/>
    <cellStyle name="Normal 2 2 4 10 3 2" xfId="6148"/>
    <cellStyle name="Normal 2 2 4 10 3 2 2" xfId="6149"/>
    <cellStyle name="Normal 2 2 4 10 3 2 2 2" xfId="36232"/>
    <cellStyle name="Normal 2 2 4 10 3 2 3" xfId="36233"/>
    <cellStyle name="Normal 2 2 4 10 3 3" xfId="6150"/>
    <cellStyle name="Normal 2 2 4 10 3 3 2" xfId="36234"/>
    <cellStyle name="Normal 2 2 4 10 3 4" xfId="36235"/>
    <cellStyle name="Normal 2 2 4 10 4" xfId="6151"/>
    <cellStyle name="Normal 2 2 4 10 4 2" xfId="6152"/>
    <cellStyle name="Normal 2 2 4 10 4 2 2" xfId="6153"/>
    <cellStyle name="Normal 2 2 4 10 4 2 2 2" xfId="36236"/>
    <cellStyle name="Normal 2 2 4 10 4 2 3" xfId="36237"/>
    <cellStyle name="Normal 2 2 4 10 4 3" xfId="6154"/>
    <cellStyle name="Normal 2 2 4 10 4 3 2" xfId="36238"/>
    <cellStyle name="Normal 2 2 4 10 4 4" xfId="36239"/>
    <cellStyle name="Normal 2 2 4 10 5" xfId="6155"/>
    <cellStyle name="Normal 2 2 4 10 5 2" xfId="6156"/>
    <cellStyle name="Normal 2 2 4 10 5 2 2" xfId="36240"/>
    <cellStyle name="Normal 2 2 4 10 5 3" xfId="36241"/>
    <cellStyle name="Normal 2 2 4 10 6" xfId="6157"/>
    <cellStyle name="Normal 2 2 4 10 6 2" xfId="36242"/>
    <cellStyle name="Normal 2 2 4 10 7" xfId="6158"/>
    <cellStyle name="Normal 2 2 4 10 7 2" xfId="36243"/>
    <cellStyle name="Normal 2 2 4 10 8" xfId="36244"/>
    <cellStyle name="Normal 2 2 4 11" xfId="6159"/>
    <cellStyle name="Normal 2 2 4 11 2" xfId="6160"/>
    <cellStyle name="Normal 2 2 4 11 2 2" xfId="6161"/>
    <cellStyle name="Normal 2 2 4 11 2 2 2" xfId="6162"/>
    <cellStyle name="Normal 2 2 4 11 2 2 2 2" xfId="36245"/>
    <cellStyle name="Normal 2 2 4 11 2 2 3" xfId="36246"/>
    <cellStyle name="Normal 2 2 4 11 2 3" xfId="6163"/>
    <cellStyle name="Normal 2 2 4 11 2 3 2" xfId="36247"/>
    <cellStyle name="Normal 2 2 4 11 2 4" xfId="36248"/>
    <cellStyle name="Normal 2 2 4 11 3" xfId="6164"/>
    <cellStyle name="Normal 2 2 4 11 3 2" xfId="6165"/>
    <cellStyle name="Normal 2 2 4 11 3 2 2" xfId="6166"/>
    <cellStyle name="Normal 2 2 4 11 3 2 2 2" xfId="36249"/>
    <cellStyle name="Normal 2 2 4 11 3 2 3" xfId="36250"/>
    <cellStyle name="Normal 2 2 4 11 3 3" xfId="6167"/>
    <cellStyle name="Normal 2 2 4 11 3 3 2" xfId="36251"/>
    <cellStyle name="Normal 2 2 4 11 3 4" xfId="36252"/>
    <cellStyle name="Normal 2 2 4 11 4" xfId="6168"/>
    <cellStyle name="Normal 2 2 4 11 4 2" xfId="6169"/>
    <cellStyle name="Normal 2 2 4 11 4 2 2" xfId="6170"/>
    <cellStyle name="Normal 2 2 4 11 4 2 2 2" xfId="36253"/>
    <cellStyle name="Normal 2 2 4 11 4 2 3" xfId="36254"/>
    <cellStyle name="Normal 2 2 4 11 4 3" xfId="6171"/>
    <cellStyle name="Normal 2 2 4 11 4 3 2" xfId="36255"/>
    <cellStyle name="Normal 2 2 4 11 4 4" xfId="36256"/>
    <cellStyle name="Normal 2 2 4 11 5" xfId="6172"/>
    <cellStyle name="Normal 2 2 4 11 5 2" xfId="6173"/>
    <cellStyle name="Normal 2 2 4 11 5 2 2" xfId="36257"/>
    <cellStyle name="Normal 2 2 4 11 5 3" xfId="36258"/>
    <cellStyle name="Normal 2 2 4 11 6" xfId="6174"/>
    <cellStyle name="Normal 2 2 4 11 6 2" xfId="36259"/>
    <cellStyle name="Normal 2 2 4 11 7" xfId="6175"/>
    <cellStyle name="Normal 2 2 4 11 7 2" xfId="36260"/>
    <cellStyle name="Normal 2 2 4 11 8" xfId="36261"/>
    <cellStyle name="Normal 2 2 4 12" xfId="6176"/>
    <cellStyle name="Normal 2 2 4 12 2" xfId="6177"/>
    <cellStyle name="Normal 2 2 4 12 2 2" xfId="6178"/>
    <cellStyle name="Normal 2 2 4 12 2 2 2" xfId="6179"/>
    <cellStyle name="Normal 2 2 4 12 2 2 2 2" xfId="36262"/>
    <cellStyle name="Normal 2 2 4 12 2 2 3" xfId="36263"/>
    <cellStyle name="Normal 2 2 4 12 2 3" xfId="6180"/>
    <cellStyle name="Normal 2 2 4 12 2 3 2" xfId="36264"/>
    <cellStyle name="Normal 2 2 4 12 2 4" xfId="36265"/>
    <cellStyle name="Normal 2 2 4 12 3" xfId="6181"/>
    <cellStyle name="Normal 2 2 4 12 3 2" xfId="6182"/>
    <cellStyle name="Normal 2 2 4 12 3 2 2" xfId="6183"/>
    <cellStyle name="Normal 2 2 4 12 3 2 2 2" xfId="36266"/>
    <cellStyle name="Normal 2 2 4 12 3 2 3" xfId="36267"/>
    <cellStyle name="Normal 2 2 4 12 3 3" xfId="6184"/>
    <cellStyle name="Normal 2 2 4 12 3 3 2" xfId="36268"/>
    <cellStyle name="Normal 2 2 4 12 3 4" xfId="36269"/>
    <cellStyle name="Normal 2 2 4 12 4" xfId="6185"/>
    <cellStyle name="Normal 2 2 4 12 4 2" xfId="6186"/>
    <cellStyle name="Normal 2 2 4 12 4 2 2" xfId="6187"/>
    <cellStyle name="Normal 2 2 4 12 4 2 2 2" xfId="36270"/>
    <cellStyle name="Normal 2 2 4 12 4 2 3" xfId="36271"/>
    <cellStyle name="Normal 2 2 4 12 4 3" xfId="6188"/>
    <cellStyle name="Normal 2 2 4 12 4 3 2" xfId="36272"/>
    <cellStyle name="Normal 2 2 4 12 4 4" xfId="36273"/>
    <cellStyle name="Normal 2 2 4 12 5" xfId="6189"/>
    <cellStyle name="Normal 2 2 4 12 5 2" xfId="6190"/>
    <cellStyle name="Normal 2 2 4 12 5 2 2" xfId="36274"/>
    <cellStyle name="Normal 2 2 4 12 5 3" xfId="36275"/>
    <cellStyle name="Normal 2 2 4 12 6" xfId="6191"/>
    <cellStyle name="Normal 2 2 4 12 6 2" xfId="36276"/>
    <cellStyle name="Normal 2 2 4 12 7" xfId="6192"/>
    <cellStyle name="Normal 2 2 4 12 7 2" xfId="36277"/>
    <cellStyle name="Normal 2 2 4 12 8" xfId="36278"/>
    <cellStyle name="Normal 2 2 4 13" xfId="6193"/>
    <cellStyle name="Normal 2 2 4 13 2" xfId="6194"/>
    <cellStyle name="Normal 2 2 4 13 2 2" xfId="6195"/>
    <cellStyle name="Normal 2 2 4 13 2 2 2" xfId="6196"/>
    <cellStyle name="Normal 2 2 4 13 2 2 2 2" xfId="36279"/>
    <cellStyle name="Normal 2 2 4 13 2 2 3" xfId="36280"/>
    <cellStyle name="Normal 2 2 4 13 2 3" xfId="6197"/>
    <cellStyle name="Normal 2 2 4 13 2 3 2" xfId="36281"/>
    <cellStyle name="Normal 2 2 4 13 2 4" xfId="36282"/>
    <cellStyle name="Normal 2 2 4 13 3" xfId="6198"/>
    <cellStyle name="Normal 2 2 4 13 3 2" xfId="6199"/>
    <cellStyle name="Normal 2 2 4 13 3 2 2" xfId="6200"/>
    <cellStyle name="Normal 2 2 4 13 3 2 2 2" xfId="36283"/>
    <cellStyle name="Normal 2 2 4 13 3 2 3" xfId="36284"/>
    <cellStyle name="Normal 2 2 4 13 3 3" xfId="6201"/>
    <cellStyle name="Normal 2 2 4 13 3 3 2" xfId="36285"/>
    <cellStyle name="Normal 2 2 4 13 3 4" xfId="36286"/>
    <cellStyle name="Normal 2 2 4 13 4" xfId="6202"/>
    <cellStyle name="Normal 2 2 4 13 4 2" xfId="6203"/>
    <cellStyle name="Normal 2 2 4 13 4 2 2" xfId="6204"/>
    <cellStyle name="Normal 2 2 4 13 4 2 2 2" xfId="36287"/>
    <cellStyle name="Normal 2 2 4 13 4 2 3" xfId="36288"/>
    <cellStyle name="Normal 2 2 4 13 4 3" xfId="6205"/>
    <cellStyle name="Normal 2 2 4 13 4 3 2" xfId="36289"/>
    <cellStyle name="Normal 2 2 4 13 4 4" xfId="36290"/>
    <cellStyle name="Normal 2 2 4 13 5" xfId="6206"/>
    <cellStyle name="Normal 2 2 4 13 5 2" xfId="6207"/>
    <cellStyle name="Normal 2 2 4 13 5 2 2" xfId="36291"/>
    <cellStyle name="Normal 2 2 4 13 5 3" xfId="36292"/>
    <cellStyle name="Normal 2 2 4 13 6" xfId="6208"/>
    <cellStyle name="Normal 2 2 4 13 6 2" xfId="36293"/>
    <cellStyle name="Normal 2 2 4 13 7" xfId="6209"/>
    <cellStyle name="Normal 2 2 4 13 7 2" xfId="36294"/>
    <cellStyle name="Normal 2 2 4 13 8" xfId="36295"/>
    <cellStyle name="Normal 2 2 4 14" xfId="6210"/>
    <cellStyle name="Normal 2 2 4 14 2" xfId="6211"/>
    <cellStyle name="Normal 2 2 4 14 2 2" xfId="6212"/>
    <cellStyle name="Normal 2 2 4 14 2 2 2" xfId="6213"/>
    <cellStyle name="Normal 2 2 4 14 2 2 2 2" xfId="36296"/>
    <cellStyle name="Normal 2 2 4 14 2 2 3" xfId="36297"/>
    <cellStyle name="Normal 2 2 4 14 2 3" xfId="6214"/>
    <cellStyle name="Normal 2 2 4 14 2 3 2" xfId="36298"/>
    <cellStyle name="Normal 2 2 4 14 2 4" xfId="36299"/>
    <cellStyle name="Normal 2 2 4 14 3" xfId="6215"/>
    <cellStyle name="Normal 2 2 4 14 3 2" xfId="6216"/>
    <cellStyle name="Normal 2 2 4 14 3 2 2" xfId="6217"/>
    <cellStyle name="Normal 2 2 4 14 3 2 2 2" xfId="36300"/>
    <cellStyle name="Normal 2 2 4 14 3 2 3" xfId="36301"/>
    <cellStyle name="Normal 2 2 4 14 3 3" xfId="6218"/>
    <cellStyle name="Normal 2 2 4 14 3 3 2" xfId="36302"/>
    <cellStyle name="Normal 2 2 4 14 3 4" xfId="36303"/>
    <cellStyle name="Normal 2 2 4 14 4" xfId="6219"/>
    <cellStyle name="Normal 2 2 4 14 4 2" xfId="6220"/>
    <cellStyle name="Normal 2 2 4 14 4 2 2" xfId="6221"/>
    <cellStyle name="Normal 2 2 4 14 4 2 2 2" xfId="36304"/>
    <cellStyle name="Normal 2 2 4 14 4 2 3" xfId="36305"/>
    <cellStyle name="Normal 2 2 4 14 4 3" xfId="6222"/>
    <cellStyle name="Normal 2 2 4 14 4 3 2" xfId="36306"/>
    <cellStyle name="Normal 2 2 4 14 4 4" xfId="36307"/>
    <cellStyle name="Normal 2 2 4 14 5" xfId="6223"/>
    <cellStyle name="Normal 2 2 4 14 5 2" xfId="6224"/>
    <cellStyle name="Normal 2 2 4 14 5 2 2" xfId="36308"/>
    <cellStyle name="Normal 2 2 4 14 5 3" xfId="36309"/>
    <cellStyle name="Normal 2 2 4 14 6" xfId="6225"/>
    <cellStyle name="Normal 2 2 4 14 6 2" xfId="36310"/>
    <cellStyle name="Normal 2 2 4 14 7" xfId="6226"/>
    <cellStyle name="Normal 2 2 4 14 7 2" xfId="36311"/>
    <cellStyle name="Normal 2 2 4 14 8" xfId="36312"/>
    <cellStyle name="Normal 2 2 4 15" xfId="6227"/>
    <cellStyle name="Normal 2 2 4 15 2" xfId="6228"/>
    <cellStyle name="Normal 2 2 4 15 2 2" xfId="6229"/>
    <cellStyle name="Normal 2 2 4 15 2 2 2" xfId="6230"/>
    <cellStyle name="Normal 2 2 4 15 2 2 2 2" xfId="36313"/>
    <cellStyle name="Normal 2 2 4 15 2 2 3" xfId="36314"/>
    <cellStyle name="Normal 2 2 4 15 2 3" xfId="6231"/>
    <cellStyle name="Normal 2 2 4 15 2 3 2" xfId="36315"/>
    <cellStyle name="Normal 2 2 4 15 2 4" xfId="36316"/>
    <cellStyle name="Normal 2 2 4 15 3" xfId="6232"/>
    <cellStyle name="Normal 2 2 4 15 3 2" xfId="6233"/>
    <cellStyle name="Normal 2 2 4 15 3 2 2" xfId="6234"/>
    <cellStyle name="Normal 2 2 4 15 3 2 2 2" xfId="36317"/>
    <cellStyle name="Normal 2 2 4 15 3 2 3" xfId="36318"/>
    <cellStyle name="Normal 2 2 4 15 3 3" xfId="6235"/>
    <cellStyle name="Normal 2 2 4 15 3 3 2" xfId="36319"/>
    <cellStyle name="Normal 2 2 4 15 3 4" xfId="36320"/>
    <cellStyle name="Normal 2 2 4 15 4" xfId="6236"/>
    <cellStyle name="Normal 2 2 4 15 4 2" xfId="6237"/>
    <cellStyle name="Normal 2 2 4 15 4 2 2" xfId="6238"/>
    <cellStyle name="Normal 2 2 4 15 4 2 2 2" xfId="36321"/>
    <cellStyle name="Normal 2 2 4 15 4 2 3" xfId="36322"/>
    <cellStyle name="Normal 2 2 4 15 4 3" xfId="6239"/>
    <cellStyle name="Normal 2 2 4 15 4 3 2" xfId="36323"/>
    <cellStyle name="Normal 2 2 4 15 4 4" xfId="36324"/>
    <cellStyle name="Normal 2 2 4 15 5" xfId="6240"/>
    <cellStyle name="Normal 2 2 4 15 5 2" xfId="6241"/>
    <cellStyle name="Normal 2 2 4 15 5 2 2" xfId="36325"/>
    <cellStyle name="Normal 2 2 4 15 5 3" xfId="36326"/>
    <cellStyle name="Normal 2 2 4 15 6" xfId="6242"/>
    <cellStyle name="Normal 2 2 4 15 6 2" xfId="36327"/>
    <cellStyle name="Normal 2 2 4 15 7" xfId="6243"/>
    <cellStyle name="Normal 2 2 4 15 7 2" xfId="36328"/>
    <cellStyle name="Normal 2 2 4 15 8" xfId="36329"/>
    <cellStyle name="Normal 2 2 4 16" xfId="6244"/>
    <cellStyle name="Normal 2 2 4 16 2" xfId="6245"/>
    <cellStyle name="Normal 2 2 4 16 2 2" xfId="6246"/>
    <cellStyle name="Normal 2 2 4 16 2 2 2" xfId="6247"/>
    <cellStyle name="Normal 2 2 4 16 2 2 2 2" xfId="36330"/>
    <cellStyle name="Normal 2 2 4 16 2 2 3" xfId="36331"/>
    <cellStyle name="Normal 2 2 4 16 2 3" xfId="6248"/>
    <cellStyle name="Normal 2 2 4 16 2 3 2" xfId="36332"/>
    <cellStyle name="Normal 2 2 4 16 2 4" xfId="36333"/>
    <cellStyle name="Normal 2 2 4 16 3" xfId="6249"/>
    <cellStyle name="Normal 2 2 4 16 3 2" xfId="6250"/>
    <cellStyle name="Normal 2 2 4 16 3 2 2" xfId="6251"/>
    <cellStyle name="Normal 2 2 4 16 3 2 2 2" xfId="36334"/>
    <cellStyle name="Normal 2 2 4 16 3 2 3" xfId="36335"/>
    <cellStyle name="Normal 2 2 4 16 3 3" xfId="6252"/>
    <cellStyle name="Normal 2 2 4 16 3 3 2" xfId="36336"/>
    <cellStyle name="Normal 2 2 4 16 3 4" xfId="36337"/>
    <cellStyle name="Normal 2 2 4 16 4" xfId="6253"/>
    <cellStyle name="Normal 2 2 4 16 4 2" xfId="6254"/>
    <cellStyle name="Normal 2 2 4 16 4 2 2" xfId="6255"/>
    <cellStyle name="Normal 2 2 4 16 4 2 2 2" xfId="36338"/>
    <cellStyle name="Normal 2 2 4 16 4 2 3" xfId="36339"/>
    <cellStyle name="Normal 2 2 4 16 4 3" xfId="6256"/>
    <cellStyle name="Normal 2 2 4 16 4 3 2" xfId="36340"/>
    <cellStyle name="Normal 2 2 4 16 4 4" xfId="36341"/>
    <cellStyle name="Normal 2 2 4 16 5" xfId="6257"/>
    <cellStyle name="Normal 2 2 4 16 5 2" xfId="6258"/>
    <cellStyle name="Normal 2 2 4 16 5 2 2" xfId="36342"/>
    <cellStyle name="Normal 2 2 4 16 5 3" xfId="36343"/>
    <cellStyle name="Normal 2 2 4 16 6" xfId="6259"/>
    <cellStyle name="Normal 2 2 4 16 6 2" xfId="36344"/>
    <cellStyle name="Normal 2 2 4 16 7" xfId="6260"/>
    <cellStyle name="Normal 2 2 4 16 7 2" xfId="36345"/>
    <cellStyle name="Normal 2 2 4 16 8" xfId="36346"/>
    <cellStyle name="Normal 2 2 4 17" xfId="6261"/>
    <cellStyle name="Normal 2 2 4 17 2" xfId="6262"/>
    <cellStyle name="Normal 2 2 4 17 2 2" xfId="6263"/>
    <cellStyle name="Normal 2 2 4 17 2 2 2" xfId="6264"/>
    <cellStyle name="Normal 2 2 4 17 2 2 2 2" xfId="36347"/>
    <cellStyle name="Normal 2 2 4 17 2 2 3" xfId="36348"/>
    <cellStyle name="Normal 2 2 4 17 2 3" xfId="6265"/>
    <cellStyle name="Normal 2 2 4 17 2 3 2" xfId="36349"/>
    <cellStyle name="Normal 2 2 4 17 2 4" xfId="36350"/>
    <cellStyle name="Normal 2 2 4 17 3" xfId="6266"/>
    <cellStyle name="Normal 2 2 4 17 3 2" xfId="6267"/>
    <cellStyle name="Normal 2 2 4 17 3 2 2" xfId="6268"/>
    <cellStyle name="Normal 2 2 4 17 3 2 2 2" xfId="36351"/>
    <cellStyle name="Normal 2 2 4 17 3 2 3" xfId="36352"/>
    <cellStyle name="Normal 2 2 4 17 3 3" xfId="6269"/>
    <cellStyle name="Normal 2 2 4 17 3 3 2" xfId="36353"/>
    <cellStyle name="Normal 2 2 4 17 3 4" xfId="36354"/>
    <cellStyle name="Normal 2 2 4 17 4" xfId="6270"/>
    <cellStyle name="Normal 2 2 4 17 4 2" xfId="6271"/>
    <cellStyle name="Normal 2 2 4 17 4 2 2" xfId="6272"/>
    <cellStyle name="Normal 2 2 4 17 4 2 2 2" xfId="36355"/>
    <cellStyle name="Normal 2 2 4 17 4 2 3" xfId="36356"/>
    <cellStyle name="Normal 2 2 4 17 4 3" xfId="6273"/>
    <cellStyle name="Normal 2 2 4 17 4 3 2" xfId="36357"/>
    <cellStyle name="Normal 2 2 4 17 4 4" xfId="36358"/>
    <cellStyle name="Normal 2 2 4 17 5" xfId="6274"/>
    <cellStyle name="Normal 2 2 4 17 5 2" xfId="6275"/>
    <cellStyle name="Normal 2 2 4 17 5 2 2" xfId="36359"/>
    <cellStyle name="Normal 2 2 4 17 5 3" xfId="36360"/>
    <cellStyle name="Normal 2 2 4 17 6" xfId="6276"/>
    <cellStyle name="Normal 2 2 4 17 6 2" xfId="36361"/>
    <cellStyle name="Normal 2 2 4 17 7" xfId="6277"/>
    <cellStyle name="Normal 2 2 4 17 7 2" xfId="36362"/>
    <cellStyle name="Normal 2 2 4 17 8" xfId="36363"/>
    <cellStyle name="Normal 2 2 4 18" xfId="6278"/>
    <cellStyle name="Normal 2 2 4 18 2" xfId="6279"/>
    <cellStyle name="Normal 2 2 4 18 2 2" xfId="6280"/>
    <cellStyle name="Normal 2 2 4 18 2 2 2" xfId="6281"/>
    <cellStyle name="Normal 2 2 4 18 2 2 2 2" xfId="36364"/>
    <cellStyle name="Normal 2 2 4 18 2 2 3" xfId="36365"/>
    <cellStyle name="Normal 2 2 4 18 2 3" xfId="6282"/>
    <cellStyle name="Normal 2 2 4 18 2 3 2" xfId="36366"/>
    <cellStyle name="Normal 2 2 4 18 2 4" xfId="36367"/>
    <cellStyle name="Normal 2 2 4 18 3" xfId="6283"/>
    <cellStyle name="Normal 2 2 4 18 3 2" xfId="6284"/>
    <cellStyle name="Normal 2 2 4 18 3 2 2" xfId="6285"/>
    <cellStyle name="Normal 2 2 4 18 3 2 2 2" xfId="36368"/>
    <cellStyle name="Normal 2 2 4 18 3 2 3" xfId="36369"/>
    <cellStyle name="Normal 2 2 4 18 3 3" xfId="6286"/>
    <cellStyle name="Normal 2 2 4 18 3 3 2" xfId="36370"/>
    <cellStyle name="Normal 2 2 4 18 3 4" xfId="36371"/>
    <cellStyle name="Normal 2 2 4 18 4" xfId="6287"/>
    <cellStyle name="Normal 2 2 4 18 4 2" xfId="6288"/>
    <cellStyle name="Normal 2 2 4 18 4 2 2" xfId="6289"/>
    <cellStyle name="Normal 2 2 4 18 4 2 2 2" xfId="36372"/>
    <cellStyle name="Normal 2 2 4 18 4 2 3" xfId="36373"/>
    <cellStyle name="Normal 2 2 4 18 4 3" xfId="6290"/>
    <cellStyle name="Normal 2 2 4 18 4 3 2" xfId="36374"/>
    <cellStyle name="Normal 2 2 4 18 4 4" xfId="36375"/>
    <cellStyle name="Normal 2 2 4 18 5" xfId="6291"/>
    <cellStyle name="Normal 2 2 4 18 5 2" xfId="6292"/>
    <cellStyle name="Normal 2 2 4 18 5 2 2" xfId="36376"/>
    <cellStyle name="Normal 2 2 4 18 5 3" xfId="36377"/>
    <cellStyle name="Normal 2 2 4 18 6" xfId="6293"/>
    <cellStyle name="Normal 2 2 4 18 6 2" xfId="36378"/>
    <cellStyle name="Normal 2 2 4 18 7" xfId="6294"/>
    <cellStyle name="Normal 2 2 4 18 7 2" xfId="36379"/>
    <cellStyle name="Normal 2 2 4 18 8" xfId="36380"/>
    <cellStyle name="Normal 2 2 4 19" xfId="6295"/>
    <cellStyle name="Normal 2 2 4 19 2" xfId="6296"/>
    <cellStyle name="Normal 2 2 4 19 2 2" xfId="6297"/>
    <cellStyle name="Normal 2 2 4 19 2 2 2" xfId="6298"/>
    <cellStyle name="Normal 2 2 4 19 2 2 2 2" xfId="36381"/>
    <cellStyle name="Normal 2 2 4 19 2 2 3" xfId="36382"/>
    <cellStyle name="Normal 2 2 4 19 2 3" xfId="6299"/>
    <cellStyle name="Normal 2 2 4 19 2 3 2" xfId="36383"/>
    <cellStyle name="Normal 2 2 4 19 2 4" xfId="36384"/>
    <cellStyle name="Normal 2 2 4 19 3" xfId="6300"/>
    <cellStyle name="Normal 2 2 4 19 3 2" xfId="6301"/>
    <cellStyle name="Normal 2 2 4 19 3 2 2" xfId="6302"/>
    <cellStyle name="Normal 2 2 4 19 3 2 2 2" xfId="36385"/>
    <cellStyle name="Normal 2 2 4 19 3 2 3" xfId="36386"/>
    <cellStyle name="Normal 2 2 4 19 3 3" xfId="6303"/>
    <cellStyle name="Normal 2 2 4 19 3 3 2" xfId="36387"/>
    <cellStyle name="Normal 2 2 4 19 3 4" xfId="36388"/>
    <cellStyle name="Normal 2 2 4 19 4" xfId="6304"/>
    <cellStyle name="Normal 2 2 4 19 4 2" xfId="6305"/>
    <cellStyle name="Normal 2 2 4 19 4 2 2" xfId="6306"/>
    <cellStyle name="Normal 2 2 4 19 4 2 2 2" xfId="36389"/>
    <cellStyle name="Normal 2 2 4 19 4 2 3" xfId="36390"/>
    <cellStyle name="Normal 2 2 4 19 4 3" xfId="6307"/>
    <cellStyle name="Normal 2 2 4 19 4 3 2" xfId="36391"/>
    <cellStyle name="Normal 2 2 4 19 4 4" xfId="36392"/>
    <cellStyle name="Normal 2 2 4 19 5" xfId="6308"/>
    <cellStyle name="Normal 2 2 4 19 5 2" xfId="6309"/>
    <cellStyle name="Normal 2 2 4 19 5 2 2" xfId="36393"/>
    <cellStyle name="Normal 2 2 4 19 5 3" xfId="36394"/>
    <cellStyle name="Normal 2 2 4 19 6" xfId="6310"/>
    <cellStyle name="Normal 2 2 4 19 6 2" xfId="36395"/>
    <cellStyle name="Normal 2 2 4 19 7" xfId="6311"/>
    <cellStyle name="Normal 2 2 4 19 7 2" xfId="36396"/>
    <cellStyle name="Normal 2 2 4 19 8" xfId="36397"/>
    <cellStyle name="Normal 2 2 4 2" xfId="6312"/>
    <cellStyle name="Normal 2 2 4 2 2" xfId="6313"/>
    <cellStyle name="Normal 2 2 4 2 2 2" xfId="6314"/>
    <cellStyle name="Normal 2 2 4 2 2 2 2" xfId="6315"/>
    <cellStyle name="Normal 2 2 4 2 2 2 2 2" xfId="36398"/>
    <cellStyle name="Normal 2 2 4 2 2 2 3" xfId="36399"/>
    <cellStyle name="Normal 2 2 4 2 2 3" xfId="6316"/>
    <cellStyle name="Normal 2 2 4 2 2 3 2" xfId="36400"/>
    <cellStyle name="Normal 2 2 4 2 2 4" xfId="36401"/>
    <cellStyle name="Normal 2 2 4 2 3" xfId="6317"/>
    <cellStyle name="Normal 2 2 4 2 3 2" xfId="6318"/>
    <cellStyle name="Normal 2 2 4 2 3 2 2" xfId="6319"/>
    <cellStyle name="Normal 2 2 4 2 3 2 2 2" xfId="36402"/>
    <cellStyle name="Normal 2 2 4 2 3 2 3" xfId="36403"/>
    <cellStyle name="Normal 2 2 4 2 3 3" xfId="6320"/>
    <cellStyle name="Normal 2 2 4 2 3 3 2" xfId="36404"/>
    <cellStyle name="Normal 2 2 4 2 3 4" xfId="36405"/>
    <cellStyle name="Normal 2 2 4 2 4" xfId="6321"/>
    <cellStyle name="Normal 2 2 4 2 4 2" xfId="6322"/>
    <cellStyle name="Normal 2 2 4 2 4 2 2" xfId="6323"/>
    <cellStyle name="Normal 2 2 4 2 4 2 2 2" xfId="36406"/>
    <cellStyle name="Normal 2 2 4 2 4 2 3" xfId="36407"/>
    <cellStyle name="Normal 2 2 4 2 4 3" xfId="6324"/>
    <cellStyle name="Normal 2 2 4 2 4 3 2" xfId="36408"/>
    <cellStyle name="Normal 2 2 4 2 4 4" xfId="36409"/>
    <cellStyle name="Normal 2 2 4 2 5" xfId="6325"/>
    <cellStyle name="Normal 2 2 4 2 5 2" xfId="6326"/>
    <cellStyle name="Normal 2 2 4 2 5 2 2" xfId="36410"/>
    <cellStyle name="Normal 2 2 4 2 5 3" xfId="36411"/>
    <cellStyle name="Normal 2 2 4 2 6" xfId="6327"/>
    <cellStyle name="Normal 2 2 4 2 6 2" xfId="36412"/>
    <cellStyle name="Normal 2 2 4 2 7" xfId="6328"/>
    <cellStyle name="Normal 2 2 4 2 7 2" xfId="36413"/>
    <cellStyle name="Normal 2 2 4 2 8" xfId="36414"/>
    <cellStyle name="Normal 2 2 4 20" xfId="6329"/>
    <cellStyle name="Normal 2 2 4 20 2" xfId="6330"/>
    <cellStyle name="Normal 2 2 4 20 2 2" xfId="6331"/>
    <cellStyle name="Normal 2 2 4 20 2 2 2" xfId="6332"/>
    <cellStyle name="Normal 2 2 4 20 2 2 2 2" xfId="36415"/>
    <cellStyle name="Normal 2 2 4 20 2 2 3" xfId="36416"/>
    <cellStyle name="Normal 2 2 4 20 2 3" xfId="6333"/>
    <cellStyle name="Normal 2 2 4 20 2 3 2" xfId="36417"/>
    <cellStyle name="Normal 2 2 4 20 2 4" xfId="36418"/>
    <cellStyle name="Normal 2 2 4 20 3" xfId="6334"/>
    <cellStyle name="Normal 2 2 4 20 3 2" xfId="6335"/>
    <cellStyle name="Normal 2 2 4 20 3 2 2" xfId="6336"/>
    <cellStyle name="Normal 2 2 4 20 3 2 2 2" xfId="36419"/>
    <cellStyle name="Normal 2 2 4 20 3 2 3" xfId="36420"/>
    <cellStyle name="Normal 2 2 4 20 3 3" xfId="6337"/>
    <cellStyle name="Normal 2 2 4 20 3 3 2" xfId="36421"/>
    <cellStyle name="Normal 2 2 4 20 3 4" xfId="36422"/>
    <cellStyle name="Normal 2 2 4 20 4" xfId="6338"/>
    <cellStyle name="Normal 2 2 4 20 4 2" xfId="6339"/>
    <cellStyle name="Normal 2 2 4 20 4 2 2" xfId="6340"/>
    <cellStyle name="Normal 2 2 4 20 4 2 2 2" xfId="36423"/>
    <cellStyle name="Normal 2 2 4 20 4 2 3" xfId="36424"/>
    <cellStyle name="Normal 2 2 4 20 4 3" xfId="6341"/>
    <cellStyle name="Normal 2 2 4 20 4 3 2" xfId="36425"/>
    <cellStyle name="Normal 2 2 4 20 4 4" xfId="36426"/>
    <cellStyle name="Normal 2 2 4 20 5" xfId="6342"/>
    <cellStyle name="Normal 2 2 4 20 5 2" xfId="6343"/>
    <cellStyle name="Normal 2 2 4 20 5 2 2" xfId="36427"/>
    <cellStyle name="Normal 2 2 4 20 5 3" xfId="36428"/>
    <cellStyle name="Normal 2 2 4 20 6" xfId="6344"/>
    <cellStyle name="Normal 2 2 4 20 6 2" xfId="36429"/>
    <cellStyle name="Normal 2 2 4 20 7" xfId="6345"/>
    <cellStyle name="Normal 2 2 4 20 7 2" xfId="36430"/>
    <cellStyle name="Normal 2 2 4 20 8" xfId="36431"/>
    <cellStyle name="Normal 2 2 4 21" xfId="6346"/>
    <cellStyle name="Normal 2 2 4 21 2" xfId="6347"/>
    <cellStyle name="Normal 2 2 4 21 2 2" xfId="6348"/>
    <cellStyle name="Normal 2 2 4 21 2 2 2" xfId="6349"/>
    <cellStyle name="Normal 2 2 4 21 2 2 2 2" xfId="36432"/>
    <cellStyle name="Normal 2 2 4 21 2 2 3" xfId="36433"/>
    <cellStyle name="Normal 2 2 4 21 2 3" xfId="6350"/>
    <cellStyle name="Normal 2 2 4 21 2 3 2" xfId="36434"/>
    <cellStyle name="Normal 2 2 4 21 2 4" xfId="36435"/>
    <cellStyle name="Normal 2 2 4 21 3" xfId="6351"/>
    <cellStyle name="Normal 2 2 4 21 3 2" xfId="6352"/>
    <cellStyle name="Normal 2 2 4 21 3 2 2" xfId="6353"/>
    <cellStyle name="Normal 2 2 4 21 3 2 2 2" xfId="36436"/>
    <cellStyle name="Normal 2 2 4 21 3 2 3" xfId="36437"/>
    <cellStyle name="Normal 2 2 4 21 3 3" xfId="6354"/>
    <cellStyle name="Normal 2 2 4 21 3 3 2" xfId="36438"/>
    <cellStyle name="Normal 2 2 4 21 3 4" xfId="36439"/>
    <cellStyle name="Normal 2 2 4 21 4" xfId="6355"/>
    <cellStyle name="Normal 2 2 4 21 4 2" xfId="6356"/>
    <cellStyle name="Normal 2 2 4 21 4 2 2" xfId="6357"/>
    <cellStyle name="Normal 2 2 4 21 4 2 2 2" xfId="36440"/>
    <cellStyle name="Normal 2 2 4 21 4 2 3" xfId="36441"/>
    <cellStyle name="Normal 2 2 4 21 4 3" xfId="6358"/>
    <cellStyle name="Normal 2 2 4 21 4 3 2" xfId="36442"/>
    <cellStyle name="Normal 2 2 4 21 4 4" xfId="36443"/>
    <cellStyle name="Normal 2 2 4 21 5" xfId="6359"/>
    <cellStyle name="Normal 2 2 4 21 5 2" xfId="6360"/>
    <cellStyle name="Normal 2 2 4 21 5 2 2" xfId="36444"/>
    <cellStyle name="Normal 2 2 4 21 5 3" xfId="36445"/>
    <cellStyle name="Normal 2 2 4 21 6" xfId="6361"/>
    <cellStyle name="Normal 2 2 4 21 6 2" xfId="36446"/>
    <cellStyle name="Normal 2 2 4 21 7" xfId="6362"/>
    <cellStyle name="Normal 2 2 4 21 7 2" xfId="36447"/>
    <cellStyle name="Normal 2 2 4 21 8" xfId="36448"/>
    <cellStyle name="Normal 2 2 4 22" xfId="6363"/>
    <cellStyle name="Normal 2 2 4 22 2" xfId="6364"/>
    <cellStyle name="Normal 2 2 4 22 2 2" xfId="6365"/>
    <cellStyle name="Normal 2 2 4 22 2 2 2" xfId="6366"/>
    <cellStyle name="Normal 2 2 4 22 2 2 2 2" xfId="36449"/>
    <cellStyle name="Normal 2 2 4 22 2 2 3" xfId="36450"/>
    <cellStyle name="Normal 2 2 4 22 2 3" xfId="6367"/>
    <cellStyle name="Normal 2 2 4 22 2 3 2" xfId="36451"/>
    <cellStyle name="Normal 2 2 4 22 2 4" xfId="36452"/>
    <cellStyle name="Normal 2 2 4 22 3" xfId="6368"/>
    <cellStyle name="Normal 2 2 4 22 3 2" xfId="6369"/>
    <cellStyle name="Normal 2 2 4 22 3 2 2" xfId="6370"/>
    <cellStyle name="Normal 2 2 4 22 3 2 2 2" xfId="36453"/>
    <cellStyle name="Normal 2 2 4 22 3 2 3" xfId="36454"/>
    <cellStyle name="Normal 2 2 4 22 3 3" xfId="6371"/>
    <cellStyle name="Normal 2 2 4 22 3 3 2" xfId="36455"/>
    <cellStyle name="Normal 2 2 4 22 3 4" xfId="36456"/>
    <cellStyle name="Normal 2 2 4 22 4" xfId="6372"/>
    <cellStyle name="Normal 2 2 4 22 4 2" xfId="6373"/>
    <cellStyle name="Normal 2 2 4 22 4 2 2" xfId="6374"/>
    <cellStyle name="Normal 2 2 4 22 4 2 2 2" xfId="36457"/>
    <cellStyle name="Normal 2 2 4 22 4 2 3" xfId="36458"/>
    <cellStyle name="Normal 2 2 4 22 4 3" xfId="6375"/>
    <cellStyle name="Normal 2 2 4 22 4 3 2" xfId="36459"/>
    <cellStyle name="Normal 2 2 4 22 4 4" xfId="36460"/>
    <cellStyle name="Normal 2 2 4 22 5" xfId="6376"/>
    <cellStyle name="Normal 2 2 4 22 5 2" xfId="6377"/>
    <cellStyle name="Normal 2 2 4 22 5 2 2" xfId="36461"/>
    <cellStyle name="Normal 2 2 4 22 5 3" xfId="36462"/>
    <cellStyle name="Normal 2 2 4 22 6" xfId="6378"/>
    <cellStyle name="Normal 2 2 4 22 6 2" xfId="36463"/>
    <cellStyle name="Normal 2 2 4 22 7" xfId="6379"/>
    <cellStyle name="Normal 2 2 4 22 7 2" xfId="36464"/>
    <cellStyle name="Normal 2 2 4 22 8" xfId="36465"/>
    <cellStyle name="Normal 2 2 4 23" xfId="6380"/>
    <cellStyle name="Normal 2 2 4 23 2" xfId="6381"/>
    <cellStyle name="Normal 2 2 4 23 2 2" xfId="6382"/>
    <cellStyle name="Normal 2 2 4 23 2 2 2" xfId="6383"/>
    <cellStyle name="Normal 2 2 4 23 2 2 2 2" xfId="36466"/>
    <cellStyle name="Normal 2 2 4 23 2 2 3" xfId="36467"/>
    <cellStyle name="Normal 2 2 4 23 2 3" xfId="6384"/>
    <cellStyle name="Normal 2 2 4 23 2 3 2" xfId="36468"/>
    <cellStyle name="Normal 2 2 4 23 2 4" xfId="36469"/>
    <cellStyle name="Normal 2 2 4 23 3" xfId="6385"/>
    <cellStyle name="Normal 2 2 4 23 3 2" xfId="6386"/>
    <cellStyle name="Normal 2 2 4 23 3 2 2" xfId="6387"/>
    <cellStyle name="Normal 2 2 4 23 3 2 2 2" xfId="36470"/>
    <cellStyle name="Normal 2 2 4 23 3 2 3" xfId="36471"/>
    <cellStyle name="Normal 2 2 4 23 3 3" xfId="6388"/>
    <cellStyle name="Normal 2 2 4 23 3 3 2" xfId="36472"/>
    <cellStyle name="Normal 2 2 4 23 3 4" xfId="36473"/>
    <cellStyle name="Normal 2 2 4 23 4" xfId="6389"/>
    <cellStyle name="Normal 2 2 4 23 4 2" xfId="6390"/>
    <cellStyle name="Normal 2 2 4 23 4 2 2" xfId="6391"/>
    <cellStyle name="Normal 2 2 4 23 4 2 2 2" xfId="36474"/>
    <cellStyle name="Normal 2 2 4 23 4 2 3" xfId="36475"/>
    <cellStyle name="Normal 2 2 4 23 4 3" xfId="6392"/>
    <cellStyle name="Normal 2 2 4 23 4 3 2" xfId="36476"/>
    <cellStyle name="Normal 2 2 4 23 4 4" xfId="36477"/>
    <cellStyle name="Normal 2 2 4 23 5" xfId="6393"/>
    <cellStyle name="Normal 2 2 4 23 5 2" xfId="6394"/>
    <cellStyle name="Normal 2 2 4 23 5 2 2" xfId="36478"/>
    <cellStyle name="Normal 2 2 4 23 5 3" xfId="36479"/>
    <cellStyle name="Normal 2 2 4 23 6" xfId="6395"/>
    <cellStyle name="Normal 2 2 4 23 6 2" xfId="36480"/>
    <cellStyle name="Normal 2 2 4 23 7" xfId="6396"/>
    <cellStyle name="Normal 2 2 4 23 7 2" xfId="36481"/>
    <cellStyle name="Normal 2 2 4 23 8" xfId="36482"/>
    <cellStyle name="Normal 2 2 4 24" xfId="6397"/>
    <cellStyle name="Normal 2 2 4 24 2" xfId="6398"/>
    <cellStyle name="Normal 2 2 4 24 2 2" xfId="6399"/>
    <cellStyle name="Normal 2 2 4 24 2 2 2" xfId="6400"/>
    <cellStyle name="Normal 2 2 4 24 2 2 2 2" xfId="36483"/>
    <cellStyle name="Normal 2 2 4 24 2 2 3" xfId="36484"/>
    <cellStyle name="Normal 2 2 4 24 2 3" xfId="6401"/>
    <cellStyle name="Normal 2 2 4 24 2 3 2" xfId="36485"/>
    <cellStyle name="Normal 2 2 4 24 2 4" xfId="36486"/>
    <cellStyle name="Normal 2 2 4 24 3" xfId="6402"/>
    <cellStyle name="Normal 2 2 4 24 3 2" xfId="6403"/>
    <cellStyle name="Normal 2 2 4 24 3 2 2" xfId="6404"/>
    <cellStyle name="Normal 2 2 4 24 3 2 2 2" xfId="36487"/>
    <cellStyle name="Normal 2 2 4 24 3 2 3" xfId="36488"/>
    <cellStyle name="Normal 2 2 4 24 3 3" xfId="6405"/>
    <cellStyle name="Normal 2 2 4 24 3 3 2" xfId="36489"/>
    <cellStyle name="Normal 2 2 4 24 3 4" xfId="36490"/>
    <cellStyle name="Normal 2 2 4 24 4" xfId="6406"/>
    <cellStyle name="Normal 2 2 4 24 4 2" xfId="6407"/>
    <cellStyle name="Normal 2 2 4 24 4 2 2" xfId="6408"/>
    <cellStyle name="Normal 2 2 4 24 4 2 2 2" xfId="36491"/>
    <cellStyle name="Normal 2 2 4 24 4 2 3" xfId="36492"/>
    <cellStyle name="Normal 2 2 4 24 4 3" xfId="6409"/>
    <cellStyle name="Normal 2 2 4 24 4 3 2" xfId="36493"/>
    <cellStyle name="Normal 2 2 4 24 4 4" xfId="36494"/>
    <cellStyle name="Normal 2 2 4 24 5" xfId="6410"/>
    <cellStyle name="Normal 2 2 4 24 5 2" xfId="6411"/>
    <cellStyle name="Normal 2 2 4 24 5 2 2" xfId="36495"/>
    <cellStyle name="Normal 2 2 4 24 5 3" xfId="36496"/>
    <cellStyle name="Normal 2 2 4 24 6" xfId="6412"/>
    <cellStyle name="Normal 2 2 4 24 6 2" xfId="36497"/>
    <cellStyle name="Normal 2 2 4 24 7" xfId="6413"/>
    <cellStyle name="Normal 2 2 4 24 7 2" xfId="36498"/>
    <cellStyle name="Normal 2 2 4 24 8" xfId="36499"/>
    <cellStyle name="Normal 2 2 4 25" xfId="6414"/>
    <cellStyle name="Normal 2 2 4 25 2" xfId="6415"/>
    <cellStyle name="Normal 2 2 4 25 2 2" xfId="6416"/>
    <cellStyle name="Normal 2 2 4 25 2 2 2" xfId="6417"/>
    <cellStyle name="Normal 2 2 4 25 2 2 2 2" xfId="36500"/>
    <cellStyle name="Normal 2 2 4 25 2 2 3" xfId="36501"/>
    <cellStyle name="Normal 2 2 4 25 2 3" xfId="6418"/>
    <cellStyle name="Normal 2 2 4 25 2 3 2" xfId="36502"/>
    <cellStyle name="Normal 2 2 4 25 2 4" xfId="36503"/>
    <cellStyle name="Normal 2 2 4 25 3" xfId="6419"/>
    <cellStyle name="Normal 2 2 4 25 3 2" xfId="6420"/>
    <cellStyle name="Normal 2 2 4 25 3 2 2" xfId="6421"/>
    <cellStyle name="Normal 2 2 4 25 3 2 2 2" xfId="36504"/>
    <cellStyle name="Normal 2 2 4 25 3 2 3" xfId="36505"/>
    <cellStyle name="Normal 2 2 4 25 3 3" xfId="6422"/>
    <cellStyle name="Normal 2 2 4 25 3 3 2" xfId="36506"/>
    <cellStyle name="Normal 2 2 4 25 3 4" xfId="36507"/>
    <cellStyle name="Normal 2 2 4 25 4" xfId="6423"/>
    <cellStyle name="Normal 2 2 4 25 4 2" xfId="6424"/>
    <cellStyle name="Normal 2 2 4 25 4 2 2" xfId="6425"/>
    <cellStyle name="Normal 2 2 4 25 4 2 2 2" xfId="36508"/>
    <cellStyle name="Normal 2 2 4 25 4 2 3" xfId="36509"/>
    <cellStyle name="Normal 2 2 4 25 4 3" xfId="6426"/>
    <cellStyle name="Normal 2 2 4 25 4 3 2" xfId="36510"/>
    <cellStyle name="Normal 2 2 4 25 4 4" xfId="36511"/>
    <cellStyle name="Normal 2 2 4 25 5" xfId="6427"/>
    <cellStyle name="Normal 2 2 4 25 5 2" xfId="6428"/>
    <cellStyle name="Normal 2 2 4 25 5 2 2" xfId="36512"/>
    <cellStyle name="Normal 2 2 4 25 5 3" xfId="36513"/>
    <cellStyle name="Normal 2 2 4 25 6" xfId="6429"/>
    <cellStyle name="Normal 2 2 4 25 6 2" xfId="36514"/>
    <cellStyle name="Normal 2 2 4 25 7" xfId="6430"/>
    <cellStyle name="Normal 2 2 4 25 7 2" xfId="36515"/>
    <cellStyle name="Normal 2 2 4 25 8" xfId="36516"/>
    <cellStyle name="Normal 2 2 4 26" xfId="6431"/>
    <cellStyle name="Normal 2 2 4 26 2" xfId="6432"/>
    <cellStyle name="Normal 2 2 4 26 2 2" xfId="6433"/>
    <cellStyle name="Normal 2 2 4 26 2 2 2" xfId="6434"/>
    <cellStyle name="Normal 2 2 4 26 2 2 2 2" xfId="36517"/>
    <cellStyle name="Normal 2 2 4 26 2 2 3" xfId="36518"/>
    <cellStyle name="Normal 2 2 4 26 2 3" xfId="6435"/>
    <cellStyle name="Normal 2 2 4 26 2 3 2" xfId="36519"/>
    <cellStyle name="Normal 2 2 4 26 2 4" xfId="36520"/>
    <cellStyle name="Normal 2 2 4 26 3" xfId="6436"/>
    <cellStyle name="Normal 2 2 4 26 3 2" xfId="6437"/>
    <cellStyle name="Normal 2 2 4 26 3 2 2" xfId="6438"/>
    <cellStyle name="Normal 2 2 4 26 3 2 2 2" xfId="36521"/>
    <cellStyle name="Normal 2 2 4 26 3 2 3" xfId="36522"/>
    <cellStyle name="Normal 2 2 4 26 3 3" xfId="6439"/>
    <cellStyle name="Normal 2 2 4 26 3 3 2" xfId="36523"/>
    <cellStyle name="Normal 2 2 4 26 3 4" xfId="36524"/>
    <cellStyle name="Normal 2 2 4 26 4" xfId="6440"/>
    <cellStyle name="Normal 2 2 4 26 4 2" xfId="6441"/>
    <cellStyle name="Normal 2 2 4 26 4 2 2" xfId="6442"/>
    <cellStyle name="Normal 2 2 4 26 4 2 2 2" xfId="36525"/>
    <cellStyle name="Normal 2 2 4 26 4 2 3" xfId="36526"/>
    <cellStyle name="Normal 2 2 4 26 4 3" xfId="6443"/>
    <cellStyle name="Normal 2 2 4 26 4 3 2" xfId="36527"/>
    <cellStyle name="Normal 2 2 4 26 4 4" xfId="36528"/>
    <cellStyle name="Normal 2 2 4 26 5" xfId="6444"/>
    <cellStyle name="Normal 2 2 4 26 5 2" xfId="6445"/>
    <cellStyle name="Normal 2 2 4 26 5 2 2" xfId="36529"/>
    <cellStyle name="Normal 2 2 4 26 5 3" xfId="36530"/>
    <cellStyle name="Normal 2 2 4 26 6" xfId="6446"/>
    <cellStyle name="Normal 2 2 4 26 6 2" xfId="36531"/>
    <cellStyle name="Normal 2 2 4 26 7" xfId="6447"/>
    <cellStyle name="Normal 2 2 4 26 7 2" xfId="36532"/>
    <cellStyle name="Normal 2 2 4 26 8" xfId="36533"/>
    <cellStyle name="Normal 2 2 4 27" xfId="6448"/>
    <cellStyle name="Normal 2 2 4 27 2" xfId="6449"/>
    <cellStyle name="Normal 2 2 4 27 2 2" xfId="6450"/>
    <cellStyle name="Normal 2 2 4 27 2 2 2" xfId="6451"/>
    <cellStyle name="Normal 2 2 4 27 2 2 2 2" xfId="36534"/>
    <cellStyle name="Normal 2 2 4 27 2 2 3" xfId="36535"/>
    <cellStyle name="Normal 2 2 4 27 2 3" xfId="6452"/>
    <cellStyle name="Normal 2 2 4 27 2 3 2" xfId="36536"/>
    <cellStyle name="Normal 2 2 4 27 2 4" xfId="36537"/>
    <cellStyle name="Normal 2 2 4 27 3" xfId="6453"/>
    <cellStyle name="Normal 2 2 4 27 3 2" xfId="6454"/>
    <cellStyle name="Normal 2 2 4 27 3 2 2" xfId="6455"/>
    <cellStyle name="Normal 2 2 4 27 3 2 2 2" xfId="36538"/>
    <cellStyle name="Normal 2 2 4 27 3 2 3" xfId="36539"/>
    <cellStyle name="Normal 2 2 4 27 3 3" xfId="6456"/>
    <cellStyle name="Normal 2 2 4 27 3 3 2" xfId="36540"/>
    <cellStyle name="Normal 2 2 4 27 3 4" xfId="36541"/>
    <cellStyle name="Normal 2 2 4 27 4" xfId="6457"/>
    <cellStyle name="Normal 2 2 4 27 4 2" xfId="6458"/>
    <cellStyle name="Normal 2 2 4 27 4 2 2" xfId="6459"/>
    <cellStyle name="Normal 2 2 4 27 4 2 2 2" xfId="36542"/>
    <cellStyle name="Normal 2 2 4 27 4 2 3" xfId="36543"/>
    <cellStyle name="Normal 2 2 4 27 4 3" xfId="6460"/>
    <cellStyle name="Normal 2 2 4 27 4 3 2" xfId="36544"/>
    <cellStyle name="Normal 2 2 4 27 4 4" xfId="36545"/>
    <cellStyle name="Normal 2 2 4 27 5" xfId="6461"/>
    <cellStyle name="Normal 2 2 4 27 5 2" xfId="6462"/>
    <cellStyle name="Normal 2 2 4 27 5 2 2" xfId="36546"/>
    <cellStyle name="Normal 2 2 4 27 5 3" xfId="36547"/>
    <cellStyle name="Normal 2 2 4 27 6" xfId="6463"/>
    <cellStyle name="Normal 2 2 4 27 6 2" xfId="36548"/>
    <cellStyle name="Normal 2 2 4 27 7" xfId="6464"/>
    <cellStyle name="Normal 2 2 4 27 7 2" xfId="36549"/>
    <cellStyle name="Normal 2 2 4 27 8" xfId="36550"/>
    <cellStyle name="Normal 2 2 4 28" xfId="6465"/>
    <cellStyle name="Normal 2 2 4 28 2" xfId="6466"/>
    <cellStyle name="Normal 2 2 4 28 2 2" xfId="6467"/>
    <cellStyle name="Normal 2 2 4 28 2 2 2" xfId="6468"/>
    <cellStyle name="Normal 2 2 4 28 2 2 2 2" xfId="36551"/>
    <cellStyle name="Normal 2 2 4 28 2 2 3" xfId="36552"/>
    <cellStyle name="Normal 2 2 4 28 2 3" xfId="6469"/>
    <cellStyle name="Normal 2 2 4 28 2 3 2" xfId="36553"/>
    <cellStyle name="Normal 2 2 4 28 2 4" xfId="36554"/>
    <cellStyle name="Normal 2 2 4 28 3" xfId="6470"/>
    <cellStyle name="Normal 2 2 4 28 3 2" xfId="6471"/>
    <cellStyle name="Normal 2 2 4 28 3 2 2" xfId="6472"/>
    <cellStyle name="Normal 2 2 4 28 3 2 2 2" xfId="36555"/>
    <cellStyle name="Normal 2 2 4 28 3 2 3" xfId="36556"/>
    <cellStyle name="Normal 2 2 4 28 3 3" xfId="6473"/>
    <cellStyle name="Normal 2 2 4 28 3 3 2" xfId="36557"/>
    <cellStyle name="Normal 2 2 4 28 3 4" xfId="36558"/>
    <cellStyle name="Normal 2 2 4 28 4" xfId="6474"/>
    <cellStyle name="Normal 2 2 4 28 4 2" xfId="6475"/>
    <cellStyle name="Normal 2 2 4 28 4 2 2" xfId="6476"/>
    <cellStyle name="Normal 2 2 4 28 4 2 2 2" xfId="36559"/>
    <cellStyle name="Normal 2 2 4 28 4 2 3" xfId="36560"/>
    <cellStyle name="Normal 2 2 4 28 4 3" xfId="6477"/>
    <cellStyle name="Normal 2 2 4 28 4 3 2" xfId="36561"/>
    <cellStyle name="Normal 2 2 4 28 4 4" xfId="36562"/>
    <cellStyle name="Normal 2 2 4 28 5" xfId="6478"/>
    <cellStyle name="Normal 2 2 4 28 5 2" xfId="6479"/>
    <cellStyle name="Normal 2 2 4 28 5 2 2" xfId="36563"/>
    <cellStyle name="Normal 2 2 4 28 5 3" xfId="36564"/>
    <cellStyle name="Normal 2 2 4 28 6" xfId="6480"/>
    <cellStyle name="Normal 2 2 4 28 6 2" xfId="36565"/>
    <cellStyle name="Normal 2 2 4 28 7" xfId="6481"/>
    <cellStyle name="Normal 2 2 4 28 7 2" xfId="36566"/>
    <cellStyle name="Normal 2 2 4 28 8" xfId="36567"/>
    <cellStyle name="Normal 2 2 4 29" xfId="6482"/>
    <cellStyle name="Normal 2 2 4 29 2" xfId="6483"/>
    <cellStyle name="Normal 2 2 4 29 2 2" xfId="6484"/>
    <cellStyle name="Normal 2 2 4 29 2 2 2" xfId="6485"/>
    <cellStyle name="Normal 2 2 4 29 2 2 2 2" xfId="36568"/>
    <cellStyle name="Normal 2 2 4 29 2 2 3" xfId="36569"/>
    <cellStyle name="Normal 2 2 4 29 2 3" xfId="6486"/>
    <cellStyle name="Normal 2 2 4 29 2 3 2" xfId="36570"/>
    <cellStyle name="Normal 2 2 4 29 2 4" xfId="36571"/>
    <cellStyle name="Normal 2 2 4 29 3" xfId="6487"/>
    <cellStyle name="Normal 2 2 4 29 3 2" xfId="6488"/>
    <cellStyle name="Normal 2 2 4 29 3 2 2" xfId="6489"/>
    <cellStyle name="Normal 2 2 4 29 3 2 2 2" xfId="36572"/>
    <cellStyle name="Normal 2 2 4 29 3 2 3" xfId="36573"/>
    <cellStyle name="Normal 2 2 4 29 3 3" xfId="6490"/>
    <cellStyle name="Normal 2 2 4 29 3 3 2" xfId="36574"/>
    <cellStyle name="Normal 2 2 4 29 3 4" xfId="36575"/>
    <cellStyle name="Normal 2 2 4 29 4" xfId="6491"/>
    <cellStyle name="Normal 2 2 4 29 4 2" xfId="6492"/>
    <cellStyle name="Normal 2 2 4 29 4 2 2" xfId="6493"/>
    <cellStyle name="Normal 2 2 4 29 4 2 2 2" xfId="36576"/>
    <cellStyle name="Normal 2 2 4 29 4 2 3" xfId="36577"/>
    <cellStyle name="Normal 2 2 4 29 4 3" xfId="6494"/>
    <cellStyle name="Normal 2 2 4 29 4 3 2" xfId="36578"/>
    <cellStyle name="Normal 2 2 4 29 4 4" xfId="36579"/>
    <cellStyle name="Normal 2 2 4 29 5" xfId="6495"/>
    <cellStyle name="Normal 2 2 4 29 5 2" xfId="6496"/>
    <cellStyle name="Normal 2 2 4 29 5 2 2" xfId="36580"/>
    <cellStyle name="Normal 2 2 4 29 5 3" xfId="36581"/>
    <cellStyle name="Normal 2 2 4 29 6" xfId="6497"/>
    <cellStyle name="Normal 2 2 4 29 6 2" xfId="36582"/>
    <cellStyle name="Normal 2 2 4 29 7" xfId="6498"/>
    <cellStyle name="Normal 2 2 4 29 7 2" xfId="36583"/>
    <cellStyle name="Normal 2 2 4 29 8" xfId="36584"/>
    <cellStyle name="Normal 2 2 4 3" xfId="6499"/>
    <cellStyle name="Normal 2 2 4 3 2" xfId="6500"/>
    <cellStyle name="Normal 2 2 4 3 2 2" xfId="6501"/>
    <cellStyle name="Normal 2 2 4 3 2 2 2" xfId="6502"/>
    <cellStyle name="Normal 2 2 4 3 2 2 2 2" xfId="36585"/>
    <cellStyle name="Normal 2 2 4 3 2 2 3" xfId="36586"/>
    <cellStyle name="Normal 2 2 4 3 2 3" xfId="6503"/>
    <cellStyle name="Normal 2 2 4 3 2 3 2" xfId="36587"/>
    <cellStyle name="Normal 2 2 4 3 2 4" xfId="36588"/>
    <cellStyle name="Normal 2 2 4 3 3" xfId="6504"/>
    <cellStyle name="Normal 2 2 4 3 3 2" xfId="6505"/>
    <cellStyle name="Normal 2 2 4 3 3 2 2" xfId="6506"/>
    <cellStyle name="Normal 2 2 4 3 3 2 2 2" xfId="36589"/>
    <cellStyle name="Normal 2 2 4 3 3 2 3" xfId="36590"/>
    <cellStyle name="Normal 2 2 4 3 3 3" xfId="6507"/>
    <cellStyle name="Normal 2 2 4 3 3 3 2" xfId="36591"/>
    <cellStyle name="Normal 2 2 4 3 3 4" xfId="36592"/>
    <cellStyle name="Normal 2 2 4 3 4" xfId="6508"/>
    <cellStyle name="Normal 2 2 4 3 4 2" xfId="6509"/>
    <cellStyle name="Normal 2 2 4 3 4 2 2" xfId="6510"/>
    <cellStyle name="Normal 2 2 4 3 4 2 2 2" xfId="36593"/>
    <cellStyle name="Normal 2 2 4 3 4 2 3" xfId="36594"/>
    <cellStyle name="Normal 2 2 4 3 4 3" xfId="6511"/>
    <cellStyle name="Normal 2 2 4 3 4 3 2" xfId="36595"/>
    <cellStyle name="Normal 2 2 4 3 4 4" xfId="36596"/>
    <cellStyle name="Normal 2 2 4 3 5" xfId="6512"/>
    <cellStyle name="Normal 2 2 4 3 5 2" xfId="6513"/>
    <cellStyle name="Normal 2 2 4 3 5 2 2" xfId="36597"/>
    <cellStyle name="Normal 2 2 4 3 5 3" xfId="36598"/>
    <cellStyle name="Normal 2 2 4 3 6" xfId="6514"/>
    <cellStyle name="Normal 2 2 4 3 6 2" xfId="36599"/>
    <cellStyle name="Normal 2 2 4 3 7" xfId="6515"/>
    <cellStyle name="Normal 2 2 4 3 7 2" xfId="36600"/>
    <cellStyle name="Normal 2 2 4 3 8" xfId="36601"/>
    <cellStyle name="Normal 2 2 4 30" xfId="6516"/>
    <cellStyle name="Normal 2 2 4 30 2" xfId="6517"/>
    <cellStyle name="Normal 2 2 4 30 2 2" xfId="6518"/>
    <cellStyle name="Normal 2 2 4 30 2 2 2" xfId="36602"/>
    <cellStyle name="Normal 2 2 4 30 2 3" xfId="36603"/>
    <cellStyle name="Normal 2 2 4 30 3" xfId="6519"/>
    <cellStyle name="Normal 2 2 4 30 3 2" xfId="36604"/>
    <cellStyle name="Normal 2 2 4 30 4" xfId="36605"/>
    <cellStyle name="Normal 2 2 4 31" xfId="6520"/>
    <cellStyle name="Normal 2 2 4 31 2" xfId="6521"/>
    <cellStyle name="Normal 2 2 4 31 2 2" xfId="6522"/>
    <cellStyle name="Normal 2 2 4 31 2 2 2" xfId="36606"/>
    <cellStyle name="Normal 2 2 4 31 2 3" xfId="36607"/>
    <cellStyle name="Normal 2 2 4 31 3" xfId="6523"/>
    <cellStyle name="Normal 2 2 4 31 3 2" xfId="36608"/>
    <cellStyle name="Normal 2 2 4 31 4" xfId="36609"/>
    <cellStyle name="Normal 2 2 4 32" xfId="6524"/>
    <cellStyle name="Normal 2 2 4 32 2" xfId="6525"/>
    <cellStyle name="Normal 2 2 4 32 2 2" xfId="6526"/>
    <cellStyle name="Normal 2 2 4 32 2 2 2" xfId="36610"/>
    <cellStyle name="Normal 2 2 4 32 2 3" xfId="36611"/>
    <cellStyle name="Normal 2 2 4 32 3" xfId="6527"/>
    <cellStyle name="Normal 2 2 4 32 3 2" xfId="36612"/>
    <cellStyle name="Normal 2 2 4 32 4" xfId="36613"/>
    <cellStyle name="Normal 2 2 4 33" xfId="6528"/>
    <cellStyle name="Normal 2 2 4 33 2" xfId="6529"/>
    <cellStyle name="Normal 2 2 4 33 2 2" xfId="36614"/>
    <cellStyle name="Normal 2 2 4 33 3" xfId="36615"/>
    <cellStyle name="Normal 2 2 4 34" xfId="6530"/>
    <cellStyle name="Normal 2 2 4 34 2" xfId="36616"/>
    <cellStyle name="Normal 2 2 4 35" xfId="6531"/>
    <cellStyle name="Normal 2 2 4 35 2" xfId="36617"/>
    <cellStyle name="Normal 2 2 4 36" xfId="36618"/>
    <cellStyle name="Normal 2 2 4 4" xfId="6532"/>
    <cellStyle name="Normal 2 2 4 4 2" xfId="6533"/>
    <cellStyle name="Normal 2 2 4 4 2 2" xfId="6534"/>
    <cellStyle name="Normal 2 2 4 4 2 2 2" xfId="6535"/>
    <cellStyle name="Normal 2 2 4 4 2 2 2 2" xfId="36619"/>
    <cellStyle name="Normal 2 2 4 4 2 2 3" xfId="36620"/>
    <cellStyle name="Normal 2 2 4 4 2 3" xfId="6536"/>
    <cellStyle name="Normal 2 2 4 4 2 3 2" xfId="36621"/>
    <cellStyle name="Normal 2 2 4 4 2 4" xfId="36622"/>
    <cellStyle name="Normal 2 2 4 4 3" xfId="6537"/>
    <cellStyle name="Normal 2 2 4 4 3 2" xfId="6538"/>
    <cellStyle name="Normal 2 2 4 4 3 2 2" xfId="6539"/>
    <cellStyle name="Normal 2 2 4 4 3 2 2 2" xfId="36623"/>
    <cellStyle name="Normal 2 2 4 4 3 2 3" xfId="36624"/>
    <cellStyle name="Normal 2 2 4 4 3 3" xfId="6540"/>
    <cellStyle name="Normal 2 2 4 4 3 3 2" xfId="36625"/>
    <cellStyle name="Normal 2 2 4 4 3 4" xfId="36626"/>
    <cellStyle name="Normal 2 2 4 4 4" xfId="6541"/>
    <cellStyle name="Normal 2 2 4 4 4 2" xfId="6542"/>
    <cellStyle name="Normal 2 2 4 4 4 2 2" xfId="6543"/>
    <cellStyle name="Normal 2 2 4 4 4 2 2 2" xfId="36627"/>
    <cellStyle name="Normal 2 2 4 4 4 2 3" xfId="36628"/>
    <cellStyle name="Normal 2 2 4 4 4 3" xfId="6544"/>
    <cellStyle name="Normal 2 2 4 4 4 3 2" xfId="36629"/>
    <cellStyle name="Normal 2 2 4 4 4 4" xfId="36630"/>
    <cellStyle name="Normal 2 2 4 4 5" xfId="6545"/>
    <cellStyle name="Normal 2 2 4 4 5 2" xfId="6546"/>
    <cellStyle name="Normal 2 2 4 4 5 2 2" xfId="36631"/>
    <cellStyle name="Normal 2 2 4 4 5 3" xfId="36632"/>
    <cellStyle name="Normal 2 2 4 4 6" xfId="6547"/>
    <cellStyle name="Normal 2 2 4 4 6 2" xfId="36633"/>
    <cellStyle name="Normal 2 2 4 4 7" xfId="6548"/>
    <cellStyle name="Normal 2 2 4 4 7 2" xfId="36634"/>
    <cellStyle name="Normal 2 2 4 4 8" xfId="36635"/>
    <cellStyle name="Normal 2 2 4 5" xfId="6549"/>
    <cellStyle name="Normal 2 2 4 5 2" xfId="6550"/>
    <cellStyle name="Normal 2 2 4 5 2 2" xfId="6551"/>
    <cellStyle name="Normal 2 2 4 5 2 2 2" xfId="6552"/>
    <cellStyle name="Normal 2 2 4 5 2 2 2 2" xfId="36636"/>
    <cellStyle name="Normal 2 2 4 5 2 2 3" xfId="36637"/>
    <cellStyle name="Normal 2 2 4 5 2 3" xfId="6553"/>
    <cellStyle name="Normal 2 2 4 5 2 3 2" xfId="36638"/>
    <cellStyle name="Normal 2 2 4 5 2 4" xfId="36639"/>
    <cellStyle name="Normal 2 2 4 5 3" xfId="6554"/>
    <cellStyle name="Normal 2 2 4 5 3 2" xfId="6555"/>
    <cellStyle name="Normal 2 2 4 5 3 2 2" xfId="6556"/>
    <cellStyle name="Normal 2 2 4 5 3 2 2 2" xfId="36640"/>
    <cellStyle name="Normal 2 2 4 5 3 2 3" xfId="36641"/>
    <cellStyle name="Normal 2 2 4 5 3 3" xfId="6557"/>
    <cellStyle name="Normal 2 2 4 5 3 3 2" xfId="36642"/>
    <cellStyle name="Normal 2 2 4 5 3 4" xfId="36643"/>
    <cellStyle name="Normal 2 2 4 5 4" xfId="6558"/>
    <cellStyle name="Normal 2 2 4 5 4 2" xfId="6559"/>
    <cellStyle name="Normal 2 2 4 5 4 2 2" xfId="6560"/>
    <cellStyle name="Normal 2 2 4 5 4 2 2 2" xfId="36644"/>
    <cellStyle name="Normal 2 2 4 5 4 2 3" xfId="36645"/>
    <cellStyle name="Normal 2 2 4 5 4 3" xfId="6561"/>
    <cellStyle name="Normal 2 2 4 5 4 3 2" xfId="36646"/>
    <cellStyle name="Normal 2 2 4 5 4 4" xfId="36647"/>
    <cellStyle name="Normal 2 2 4 5 5" xfId="6562"/>
    <cellStyle name="Normal 2 2 4 5 5 2" xfId="6563"/>
    <cellStyle name="Normal 2 2 4 5 5 2 2" xfId="36648"/>
    <cellStyle name="Normal 2 2 4 5 5 3" xfId="36649"/>
    <cellStyle name="Normal 2 2 4 5 6" xfId="6564"/>
    <cellStyle name="Normal 2 2 4 5 6 2" xfId="36650"/>
    <cellStyle name="Normal 2 2 4 5 7" xfId="6565"/>
    <cellStyle name="Normal 2 2 4 5 7 2" xfId="36651"/>
    <cellStyle name="Normal 2 2 4 5 8" xfId="36652"/>
    <cellStyle name="Normal 2 2 4 6" xfId="6566"/>
    <cellStyle name="Normal 2 2 4 6 2" xfId="6567"/>
    <cellStyle name="Normal 2 2 4 6 2 2" xfId="6568"/>
    <cellStyle name="Normal 2 2 4 6 2 2 2" xfId="6569"/>
    <cellStyle name="Normal 2 2 4 6 2 2 2 2" xfId="36653"/>
    <cellStyle name="Normal 2 2 4 6 2 2 3" xfId="36654"/>
    <cellStyle name="Normal 2 2 4 6 2 3" xfId="6570"/>
    <cellStyle name="Normal 2 2 4 6 2 3 2" xfId="36655"/>
    <cellStyle name="Normal 2 2 4 6 2 4" xfId="36656"/>
    <cellStyle name="Normal 2 2 4 6 3" xfId="6571"/>
    <cellStyle name="Normal 2 2 4 6 3 2" xfId="6572"/>
    <cellStyle name="Normal 2 2 4 6 3 2 2" xfId="6573"/>
    <cellStyle name="Normal 2 2 4 6 3 2 2 2" xfId="36657"/>
    <cellStyle name="Normal 2 2 4 6 3 2 3" xfId="36658"/>
    <cellStyle name="Normal 2 2 4 6 3 3" xfId="6574"/>
    <cellStyle name="Normal 2 2 4 6 3 3 2" xfId="36659"/>
    <cellStyle name="Normal 2 2 4 6 3 4" xfId="36660"/>
    <cellStyle name="Normal 2 2 4 6 4" xfId="6575"/>
    <cellStyle name="Normal 2 2 4 6 4 2" xfId="6576"/>
    <cellStyle name="Normal 2 2 4 6 4 2 2" xfId="6577"/>
    <cellStyle name="Normal 2 2 4 6 4 2 2 2" xfId="36661"/>
    <cellStyle name="Normal 2 2 4 6 4 2 3" xfId="36662"/>
    <cellStyle name="Normal 2 2 4 6 4 3" xfId="6578"/>
    <cellStyle name="Normal 2 2 4 6 4 3 2" xfId="36663"/>
    <cellStyle name="Normal 2 2 4 6 4 4" xfId="36664"/>
    <cellStyle name="Normal 2 2 4 6 5" xfId="6579"/>
    <cellStyle name="Normal 2 2 4 6 5 2" xfId="6580"/>
    <cellStyle name="Normal 2 2 4 6 5 2 2" xfId="36665"/>
    <cellStyle name="Normal 2 2 4 6 5 3" xfId="36666"/>
    <cellStyle name="Normal 2 2 4 6 6" xfId="6581"/>
    <cellStyle name="Normal 2 2 4 6 6 2" xfId="36667"/>
    <cellStyle name="Normal 2 2 4 6 7" xfId="6582"/>
    <cellStyle name="Normal 2 2 4 6 7 2" xfId="36668"/>
    <cellStyle name="Normal 2 2 4 6 8" xfId="36669"/>
    <cellStyle name="Normal 2 2 4 7" xfId="6583"/>
    <cellStyle name="Normal 2 2 4 7 2" xfId="6584"/>
    <cellStyle name="Normal 2 2 4 7 2 2" xfId="6585"/>
    <cellStyle name="Normal 2 2 4 7 2 2 2" xfId="6586"/>
    <cellStyle name="Normal 2 2 4 7 2 2 2 2" xfId="36670"/>
    <cellStyle name="Normal 2 2 4 7 2 2 3" xfId="36671"/>
    <cellStyle name="Normal 2 2 4 7 2 3" xfId="6587"/>
    <cellStyle name="Normal 2 2 4 7 2 3 2" xfId="36672"/>
    <cellStyle name="Normal 2 2 4 7 2 4" xfId="36673"/>
    <cellStyle name="Normal 2 2 4 7 3" xfId="6588"/>
    <cellStyle name="Normal 2 2 4 7 3 2" xfId="6589"/>
    <cellStyle name="Normal 2 2 4 7 3 2 2" xfId="6590"/>
    <cellStyle name="Normal 2 2 4 7 3 2 2 2" xfId="36674"/>
    <cellStyle name="Normal 2 2 4 7 3 2 3" xfId="36675"/>
    <cellStyle name="Normal 2 2 4 7 3 3" xfId="6591"/>
    <cellStyle name="Normal 2 2 4 7 3 3 2" xfId="36676"/>
    <cellStyle name="Normal 2 2 4 7 3 4" xfId="36677"/>
    <cellStyle name="Normal 2 2 4 7 4" xfId="6592"/>
    <cellStyle name="Normal 2 2 4 7 4 2" xfId="6593"/>
    <cellStyle name="Normal 2 2 4 7 4 2 2" xfId="6594"/>
    <cellStyle name="Normal 2 2 4 7 4 2 2 2" xfId="36678"/>
    <cellStyle name="Normal 2 2 4 7 4 2 3" xfId="36679"/>
    <cellStyle name="Normal 2 2 4 7 4 3" xfId="6595"/>
    <cellStyle name="Normal 2 2 4 7 4 3 2" xfId="36680"/>
    <cellStyle name="Normal 2 2 4 7 4 4" xfId="36681"/>
    <cellStyle name="Normal 2 2 4 7 5" xfId="6596"/>
    <cellStyle name="Normal 2 2 4 7 5 2" xfId="6597"/>
    <cellStyle name="Normal 2 2 4 7 5 2 2" xfId="36682"/>
    <cellStyle name="Normal 2 2 4 7 5 3" xfId="36683"/>
    <cellStyle name="Normal 2 2 4 7 6" xfId="6598"/>
    <cellStyle name="Normal 2 2 4 7 6 2" xfId="36684"/>
    <cellStyle name="Normal 2 2 4 7 7" xfId="6599"/>
    <cellStyle name="Normal 2 2 4 7 7 2" xfId="36685"/>
    <cellStyle name="Normal 2 2 4 7 8" xfId="36686"/>
    <cellStyle name="Normal 2 2 4 8" xfId="6600"/>
    <cellStyle name="Normal 2 2 4 8 2" xfId="6601"/>
    <cellStyle name="Normal 2 2 4 8 2 2" xfId="6602"/>
    <cellStyle name="Normal 2 2 4 8 2 2 2" xfId="6603"/>
    <cellStyle name="Normal 2 2 4 8 2 2 2 2" xfId="36687"/>
    <cellStyle name="Normal 2 2 4 8 2 2 3" xfId="36688"/>
    <cellStyle name="Normal 2 2 4 8 2 3" xfId="6604"/>
    <cellStyle name="Normal 2 2 4 8 2 3 2" xfId="36689"/>
    <cellStyle name="Normal 2 2 4 8 2 4" xfId="36690"/>
    <cellStyle name="Normal 2 2 4 8 3" xfId="6605"/>
    <cellStyle name="Normal 2 2 4 8 3 2" xfId="6606"/>
    <cellStyle name="Normal 2 2 4 8 3 2 2" xfId="6607"/>
    <cellStyle name="Normal 2 2 4 8 3 2 2 2" xfId="36691"/>
    <cellStyle name="Normal 2 2 4 8 3 2 3" xfId="36692"/>
    <cellStyle name="Normal 2 2 4 8 3 3" xfId="6608"/>
    <cellStyle name="Normal 2 2 4 8 3 3 2" xfId="36693"/>
    <cellStyle name="Normal 2 2 4 8 3 4" xfId="36694"/>
    <cellStyle name="Normal 2 2 4 8 4" xfId="6609"/>
    <cellStyle name="Normal 2 2 4 8 4 2" xfId="6610"/>
    <cellStyle name="Normal 2 2 4 8 4 2 2" xfId="6611"/>
    <cellStyle name="Normal 2 2 4 8 4 2 2 2" xfId="36695"/>
    <cellStyle name="Normal 2 2 4 8 4 2 3" xfId="36696"/>
    <cellStyle name="Normal 2 2 4 8 4 3" xfId="6612"/>
    <cellStyle name="Normal 2 2 4 8 4 3 2" xfId="36697"/>
    <cellStyle name="Normal 2 2 4 8 4 4" xfId="36698"/>
    <cellStyle name="Normal 2 2 4 8 5" xfId="6613"/>
    <cellStyle name="Normal 2 2 4 8 5 2" xfId="6614"/>
    <cellStyle name="Normal 2 2 4 8 5 2 2" xfId="36699"/>
    <cellStyle name="Normal 2 2 4 8 5 3" xfId="36700"/>
    <cellStyle name="Normal 2 2 4 8 6" xfId="6615"/>
    <cellStyle name="Normal 2 2 4 8 6 2" xfId="36701"/>
    <cellStyle name="Normal 2 2 4 8 7" xfId="6616"/>
    <cellStyle name="Normal 2 2 4 8 7 2" xfId="36702"/>
    <cellStyle name="Normal 2 2 4 8 8" xfId="36703"/>
    <cellStyle name="Normal 2 2 4 9" xfId="6617"/>
    <cellStyle name="Normal 2 2 4 9 2" xfId="6618"/>
    <cellStyle name="Normal 2 2 4 9 2 2" xfId="6619"/>
    <cellStyle name="Normal 2 2 4 9 2 2 2" xfId="6620"/>
    <cellStyle name="Normal 2 2 4 9 2 2 2 2" xfId="36704"/>
    <cellStyle name="Normal 2 2 4 9 2 2 3" xfId="36705"/>
    <cellStyle name="Normal 2 2 4 9 2 3" xfId="6621"/>
    <cellStyle name="Normal 2 2 4 9 2 3 2" xfId="36706"/>
    <cellStyle name="Normal 2 2 4 9 2 4" xfId="36707"/>
    <cellStyle name="Normal 2 2 4 9 3" xfId="6622"/>
    <cellStyle name="Normal 2 2 4 9 3 2" xfId="6623"/>
    <cellStyle name="Normal 2 2 4 9 3 2 2" xfId="6624"/>
    <cellStyle name="Normal 2 2 4 9 3 2 2 2" xfId="36708"/>
    <cellStyle name="Normal 2 2 4 9 3 2 3" xfId="36709"/>
    <cellStyle name="Normal 2 2 4 9 3 3" xfId="6625"/>
    <cellStyle name="Normal 2 2 4 9 3 3 2" xfId="36710"/>
    <cellStyle name="Normal 2 2 4 9 3 4" xfId="36711"/>
    <cellStyle name="Normal 2 2 4 9 4" xfId="6626"/>
    <cellStyle name="Normal 2 2 4 9 4 2" xfId="6627"/>
    <cellStyle name="Normal 2 2 4 9 4 2 2" xfId="6628"/>
    <cellStyle name="Normal 2 2 4 9 4 2 2 2" xfId="36712"/>
    <cellStyle name="Normal 2 2 4 9 4 2 3" xfId="36713"/>
    <cellStyle name="Normal 2 2 4 9 4 3" xfId="6629"/>
    <cellStyle name="Normal 2 2 4 9 4 3 2" xfId="36714"/>
    <cellStyle name="Normal 2 2 4 9 4 4" xfId="36715"/>
    <cellStyle name="Normal 2 2 4 9 5" xfId="6630"/>
    <cellStyle name="Normal 2 2 4 9 5 2" xfId="6631"/>
    <cellStyle name="Normal 2 2 4 9 5 2 2" xfId="36716"/>
    <cellStyle name="Normal 2 2 4 9 5 3" xfId="36717"/>
    <cellStyle name="Normal 2 2 4 9 6" xfId="6632"/>
    <cellStyle name="Normal 2 2 4 9 6 2" xfId="36718"/>
    <cellStyle name="Normal 2 2 4 9 7" xfId="6633"/>
    <cellStyle name="Normal 2 2 4 9 7 2" xfId="36719"/>
    <cellStyle name="Normal 2 2 4 9 8" xfId="36720"/>
    <cellStyle name="Normal 2 2 40" xfId="6634"/>
    <cellStyle name="Normal 2 2 40 2" xfId="36721"/>
    <cellStyle name="Normal 2 2 41" xfId="6635"/>
    <cellStyle name="Normal 2 2 41 2" xfId="36722"/>
    <cellStyle name="Normal 2 2 42" xfId="36723"/>
    <cellStyle name="Normal 2 2 5" xfId="6636"/>
    <cellStyle name="Normal 2 2 5 10" xfId="6637"/>
    <cellStyle name="Normal 2 2 5 10 2" xfId="6638"/>
    <cellStyle name="Normal 2 2 5 10 2 2" xfId="6639"/>
    <cellStyle name="Normal 2 2 5 10 2 2 2" xfId="6640"/>
    <cellStyle name="Normal 2 2 5 10 2 2 2 2" xfId="36724"/>
    <cellStyle name="Normal 2 2 5 10 2 2 3" xfId="36725"/>
    <cellStyle name="Normal 2 2 5 10 2 3" xfId="6641"/>
    <cellStyle name="Normal 2 2 5 10 2 3 2" xfId="36726"/>
    <cellStyle name="Normal 2 2 5 10 2 4" xfId="36727"/>
    <cellStyle name="Normal 2 2 5 10 3" xfId="6642"/>
    <cellStyle name="Normal 2 2 5 10 3 2" xfId="6643"/>
    <cellStyle name="Normal 2 2 5 10 3 2 2" xfId="6644"/>
    <cellStyle name="Normal 2 2 5 10 3 2 2 2" xfId="36728"/>
    <cellStyle name="Normal 2 2 5 10 3 2 3" xfId="36729"/>
    <cellStyle name="Normal 2 2 5 10 3 3" xfId="6645"/>
    <cellStyle name="Normal 2 2 5 10 3 3 2" xfId="36730"/>
    <cellStyle name="Normal 2 2 5 10 3 4" xfId="36731"/>
    <cellStyle name="Normal 2 2 5 10 4" xfId="6646"/>
    <cellStyle name="Normal 2 2 5 10 4 2" xfId="6647"/>
    <cellStyle name="Normal 2 2 5 10 4 2 2" xfId="6648"/>
    <cellStyle name="Normal 2 2 5 10 4 2 2 2" xfId="36732"/>
    <cellStyle name="Normal 2 2 5 10 4 2 3" xfId="36733"/>
    <cellStyle name="Normal 2 2 5 10 4 3" xfId="6649"/>
    <cellStyle name="Normal 2 2 5 10 4 3 2" xfId="36734"/>
    <cellStyle name="Normal 2 2 5 10 4 4" xfId="36735"/>
    <cellStyle name="Normal 2 2 5 10 5" xfId="6650"/>
    <cellStyle name="Normal 2 2 5 10 5 2" xfId="6651"/>
    <cellStyle name="Normal 2 2 5 10 5 2 2" xfId="36736"/>
    <cellStyle name="Normal 2 2 5 10 5 3" xfId="36737"/>
    <cellStyle name="Normal 2 2 5 10 6" xfId="6652"/>
    <cellStyle name="Normal 2 2 5 10 6 2" xfId="36738"/>
    <cellStyle name="Normal 2 2 5 10 7" xfId="6653"/>
    <cellStyle name="Normal 2 2 5 10 7 2" xfId="36739"/>
    <cellStyle name="Normal 2 2 5 10 8" xfId="36740"/>
    <cellStyle name="Normal 2 2 5 11" xfId="6654"/>
    <cellStyle name="Normal 2 2 5 11 2" xfId="6655"/>
    <cellStyle name="Normal 2 2 5 11 2 2" xfId="6656"/>
    <cellStyle name="Normal 2 2 5 11 2 2 2" xfId="6657"/>
    <cellStyle name="Normal 2 2 5 11 2 2 2 2" xfId="36741"/>
    <cellStyle name="Normal 2 2 5 11 2 2 3" xfId="36742"/>
    <cellStyle name="Normal 2 2 5 11 2 3" xfId="6658"/>
    <cellStyle name="Normal 2 2 5 11 2 3 2" xfId="36743"/>
    <cellStyle name="Normal 2 2 5 11 2 4" xfId="36744"/>
    <cellStyle name="Normal 2 2 5 11 3" xfId="6659"/>
    <cellStyle name="Normal 2 2 5 11 3 2" xfId="6660"/>
    <cellStyle name="Normal 2 2 5 11 3 2 2" xfId="6661"/>
    <cellStyle name="Normal 2 2 5 11 3 2 2 2" xfId="36745"/>
    <cellStyle name="Normal 2 2 5 11 3 2 3" xfId="36746"/>
    <cellStyle name="Normal 2 2 5 11 3 3" xfId="6662"/>
    <cellStyle name="Normal 2 2 5 11 3 3 2" xfId="36747"/>
    <cellStyle name="Normal 2 2 5 11 3 4" xfId="36748"/>
    <cellStyle name="Normal 2 2 5 11 4" xfId="6663"/>
    <cellStyle name="Normal 2 2 5 11 4 2" xfId="6664"/>
    <cellStyle name="Normal 2 2 5 11 4 2 2" xfId="6665"/>
    <cellStyle name="Normal 2 2 5 11 4 2 2 2" xfId="36749"/>
    <cellStyle name="Normal 2 2 5 11 4 2 3" xfId="36750"/>
    <cellStyle name="Normal 2 2 5 11 4 3" xfId="6666"/>
    <cellStyle name="Normal 2 2 5 11 4 3 2" xfId="36751"/>
    <cellStyle name="Normal 2 2 5 11 4 4" xfId="36752"/>
    <cellStyle name="Normal 2 2 5 11 5" xfId="6667"/>
    <cellStyle name="Normal 2 2 5 11 5 2" xfId="6668"/>
    <cellStyle name="Normal 2 2 5 11 5 2 2" xfId="36753"/>
    <cellStyle name="Normal 2 2 5 11 5 3" xfId="36754"/>
    <cellStyle name="Normal 2 2 5 11 6" xfId="6669"/>
    <cellStyle name="Normal 2 2 5 11 6 2" xfId="36755"/>
    <cellStyle name="Normal 2 2 5 11 7" xfId="6670"/>
    <cellStyle name="Normal 2 2 5 11 7 2" xfId="36756"/>
    <cellStyle name="Normal 2 2 5 11 8" xfId="36757"/>
    <cellStyle name="Normal 2 2 5 12" xfId="6671"/>
    <cellStyle name="Normal 2 2 5 12 2" xfId="6672"/>
    <cellStyle name="Normal 2 2 5 12 2 2" xfId="6673"/>
    <cellStyle name="Normal 2 2 5 12 2 2 2" xfId="6674"/>
    <cellStyle name="Normal 2 2 5 12 2 2 2 2" xfId="36758"/>
    <cellStyle name="Normal 2 2 5 12 2 2 3" xfId="36759"/>
    <cellStyle name="Normal 2 2 5 12 2 3" xfId="6675"/>
    <cellStyle name="Normal 2 2 5 12 2 3 2" xfId="36760"/>
    <cellStyle name="Normal 2 2 5 12 2 4" xfId="36761"/>
    <cellStyle name="Normal 2 2 5 12 3" xfId="6676"/>
    <cellStyle name="Normal 2 2 5 12 3 2" xfId="6677"/>
    <cellStyle name="Normal 2 2 5 12 3 2 2" xfId="6678"/>
    <cellStyle name="Normal 2 2 5 12 3 2 2 2" xfId="36762"/>
    <cellStyle name="Normal 2 2 5 12 3 2 3" xfId="36763"/>
    <cellStyle name="Normal 2 2 5 12 3 3" xfId="6679"/>
    <cellStyle name="Normal 2 2 5 12 3 3 2" xfId="36764"/>
    <cellStyle name="Normal 2 2 5 12 3 4" xfId="36765"/>
    <cellStyle name="Normal 2 2 5 12 4" xfId="6680"/>
    <cellStyle name="Normal 2 2 5 12 4 2" xfId="6681"/>
    <cellStyle name="Normal 2 2 5 12 4 2 2" xfId="6682"/>
    <cellStyle name="Normal 2 2 5 12 4 2 2 2" xfId="36766"/>
    <cellStyle name="Normal 2 2 5 12 4 2 3" xfId="36767"/>
    <cellStyle name="Normal 2 2 5 12 4 3" xfId="6683"/>
    <cellStyle name="Normal 2 2 5 12 4 3 2" xfId="36768"/>
    <cellStyle name="Normal 2 2 5 12 4 4" xfId="36769"/>
    <cellStyle name="Normal 2 2 5 12 5" xfId="6684"/>
    <cellStyle name="Normal 2 2 5 12 5 2" xfId="6685"/>
    <cellStyle name="Normal 2 2 5 12 5 2 2" xfId="36770"/>
    <cellStyle name="Normal 2 2 5 12 5 3" xfId="36771"/>
    <cellStyle name="Normal 2 2 5 12 6" xfId="6686"/>
    <cellStyle name="Normal 2 2 5 12 6 2" xfId="36772"/>
    <cellStyle name="Normal 2 2 5 12 7" xfId="6687"/>
    <cellStyle name="Normal 2 2 5 12 7 2" xfId="36773"/>
    <cellStyle name="Normal 2 2 5 12 8" xfId="36774"/>
    <cellStyle name="Normal 2 2 5 13" xfId="6688"/>
    <cellStyle name="Normal 2 2 5 13 2" xfId="6689"/>
    <cellStyle name="Normal 2 2 5 13 2 2" xfId="6690"/>
    <cellStyle name="Normal 2 2 5 13 2 2 2" xfId="6691"/>
    <cellStyle name="Normal 2 2 5 13 2 2 2 2" xfId="36775"/>
    <cellStyle name="Normal 2 2 5 13 2 2 3" xfId="36776"/>
    <cellStyle name="Normal 2 2 5 13 2 3" xfId="6692"/>
    <cellStyle name="Normal 2 2 5 13 2 3 2" xfId="36777"/>
    <cellStyle name="Normal 2 2 5 13 2 4" xfId="36778"/>
    <cellStyle name="Normal 2 2 5 13 3" xfId="6693"/>
    <cellStyle name="Normal 2 2 5 13 3 2" xfId="6694"/>
    <cellStyle name="Normal 2 2 5 13 3 2 2" xfId="6695"/>
    <cellStyle name="Normal 2 2 5 13 3 2 2 2" xfId="36779"/>
    <cellStyle name="Normal 2 2 5 13 3 2 3" xfId="36780"/>
    <cellStyle name="Normal 2 2 5 13 3 3" xfId="6696"/>
    <cellStyle name="Normal 2 2 5 13 3 3 2" xfId="36781"/>
    <cellStyle name="Normal 2 2 5 13 3 4" xfId="36782"/>
    <cellStyle name="Normal 2 2 5 13 4" xfId="6697"/>
    <cellStyle name="Normal 2 2 5 13 4 2" xfId="6698"/>
    <cellStyle name="Normal 2 2 5 13 4 2 2" xfId="6699"/>
    <cellStyle name="Normal 2 2 5 13 4 2 2 2" xfId="36783"/>
    <cellStyle name="Normal 2 2 5 13 4 2 3" xfId="36784"/>
    <cellStyle name="Normal 2 2 5 13 4 3" xfId="6700"/>
    <cellStyle name="Normal 2 2 5 13 4 3 2" xfId="36785"/>
    <cellStyle name="Normal 2 2 5 13 4 4" xfId="36786"/>
    <cellStyle name="Normal 2 2 5 13 5" xfId="6701"/>
    <cellStyle name="Normal 2 2 5 13 5 2" xfId="6702"/>
    <cellStyle name="Normal 2 2 5 13 5 2 2" xfId="36787"/>
    <cellStyle name="Normal 2 2 5 13 5 3" xfId="36788"/>
    <cellStyle name="Normal 2 2 5 13 6" xfId="6703"/>
    <cellStyle name="Normal 2 2 5 13 6 2" xfId="36789"/>
    <cellStyle name="Normal 2 2 5 13 7" xfId="6704"/>
    <cellStyle name="Normal 2 2 5 13 7 2" xfId="36790"/>
    <cellStyle name="Normal 2 2 5 13 8" xfId="36791"/>
    <cellStyle name="Normal 2 2 5 14" xfId="6705"/>
    <cellStyle name="Normal 2 2 5 14 2" xfId="6706"/>
    <cellStyle name="Normal 2 2 5 14 2 2" xfId="6707"/>
    <cellStyle name="Normal 2 2 5 14 2 2 2" xfId="6708"/>
    <cellStyle name="Normal 2 2 5 14 2 2 2 2" xfId="36792"/>
    <cellStyle name="Normal 2 2 5 14 2 2 3" xfId="36793"/>
    <cellStyle name="Normal 2 2 5 14 2 3" xfId="6709"/>
    <cellStyle name="Normal 2 2 5 14 2 3 2" xfId="36794"/>
    <cellStyle name="Normal 2 2 5 14 2 4" xfId="36795"/>
    <cellStyle name="Normal 2 2 5 14 3" xfId="6710"/>
    <cellStyle name="Normal 2 2 5 14 3 2" xfId="6711"/>
    <cellStyle name="Normal 2 2 5 14 3 2 2" xfId="6712"/>
    <cellStyle name="Normal 2 2 5 14 3 2 2 2" xfId="36796"/>
    <cellStyle name="Normal 2 2 5 14 3 2 3" xfId="36797"/>
    <cellStyle name="Normal 2 2 5 14 3 3" xfId="6713"/>
    <cellStyle name="Normal 2 2 5 14 3 3 2" xfId="36798"/>
    <cellStyle name="Normal 2 2 5 14 3 4" xfId="36799"/>
    <cellStyle name="Normal 2 2 5 14 4" xfId="6714"/>
    <cellStyle name="Normal 2 2 5 14 4 2" xfId="6715"/>
    <cellStyle name="Normal 2 2 5 14 4 2 2" xfId="6716"/>
    <cellStyle name="Normal 2 2 5 14 4 2 2 2" xfId="36800"/>
    <cellStyle name="Normal 2 2 5 14 4 2 3" xfId="36801"/>
    <cellStyle name="Normal 2 2 5 14 4 3" xfId="6717"/>
    <cellStyle name="Normal 2 2 5 14 4 3 2" xfId="36802"/>
    <cellStyle name="Normal 2 2 5 14 4 4" xfId="36803"/>
    <cellStyle name="Normal 2 2 5 14 5" xfId="6718"/>
    <cellStyle name="Normal 2 2 5 14 5 2" xfId="6719"/>
    <cellStyle name="Normal 2 2 5 14 5 2 2" xfId="36804"/>
    <cellStyle name="Normal 2 2 5 14 5 3" xfId="36805"/>
    <cellStyle name="Normal 2 2 5 14 6" xfId="6720"/>
    <cellStyle name="Normal 2 2 5 14 6 2" xfId="36806"/>
    <cellStyle name="Normal 2 2 5 14 7" xfId="6721"/>
    <cellStyle name="Normal 2 2 5 14 7 2" xfId="36807"/>
    <cellStyle name="Normal 2 2 5 14 8" xfId="36808"/>
    <cellStyle name="Normal 2 2 5 15" xfId="6722"/>
    <cellStyle name="Normal 2 2 5 15 2" xfId="6723"/>
    <cellStyle name="Normal 2 2 5 15 2 2" xfId="6724"/>
    <cellStyle name="Normal 2 2 5 15 2 2 2" xfId="6725"/>
    <cellStyle name="Normal 2 2 5 15 2 2 2 2" xfId="36809"/>
    <cellStyle name="Normal 2 2 5 15 2 2 3" xfId="36810"/>
    <cellStyle name="Normal 2 2 5 15 2 3" xfId="6726"/>
    <cellStyle name="Normal 2 2 5 15 2 3 2" xfId="36811"/>
    <cellStyle name="Normal 2 2 5 15 2 4" xfId="36812"/>
    <cellStyle name="Normal 2 2 5 15 3" xfId="6727"/>
    <cellStyle name="Normal 2 2 5 15 3 2" xfId="6728"/>
    <cellStyle name="Normal 2 2 5 15 3 2 2" xfId="6729"/>
    <cellStyle name="Normal 2 2 5 15 3 2 2 2" xfId="36813"/>
    <cellStyle name="Normal 2 2 5 15 3 2 3" xfId="36814"/>
    <cellStyle name="Normal 2 2 5 15 3 3" xfId="6730"/>
    <cellStyle name="Normal 2 2 5 15 3 3 2" xfId="36815"/>
    <cellStyle name="Normal 2 2 5 15 3 4" xfId="36816"/>
    <cellStyle name="Normal 2 2 5 15 4" xfId="6731"/>
    <cellStyle name="Normal 2 2 5 15 4 2" xfId="6732"/>
    <cellStyle name="Normal 2 2 5 15 4 2 2" xfId="6733"/>
    <cellStyle name="Normal 2 2 5 15 4 2 2 2" xfId="36817"/>
    <cellStyle name="Normal 2 2 5 15 4 2 3" xfId="36818"/>
    <cellStyle name="Normal 2 2 5 15 4 3" xfId="6734"/>
    <cellStyle name="Normal 2 2 5 15 4 3 2" xfId="36819"/>
    <cellStyle name="Normal 2 2 5 15 4 4" xfId="36820"/>
    <cellStyle name="Normal 2 2 5 15 5" xfId="6735"/>
    <cellStyle name="Normal 2 2 5 15 5 2" xfId="6736"/>
    <cellStyle name="Normal 2 2 5 15 5 2 2" xfId="36821"/>
    <cellStyle name="Normal 2 2 5 15 5 3" xfId="36822"/>
    <cellStyle name="Normal 2 2 5 15 6" xfId="6737"/>
    <cellStyle name="Normal 2 2 5 15 6 2" xfId="36823"/>
    <cellStyle name="Normal 2 2 5 15 7" xfId="6738"/>
    <cellStyle name="Normal 2 2 5 15 7 2" xfId="36824"/>
    <cellStyle name="Normal 2 2 5 15 8" xfId="36825"/>
    <cellStyle name="Normal 2 2 5 16" xfId="6739"/>
    <cellStyle name="Normal 2 2 5 16 2" xfId="6740"/>
    <cellStyle name="Normal 2 2 5 16 2 2" xfId="6741"/>
    <cellStyle name="Normal 2 2 5 16 2 2 2" xfId="6742"/>
    <cellStyle name="Normal 2 2 5 16 2 2 2 2" xfId="36826"/>
    <cellStyle name="Normal 2 2 5 16 2 2 3" xfId="36827"/>
    <cellStyle name="Normal 2 2 5 16 2 3" xfId="6743"/>
    <cellStyle name="Normal 2 2 5 16 2 3 2" xfId="36828"/>
    <cellStyle name="Normal 2 2 5 16 2 4" xfId="36829"/>
    <cellStyle name="Normal 2 2 5 16 3" xfId="6744"/>
    <cellStyle name="Normal 2 2 5 16 3 2" xfId="6745"/>
    <cellStyle name="Normal 2 2 5 16 3 2 2" xfId="6746"/>
    <cellStyle name="Normal 2 2 5 16 3 2 2 2" xfId="36830"/>
    <cellStyle name="Normal 2 2 5 16 3 2 3" xfId="36831"/>
    <cellStyle name="Normal 2 2 5 16 3 3" xfId="6747"/>
    <cellStyle name="Normal 2 2 5 16 3 3 2" xfId="36832"/>
    <cellStyle name="Normal 2 2 5 16 3 4" xfId="36833"/>
    <cellStyle name="Normal 2 2 5 16 4" xfId="6748"/>
    <cellStyle name="Normal 2 2 5 16 4 2" xfId="6749"/>
    <cellStyle name="Normal 2 2 5 16 4 2 2" xfId="6750"/>
    <cellStyle name="Normal 2 2 5 16 4 2 2 2" xfId="36834"/>
    <cellStyle name="Normal 2 2 5 16 4 2 3" xfId="36835"/>
    <cellStyle name="Normal 2 2 5 16 4 3" xfId="6751"/>
    <cellStyle name="Normal 2 2 5 16 4 3 2" xfId="36836"/>
    <cellStyle name="Normal 2 2 5 16 4 4" xfId="36837"/>
    <cellStyle name="Normal 2 2 5 16 5" xfId="6752"/>
    <cellStyle name="Normal 2 2 5 16 5 2" xfId="6753"/>
    <cellStyle name="Normal 2 2 5 16 5 2 2" xfId="36838"/>
    <cellStyle name="Normal 2 2 5 16 5 3" xfId="36839"/>
    <cellStyle name="Normal 2 2 5 16 6" xfId="6754"/>
    <cellStyle name="Normal 2 2 5 16 6 2" xfId="36840"/>
    <cellStyle name="Normal 2 2 5 16 7" xfId="6755"/>
    <cellStyle name="Normal 2 2 5 16 7 2" xfId="36841"/>
    <cellStyle name="Normal 2 2 5 16 8" xfId="36842"/>
    <cellStyle name="Normal 2 2 5 17" xfId="6756"/>
    <cellStyle name="Normal 2 2 5 17 2" xfId="6757"/>
    <cellStyle name="Normal 2 2 5 17 2 2" xfId="6758"/>
    <cellStyle name="Normal 2 2 5 17 2 2 2" xfId="6759"/>
    <cellStyle name="Normal 2 2 5 17 2 2 2 2" xfId="36843"/>
    <cellStyle name="Normal 2 2 5 17 2 2 3" xfId="36844"/>
    <cellStyle name="Normal 2 2 5 17 2 3" xfId="6760"/>
    <cellStyle name="Normal 2 2 5 17 2 3 2" xfId="36845"/>
    <cellStyle name="Normal 2 2 5 17 2 4" xfId="36846"/>
    <cellStyle name="Normal 2 2 5 17 3" xfId="6761"/>
    <cellStyle name="Normal 2 2 5 17 3 2" xfId="6762"/>
    <cellStyle name="Normal 2 2 5 17 3 2 2" xfId="6763"/>
    <cellStyle name="Normal 2 2 5 17 3 2 2 2" xfId="36847"/>
    <cellStyle name="Normal 2 2 5 17 3 2 3" xfId="36848"/>
    <cellStyle name="Normal 2 2 5 17 3 3" xfId="6764"/>
    <cellStyle name="Normal 2 2 5 17 3 3 2" xfId="36849"/>
    <cellStyle name="Normal 2 2 5 17 3 4" xfId="36850"/>
    <cellStyle name="Normal 2 2 5 17 4" xfId="6765"/>
    <cellStyle name="Normal 2 2 5 17 4 2" xfId="6766"/>
    <cellStyle name="Normal 2 2 5 17 4 2 2" xfId="6767"/>
    <cellStyle name="Normal 2 2 5 17 4 2 2 2" xfId="36851"/>
    <cellStyle name="Normal 2 2 5 17 4 2 3" xfId="36852"/>
    <cellStyle name="Normal 2 2 5 17 4 3" xfId="6768"/>
    <cellStyle name="Normal 2 2 5 17 4 3 2" xfId="36853"/>
    <cellStyle name="Normal 2 2 5 17 4 4" xfId="36854"/>
    <cellStyle name="Normal 2 2 5 17 5" xfId="6769"/>
    <cellStyle name="Normal 2 2 5 17 5 2" xfId="6770"/>
    <cellStyle name="Normal 2 2 5 17 5 2 2" xfId="36855"/>
    <cellStyle name="Normal 2 2 5 17 5 3" xfId="36856"/>
    <cellStyle name="Normal 2 2 5 17 6" xfId="6771"/>
    <cellStyle name="Normal 2 2 5 17 6 2" xfId="36857"/>
    <cellStyle name="Normal 2 2 5 17 7" xfId="6772"/>
    <cellStyle name="Normal 2 2 5 17 7 2" xfId="36858"/>
    <cellStyle name="Normal 2 2 5 17 8" xfId="36859"/>
    <cellStyle name="Normal 2 2 5 18" xfId="6773"/>
    <cellStyle name="Normal 2 2 5 18 2" xfId="6774"/>
    <cellStyle name="Normal 2 2 5 18 2 2" xfId="6775"/>
    <cellStyle name="Normal 2 2 5 18 2 2 2" xfId="6776"/>
    <cellStyle name="Normal 2 2 5 18 2 2 2 2" xfId="36860"/>
    <cellStyle name="Normal 2 2 5 18 2 2 3" xfId="36861"/>
    <cellStyle name="Normal 2 2 5 18 2 3" xfId="6777"/>
    <cellStyle name="Normal 2 2 5 18 2 3 2" xfId="36862"/>
    <cellStyle name="Normal 2 2 5 18 2 4" xfId="36863"/>
    <cellStyle name="Normal 2 2 5 18 3" xfId="6778"/>
    <cellStyle name="Normal 2 2 5 18 3 2" xfId="6779"/>
    <cellStyle name="Normal 2 2 5 18 3 2 2" xfId="6780"/>
    <cellStyle name="Normal 2 2 5 18 3 2 2 2" xfId="36864"/>
    <cellStyle name="Normal 2 2 5 18 3 2 3" xfId="36865"/>
    <cellStyle name="Normal 2 2 5 18 3 3" xfId="6781"/>
    <cellStyle name="Normal 2 2 5 18 3 3 2" xfId="36866"/>
    <cellStyle name="Normal 2 2 5 18 3 4" xfId="36867"/>
    <cellStyle name="Normal 2 2 5 18 4" xfId="6782"/>
    <cellStyle name="Normal 2 2 5 18 4 2" xfId="6783"/>
    <cellStyle name="Normal 2 2 5 18 4 2 2" xfId="6784"/>
    <cellStyle name="Normal 2 2 5 18 4 2 2 2" xfId="36868"/>
    <cellStyle name="Normal 2 2 5 18 4 2 3" xfId="36869"/>
    <cellStyle name="Normal 2 2 5 18 4 3" xfId="6785"/>
    <cellStyle name="Normal 2 2 5 18 4 3 2" xfId="36870"/>
    <cellStyle name="Normal 2 2 5 18 4 4" xfId="36871"/>
    <cellStyle name="Normal 2 2 5 18 5" xfId="6786"/>
    <cellStyle name="Normal 2 2 5 18 5 2" xfId="6787"/>
    <cellStyle name="Normal 2 2 5 18 5 2 2" xfId="36872"/>
    <cellStyle name="Normal 2 2 5 18 5 3" xfId="36873"/>
    <cellStyle name="Normal 2 2 5 18 6" xfId="6788"/>
    <cellStyle name="Normal 2 2 5 18 6 2" xfId="36874"/>
    <cellStyle name="Normal 2 2 5 18 7" xfId="6789"/>
    <cellStyle name="Normal 2 2 5 18 7 2" xfId="36875"/>
    <cellStyle name="Normal 2 2 5 18 8" xfId="36876"/>
    <cellStyle name="Normal 2 2 5 19" xfId="6790"/>
    <cellStyle name="Normal 2 2 5 19 2" xfId="6791"/>
    <cellStyle name="Normal 2 2 5 19 2 2" xfId="6792"/>
    <cellStyle name="Normal 2 2 5 19 2 2 2" xfId="6793"/>
    <cellStyle name="Normal 2 2 5 19 2 2 2 2" xfId="36877"/>
    <cellStyle name="Normal 2 2 5 19 2 2 3" xfId="36878"/>
    <cellStyle name="Normal 2 2 5 19 2 3" xfId="6794"/>
    <cellStyle name="Normal 2 2 5 19 2 3 2" xfId="36879"/>
    <cellStyle name="Normal 2 2 5 19 2 4" xfId="36880"/>
    <cellStyle name="Normal 2 2 5 19 3" xfId="6795"/>
    <cellStyle name="Normal 2 2 5 19 3 2" xfId="6796"/>
    <cellStyle name="Normal 2 2 5 19 3 2 2" xfId="6797"/>
    <cellStyle name="Normal 2 2 5 19 3 2 2 2" xfId="36881"/>
    <cellStyle name="Normal 2 2 5 19 3 2 3" xfId="36882"/>
    <cellStyle name="Normal 2 2 5 19 3 3" xfId="6798"/>
    <cellStyle name="Normal 2 2 5 19 3 3 2" xfId="36883"/>
    <cellStyle name="Normal 2 2 5 19 3 4" xfId="36884"/>
    <cellStyle name="Normal 2 2 5 19 4" xfId="6799"/>
    <cellStyle name="Normal 2 2 5 19 4 2" xfId="6800"/>
    <cellStyle name="Normal 2 2 5 19 4 2 2" xfId="6801"/>
    <cellStyle name="Normal 2 2 5 19 4 2 2 2" xfId="36885"/>
    <cellStyle name="Normal 2 2 5 19 4 2 3" xfId="36886"/>
    <cellStyle name="Normal 2 2 5 19 4 3" xfId="6802"/>
    <cellStyle name="Normal 2 2 5 19 4 3 2" xfId="36887"/>
    <cellStyle name="Normal 2 2 5 19 4 4" xfId="36888"/>
    <cellStyle name="Normal 2 2 5 19 5" xfId="6803"/>
    <cellStyle name="Normal 2 2 5 19 5 2" xfId="6804"/>
    <cellStyle name="Normal 2 2 5 19 5 2 2" xfId="36889"/>
    <cellStyle name="Normal 2 2 5 19 5 3" xfId="36890"/>
    <cellStyle name="Normal 2 2 5 19 6" xfId="6805"/>
    <cellStyle name="Normal 2 2 5 19 6 2" xfId="36891"/>
    <cellStyle name="Normal 2 2 5 19 7" xfId="6806"/>
    <cellStyle name="Normal 2 2 5 19 7 2" xfId="36892"/>
    <cellStyle name="Normal 2 2 5 19 8" xfId="36893"/>
    <cellStyle name="Normal 2 2 5 2" xfId="6807"/>
    <cellStyle name="Normal 2 2 5 2 2" xfId="6808"/>
    <cellStyle name="Normal 2 2 5 2 2 2" xfId="6809"/>
    <cellStyle name="Normal 2 2 5 2 2 2 2" xfId="6810"/>
    <cellStyle name="Normal 2 2 5 2 2 2 2 2" xfId="36894"/>
    <cellStyle name="Normal 2 2 5 2 2 2 3" xfId="36895"/>
    <cellStyle name="Normal 2 2 5 2 2 3" xfId="6811"/>
    <cellStyle name="Normal 2 2 5 2 2 3 2" xfId="36896"/>
    <cellStyle name="Normal 2 2 5 2 2 4" xfId="36897"/>
    <cellStyle name="Normal 2 2 5 2 3" xfId="6812"/>
    <cellStyle name="Normal 2 2 5 2 3 2" xfId="6813"/>
    <cellStyle name="Normal 2 2 5 2 3 2 2" xfId="6814"/>
    <cellStyle name="Normal 2 2 5 2 3 2 2 2" xfId="36898"/>
    <cellStyle name="Normal 2 2 5 2 3 2 3" xfId="36899"/>
    <cellStyle name="Normal 2 2 5 2 3 3" xfId="6815"/>
    <cellStyle name="Normal 2 2 5 2 3 3 2" xfId="36900"/>
    <cellStyle name="Normal 2 2 5 2 3 4" xfId="36901"/>
    <cellStyle name="Normal 2 2 5 2 4" xfId="6816"/>
    <cellStyle name="Normal 2 2 5 2 4 2" xfId="6817"/>
    <cellStyle name="Normal 2 2 5 2 4 2 2" xfId="6818"/>
    <cellStyle name="Normal 2 2 5 2 4 2 2 2" xfId="36902"/>
    <cellStyle name="Normal 2 2 5 2 4 2 3" xfId="36903"/>
    <cellStyle name="Normal 2 2 5 2 4 3" xfId="6819"/>
    <cellStyle name="Normal 2 2 5 2 4 3 2" xfId="36904"/>
    <cellStyle name="Normal 2 2 5 2 4 4" xfId="36905"/>
    <cellStyle name="Normal 2 2 5 2 5" xfId="6820"/>
    <cellStyle name="Normal 2 2 5 2 5 2" xfId="6821"/>
    <cellStyle name="Normal 2 2 5 2 5 2 2" xfId="36906"/>
    <cellStyle name="Normal 2 2 5 2 5 3" xfId="36907"/>
    <cellStyle name="Normal 2 2 5 2 6" xfId="6822"/>
    <cellStyle name="Normal 2 2 5 2 6 2" xfId="36908"/>
    <cellStyle name="Normal 2 2 5 2 7" xfId="6823"/>
    <cellStyle name="Normal 2 2 5 2 7 2" xfId="36909"/>
    <cellStyle name="Normal 2 2 5 2 8" xfId="36910"/>
    <cellStyle name="Normal 2 2 5 20" xfId="6824"/>
    <cellStyle name="Normal 2 2 5 20 2" xfId="6825"/>
    <cellStyle name="Normal 2 2 5 20 2 2" xfId="6826"/>
    <cellStyle name="Normal 2 2 5 20 2 2 2" xfId="6827"/>
    <cellStyle name="Normal 2 2 5 20 2 2 2 2" xfId="36911"/>
    <cellStyle name="Normal 2 2 5 20 2 2 3" xfId="36912"/>
    <cellStyle name="Normal 2 2 5 20 2 3" xfId="6828"/>
    <cellStyle name="Normal 2 2 5 20 2 3 2" xfId="36913"/>
    <cellStyle name="Normal 2 2 5 20 2 4" xfId="36914"/>
    <cellStyle name="Normal 2 2 5 20 3" xfId="6829"/>
    <cellStyle name="Normal 2 2 5 20 3 2" xfId="6830"/>
    <cellStyle name="Normal 2 2 5 20 3 2 2" xfId="6831"/>
    <cellStyle name="Normal 2 2 5 20 3 2 2 2" xfId="36915"/>
    <cellStyle name="Normal 2 2 5 20 3 2 3" xfId="36916"/>
    <cellStyle name="Normal 2 2 5 20 3 3" xfId="6832"/>
    <cellStyle name="Normal 2 2 5 20 3 3 2" xfId="36917"/>
    <cellStyle name="Normal 2 2 5 20 3 4" xfId="36918"/>
    <cellStyle name="Normal 2 2 5 20 4" xfId="6833"/>
    <cellStyle name="Normal 2 2 5 20 4 2" xfId="6834"/>
    <cellStyle name="Normal 2 2 5 20 4 2 2" xfId="6835"/>
    <cellStyle name="Normal 2 2 5 20 4 2 2 2" xfId="36919"/>
    <cellStyle name="Normal 2 2 5 20 4 2 3" xfId="36920"/>
    <cellStyle name="Normal 2 2 5 20 4 3" xfId="6836"/>
    <cellStyle name="Normal 2 2 5 20 4 3 2" xfId="36921"/>
    <cellStyle name="Normal 2 2 5 20 4 4" xfId="36922"/>
    <cellStyle name="Normal 2 2 5 20 5" xfId="6837"/>
    <cellStyle name="Normal 2 2 5 20 5 2" xfId="6838"/>
    <cellStyle name="Normal 2 2 5 20 5 2 2" xfId="36923"/>
    <cellStyle name="Normal 2 2 5 20 5 3" xfId="36924"/>
    <cellStyle name="Normal 2 2 5 20 6" xfId="6839"/>
    <cellStyle name="Normal 2 2 5 20 6 2" xfId="36925"/>
    <cellStyle name="Normal 2 2 5 20 7" xfId="6840"/>
    <cellStyle name="Normal 2 2 5 20 7 2" xfId="36926"/>
    <cellStyle name="Normal 2 2 5 20 8" xfId="36927"/>
    <cellStyle name="Normal 2 2 5 21" xfId="6841"/>
    <cellStyle name="Normal 2 2 5 21 2" xfId="6842"/>
    <cellStyle name="Normal 2 2 5 21 2 2" xfId="6843"/>
    <cellStyle name="Normal 2 2 5 21 2 2 2" xfId="6844"/>
    <cellStyle name="Normal 2 2 5 21 2 2 2 2" xfId="36928"/>
    <cellStyle name="Normal 2 2 5 21 2 2 3" xfId="36929"/>
    <cellStyle name="Normal 2 2 5 21 2 3" xfId="6845"/>
    <cellStyle name="Normal 2 2 5 21 2 3 2" xfId="36930"/>
    <cellStyle name="Normal 2 2 5 21 2 4" xfId="36931"/>
    <cellStyle name="Normal 2 2 5 21 3" xfId="6846"/>
    <cellStyle name="Normal 2 2 5 21 3 2" xfId="6847"/>
    <cellStyle name="Normal 2 2 5 21 3 2 2" xfId="6848"/>
    <cellStyle name="Normal 2 2 5 21 3 2 2 2" xfId="36932"/>
    <cellStyle name="Normal 2 2 5 21 3 2 3" xfId="36933"/>
    <cellStyle name="Normal 2 2 5 21 3 3" xfId="6849"/>
    <cellStyle name="Normal 2 2 5 21 3 3 2" xfId="36934"/>
    <cellStyle name="Normal 2 2 5 21 3 4" xfId="36935"/>
    <cellStyle name="Normal 2 2 5 21 4" xfId="6850"/>
    <cellStyle name="Normal 2 2 5 21 4 2" xfId="6851"/>
    <cellStyle name="Normal 2 2 5 21 4 2 2" xfId="6852"/>
    <cellStyle name="Normal 2 2 5 21 4 2 2 2" xfId="36936"/>
    <cellStyle name="Normal 2 2 5 21 4 2 3" xfId="36937"/>
    <cellStyle name="Normal 2 2 5 21 4 3" xfId="6853"/>
    <cellStyle name="Normal 2 2 5 21 4 3 2" xfId="36938"/>
    <cellStyle name="Normal 2 2 5 21 4 4" xfId="36939"/>
    <cellStyle name="Normal 2 2 5 21 5" xfId="6854"/>
    <cellStyle name="Normal 2 2 5 21 5 2" xfId="6855"/>
    <cellStyle name="Normal 2 2 5 21 5 2 2" xfId="36940"/>
    <cellStyle name="Normal 2 2 5 21 5 3" xfId="36941"/>
    <cellStyle name="Normal 2 2 5 21 6" xfId="6856"/>
    <cellStyle name="Normal 2 2 5 21 6 2" xfId="36942"/>
    <cellStyle name="Normal 2 2 5 21 7" xfId="6857"/>
    <cellStyle name="Normal 2 2 5 21 7 2" xfId="36943"/>
    <cellStyle name="Normal 2 2 5 21 8" xfId="36944"/>
    <cellStyle name="Normal 2 2 5 22" xfId="6858"/>
    <cellStyle name="Normal 2 2 5 22 2" xfId="6859"/>
    <cellStyle name="Normal 2 2 5 22 2 2" xfId="6860"/>
    <cellStyle name="Normal 2 2 5 22 2 2 2" xfId="6861"/>
    <cellStyle name="Normal 2 2 5 22 2 2 2 2" xfId="36945"/>
    <cellStyle name="Normal 2 2 5 22 2 2 3" xfId="36946"/>
    <cellStyle name="Normal 2 2 5 22 2 3" xfId="6862"/>
    <cellStyle name="Normal 2 2 5 22 2 3 2" xfId="36947"/>
    <cellStyle name="Normal 2 2 5 22 2 4" xfId="36948"/>
    <cellStyle name="Normal 2 2 5 22 3" xfId="6863"/>
    <cellStyle name="Normal 2 2 5 22 3 2" xfId="6864"/>
    <cellStyle name="Normal 2 2 5 22 3 2 2" xfId="6865"/>
    <cellStyle name="Normal 2 2 5 22 3 2 2 2" xfId="36949"/>
    <cellStyle name="Normal 2 2 5 22 3 2 3" xfId="36950"/>
    <cellStyle name="Normal 2 2 5 22 3 3" xfId="6866"/>
    <cellStyle name="Normal 2 2 5 22 3 3 2" xfId="36951"/>
    <cellStyle name="Normal 2 2 5 22 3 4" xfId="36952"/>
    <cellStyle name="Normal 2 2 5 22 4" xfId="6867"/>
    <cellStyle name="Normal 2 2 5 22 4 2" xfId="6868"/>
    <cellStyle name="Normal 2 2 5 22 4 2 2" xfId="6869"/>
    <cellStyle name="Normal 2 2 5 22 4 2 2 2" xfId="36953"/>
    <cellStyle name="Normal 2 2 5 22 4 2 3" xfId="36954"/>
    <cellStyle name="Normal 2 2 5 22 4 3" xfId="6870"/>
    <cellStyle name="Normal 2 2 5 22 4 3 2" xfId="36955"/>
    <cellStyle name="Normal 2 2 5 22 4 4" xfId="36956"/>
    <cellStyle name="Normal 2 2 5 22 5" xfId="6871"/>
    <cellStyle name="Normal 2 2 5 22 5 2" xfId="6872"/>
    <cellStyle name="Normal 2 2 5 22 5 2 2" xfId="36957"/>
    <cellStyle name="Normal 2 2 5 22 5 3" xfId="36958"/>
    <cellStyle name="Normal 2 2 5 22 6" xfId="6873"/>
    <cellStyle name="Normal 2 2 5 22 6 2" xfId="36959"/>
    <cellStyle name="Normal 2 2 5 22 7" xfId="6874"/>
    <cellStyle name="Normal 2 2 5 22 7 2" xfId="36960"/>
    <cellStyle name="Normal 2 2 5 22 8" xfId="36961"/>
    <cellStyle name="Normal 2 2 5 23" xfId="6875"/>
    <cellStyle name="Normal 2 2 5 23 2" xfId="6876"/>
    <cellStyle name="Normal 2 2 5 23 2 2" xfId="6877"/>
    <cellStyle name="Normal 2 2 5 23 2 2 2" xfId="6878"/>
    <cellStyle name="Normal 2 2 5 23 2 2 2 2" xfId="36962"/>
    <cellStyle name="Normal 2 2 5 23 2 2 3" xfId="36963"/>
    <cellStyle name="Normal 2 2 5 23 2 3" xfId="6879"/>
    <cellStyle name="Normal 2 2 5 23 2 3 2" xfId="36964"/>
    <cellStyle name="Normal 2 2 5 23 2 4" xfId="36965"/>
    <cellStyle name="Normal 2 2 5 23 3" xfId="6880"/>
    <cellStyle name="Normal 2 2 5 23 3 2" xfId="6881"/>
    <cellStyle name="Normal 2 2 5 23 3 2 2" xfId="6882"/>
    <cellStyle name="Normal 2 2 5 23 3 2 2 2" xfId="36966"/>
    <cellStyle name="Normal 2 2 5 23 3 2 3" xfId="36967"/>
    <cellStyle name="Normal 2 2 5 23 3 3" xfId="6883"/>
    <cellStyle name="Normal 2 2 5 23 3 3 2" xfId="36968"/>
    <cellStyle name="Normal 2 2 5 23 3 4" xfId="36969"/>
    <cellStyle name="Normal 2 2 5 23 4" xfId="6884"/>
    <cellStyle name="Normal 2 2 5 23 4 2" xfId="6885"/>
    <cellStyle name="Normal 2 2 5 23 4 2 2" xfId="6886"/>
    <cellStyle name="Normal 2 2 5 23 4 2 2 2" xfId="36970"/>
    <cellStyle name="Normal 2 2 5 23 4 2 3" xfId="36971"/>
    <cellStyle name="Normal 2 2 5 23 4 3" xfId="6887"/>
    <cellStyle name="Normal 2 2 5 23 4 3 2" xfId="36972"/>
    <cellStyle name="Normal 2 2 5 23 4 4" xfId="36973"/>
    <cellStyle name="Normal 2 2 5 23 5" xfId="6888"/>
    <cellStyle name="Normal 2 2 5 23 5 2" xfId="6889"/>
    <cellStyle name="Normal 2 2 5 23 5 2 2" xfId="36974"/>
    <cellStyle name="Normal 2 2 5 23 5 3" xfId="36975"/>
    <cellStyle name="Normal 2 2 5 23 6" xfId="6890"/>
    <cellStyle name="Normal 2 2 5 23 6 2" xfId="36976"/>
    <cellStyle name="Normal 2 2 5 23 7" xfId="6891"/>
    <cellStyle name="Normal 2 2 5 23 7 2" xfId="36977"/>
    <cellStyle name="Normal 2 2 5 23 8" xfId="36978"/>
    <cellStyle name="Normal 2 2 5 24" xfId="6892"/>
    <cellStyle name="Normal 2 2 5 24 2" xfId="6893"/>
    <cellStyle name="Normal 2 2 5 24 2 2" xfId="6894"/>
    <cellStyle name="Normal 2 2 5 24 2 2 2" xfId="6895"/>
    <cellStyle name="Normal 2 2 5 24 2 2 2 2" xfId="36979"/>
    <cellStyle name="Normal 2 2 5 24 2 2 3" xfId="36980"/>
    <cellStyle name="Normal 2 2 5 24 2 3" xfId="6896"/>
    <cellStyle name="Normal 2 2 5 24 2 3 2" xfId="36981"/>
    <cellStyle name="Normal 2 2 5 24 2 4" xfId="36982"/>
    <cellStyle name="Normal 2 2 5 24 3" xfId="6897"/>
    <cellStyle name="Normal 2 2 5 24 3 2" xfId="6898"/>
    <cellStyle name="Normal 2 2 5 24 3 2 2" xfId="6899"/>
    <cellStyle name="Normal 2 2 5 24 3 2 2 2" xfId="36983"/>
    <cellStyle name="Normal 2 2 5 24 3 2 3" xfId="36984"/>
    <cellStyle name="Normal 2 2 5 24 3 3" xfId="6900"/>
    <cellStyle name="Normal 2 2 5 24 3 3 2" xfId="36985"/>
    <cellStyle name="Normal 2 2 5 24 3 4" xfId="36986"/>
    <cellStyle name="Normal 2 2 5 24 4" xfId="6901"/>
    <cellStyle name="Normal 2 2 5 24 4 2" xfId="6902"/>
    <cellStyle name="Normal 2 2 5 24 4 2 2" xfId="6903"/>
    <cellStyle name="Normal 2 2 5 24 4 2 2 2" xfId="36987"/>
    <cellStyle name="Normal 2 2 5 24 4 2 3" xfId="36988"/>
    <cellStyle name="Normal 2 2 5 24 4 3" xfId="6904"/>
    <cellStyle name="Normal 2 2 5 24 4 3 2" xfId="36989"/>
    <cellStyle name="Normal 2 2 5 24 4 4" xfId="36990"/>
    <cellStyle name="Normal 2 2 5 24 5" xfId="6905"/>
    <cellStyle name="Normal 2 2 5 24 5 2" xfId="6906"/>
    <cellStyle name="Normal 2 2 5 24 5 2 2" xfId="36991"/>
    <cellStyle name="Normal 2 2 5 24 5 3" xfId="36992"/>
    <cellStyle name="Normal 2 2 5 24 6" xfId="6907"/>
    <cellStyle name="Normal 2 2 5 24 6 2" xfId="36993"/>
    <cellStyle name="Normal 2 2 5 24 7" xfId="6908"/>
    <cellStyle name="Normal 2 2 5 24 7 2" xfId="36994"/>
    <cellStyle name="Normal 2 2 5 24 8" xfId="36995"/>
    <cellStyle name="Normal 2 2 5 25" xfId="6909"/>
    <cellStyle name="Normal 2 2 5 25 2" xfId="6910"/>
    <cellStyle name="Normal 2 2 5 25 2 2" xfId="6911"/>
    <cellStyle name="Normal 2 2 5 25 2 2 2" xfId="6912"/>
    <cellStyle name="Normal 2 2 5 25 2 2 2 2" xfId="36996"/>
    <cellStyle name="Normal 2 2 5 25 2 2 3" xfId="36997"/>
    <cellStyle name="Normal 2 2 5 25 2 3" xfId="6913"/>
    <cellStyle name="Normal 2 2 5 25 2 3 2" xfId="36998"/>
    <cellStyle name="Normal 2 2 5 25 2 4" xfId="36999"/>
    <cellStyle name="Normal 2 2 5 25 3" xfId="6914"/>
    <cellStyle name="Normal 2 2 5 25 3 2" xfId="6915"/>
    <cellStyle name="Normal 2 2 5 25 3 2 2" xfId="6916"/>
    <cellStyle name="Normal 2 2 5 25 3 2 2 2" xfId="37000"/>
    <cellStyle name="Normal 2 2 5 25 3 2 3" xfId="37001"/>
    <cellStyle name="Normal 2 2 5 25 3 3" xfId="6917"/>
    <cellStyle name="Normal 2 2 5 25 3 3 2" xfId="37002"/>
    <cellStyle name="Normal 2 2 5 25 3 4" xfId="37003"/>
    <cellStyle name="Normal 2 2 5 25 4" xfId="6918"/>
    <cellStyle name="Normal 2 2 5 25 4 2" xfId="6919"/>
    <cellStyle name="Normal 2 2 5 25 4 2 2" xfId="6920"/>
    <cellStyle name="Normal 2 2 5 25 4 2 2 2" xfId="37004"/>
    <cellStyle name="Normal 2 2 5 25 4 2 3" xfId="37005"/>
    <cellStyle name="Normal 2 2 5 25 4 3" xfId="6921"/>
    <cellStyle name="Normal 2 2 5 25 4 3 2" xfId="37006"/>
    <cellStyle name="Normal 2 2 5 25 4 4" xfId="37007"/>
    <cellStyle name="Normal 2 2 5 25 5" xfId="6922"/>
    <cellStyle name="Normal 2 2 5 25 5 2" xfId="6923"/>
    <cellStyle name="Normal 2 2 5 25 5 2 2" xfId="37008"/>
    <cellStyle name="Normal 2 2 5 25 5 3" xfId="37009"/>
    <cellStyle name="Normal 2 2 5 25 6" xfId="6924"/>
    <cellStyle name="Normal 2 2 5 25 6 2" xfId="37010"/>
    <cellStyle name="Normal 2 2 5 25 7" xfId="6925"/>
    <cellStyle name="Normal 2 2 5 25 7 2" xfId="37011"/>
    <cellStyle name="Normal 2 2 5 25 8" xfId="37012"/>
    <cellStyle name="Normal 2 2 5 26" xfId="6926"/>
    <cellStyle name="Normal 2 2 5 26 2" xfId="6927"/>
    <cellStyle name="Normal 2 2 5 26 2 2" xfId="6928"/>
    <cellStyle name="Normal 2 2 5 26 2 2 2" xfId="6929"/>
    <cellStyle name="Normal 2 2 5 26 2 2 2 2" xfId="37013"/>
    <cellStyle name="Normal 2 2 5 26 2 2 3" xfId="37014"/>
    <cellStyle name="Normal 2 2 5 26 2 3" xfId="6930"/>
    <cellStyle name="Normal 2 2 5 26 2 3 2" xfId="37015"/>
    <cellStyle name="Normal 2 2 5 26 2 4" xfId="37016"/>
    <cellStyle name="Normal 2 2 5 26 3" xfId="6931"/>
    <cellStyle name="Normal 2 2 5 26 3 2" xfId="6932"/>
    <cellStyle name="Normal 2 2 5 26 3 2 2" xfId="6933"/>
    <cellStyle name="Normal 2 2 5 26 3 2 2 2" xfId="37017"/>
    <cellStyle name="Normal 2 2 5 26 3 2 3" xfId="37018"/>
    <cellStyle name="Normal 2 2 5 26 3 3" xfId="6934"/>
    <cellStyle name="Normal 2 2 5 26 3 3 2" xfId="37019"/>
    <cellStyle name="Normal 2 2 5 26 3 4" xfId="37020"/>
    <cellStyle name="Normal 2 2 5 26 4" xfId="6935"/>
    <cellStyle name="Normal 2 2 5 26 4 2" xfId="6936"/>
    <cellStyle name="Normal 2 2 5 26 4 2 2" xfId="6937"/>
    <cellStyle name="Normal 2 2 5 26 4 2 2 2" xfId="37021"/>
    <cellStyle name="Normal 2 2 5 26 4 2 3" xfId="37022"/>
    <cellStyle name="Normal 2 2 5 26 4 3" xfId="6938"/>
    <cellStyle name="Normal 2 2 5 26 4 3 2" xfId="37023"/>
    <cellStyle name="Normal 2 2 5 26 4 4" xfId="37024"/>
    <cellStyle name="Normal 2 2 5 26 5" xfId="6939"/>
    <cellStyle name="Normal 2 2 5 26 5 2" xfId="6940"/>
    <cellStyle name="Normal 2 2 5 26 5 2 2" xfId="37025"/>
    <cellStyle name="Normal 2 2 5 26 5 3" xfId="37026"/>
    <cellStyle name="Normal 2 2 5 26 6" xfId="6941"/>
    <cellStyle name="Normal 2 2 5 26 6 2" xfId="37027"/>
    <cellStyle name="Normal 2 2 5 26 7" xfId="6942"/>
    <cellStyle name="Normal 2 2 5 26 7 2" xfId="37028"/>
    <cellStyle name="Normal 2 2 5 26 8" xfId="37029"/>
    <cellStyle name="Normal 2 2 5 27" xfId="6943"/>
    <cellStyle name="Normal 2 2 5 27 2" xfId="6944"/>
    <cellStyle name="Normal 2 2 5 27 2 2" xfId="6945"/>
    <cellStyle name="Normal 2 2 5 27 2 2 2" xfId="6946"/>
    <cellStyle name="Normal 2 2 5 27 2 2 2 2" xfId="37030"/>
    <cellStyle name="Normal 2 2 5 27 2 2 3" xfId="37031"/>
    <cellStyle name="Normal 2 2 5 27 2 3" xfId="6947"/>
    <cellStyle name="Normal 2 2 5 27 2 3 2" xfId="37032"/>
    <cellStyle name="Normal 2 2 5 27 2 4" xfId="37033"/>
    <cellStyle name="Normal 2 2 5 27 3" xfId="6948"/>
    <cellStyle name="Normal 2 2 5 27 3 2" xfId="6949"/>
    <cellStyle name="Normal 2 2 5 27 3 2 2" xfId="6950"/>
    <cellStyle name="Normal 2 2 5 27 3 2 2 2" xfId="37034"/>
    <cellStyle name="Normal 2 2 5 27 3 2 3" xfId="37035"/>
    <cellStyle name="Normal 2 2 5 27 3 3" xfId="6951"/>
    <cellStyle name="Normal 2 2 5 27 3 3 2" xfId="37036"/>
    <cellStyle name="Normal 2 2 5 27 3 4" xfId="37037"/>
    <cellStyle name="Normal 2 2 5 27 4" xfId="6952"/>
    <cellStyle name="Normal 2 2 5 27 4 2" xfId="6953"/>
    <cellStyle name="Normal 2 2 5 27 4 2 2" xfId="6954"/>
    <cellStyle name="Normal 2 2 5 27 4 2 2 2" xfId="37038"/>
    <cellStyle name="Normal 2 2 5 27 4 2 3" xfId="37039"/>
    <cellStyle name="Normal 2 2 5 27 4 3" xfId="6955"/>
    <cellStyle name="Normal 2 2 5 27 4 3 2" xfId="37040"/>
    <cellStyle name="Normal 2 2 5 27 4 4" xfId="37041"/>
    <cellStyle name="Normal 2 2 5 27 5" xfId="6956"/>
    <cellStyle name="Normal 2 2 5 27 5 2" xfId="6957"/>
    <cellStyle name="Normal 2 2 5 27 5 2 2" xfId="37042"/>
    <cellStyle name="Normal 2 2 5 27 5 3" xfId="37043"/>
    <cellStyle name="Normal 2 2 5 27 6" xfId="6958"/>
    <cellStyle name="Normal 2 2 5 27 6 2" xfId="37044"/>
    <cellStyle name="Normal 2 2 5 27 7" xfId="6959"/>
    <cellStyle name="Normal 2 2 5 27 7 2" xfId="37045"/>
    <cellStyle name="Normal 2 2 5 27 8" xfId="37046"/>
    <cellStyle name="Normal 2 2 5 28" xfId="6960"/>
    <cellStyle name="Normal 2 2 5 28 2" xfId="6961"/>
    <cellStyle name="Normal 2 2 5 28 2 2" xfId="6962"/>
    <cellStyle name="Normal 2 2 5 28 2 2 2" xfId="6963"/>
    <cellStyle name="Normal 2 2 5 28 2 2 2 2" xfId="37047"/>
    <cellStyle name="Normal 2 2 5 28 2 2 3" xfId="37048"/>
    <cellStyle name="Normal 2 2 5 28 2 3" xfId="6964"/>
    <cellStyle name="Normal 2 2 5 28 2 3 2" xfId="37049"/>
    <cellStyle name="Normal 2 2 5 28 2 4" xfId="37050"/>
    <cellStyle name="Normal 2 2 5 28 3" xfId="6965"/>
    <cellStyle name="Normal 2 2 5 28 3 2" xfId="6966"/>
    <cellStyle name="Normal 2 2 5 28 3 2 2" xfId="6967"/>
    <cellStyle name="Normal 2 2 5 28 3 2 2 2" xfId="37051"/>
    <cellStyle name="Normal 2 2 5 28 3 2 3" xfId="37052"/>
    <cellStyle name="Normal 2 2 5 28 3 3" xfId="6968"/>
    <cellStyle name="Normal 2 2 5 28 3 3 2" xfId="37053"/>
    <cellStyle name="Normal 2 2 5 28 3 4" xfId="37054"/>
    <cellStyle name="Normal 2 2 5 28 4" xfId="6969"/>
    <cellStyle name="Normal 2 2 5 28 4 2" xfId="6970"/>
    <cellStyle name="Normal 2 2 5 28 4 2 2" xfId="6971"/>
    <cellStyle name="Normal 2 2 5 28 4 2 2 2" xfId="37055"/>
    <cellStyle name="Normal 2 2 5 28 4 2 3" xfId="37056"/>
    <cellStyle name="Normal 2 2 5 28 4 3" xfId="6972"/>
    <cellStyle name="Normal 2 2 5 28 4 3 2" xfId="37057"/>
    <cellStyle name="Normal 2 2 5 28 4 4" xfId="37058"/>
    <cellStyle name="Normal 2 2 5 28 5" xfId="6973"/>
    <cellStyle name="Normal 2 2 5 28 5 2" xfId="6974"/>
    <cellStyle name="Normal 2 2 5 28 5 2 2" xfId="37059"/>
    <cellStyle name="Normal 2 2 5 28 5 3" xfId="37060"/>
    <cellStyle name="Normal 2 2 5 28 6" xfId="6975"/>
    <cellStyle name="Normal 2 2 5 28 6 2" xfId="37061"/>
    <cellStyle name="Normal 2 2 5 28 7" xfId="6976"/>
    <cellStyle name="Normal 2 2 5 28 7 2" xfId="37062"/>
    <cellStyle name="Normal 2 2 5 28 8" xfId="37063"/>
    <cellStyle name="Normal 2 2 5 29" xfId="6977"/>
    <cellStyle name="Normal 2 2 5 29 2" xfId="6978"/>
    <cellStyle name="Normal 2 2 5 29 2 2" xfId="6979"/>
    <cellStyle name="Normal 2 2 5 29 2 2 2" xfId="6980"/>
    <cellStyle name="Normal 2 2 5 29 2 2 2 2" xfId="37064"/>
    <cellStyle name="Normal 2 2 5 29 2 2 3" xfId="37065"/>
    <cellStyle name="Normal 2 2 5 29 2 3" xfId="6981"/>
    <cellStyle name="Normal 2 2 5 29 2 3 2" xfId="37066"/>
    <cellStyle name="Normal 2 2 5 29 2 4" xfId="37067"/>
    <cellStyle name="Normal 2 2 5 29 3" xfId="6982"/>
    <cellStyle name="Normal 2 2 5 29 3 2" xfId="6983"/>
    <cellStyle name="Normal 2 2 5 29 3 2 2" xfId="6984"/>
    <cellStyle name="Normal 2 2 5 29 3 2 2 2" xfId="37068"/>
    <cellStyle name="Normal 2 2 5 29 3 2 3" xfId="37069"/>
    <cellStyle name="Normal 2 2 5 29 3 3" xfId="6985"/>
    <cellStyle name="Normal 2 2 5 29 3 3 2" xfId="37070"/>
    <cellStyle name="Normal 2 2 5 29 3 4" xfId="37071"/>
    <cellStyle name="Normal 2 2 5 29 4" xfId="6986"/>
    <cellStyle name="Normal 2 2 5 29 4 2" xfId="6987"/>
    <cellStyle name="Normal 2 2 5 29 4 2 2" xfId="6988"/>
    <cellStyle name="Normal 2 2 5 29 4 2 2 2" xfId="37072"/>
    <cellStyle name="Normal 2 2 5 29 4 2 3" xfId="37073"/>
    <cellStyle name="Normal 2 2 5 29 4 3" xfId="6989"/>
    <cellStyle name="Normal 2 2 5 29 4 3 2" xfId="37074"/>
    <cellStyle name="Normal 2 2 5 29 4 4" xfId="37075"/>
    <cellStyle name="Normal 2 2 5 29 5" xfId="6990"/>
    <cellStyle name="Normal 2 2 5 29 5 2" xfId="6991"/>
    <cellStyle name="Normal 2 2 5 29 5 2 2" xfId="37076"/>
    <cellStyle name="Normal 2 2 5 29 5 3" xfId="37077"/>
    <cellStyle name="Normal 2 2 5 29 6" xfId="6992"/>
    <cellStyle name="Normal 2 2 5 29 6 2" xfId="37078"/>
    <cellStyle name="Normal 2 2 5 29 7" xfId="6993"/>
    <cellStyle name="Normal 2 2 5 29 7 2" xfId="37079"/>
    <cellStyle name="Normal 2 2 5 29 8" xfId="37080"/>
    <cellStyle name="Normal 2 2 5 3" xfId="6994"/>
    <cellStyle name="Normal 2 2 5 3 2" xfId="6995"/>
    <cellStyle name="Normal 2 2 5 3 2 2" xfId="6996"/>
    <cellStyle name="Normal 2 2 5 3 2 2 2" xfId="6997"/>
    <cellStyle name="Normal 2 2 5 3 2 2 2 2" xfId="37081"/>
    <cellStyle name="Normal 2 2 5 3 2 2 3" xfId="37082"/>
    <cellStyle name="Normal 2 2 5 3 2 3" xfId="6998"/>
    <cellStyle name="Normal 2 2 5 3 2 3 2" xfId="37083"/>
    <cellStyle name="Normal 2 2 5 3 2 4" xfId="37084"/>
    <cellStyle name="Normal 2 2 5 3 3" xfId="6999"/>
    <cellStyle name="Normal 2 2 5 3 3 2" xfId="7000"/>
    <cellStyle name="Normal 2 2 5 3 3 2 2" xfId="7001"/>
    <cellStyle name="Normal 2 2 5 3 3 2 2 2" xfId="37085"/>
    <cellStyle name="Normal 2 2 5 3 3 2 3" xfId="37086"/>
    <cellStyle name="Normal 2 2 5 3 3 3" xfId="7002"/>
    <cellStyle name="Normal 2 2 5 3 3 3 2" xfId="37087"/>
    <cellStyle name="Normal 2 2 5 3 3 4" xfId="37088"/>
    <cellStyle name="Normal 2 2 5 3 4" xfId="7003"/>
    <cellStyle name="Normal 2 2 5 3 4 2" xfId="7004"/>
    <cellStyle name="Normal 2 2 5 3 4 2 2" xfId="7005"/>
    <cellStyle name="Normal 2 2 5 3 4 2 2 2" xfId="37089"/>
    <cellStyle name="Normal 2 2 5 3 4 2 3" xfId="37090"/>
    <cellStyle name="Normal 2 2 5 3 4 3" xfId="7006"/>
    <cellStyle name="Normal 2 2 5 3 4 3 2" xfId="37091"/>
    <cellStyle name="Normal 2 2 5 3 4 4" xfId="37092"/>
    <cellStyle name="Normal 2 2 5 3 5" xfId="7007"/>
    <cellStyle name="Normal 2 2 5 3 5 2" xfId="7008"/>
    <cellStyle name="Normal 2 2 5 3 5 2 2" xfId="37093"/>
    <cellStyle name="Normal 2 2 5 3 5 3" xfId="37094"/>
    <cellStyle name="Normal 2 2 5 3 6" xfId="7009"/>
    <cellStyle name="Normal 2 2 5 3 6 2" xfId="37095"/>
    <cellStyle name="Normal 2 2 5 3 7" xfId="7010"/>
    <cellStyle name="Normal 2 2 5 3 7 2" xfId="37096"/>
    <cellStyle name="Normal 2 2 5 3 8" xfId="37097"/>
    <cellStyle name="Normal 2 2 5 30" xfId="7011"/>
    <cellStyle name="Normal 2 2 5 30 2" xfId="7012"/>
    <cellStyle name="Normal 2 2 5 30 2 2" xfId="7013"/>
    <cellStyle name="Normal 2 2 5 30 2 2 2" xfId="37098"/>
    <cellStyle name="Normal 2 2 5 30 2 3" xfId="37099"/>
    <cellStyle name="Normal 2 2 5 30 3" xfId="7014"/>
    <cellStyle name="Normal 2 2 5 30 3 2" xfId="37100"/>
    <cellStyle name="Normal 2 2 5 30 4" xfId="37101"/>
    <cellStyle name="Normal 2 2 5 31" xfId="7015"/>
    <cellStyle name="Normal 2 2 5 31 2" xfId="7016"/>
    <cellStyle name="Normal 2 2 5 31 2 2" xfId="7017"/>
    <cellStyle name="Normal 2 2 5 31 2 2 2" xfId="37102"/>
    <cellStyle name="Normal 2 2 5 31 2 3" xfId="37103"/>
    <cellStyle name="Normal 2 2 5 31 3" xfId="7018"/>
    <cellStyle name="Normal 2 2 5 31 3 2" xfId="37104"/>
    <cellStyle name="Normal 2 2 5 31 4" xfId="37105"/>
    <cellStyle name="Normal 2 2 5 32" xfId="7019"/>
    <cellStyle name="Normal 2 2 5 32 2" xfId="7020"/>
    <cellStyle name="Normal 2 2 5 32 2 2" xfId="7021"/>
    <cellStyle name="Normal 2 2 5 32 2 2 2" xfId="37106"/>
    <cellStyle name="Normal 2 2 5 32 2 3" xfId="37107"/>
    <cellStyle name="Normal 2 2 5 32 3" xfId="7022"/>
    <cellStyle name="Normal 2 2 5 32 3 2" xfId="37108"/>
    <cellStyle name="Normal 2 2 5 32 4" xfId="37109"/>
    <cellStyle name="Normal 2 2 5 33" xfId="7023"/>
    <cellStyle name="Normal 2 2 5 33 2" xfId="7024"/>
    <cellStyle name="Normal 2 2 5 33 2 2" xfId="37110"/>
    <cellStyle name="Normal 2 2 5 33 3" xfId="37111"/>
    <cellStyle name="Normal 2 2 5 34" xfId="7025"/>
    <cellStyle name="Normal 2 2 5 34 2" xfId="37112"/>
    <cellStyle name="Normal 2 2 5 35" xfId="7026"/>
    <cellStyle name="Normal 2 2 5 35 2" xfId="37113"/>
    <cellStyle name="Normal 2 2 5 36" xfId="37114"/>
    <cellStyle name="Normal 2 2 5 4" xfId="7027"/>
    <cellStyle name="Normal 2 2 5 4 2" xfId="7028"/>
    <cellStyle name="Normal 2 2 5 4 2 2" xfId="7029"/>
    <cellStyle name="Normal 2 2 5 4 2 2 2" xfId="7030"/>
    <cellStyle name="Normal 2 2 5 4 2 2 2 2" xfId="37115"/>
    <cellStyle name="Normal 2 2 5 4 2 2 3" xfId="37116"/>
    <cellStyle name="Normal 2 2 5 4 2 3" xfId="7031"/>
    <cellStyle name="Normal 2 2 5 4 2 3 2" xfId="37117"/>
    <cellStyle name="Normal 2 2 5 4 2 4" xfId="37118"/>
    <cellStyle name="Normal 2 2 5 4 3" xfId="7032"/>
    <cellStyle name="Normal 2 2 5 4 3 2" xfId="7033"/>
    <cellStyle name="Normal 2 2 5 4 3 2 2" xfId="7034"/>
    <cellStyle name="Normal 2 2 5 4 3 2 2 2" xfId="37119"/>
    <cellStyle name="Normal 2 2 5 4 3 2 3" xfId="37120"/>
    <cellStyle name="Normal 2 2 5 4 3 3" xfId="7035"/>
    <cellStyle name="Normal 2 2 5 4 3 3 2" xfId="37121"/>
    <cellStyle name="Normal 2 2 5 4 3 4" xfId="37122"/>
    <cellStyle name="Normal 2 2 5 4 4" xfId="7036"/>
    <cellStyle name="Normal 2 2 5 4 4 2" xfId="7037"/>
    <cellStyle name="Normal 2 2 5 4 4 2 2" xfId="7038"/>
    <cellStyle name="Normal 2 2 5 4 4 2 2 2" xfId="37123"/>
    <cellStyle name="Normal 2 2 5 4 4 2 3" xfId="37124"/>
    <cellStyle name="Normal 2 2 5 4 4 3" xfId="7039"/>
    <cellStyle name="Normal 2 2 5 4 4 3 2" xfId="37125"/>
    <cellStyle name="Normal 2 2 5 4 4 4" xfId="37126"/>
    <cellStyle name="Normal 2 2 5 4 5" xfId="7040"/>
    <cellStyle name="Normal 2 2 5 4 5 2" xfId="7041"/>
    <cellStyle name="Normal 2 2 5 4 5 2 2" xfId="37127"/>
    <cellStyle name="Normal 2 2 5 4 5 3" xfId="37128"/>
    <cellStyle name="Normal 2 2 5 4 6" xfId="7042"/>
    <cellStyle name="Normal 2 2 5 4 6 2" xfId="37129"/>
    <cellStyle name="Normal 2 2 5 4 7" xfId="7043"/>
    <cellStyle name="Normal 2 2 5 4 7 2" xfId="37130"/>
    <cellStyle name="Normal 2 2 5 4 8" xfId="37131"/>
    <cellStyle name="Normal 2 2 5 5" xfId="7044"/>
    <cellStyle name="Normal 2 2 5 5 2" xfId="7045"/>
    <cellStyle name="Normal 2 2 5 5 2 2" xfId="7046"/>
    <cellStyle name="Normal 2 2 5 5 2 2 2" xfId="7047"/>
    <cellStyle name="Normal 2 2 5 5 2 2 2 2" xfId="37132"/>
    <cellStyle name="Normal 2 2 5 5 2 2 3" xfId="37133"/>
    <cellStyle name="Normal 2 2 5 5 2 3" xfId="7048"/>
    <cellStyle name="Normal 2 2 5 5 2 3 2" xfId="37134"/>
    <cellStyle name="Normal 2 2 5 5 2 4" xfId="37135"/>
    <cellStyle name="Normal 2 2 5 5 3" xfId="7049"/>
    <cellStyle name="Normal 2 2 5 5 3 2" xfId="7050"/>
    <cellStyle name="Normal 2 2 5 5 3 2 2" xfId="7051"/>
    <cellStyle name="Normal 2 2 5 5 3 2 2 2" xfId="37136"/>
    <cellStyle name="Normal 2 2 5 5 3 2 3" xfId="37137"/>
    <cellStyle name="Normal 2 2 5 5 3 3" xfId="7052"/>
    <cellStyle name="Normal 2 2 5 5 3 3 2" xfId="37138"/>
    <cellStyle name="Normal 2 2 5 5 3 4" xfId="37139"/>
    <cellStyle name="Normal 2 2 5 5 4" xfId="7053"/>
    <cellStyle name="Normal 2 2 5 5 4 2" xfId="7054"/>
    <cellStyle name="Normal 2 2 5 5 4 2 2" xfId="7055"/>
    <cellStyle name="Normal 2 2 5 5 4 2 2 2" xfId="37140"/>
    <cellStyle name="Normal 2 2 5 5 4 2 3" xfId="37141"/>
    <cellStyle name="Normal 2 2 5 5 4 3" xfId="7056"/>
    <cellStyle name="Normal 2 2 5 5 4 3 2" xfId="37142"/>
    <cellStyle name="Normal 2 2 5 5 4 4" xfId="37143"/>
    <cellStyle name="Normal 2 2 5 5 5" xfId="7057"/>
    <cellStyle name="Normal 2 2 5 5 5 2" xfId="7058"/>
    <cellStyle name="Normal 2 2 5 5 5 2 2" xfId="37144"/>
    <cellStyle name="Normal 2 2 5 5 5 3" xfId="37145"/>
    <cellStyle name="Normal 2 2 5 5 6" xfId="7059"/>
    <cellStyle name="Normal 2 2 5 5 6 2" xfId="37146"/>
    <cellStyle name="Normal 2 2 5 5 7" xfId="7060"/>
    <cellStyle name="Normal 2 2 5 5 7 2" xfId="37147"/>
    <cellStyle name="Normal 2 2 5 5 8" xfId="37148"/>
    <cellStyle name="Normal 2 2 5 6" xfId="7061"/>
    <cellStyle name="Normal 2 2 5 6 2" xfId="7062"/>
    <cellStyle name="Normal 2 2 5 6 2 2" xfId="7063"/>
    <cellStyle name="Normal 2 2 5 6 2 2 2" xfId="7064"/>
    <cellStyle name="Normal 2 2 5 6 2 2 2 2" xfId="37149"/>
    <cellStyle name="Normal 2 2 5 6 2 2 3" xfId="37150"/>
    <cellStyle name="Normal 2 2 5 6 2 3" xfId="7065"/>
    <cellStyle name="Normal 2 2 5 6 2 3 2" xfId="37151"/>
    <cellStyle name="Normal 2 2 5 6 2 4" xfId="37152"/>
    <cellStyle name="Normal 2 2 5 6 3" xfId="7066"/>
    <cellStyle name="Normal 2 2 5 6 3 2" xfId="7067"/>
    <cellStyle name="Normal 2 2 5 6 3 2 2" xfId="7068"/>
    <cellStyle name="Normal 2 2 5 6 3 2 2 2" xfId="37153"/>
    <cellStyle name="Normal 2 2 5 6 3 2 3" xfId="37154"/>
    <cellStyle name="Normal 2 2 5 6 3 3" xfId="7069"/>
    <cellStyle name="Normal 2 2 5 6 3 3 2" xfId="37155"/>
    <cellStyle name="Normal 2 2 5 6 3 4" xfId="37156"/>
    <cellStyle name="Normal 2 2 5 6 4" xfId="7070"/>
    <cellStyle name="Normal 2 2 5 6 4 2" xfId="7071"/>
    <cellStyle name="Normal 2 2 5 6 4 2 2" xfId="7072"/>
    <cellStyle name="Normal 2 2 5 6 4 2 2 2" xfId="37157"/>
    <cellStyle name="Normal 2 2 5 6 4 2 3" xfId="37158"/>
    <cellStyle name="Normal 2 2 5 6 4 3" xfId="7073"/>
    <cellStyle name="Normal 2 2 5 6 4 3 2" xfId="37159"/>
    <cellStyle name="Normal 2 2 5 6 4 4" xfId="37160"/>
    <cellStyle name="Normal 2 2 5 6 5" xfId="7074"/>
    <cellStyle name="Normal 2 2 5 6 5 2" xfId="7075"/>
    <cellStyle name="Normal 2 2 5 6 5 2 2" xfId="37161"/>
    <cellStyle name="Normal 2 2 5 6 5 3" xfId="37162"/>
    <cellStyle name="Normal 2 2 5 6 6" xfId="7076"/>
    <cellStyle name="Normal 2 2 5 6 6 2" xfId="37163"/>
    <cellStyle name="Normal 2 2 5 6 7" xfId="7077"/>
    <cellStyle name="Normal 2 2 5 6 7 2" xfId="37164"/>
    <cellStyle name="Normal 2 2 5 6 8" xfId="37165"/>
    <cellStyle name="Normal 2 2 5 7" xfId="7078"/>
    <cellStyle name="Normal 2 2 5 7 2" xfId="7079"/>
    <cellStyle name="Normal 2 2 5 7 2 2" xfId="7080"/>
    <cellStyle name="Normal 2 2 5 7 2 2 2" xfId="7081"/>
    <cellStyle name="Normal 2 2 5 7 2 2 2 2" xfId="37166"/>
    <cellStyle name="Normal 2 2 5 7 2 2 3" xfId="37167"/>
    <cellStyle name="Normal 2 2 5 7 2 3" xfId="7082"/>
    <cellStyle name="Normal 2 2 5 7 2 3 2" xfId="37168"/>
    <cellStyle name="Normal 2 2 5 7 2 4" xfId="37169"/>
    <cellStyle name="Normal 2 2 5 7 3" xfId="7083"/>
    <cellStyle name="Normal 2 2 5 7 3 2" xfId="7084"/>
    <cellStyle name="Normal 2 2 5 7 3 2 2" xfId="7085"/>
    <cellStyle name="Normal 2 2 5 7 3 2 2 2" xfId="37170"/>
    <cellStyle name="Normal 2 2 5 7 3 2 3" xfId="37171"/>
    <cellStyle name="Normal 2 2 5 7 3 3" xfId="7086"/>
    <cellStyle name="Normal 2 2 5 7 3 3 2" xfId="37172"/>
    <cellStyle name="Normal 2 2 5 7 3 4" xfId="37173"/>
    <cellStyle name="Normal 2 2 5 7 4" xfId="7087"/>
    <cellStyle name="Normal 2 2 5 7 4 2" xfId="7088"/>
    <cellStyle name="Normal 2 2 5 7 4 2 2" xfId="7089"/>
    <cellStyle name="Normal 2 2 5 7 4 2 2 2" xfId="37174"/>
    <cellStyle name="Normal 2 2 5 7 4 2 3" xfId="37175"/>
    <cellStyle name="Normal 2 2 5 7 4 3" xfId="7090"/>
    <cellStyle name="Normal 2 2 5 7 4 3 2" xfId="37176"/>
    <cellStyle name="Normal 2 2 5 7 4 4" xfId="37177"/>
    <cellStyle name="Normal 2 2 5 7 5" xfId="7091"/>
    <cellStyle name="Normal 2 2 5 7 5 2" xfId="7092"/>
    <cellStyle name="Normal 2 2 5 7 5 2 2" xfId="37178"/>
    <cellStyle name="Normal 2 2 5 7 5 3" xfId="37179"/>
    <cellStyle name="Normal 2 2 5 7 6" xfId="7093"/>
    <cellStyle name="Normal 2 2 5 7 6 2" xfId="37180"/>
    <cellStyle name="Normal 2 2 5 7 7" xfId="7094"/>
    <cellStyle name="Normal 2 2 5 7 7 2" xfId="37181"/>
    <cellStyle name="Normal 2 2 5 7 8" xfId="37182"/>
    <cellStyle name="Normal 2 2 5 8" xfId="7095"/>
    <cellStyle name="Normal 2 2 5 8 2" xfId="7096"/>
    <cellStyle name="Normal 2 2 5 8 2 2" xfId="7097"/>
    <cellStyle name="Normal 2 2 5 8 2 2 2" xfId="7098"/>
    <cellStyle name="Normal 2 2 5 8 2 2 2 2" xfId="37183"/>
    <cellStyle name="Normal 2 2 5 8 2 2 3" xfId="37184"/>
    <cellStyle name="Normal 2 2 5 8 2 3" xfId="7099"/>
    <cellStyle name="Normal 2 2 5 8 2 3 2" xfId="37185"/>
    <cellStyle name="Normal 2 2 5 8 2 4" xfId="37186"/>
    <cellStyle name="Normal 2 2 5 8 3" xfId="7100"/>
    <cellStyle name="Normal 2 2 5 8 3 2" xfId="7101"/>
    <cellStyle name="Normal 2 2 5 8 3 2 2" xfId="7102"/>
    <cellStyle name="Normal 2 2 5 8 3 2 2 2" xfId="37187"/>
    <cellStyle name="Normal 2 2 5 8 3 2 3" xfId="37188"/>
    <cellStyle name="Normal 2 2 5 8 3 3" xfId="7103"/>
    <cellStyle name="Normal 2 2 5 8 3 3 2" xfId="37189"/>
    <cellStyle name="Normal 2 2 5 8 3 4" xfId="37190"/>
    <cellStyle name="Normal 2 2 5 8 4" xfId="7104"/>
    <cellStyle name="Normal 2 2 5 8 4 2" xfId="7105"/>
    <cellStyle name="Normal 2 2 5 8 4 2 2" xfId="7106"/>
    <cellStyle name="Normal 2 2 5 8 4 2 2 2" xfId="37191"/>
    <cellStyle name="Normal 2 2 5 8 4 2 3" xfId="37192"/>
    <cellStyle name="Normal 2 2 5 8 4 3" xfId="7107"/>
    <cellStyle name="Normal 2 2 5 8 4 3 2" xfId="37193"/>
    <cellStyle name="Normal 2 2 5 8 4 4" xfId="37194"/>
    <cellStyle name="Normal 2 2 5 8 5" xfId="7108"/>
    <cellStyle name="Normal 2 2 5 8 5 2" xfId="7109"/>
    <cellStyle name="Normal 2 2 5 8 5 2 2" xfId="37195"/>
    <cellStyle name="Normal 2 2 5 8 5 3" xfId="37196"/>
    <cellStyle name="Normal 2 2 5 8 6" xfId="7110"/>
    <cellStyle name="Normal 2 2 5 8 6 2" xfId="37197"/>
    <cellStyle name="Normal 2 2 5 8 7" xfId="7111"/>
    <cellStyle name="Normal 2 2 5 8 7 2" xfId="37198"/>
    <cellStyle name="Normal 2 2 5 8 8" xfId="37199"/>
    <cellStyle name="Normal 2 2 5 9" xfId="7112"/>
    <cellStyle name="Normal 2 2 5 9 2" xfId="7113"/>
    <cellStyle name="Normal 2 2 5 9 2 2" xfId="7114"/>
    <cellStyle name="Normal 2 2 5 9 2 2 2" xfId="7115"/>
    <cellStyle name="Normal 2 2 5 9 2 2 2 2" xfId="37200"/>
    <cellStyle name="Normal 2 2 5 9 2 2 3" xfId="37201"/>
    <cellStyle name="Normal 2 2 5 9 2 3" xfId="7116"/>
    <cellStyle name="Normal 2 2 5 9 2 3 2" xfId="37202"/>
    <cellStyle name="Normal 2 2 5 9 2 4" xfId="37203"/>
    <cellStyle name="Normal 2 2 5 9 3" xfId="7117"/>
    <cellStyle name="Normal 2 2 5 9 3 2" xfId="7118"/>
    <cellStyle name="Normal 2 2 5 9 3 2 2" xfId="7119"/>
    <cellStyle name="Normal 2 2 5 9 3 2 2 2" xfId="37204"/>
    <cellStyle name="Normal 2 2 5 9 3 2 3" xfId="37205"/>
    <cellStyle name="Normal 2 2 5 9 3 3" xfId="7120"/>
    <cellStyle name="Normal 2 2 5 9 3 3 2" xfId="37206"/>
    <cellStyle name="Normal 2 2 5 9 3 4" xfId="37207"/>
    <cellStyle name="Normal 2 2 5 9 4" xfId="7121"/>
    <cellStyle name="Normal 2 2 5 9 4 2" xfId="7122"/>
    <cellStyle name="Normal 2 2 5 9 4 2 2" xfId="7123"/>
    <cellStyle name="Normal 2 2 5 9 4 2 2 2" xfId="37208"/>
    <cellStyle name="Normal 2 2 5 9 4 2 3" xfId="37209"/>
    <cellStyle name="Normal 2 2 5 9 4 3" xfId="7124"/>
    <cellStyle name="Normal 2 2 5 9 4 3 2" xfId="37210"/>
    <cellStyle name="Normal 2 2 5 9 4 4" xfId="37211"/>
    <cellStyle name="Normal 2 2 5 9 5" xfId="7125"/>
    <cellStyle name="Normal 2 2 5 9 5 2" xfId="7126"/>
    <cellStyle name="Normal 2 2 5 9 5 2 2" xfId="37212"/>
    <cellStyle name="Normal 2 2 5 9 5 3" xfId="37213"/>
    <cellStyle name="Normal 2 2 5 9 6" xfId="7127"/>
    <cellStyle name="Normal 2 2 5 9 6 2" xfId="37214"/>
    <cellStyle name="Normal 2 2 5 9 7" xfId="7128"/>
    <cellStyle name="Normal 2 2 5 9 7 2" xfId="37215"/>
    <cellStyle name="Normal 2 2 5 9 8" xfId="37216"/>
    <cellStyle name="Normal 2 2 6" xfId="7129"/>
    <cellStyle name="Normal 2 2 6 10" xfId="7130"/>
    <cellStyle name="Normal 2 2 6 10 2" xfId="7131"/>
    <cellStyle name="Normal 2 2 6 10 2 2" xfId="7132"/>
    <cellStyle name="Normal 2 2 6 10 2 2 2" xfId="7133"/>
    <cellStyle name="Normal 2 2 6 10 2 2 2 2" xfId="37217"/>
    <cellStyle name="Normal 2 2 6 10 2 2 3" xfId="37218"/>
    <cellStyle name="Normal 2 2 6 10 2 3" xfId="7134"/>
    <cellStyle name="Normal 2 2 6 10 2 3 2" xfId="37219"/>
    <cellStyle name="Normal 2 2 6 10 2 4" xfId="37220"/>
    <cellStyle name="Normal 2 2 6 10 3" xfId="7135"/>
    <cellStyle name="Normal 2 2 6 10 3 2" xfId="7136"/>
    <cellStyle name="Normal 2 2 6 10 3 2 2" xfId="7137"/>
    <cellStyle name="Normal 2 2 6 10 3 2 2 2" xfId="37221"/>
    <cellStyle name="Normal 2 2 6 10 3 2 3" xfId="37222"/>
    <cellStyle name="Normal 2 2 6 10 3 3" xfId="7138"/>
    <cellStyle name="Normal 2 2 6 10 3 3 2" xfId="37223"/>
    <cellStyle name="Normal 2 2 6 10 3 4" xfId="37224"/>
    <cellStyle name="Normal 2 2 6 10 4" xfId="7139"/>
    <cellStyle name="Normal 2 2 6 10 4 2" xfId="7140"/>
    <cellStyle name="Normal 2 2 6 10 4 2 2" xfId="7141"/>
    <cellStyle name="Normal 2 2 6 10 4 2 2 2" xfId="37225"/>
    <cellStyle name="Normal 2 2 6 10 4 2 3" xfId="37226"/>
    <cellStyle name="Normal 2 2 6 10 4 3" xfId="7142"/>
    <cellStyle name="Normal 2 2 6 10 4 3 2" xfId="37227"/>
    <cellStyle name="Normal 2 2 6 10 4 4" xfId="37228"/>
    <cellStyle name="Normal 2 2 6 10 5" xfId="7143"/>
    <cellStyle name="Normal 2 2 6 10 5 2" xfId="7144"/>
    <cellStyle name="Normal 2 2 6 10 5 2 2" xfId="37229"/>
    <cellStyle name="Normal 2 2 6 10 5 3" xfId="37230"/>
    <cellStyle name="Normal 2 2 6 10 6" xfId="7145"/>
    <cellStyle name="Normal 2 2 6 10 6 2" xfId="37231"/>
    <cellStyle name="Normal 2 2 6 10 7" xfId="7146"/>
    <cellStyle name="Normal 2 2 6 10 7 2" xfId="37232"/>
    <cellStyle name="Normal 2 2 6 10 8" xfId="37233"/>
    <cellStyle name="Normal 2 2 6 11" xfId="7147"/>
    <cellStyle name="Normal 2 2 6 11 2" xfId="7148"/>
    <cellStyle name="Normal 2 2 6 11 2 2" xfId="7149"/>
    <cellStyle name="Normal 2 2 6 11 2 2 2" xfId="7150"/>
    <cellStyle name="Normal 2 2 6 11 2 2 2 2" xfId="37234"/>
    <cellStyle name="Normal 2 2 6 11 2 2 3" xfId="37235"/>
    <cellStyle name="Normal 2 2 6 11 2 3" xfId="7151"/>
    <cellStyle name="Normal 2 2 6 11 2 3 2" xfId="37236"/>
    <cellStyle name="Normal 2 2 6 11 2 4" xfId="37237"/>
    <cellStyle name="Normal 2 2 6 11 3" xfId="7152"/>
    <cellStyle name="Normal 2 2 6 11 3 2" xfId="7153"/>
    <cellStyle name="Normal 2 2 6 11 3 2 2" xfId="7154"/>
    <cellStyle name="Normal 2 2 6 11 3 2 2 2" xfId="37238"/>
    <cellStyle name="Normal 2 2 6 11 3 2 3" xfId="37239"/>
    <cellStyle name="Normal 2 2 6 11 3 3" xfId="7155"/>
    <cellStyle name="Normal 2 2 6 11 3 3 2" xfId="37240"/>
    <cellStyle name="Normal 2 2 6 11 3 4" xfId="37241"/>
    <cellStyle name="Normal 2 2 6 11 4" xfId="7156"/>
    <cellStyle name="Normal 2 2 6 11 4 2" xfId="7157"/>
    <cellStyle name="Normal 2 2 6 11 4 2 2" xfId="7158"/>
    <cellStyle name="Normal 2 2 6 11 4 2 2 2" xfId="37242"/>
    <cellStyle name="Normal 2 2 6 11 4 2 3" xfId="37243"/>
    <cellStyle name="Normal 2 2 6 11 4 3" xfId="7159"/>
    <cellStyle name="Normal 2 2 6 11 4 3 2" xfId="37244"/>
    <cellStyle name="Normal 2 2 6 11 4 4" xfId="37245"/>
    <cellStyle name="Normal 2 2 6 11 5" xfId="7160"/>
    <cellStyle name="Normal 2 2 6 11 5 2" xfId="7161"/>
    <cellStyle name="Normal 2 2 6 11 5 2 2" xfId="37246"/>
    <cellStyle name="Normal 2 2 6 11 5 3" xfId="37247"/>
    <cellStyle name="Normal 2 2 6 11 6" xfId="7162"/>
    <cellStyle name="Normal 2 2 6 11 6 2" xfId="37248"/>
    <cellStyle name="Normal 2 2 6 11 7" xfId="7163"/>
    <cellStyle name="Normal 2 2 6 11 7 2" xfId="37249"/>
    <cellStyle name="Normal 2 2 6 11 8" xfId="37250"/>
    <cellStyle name="Normal 2 2 6 12" xfId="7164"/>
    <cellStyle name="Normal 2 2 6 12 2" xfId="7165"/>
    <cellStyle name="Normal 2 2 6 12 2 2" xfId="7166"/>
    <cellStyle name="Normal 2 2 6 12 2 2 2" xfId="7167"/>
    <cellStyle name="Normal 2 2 6 12 2 2 2 2" xfId="37251"/>
    <cellStyle name="Normal 2 2 6 12 2 2 3" xfId="37252"/>
    <cellStyle name="Normal 2 2 6 12 2 3" xfId="7168"/>
    <cellStyle name="Normal 2 2 6 12 2 3 2" xfId="37253"/>
    <cellStyle name="Normal 2 2 6 12 2 4" xfId="37254"/>
    <cellStyle name="Normal 2 2 6 12 3" xfId="7169"/>
    <cellStyle name="Normal 2 2 6 12 3 2" xfId="7170"/>
    <cellStyle name="Normal 2 2 6 12 3 2 2" xfId="7171"/>
    <cellStyle name="Normal 2 2 6 12 3 2 2 2" xfId="37255"/>
    <cellStyle name="Normal 2 2 6 12 3 2 3" xfId="37256"/>
    <cellStyle name="Normal 2 2 6 12 3 3" xfId="7172"/>
    <cellStyle name="Normal 2 2 6 12 3 3 2" xfId="37257"/>
    <cellStyle name="Normal 2 2 6 12 3 4" xfId="37258"/>
    <cellStyle name="Normal 2 2 6 12 4" xfId="7173"/>
    <cellStyle name="Normal 2 2 6 12 4 2" xfId="7174"/>
    <cellStyle name="Normal 2 2 6 12 4 2 2" xfId="7175"/>
    <cellStyle name="Normal 2 2 6 12 4 2 2 2" xfId="37259"/>
    <cellStyle name="Normal 2 2 6 12 4 2 3" xfId="37260"/>
    <cellStyle name="Normal 2 2 6 12 4 3" xfId="7176"/>
    <cellStyle name="Normal 2 2 6 12 4 3 2" xfId="37261"/>
    <cellStyle name="Normal 2 2 6 12 4 4" xfId="37262"/>
    <cellStyle name="Normal 2 2 6 12 5" xfId="7177"/>
    <cellStyle name="Normal 2 2 6 12 5 2" xfId="7178"/>
    <cellStyle name="Normal 2 2 6 12 5 2 2" xfId="37263"/>
    <cellStyle name="Normal 2 2 6 12 5 3" xfId="37264"/>
    <cellStyle name="Normal 2 2 6 12 6" xfId="7179"/>
    <cellStyle name="Normal 2 2 6 12 6 2" xfId="37265"/>
    <cellStyle name="Normal 2 2 6 12 7" xfId="7180"/>
    <cellStyle name="Normal 2 2 6 12 7 2" xfId="37266"/>
    <cellStyle name="Normal 2 2 6 12 8" xfId="37267"/>
    <cellStyle name="Normal 2 2 6 13" xfId="7181"/>
    <cellStyle name="Normal 2 2 6 13 2" xfId="7182"/>
    <cellStyle name="Normal 2 2 6 13 2 2" xfId="7183"/>
    <cellStyle name="Normal 2 2 6 13 2 2 2" xfId="7184"/>
    <cellStyle name="Normal 2 2 6 13 2 2 2 2" xfId="37268"/>
    <cellStyle name="Normal 2 2 6 13 2 2 3" xfId="37269"/>
    <cellStyle name="Normal 2 2 6 13 2 3" xfId="7185"/>
    <cellStyle name="Normal 2 2 6 13 2 3 2" xfId="37270"/>
    <cellStyle name="Normal 2 2 6 13 2 4" xfId="37271"/>
    <cellStyle name="Normal 2 2 6 13 3" xfId="7186"/>
    <cellStyle name="Normal 2 2 6 13 3 2" xfId="7187"/>
    <cellStyle name="Normal 2 2 6 13 3 2 2" xfId="7188"/>
    <cellStyle name="Normal 2 2 6 13 3 2 2 2" xfId="37272"/>
    <cellStyle name="Normal 2 2 6 13 3 2 3" xfId="37273"/>
    <cellStyle name="Normal 2 2 6 13 3 3" xfId="7189"/>
    <cellStyle name="Normal 2 2 6 13 3 3 2" xfId="37274"/>
    <cellStyle name="Normal 2 2 6 13 3 4" xfId="37275"/>
    <cellStyle name="Normal 2 2 6 13 4" xfId="7190"/>
    <cellStyle name="Normal 2 2 6 13 4 2" xfId="7191"/>
    <cellStyle name="Normal 2 2 6 13 4 2 2" xfId="7192"/>
    <cellStyle name="Normal 2 2 6 13 4 2 2 2" xfId="37276"/>
    <cellStyle name="Normal 2 2 6 13 4 2 3" xfId="37277"/>
    <cellStyle name="Normal 2 2 6 13 4 3" xfId="7193"/>
    <cellStyle name="Normal 2 2 6 13 4 3 2" xfId="37278"/>
    <cellStyle name="Normal 2 2 6 13 4 4" xfId="37279"/>
    <cellStyle name="Normal 2 2 6 13 5" xfId="7194"/>
    <cellStyle name="Normal 2 2 6 13 5 2" xfId="7195"/>
    <cellStyle name="Normal 2 2 6 13 5 2 2" xfId="37280"/>
    <cellStyle name="Normal 2 2 6 13 5 3" xfId="37281"/>
    <cellStyle name="Normal 2 2 6 13 6" xfId="7196"/>
    <cellStyle name="Normal 2 2 6 13 6 2" xfId="37282"/>
    <cellStyle name="Normal 2 2 6 13 7" xfId="7197"/>
    <cellStyle name="Normal 2 2 6 13 7 2" xfId="37283"/>
    <cellStyle name="Normal 2 2 6 13 8" xfId="37284"/>
    <cellStyle name="Normal 2 2 6 14" xfId="7198"/>
    <cellStyle name="Normal 2 2 6 14 2" xfId="7199"/>
    <cellStyle name="Normal 2 2 6 14 2 2" xfId="7200"/>
    <cellStyle name="Normal 2 2 6 14 2 2 2" xfId="7201"/>
    <cellStyle name="Normal 2 2 6 14 2 2 2 2" xfId="37285"/>
    <cellStyle name="Normal 2 2 6 14 2 2 3" xfId="37286"/>
    <cellStyle name="Normal 2 2 6 14 2 3" xfId="7202"/>
    <cellStyle name="Normal 2 2 6 14 2 3 2" xfId="37287"/>
    <cellStyle name="Normal 2 2 6 14 2 4" xfId="37288"/>
    <cellStyle name="Normal 2 2 6 14 3" xfId="7203"/>
    <cellStyle name="Normal 2 2 6 14 3 2" xfId="7204"/>
    <cellStyle name="Normal 2 2 6 14 3 2 2" xfId="7205"/>
    <cellStyle name="Normal 2 2 6 14 3 2 2 2" xfId="37289"/>
    <cellStyle name="Normal 2 2 6 14 3 2 3" xfId="37290"/>
    <cellStyle name="Normal 2 2 6 14 3 3" xfId="7206"/>
    <cellStyle name="Normal 2 2 6 14 3 3 2" xfId="37291"/>
    <cellStyle name="Normal 2 2 6 14 3 4" xfId="37292"/>
    <cellStyle name="Normal 2 2 6 14 4" xfId="7207"/>
    <cellStyle name="Normal 2 2 6 14 4 2" xfId="7208"/>
    <cellStyle name="Normal 2 2 6 14 4 2 2" xfId="7209"/>
    <cellStyle name="Normal 2 2 6 14 4 2 2 2" xfId="37293"/>
    <cellStyle name="Normal 2 2 6 14 4 2 3" xfId="37294"/>
    <cellStyle name="Normal 2 2 6 14 4 3" xfId="7210"/>
    <cellStyle name="Normal 2 2 6 14 4 3 2" xfId="37295"/>
    <cellStyle name="Normal 2 2 6 14 4 4" xfId="37296"/>
    <cellStyle name="Normal 2 2 6 14 5" xfId="7211"/>
    <cellStyle name="Normal 2 2 6 14 5 2" xfId="7212"/>
    <cellStyle name="Normal 2 2 6 14 5 2 2" xfId="37297"/>
    <cellStyle name="Normal 2 2 6 14 5 3" xfId="37298"/>
    <cellStyle name="Normal 2 2 6 14 6" xfId="7213"/>
    <cellStyle name="Normal 2 2 6 14 6 2" xfId="37299"/>
    <cellStyle name="Normal 2 2 6 14 7" xfId="7214"/>
    <cellStyle name="Normal 2 2 6 14 7 2" xfId="37300"/>
    <cellStyle name="Normal 2 2 6 14 8" xfId="37301"/>
    <cellStyle name="Normal 2 2 6 15" xfId="7215"/>
    <cellStyle name="Normal 2 2 6 15 2" xfId="7216"/>
    <cellStyle name="Normal 2 2 6 15 2 2" xfId="7217"/>
    <cellStyle name="Normal 2 2 6 15 2 2 2" xfId="7218"/>
    <cellStyle name="Normal 2 2 6 15 2 2 2 2" xfId="37302"/>
    <cellStyle name="Normal 2 2 6 15 2 2 3" xfId="37303"/>
    <cellStyle name="Normal 2 2 6 15 2 3" xfId="7219"/>
    <cellStyle name="Normal 2 2 6 15 2 3 2" xfId="37304"/>
    <cellStyle name="Normal 2 2 6 15 2 4" xfId="37305"/>
    <cellStyle name="Normal 2 2 6 15 3" xfId="7220"/>
    <cellStyle name="Normal 2 2 6 15 3 2" xfId="7221"/>
    <cellStyle name="Normal 2 2 6 15 3 2 2" xfId="7222"/>
    <cellStyle name="Normal 2 2 6 15 3 2 2 2" xfId="37306"/>
    <cellStyle name="Normal 2 2 6 15 3 2 3" xfId="37307"/>
    <cellStyle name="Normal 2 2 6 15 3 3" xfId="7223"/>
    <cellStyle name="Normal 2 2 6 15 3 3 2" xfId="37308"/>
    <cellStyle name="Normal 2 2 6 15 3 4" xfId="37309"/>
    <cellStyle name="Normal 2 2 6 15 4" xfId="7224"/>
    <cellStyle name="Normal 2 2 6 15 4 2" xfId="7225"/>
    <cellStyle name="Normal 2 2 6 15 4 2 2" xfId="7226"/>
    <cellStyle name="Normal 2 2 6 15 4 2 2 2" xfId="37310"/>
    <cellStyle name="Normal 2 2 6 15 4 2 3" xfId="37311"/>
    <cellStyle name="Normal 2 2 6 15 4 3" xfId="7227"/>
    <cellStyle name="Normal 2 2 6 15 4 3 2" xfId="37312"/>
    <cellStyle name="Normal 2 2 6 15 4 4" xfId="37313"/>
    <cellStyle name="Normal 2 2 6 15 5" xfId="7228"/>
    <cellStyle name="Normal 2 2 6 15 5 2" xfId="7229"/>
    <cellStyle name="Normal 2 2 6 15 5 2 2" xfId="37314"/>
    <cellStyle name="Normal 2 2 6 15 5 3" xfId="37315"/>
    <cellStyle name="Normal 2 2 6 15 6" xfId="7230"/>
    <cellStyle name="Normal 2 2 6 15 6 2" xfId="37316"/>
    <cellStyle name="Normal 2 2 6 15 7" xfId="7231"/>
    <cellStyle name="Normal 2 2 6 15 7 2" xfId="37317"/>
    <cellStyle name="Normal 2 2 6 15 8" xfId="37318"/>
    <cellStyle name="Normal 2 2 6 16" xfId="7232"/>
    <cellStyle name="Normal 2 2 6 16 2" xfId="7233"/>
    <cellStyle name="Normal 2 2 6 16 2 2" xfId="7234"/>
    <cellStyle name="Normal 2 2 6 16 2 2 2" xfId="7235"/>
    <cellStyle name="Normal 2 2 6 16 2 2 2 2" xfId="37319"/>
    <cellStyle name="Normal 2 2 6 16 2 2 3" xfId="37320"/>
    <cellStyle name="Normal 2 2 6 16 2 3" xfId="7236"/>
    <cellStyle name="Normal 2 2 6 16 2 3 2" xfId="37321"/>
    <cellStyle name="Normal 2 2 6 16 2 4" xfId="37322"/>
    <cellStyle name="Normal 2 2 6 16 3" xfId="7237"/>
    <cellStyle name="Normal 2 2 6 16 3 2" xfId="7238"/>
    <cellStyle name="Normal 2 2 6 16 3 2 2" xfId="7239"/>
    <cellStyle name="Normal 2 2 6 16 3 2 2 2" xfId="37323"/>
    <cellStyle name="Normal 2 2 6 16 3 2 3" xfId="37324"/>
    <cellStyle name="Normal 2 2 6 16 3 3" xfId="7240"/>
    <cellStyle name="Normal 2 2 6 16 3 3 2" xfId="37325"/>
    <cellStyle name="Normal 2 2 6 16 3 4" xfId="37326"/>
    <cellStyle name="Normal 2 2 6 16 4" xfId="7241"/>
    <cellStyle name="Normal 2 2 6 16 4 2" xfId="7242"/>
    <cellStyle name="Normal 2 2 6 16 4 2 2" xfId="7243"/>
    <cellStyle name="Normal 2 2 6 16 4 2 2 2" xfId="37327"/>
    <cellStyle name="Normal 2 2 6 16 4 2 3" xfId="37328"/>
    <cellStyle name="Normal 2 2 6 16 4 3" xfId="7244"/>
    <cellStyle name="Normal 2 2 6 16 4 3 2" xfId="37329"/>
    <cellStyle name="Normal 2 2 6 16 4 4" xfId="37330"/>
    <cellStyle name="Normal 2 2 6 16 5" xfId="7245"/>
    <cellStyle name="Normal 2 2 6 16 5 2" xfId="7246"/>
    <cellStyle name="Normal 2 2 6 16 5 2 2" xfId="37331"/>
    <cellStyle name="Normal 2 2 6 16 5 3" xfId="37332"/>
    <cellStyle name="Normal 2 2 6 16 6" xfId="7247"/>
    <cellStyle name="Normal 2 2 6 16 6 2" xfId="37333"/>
    <cellStyle name="Normal 2 2 6 16 7" xfId="7248"/>
    <cellStyle name="Normal 2 2 6 16 7 2" xfId="37334"/>
    <cellStyle name="Normal 2 2 6 16 8" xfId="37335"/>
    <cellStyle name="Normal 2 2 6 17" xfId="7249"/>
    <cellStyle name="Normal 2 2 6 17 2" xfId="7250"/>
    <cellStyle name="Normal 2 2 6 17 2 2" xfId="7251"/>
    <cellStyle name="Normal 2 2 6 17 2 2 2" xfId="7252"/>
    <cellStyle name="Normal 2 2 6 17 2 2 2 2" xfId="37336"/>
    <cellStyle name="Normal 2 2 6 17 2 2 3" xfId="37337"/>
    <cellStyle name="Normal 2 2 6 17 2 3" xfId="7253"/>
    <cellStyle name="Normal 2 2 6 17 2 3 2" xfId="37338"/>
    <cellStyle name="Normal 2 2 6 17 2 4" xfId="37339"/>
    <cellStyle name="Normal 2 2 6 17 3" xfId="7254"/>
    <cellStyle name="Normal 2 2 6 17 3 2" xfId="7255"/>
    <cellStyle name="Normal 2 2 6 17 3 2 2" xfId="7256"/>
    <cellStyle name="Normal 2 2 6 17 3 2 2 2" xfId="37340"/>
    <cellStyle name="Normal 2 2 6 17 3 2 3" xfId="37341"/>
    <cellStyle name="Normal 2 2 6 17 3 3" xfId="7257"/>
    <cellStyle name="Normal 2 2 6 17 3 3 2" xfId="37342"/>
    <cellStyle name="Normal 2 2 6 17 3 4" xfId="37343"/>
    <cellStyle name="Normal 2 2 6 17 4" xfId="7258"/>
    <cellStyle name="Normal 2 2 6 17 4 2" xfId="7259"/>
    <cellStyle name="Normal 2 2 6 17 4 2 2" xfId="7260"/>
    <cellStyle name="Normal 2 2 6 17 4 2 2 2" xfId="37344"/>
    <cellStyle name="Normal 2 2 6 17 4 2 3" xfId="37345"/>
    <cellStyle name="Normal 2 2 6 17 4 3" xfId="7261"/>
    <cellStyle name="Normal 2 2 6 17 4 3 2" xfId="37346"/>
    <cellStyle name="Normal 2 2 6 17 4 4" xfId="37347"/>
    <cellStyle name="Normal 2 2 6 17 5" xfId="7262"/>
    <cellStyle name="Normal 2 2 6 17 5 2" xfId="7263"/>
    <cellStyle name="Normal 2 2 6 17 5 2 2" xfId="37348"/>
    <cellStyle name="Normal 2 2 6 17 5 3" xfId="37349"/>
    <cellStyle name="Normal 2 2 6 17 6" xfId="7264"/>
    <cellStyle name="Normal 2 2 6 17 6 2" xfId="37350"/>
    <cellStyle name="Normal 2 2 6 17 7" xfId="7265"/>
    <cellStyle name="Normal 2 2 6 17 7 2" xfId="37351"/>
    <cellStyle name="Normal 2 2 6 17 8" xfId="37352"/>
    <cellStyle name="Normal 2 2 6 18" xfId="7266"/>
    <cellStyle name="Normal 2 2 6 18 2" xfId="7267"/>
    <cellStyle name="Normal 2 2 6 18 2 2" xfId="7268"/>
    <cellStyle name="Normal 2 2 6 18 2 2 2" xfId="7269"/>
    <cellStyle name="Normal 2 2 6 18 2 2 2 2" xfId="37353"/>
    <cellStyle name="Normal 2 2 6 18 2 2 3" xfId="37354"/>
    <cellStyle name="Normal 2 2 6 18 2 3" xfId="7270"/>
    <cellStyle name="Normal 2 2 6 18 2 3 2" xfId="37355"/>
    <cellStyle name="Normal 2 2 6 18 2 4" xfId="37356"/>
    <cellStyle name="Normal 2 2 6 18 3" xfId="7271"/>
    <cellStyle name="Normal 2 2 6 18 3 2" xfId="7272"/>
    <cellStyle name="Normal 2 2 6 18 3 2 2" xfId="7273"/>
    <cellStyle name="Normal 2 2 6 18 3 2 2 2" xfId="37357"/>
    <cellStyle name="Normal 2 2 6 18 3 2 3" xfId="37358"/>
    <cellStyle name="Normal 2 2 6 18 3 3" xfId="7274"/>
    <cellStyle name="Normal 2 2 6 18 3 3 2" xfId="37359"/>
    <cellStyle name="Normal 2 2 6 18 3 4" xfId="37360"/>
    <cellStyle name="Normal 2 2 6 18 4" xfId="7275"/>
    <cellStyle name="Normal 2 2 6 18 4 2" xfId="7276"/>
    <cellStyle name="Normal 2 2 6 18 4 2 2" xfId="7277"/>
    <cellStyle name="Normal 2 2 6 18 4 2 2 2" xfId="37361"/>
    <cellStyle name="Normal 2 2 6 18 4 2 3" xfId="37362"/>
    <cellStyle name="Normal 2 2 6 18 4 3" xfId="7278"/>
    <cellStyle name="Normal 2 2 6 18 4 3 2" xfId="37363"/>
    <cellStyle name="Normal 2 2 6 18 4 4" xfId="37364"/>
    <cellStyle name="Normal 2 2 6 18 5" xfId="7279"/>
    <cellStyle name="Normal 2 2 6 18 5 2" xfId="7280"/>
    <cellStyle name="Normal 2 2 6 18 5 2 2" xfId="37365"/>
    <cellStyle name="Normal 2 2 6 18 5 3" xfId="37366"/>
    <cellStyle name="Normal 2 2 6 18 6" xfId="7281"/>
    <cellStyle name="Normal 2 2 6 18 6 2" xfId="37367"/>
    <cellStyle name="Normal 2 2 6 18 7" xfId="7282"/>
    <cellStyle name="Normal 2 2 6 18 7 2" xfId="37368"/>
    <cellStyle name="Normal 2 2 6 18 8" xfId="37369"/>
    <cellStyle name="Normal 2 2 6 19" xfId="7283"/>
    <cellStyle name="Normal 2 2 6 19 2" xfId="7284"/>
    <cellStyle name="Normal 2 2 6 19 2 2" xfId="7285"/>
    <cellStyle name="Normal 2 2 6 19 2 2 2" xfId="7286"/>
    <cellStyle name="Normal 2 2 6 19 2 2 2 2" xfId="37370"/>
    <cellStyle name="Normal 2 2 6 19 2 2 3" xfId="37371"/>
    <cellStyle name="Normal 2 2 6 19 2 3" xfId="7287"/>
    <cellStyle name="Normal 2 2 6 19 2 3 2" xfId="37372"/>
    <cellStyle name="Normal 2 2 6 19 2 4" xfId="37373"/>
    <cellStyle name="Normal 2 2 6 19 3" xfId="7288"/>
    <cellStyle name="Normal 2 2 6 19 3 2" xfId="7289"/>
    <cellStyle name="Normal 2 2 6 19 3 2 2" xfId="7290"/>
    <cellStyle name="Normal 2 2 6 19 3 2 2 2" xfId="37374"/>
    <cellStyle name="Normal 2 2 6 19 3 2 3" xfId="37375"/>
    <cellStyle name="Normal 2 2 6 19 3 3" xfId="7291"/>
    <cellStyle name="Normal 2 2 6 19 3 3 2" xfId="37376"/>
    <cellStyle name="Normal 2 2 6 19 3 4" xfId="37377"/>
    <cellStyle name="Normal 2 2 6 19 4" xfId="7292"/>
    <cellStyle name="Normal 2 2 6 19 4 2" xfId="7293"/>
    <cellStyle name="Normal 2 2 6 19 4 2 2" xfId="7294"/>
    <cellStyle name="Normal 2 2 6 19 4 2 2 2" xfId="37378"/>
    <cellStyle name="Normal 2 2 6 19 4 2 3" xfId="37379"/>
    <cellStyle name="Normal 2 2 6 19 4 3" xfId="7295"/>
    <cellStyle name="Normal 2 2 6 19 4 3 2" xfId="37380"/>
    <cellStyle name="Normal 2 2 6 19 4 4" xfId="37381"/>
    <cellStyle name="Normal 2 2 6 19 5" xfId="7296"/>
    <cellStyle name="Normal 2 2 6 19 5 2" xfId="7297"/>
    <cellStyle name="Normal 2 2 6 19 5 2 2" xfId="37382"/>
    <cellStyle name="Normal 2 2 6 19 5 3" xfId="37383"/>
    <cellStyle name="Normal 2 2 6 19 6" xfId="7298"/>
    <cellStyle name="Normal 2 2 6 19 6 2" xfId="37384"/>
    <cellStyle name="Normal 2 2 6 19 7" xfId="7299"/>
    <cellStyle name="Normal 2 2 6 19 7 2" xfId="37385"/>
    <cellStyle name="Normal 2 2 6 19 8" xfId="37386"/>
    <cellStyle name="Normal 2 2 6 2" xfId="7300"/>
    <cellStyle name="Normal 2 2 6 2 2" xfId="7301"/>
    <cellStyle name="Normal 2 2 6 2 2 2" xfId="7302"/>
    <cellStyle name="Normal 2 2 6 2 2 2 2" xfId="7303"/>
    <cellStyle name="Normal 2 2 6 2 2 2 2 2" xfId="37387"/>
    <cellStyle name="Normal 2 2 6 2 2 2 3" xfId="37388"/>
    <cellStyle name="Normal 2 2 6 2 2 3" xfId="7304"/>
    <cellStyle name="Normal 2 2 6 2 2 3 2" xfId="37389"/>
    <cellStyle name="Normal 2 2 6 2 2 4" xfId="37390"/>
    <cellStyle name="Normal 2 2 6 2 3" xfId="7305"/>
    <cellStyle name="Normal 2 2 6 2 3 2" xfId="7306"/>
    <cellStyle name="Normal 2 2 6 2 3 2 2" xfId="7307"/>
    <cellStyle name="Normal 2 2 6 2 3 2 2 2" xfId="37391"/>
    <cellStyle name="Normal 2 2 6 2 3 2 3" xfId="37392"/>
    <cellStyle name="Normal 2 2 6 2 3 3" xfId="7308"/>
    <cellStyle name="Normal 2 2 6 2 3 3 2" xfId="37393"/>
    <cellStyle name="Normal 2 2 6 2 3 4" xfId="37394"/>
    <cellStyle name="Normal 2 2 6 2 4" xfId="7309"/>
    <cellStyle name="Normal 2 2 6 2 4 2" xfId="7310"/>
    <cellStyle name="Normal 2 2 6 2 4 2 2" xfId="7311"/>
    <cellStyle name="Normal 2 2 6 2 4 2 2 2" xfId="37395"/>
    <cellStyle name="Normal 2 2 6 2 4 2 3" xfId="37396"/>
    <cellStyle name="Normal 2 2 6 2 4 3" xfId="7312"/>
    <cellStyle name="Normal 2 2 6 2 4 3 2" xfId="37397"/>
    <cellStyle name="Normal 2 2 6 2 4 4" xfId="37398"/>
    <cellStyle name="Normal 2 2 6 2 5" xfId="7313"/>
    <cellStyle name="Normal 2 2 6 2 5 2" xfId="7314"/>
    <cellStyle name="Normal 2 2 6 2 5 2 2" xfId="37399"/>
    <cellStyle name="Normal 2 2 6 2 5 3" xfId="37400"/>
    <cellStyle name="Normal 2 2 6 2 6" xfId="7315"/>
    <cellStyle name="Normal 2 2 6 2 6 2" xfId="37401"/>
    <cellStyle name="Normal 2 2 6 2 7" xfId="7316"/>
    <cellStyle name="Normal 2 2 6 2 7 2" xfId="37402"/>
    <cellStyle name="Normal 2 2 6 2 8" xfId="37403"/>
    <cellStyle name="Normal 2 2 6 20" xfId="7317"/>
    <cellStyle name="Normal 2 2 6 20 2" xfId="7318"/>
    <cellStyle name="Normal 2 2 6 20 2 2" xfId="7319"/>
    <cellStyle name="Normal 2 2 6 20 2 2 2" xfId="7320"/>
    <cellStyle name="Normal 2 2 6 20 2 2 2 2" xfId="37404"/>
    <cellStyle name="Normal 2 2 6 20 2 2 3" xfId="37405"/>
    <cellStyle name="Normal 2 2 6 20 2 3" xfId="7321"/>
    <cellStyle name="Normal 2 2 6 20 2 3 2" xfId="37406"/>
    <cellStyle name="Normal 2 2 6 20 2 4" xfId="37407"/>
    <cellStyle name="Normal 2 2 6 20 3" xfId="7322"/>
    <cellStyle name="Normal 2 2 6 20 3 2" xfId="7323"/>
    <cellStyle name="Normal 2 2 6 20 3 2 2" xfId="7324"/>
    <cellStyle name="Normal 2 2 6 20 3 2 2 2" xfId="37408"/>
    <cellStyle name="Normal 2 2 6 20 3 2 3" xfId="37409"/>
    <cellStyle name="Normal 2 2 6 20 3 3" xfId="7325"/>
    <cellStyle name="Normal 2 2 6 20 3 3 2" xfId="37410"/>
    <cellStyle name="Normal 2 2 6 20 3 4" xfId="37411"/>
    <cellStyle name="Normal 2 2 6 20 4" xfId="7326"/>
    <cellStyle name="Normal 2 2 6 20 4 2" xfId="7327"/>
    <cellStyle name="Normal 2 2 6 20 4 2 2" xfId="7328"/>
    <cellStyle name="Normal 2 2 6 20 4 2 2 2" xfId="37412"/>
    <cellStyle name="Normal 2 2 6 20 4 2 3" xfId="37413"/>
    <cellStyle name="Normal 2 2 6 20 4 3" xfId="7329"/>
    <cellStyle name="Normal 2 2 6 20 4 3 2" xfId="37414"/>
    <cellStyle name="Normal 2 2 6 20 4 4" xfId="37415"/>
    <cellStyle name="Normal 2 2 6 20 5" xfId="7330"/>
    <cellStyle name="Normal 2 2 6 20 5 2" xfId="7331"/>
    <cellStyle name="Normal 2 2 6 20 5 2 2" xfId="37416"/>
    <cellStyle name="Normal 2 2 6 20 5 3" xfId="37417"/>
    <cellStyle name="Normal 2 2 6 20 6" xfId="7332"/>
    <cellStyle name="Normal 2 2 6 20 6 2" xfId="37418"/>
    <cellStyle name="Normal 2 2 6 20 7" xfId="7333"/>
    <cellStyle name="Normal 2 2 6 20 7 2" xfId="37419"/>
    <cellStyle name="Normal 2 2 6 20 8" xfId="37420"/>
    <cellStyle name="Normal 2 2 6 21" xfId="7334"/>
    <cellStyle name="Normal 2 2 6 21 2" xfId="7335"/>
    <cellStyle name="Normal 2 2 6 21 2 2" xfId="7336"/>
    <cellStyle name="Normal 2 2 6 21 2 2 2" xfId="7337"/>
    <cellStyle name="Normal 2 2 6 21 2 2 2 2" xfId="37421"/>
    <cellStyle name="Normal 2 2 6 21 2 2 3" xfId="37422"/>
    <cellStyle name="Normal 2 2 6 21 2 3" xfId="7338"/>
    <cellStyle name="Normal 2 2 6 21 2 3 2" xfId="37423"/>
    <cellStyle name="Normal 2 2 6 21 2 4" xfId="37424"/>
    <cellStyle name="Normal 2 2 6 21 3" xfId="7339"/>
    <cellStyle name="Normal 2 2 6 21 3 2" xfId="7340"/>
    <cellStyle name="Normal 2 2 6 21 3 2 2" xfId="7341"/>
    <cellStyle name="Normal 2 2 6 21 3 2 2 2" xfId="37425"/>
    <cellStyle name="Normal 2 2 6 21 3 2 3" xfId="37426"/>
    <cellStyle name="Normal 2 2 6 21 3 3" xfId="7342"/>
    <cellStyle name="Normal 2 2 6 21 3 3 2" xfId="37427"/>
    <cellStyle name="Normal 2 2 6 21 3 4" xfId="37428"/>
    <cellStyle name="Normal 2 2 6 21 4" xfId="7343"/>
    <cellStyle name="Normal 2 2 6 21 4 2" xfId="7344"/>
    <cellStyle name="Normal 2 2 6 21 4 2 2" xfId="7345"/>
    <cellStyle name="Normal 2 2 6 21 4 2 2 2" xfId="37429"/>
    <cellStyle name="Normal 2 2 6 21 4 2 3" xfId="37430"/>
    <cellStyle name="Normal 2 2 6 21 4 3" xfId="7346"/>
    <cellStyle name="Normal 2 2 6 21 4 3 2" xfId="37431"/>
    <cellStyle name="Normal 2 2 6 21 4 4" xfId="37432"/>
    <cellStyle name="Normal 2 2 6 21 5" xfId="7347"/>
    <cellStyle name="Normal 2 2 6 21 5 2" xfId="7348"/>
    <cellStyle name="Normal 2 2 6 21 5 2 2" xfId="37433"/>
    <cellStyle name="Normal 2 2 6 21 5 3" xfId="37434"/>
    <cellStyle name="Normal 2 2 6 21 6" xfId="7349"/>
    <cellStyle name="Normal 2 2 6 21 6 2" xfId="37435"/>
    <cellStyle name="Normal 2 2 6 21 7" xfId="7350"/>
    <cellStyle name="Normal 2 2 6 21 7 2" xfId="37436"/>
    <cellStyle name="Normal 2 2 6 21 8" xfId="37437"/>
    <cellStyle name="Normal 2 2 6 22" xfId="7351"/>
    <cellStyle name="Normal 2 2 6 22 2" xfId="7352"/>
    <cellStyle name="Normal 2 2 6 22 2 2" xfId="7353"/>
    <cellStyle name="Normal 2 2 6 22 2 2 2" xfId="7354"/>
    <cellStyle name="Normal 2 2 6 22 2 2 2 2" xfId="37438"/>
    <cellStyle name="Normal 2 2 6 22 2 2 3" xfId="37439"/>
    <cellStyle name="Normal 2 2 6 22 2 3" xfId="7355"/>
    <cellStyle name="Normal 2 2 6 22 2 3 2" xfId="37440"/>
    <cellStyle name="Normal 2 2 6 22 2 4" xfId="37441"/>
    <cellStyle name="Normal 2 2 6 22 3" xfId="7356"/>
    <cellStyle name="Normal 2 2 6 22 3 2" xfId="7357"/>
    <cellStyle name="Normal 2 2 6 22 3 2 2" xfId="7358"/>
    <cellStyle name="Normal 2 2 6 22 3 2 2 2" xfId="37442"/>
    <cellStyle name="Normal 2 2 6 22 3 2 3" xfId="37443"/>
    <cellStyle name="Normal 2 2 6 22 3 3" xfId="7359"/>
    <cellStyle name="Normal 2 2 6 22 3 3 2" xfId="37444"/>
    <cellStyle name="Normal 2 2 6 22 3 4" xfId="37445"/>
    <cellStyle name="Normal 2 2 6 22 4" xfId="7360"/>
    <cellStyle name="Normal 2 2 6 22 4 2" xfId="7361"/>
    <cellStyle name="Normal 2 2 6 22 4 2 2" xfId="7362"/>
    <cellStyle name="Normal 2 2 6 22 4 2 2 2" xfId="37446"/>
    <cellStyle name="Normal 2 2 6 22 4 2 3" xfId="37447"/>
    <cellStyle name="Normal 2 2 6 22 4 3" xfId="7363"/>
    <cellStyle name="Normal 2 2 6 22 4 3 2" xfId="37448"/>
    <cellStyle name="Normal 2 2 6 22 4 4" xfId="37449"/>
    <cellStyle name="Normal 2 2 6 22 5" xfId="7364"/>
    <cellStyle name="Normal 2 2 6 22 5 2" xfId="7365"/>
    <cellStyle name="Normal 2 2 6 22 5 2 2" xfId="37450"/>
    <cellStyle name="Normal 2 2 6 22 5 3" xfId="37451"/>
    <cellStyle name="Normal 2 2 6 22 6" xfId="7366"/>
    <cellStyle name="Normal 2 2 6 22 6 2" xfId="37452"/>
    <cellStyle name="Normal 2 2 6 22 7" xfId="7367"/>
    <cellStyle name="Normal 2 2 6 22 7 2" xfId="37453"/>
    <cellStyle name="Normal 2 2 6 22 8" xfId="37454"/>
    <cellStyle name="Normal 2 2 6 23" xfId="7368"/>
    <cellStyle name="Normal 2 2 6 23 2" xfId="7369"/>
    <cellStyle name="Normal 2 2 6 23 2 2" xfId="7370"/>
    <cellStyle name="Normal 2 2 6 23 2 2 2" xfId="7371"/>
    <cellStyle name="Normal 2 2 6 23 2 2 2 2" xfId="37455"/>
    <cellStyle name="Normal 2 2 6 23 2 2 3" xfId="37456"/>
    <cellStyle name="Normal 2 2 6 23 2 3" xfId="7372"/>
    <cellStyle name="Normal 2 2 6 23 2 3 2" xfId="37457"/>
    <cellStyle name="Normal 2 2 6 23 2 4" xfId="37458"/>
    <cellStyle name="Normal 2 2 6 23 3" xfId="7373"/>
    <cellStyle name="Normal 2 2 6 23 3 2" xfId="7374"/>
    <cellStyle name="Normal 2 2 6 23 3 2 2" xfId="7375"/>
    <cellStyle name="Normal 2 2 6 23 3 2 2 2" xfId="37459"/>
    <cellStyle name="Normal 2 2 6 23 3 2 3" xfId="37460"/>
    <cellStyle name="Normal 2 2 6 23 3 3" xfId="7376"/>
    <cellStyle name="Normal 2 2 6 23 3 3 2" xfId="37461"/>
    <cellStyle name="Normal 2 2 6 23 3 4" xfId="37462"/>
    <cellStyle name="Normal 2 2 6 23 4" xfId="7377"/>
    <cellStyle name="Normal 2 2 6 23 4 2" xfId="7378"/>
    <cellStyle name="Normal 2 2 6 23 4 2 2" xfId="7379"/>
    <cellStyle name="Normal 2 2 6 23 4 2 2 2" xfId="37463"/>
    <cellStyle name="Normal 2 2 6 23 4 2 3" xfId="37464"/>
    <cellStyle name="Normal 2 2 6 23 4 3" xfId="7380"/>
    <cellStyle name="Normal 2 2 6 23 4 3 2" xfId="37465"/>
    <cellStyle name="Normal 2 2 6 23 4 4" xfId="37466"/>
    <cellStyle name="Normal 2 2 6 23 5" xfId="7381"/>
    <cellStyle name="Normal 2 2 6 23 5 2" xfId="7382"/>
    <cellStyle name="Normal 2 2 6 23 5 2 2" xfId="37467"/>
    <cellStyle name="Normal 2 2 6 23 5 3" xfId="37468"/>
    <cellStyle name="Normal 2 2 6 23 6" xfId="7383"/>
    <cellStyle name="Normal 2 2 6 23 6 2" xfId="37469"/>
    <cellStyle name="Normal 2 2 6 23 7" xfId="7384"/>
    <cellStyle name="Normal 2 2 6 23 7 2" xfId="37470"/>
    <cellStyle name="Normal 2 2 6 23 8" xfId="37471"/>
    <cellStyle name="Normal 2 2 6 24" xfId="7385"/>
    <cellStyle name="Normal 2 2 6 24 2" xfId="7386"/>
    <cellStyle name="Normal 2 2 6 24 2 2" xfId="7387"/>
    <cellStyle name="Normal 2 2 6 24 2 2 2" xfId="7388"/>
    <cellStyle name="Normal 2 2 6 24 2 2 2 2" xfId="37472"/>
    <cellStyle name="Normal 2 2 6 24 2 2 3" xfId="37473"/>
    <cellStyle name="Normal 2 2 6 24 2 3" xfId="7389"/>
    <cellStyle name="Normal 2 2 6 24 2 3 2" xfId="37474"/>
    <cellStyle name="Normal 2 2 6 24 2 4" xfId="37475"/>
    <cellStyle name="Normal 2 2 6 24 3" xfId="7390"/>
    <cellStyle name="Normal 2 2 6 24 3 2" xfId="7391"/>
    <cellStyle name="Normal 2 2 6 24 3 2 2" xfId="7392"/>
    <cellStyle name="Normal 2 2 6 24 3 2 2 2" xfId="37476"/>
    <cellStyle name="Normal 2 2 6 24 3 2 3" xfId="37477"/>
    <cellStyle name="Normal 2 2 6 24 3 3" xfId="7393"/>
    <cellStyle name="Normal 2 2 6 24 3 3 2" xfId="37478"/>
    <cellStyle name="Normal 2 2 6 24 3 4" xfId="37479"/>
    <cellStyle name="Normal 2 2 6 24 4" xfId="7394"/>
    <cellStyle name="Normal 2 2 6 24 4 2" xfId="7395"/>
    <cellStyle name="Normal 2 2 6 24 4 2 2" xfId="7396"/>
    <cellStyle name="Normal 2 2 6 24 4 2 2 2" xfId="37480"/>
    <cellStyle name="Normal 2 2 6 24 4 2 3" xfId="37481"/>
    <cellStyle name="Normal 2 2 6 24 4 3" xfId="7397"/>
    <cellStyle name="Normal 2 2 6 24 4 3 2" xfId="37482"/>
    <cellStyle name="Normal 2 2 6 24 4 4" xfId="37483"/>
    <cellStyle name="Normal 2 2 6 24 5" xfId="7398"/>
    <cellStyle name="Normal 2 2 6 24 5 2" xfId="7399"/>
    <cellStyle name="Normal 2 2 6 24 5 2 2" xfId="37484"/>
    <cellStyle name="Normal 2 2 6 24 5 3" xfId="37485"/>
    <cellStyle name="Normal 2 2 6 24 6" xfId="7400"/>
    <cellStyle name="Normal 2 2 6 24 6 2" xfId="37486"/>
    <cellStyle name="Normal 2 2 6 24 7" xfId="7401"/>
    <cellStyle name="Normal 2 2 6 24 7 2" xfId="37487"/>
    <cellStyle name="Normal 2 2 6 24 8" xfId="37488"/>
    <cellStyle name="Normal 2 2 6 25" xfId="7402"/>
    <cellStyle name="Normal 2 2 6 25 2" xfId="7403"/>
    <cellStyle name="Normal 2 2 6 25 2 2" xfId="7404"/>
    <cellStyle name="Normal 2 2 6 25 2 2 2" xfId="7405"/>
    <cellStyle name="Normal 2 2 6 25 2 2 2 2" xfId="37489"/>
    <cellStyle name="Normal 2 2 6 25 2 2 3" xfId="37490"/>
    <cellStyle name="Normal 2 2 6 25 2 3" xfId="7406"/>
    <cellStyle name="Normal 2 2 6 25 2 3 2" xfId="37491"/>
    <cellStyle name="Normal 2 2 6 25 2 4" xfId="37492"/>
    <cellStyle name="Normal 2 2 6 25 3" xfId="7407"/>
    <cellStyle name="Normal 2 2 6 25 3 2" xfId="7408"/>
    <cellStyle name="Normal 2 2 6 25 3 2 2" xfId="7409"/>
    <cellStyle name="Normal 2 2 6 25 3 2 2 2" xfId="37493"/>
    <cellStyle name="Normal 2 2 6 25 3 2 3" xfId="37494"/>
    <cellStyle name="Normal 2 2 6 25 3 3" xfId="7410"/>
    <cellStyle name="Normal 2 2 6 25 3 3 2" xfId="37495"/>
    <cellStyle name="Normal 2 2 6 25 3 4" xfId="37496"/>
    <cellStyle name="Normal 2 2 6 25 4" xfId="7411"/>
    <cellStyle name="Normal 2 2 6 25 4 2" xfId="7412"/>
    <cellStyle name="Normal 2 2 6 25 4 2 2" xfId="7413"/>
    <cellStyle name="Normal 2 2 6 25 4 2 2 2" xfId="37497"/>
    <cellStyle name="Normal 2 2 6 25 4 2 3" xfId="37498"/>
    <cellStyle name="Normal 2 2 6 25 4 3" xfId="7414"/>
    <cellStyle name="Normal 2 2 6 25 4 3 2" xfId="37499"/>
    <cellStyle name="Normal 2 2 6 25 4 4" xfId="37500"/>
    <cellStyle name="Normal 2 2 6 25 5" xfId="7415"/>
    <cellStyle name="Normal 2 2 6 25 5 2" xfId="7416"/>
    <cellStyle name="Normal 2 2 6 25 5 2 2" xfId="37501"/>
    <cellStyle name="Normal 2 2 6 25 5 3" xfId="37502"/>
    <cellStyle name="Normal 2 2 6 25 6" xfId="7417"/>
    <cellStyle name="Normal 2 2 6 25 6 2" xfId="37503"/>
    <cellStyle name="Normal 2 2 6 25 7" xfId="7418"/>
    <cellStyle name="Normal 2 2 6 25 7 2" xfId="37504"/>
    <cellStyle name="Normal 2 2 6 25 8" xfId="37505"/>
    <cellStyle name="Normal 2 2 6 26" xfId="7419"/>
    <cellStyle name="Normal 2 2 6 26 2" xfId="7420"/>
    <cellStyle name="Normal 2 2 6 26 2 2" xfId="7421"/>
    <cellStyle name="Normal 2 2 6 26 2 2 2" xfId="7422"/>
    <cellStyle name="Normal 2 2 6 26 2 2 2 2" xfId="37506"/>
    <cellStyle name="Normal 2 2 6 26 2 2 3" xfId="37507"/>
    <cellStyle name="Normal 2 2 6 26 2 3" xfId="7423"/>
    <cellStyle name="Normal 2 2 6 26 2 3 2" xfId="37508"/>
    <cellStyle name="Normal 2 2 6 26 2 4" xfId="37509"/>
    <cellStyle name="Normal 2 2 6 26 3" xfId="7424"/>
    <cellStyle name="Normal 2 2 6 26 3 2" xfId="7425"/>
    <cellStyle name="Normal 2 2 6 26 3 2 2" xfId="7426"/>
    <cellStyle name="Normal 2 2 6 26 3 2 2 2" xfId="37510"/>
    <cellStyle name="Normal 2 2 6 26 3 2 3" xfId="37511"/>
    <cellStyle name="Normal 2 2 6 26 3 3" xfId="7427"/>
    <cellStyle name="Normal 2 2 6 26 3 3 2" xfId="37512"/>
    <cellStyle name="Normal 2 2 6 26 3 4" xfId="37513"/>
    <cellStyle name="Normal 2 2 6 26 4" xfId="7428"/>
    <cellStyle name="Normal 2 2 6 26 4 2" xfId="7429"/>
    <cellStyle name="Normal 2 2 6 26 4 2 2" xfId="7430"/>
    <cellStyle name="Normal 2 2 6 26 4 2 2 2" xfId="37514"/>
    <cellStyle name="Normal 2 2 6 26 4 2 3" xfId="37515"/>
    <cellStyle name="Normal 2 2 6 26 4 3" xfId="7431"/>
    <cellStyle name="Normal 2 2 6 26 4 3 2" xfId="37516"/>
    <cellStyle name="Normal 2 2 6 26 4 4" xfId="37517"/>
    <cellStyle name="Normal 2 2 6 26 5" xfId="7432"/>
    <cellStyle name="Normal 2 2 6 26 5 2" xfId="7433"/>
    <cellStyle name="Normal 2 2 6 26 5 2 2" xfId="37518"/>
    <cellStyle name="Normal 2 2 6 26 5 3" xfId="37519"/>
    <cellStyle name="Normal 2 2 6 26 6" xfId="7434"/>
    <cellStyle name="Normal 2 2 6 26 6 2" xfId="37520"/>
    <cellStyle name="Normal 2 2 6 26 7" xfId="7435"/>
    <cellStyle name="Normal 2 2 6 26 7 2" xfId="37521"/>
    <cellStyle name="Normal 2 2 6 26 8" xfId="37522"/>
    <cellStyle name="Normal 2 2 6 27" xfId="7436"/>
    <cellStyle name="Normal 2 2 6 27 2" xfId="7437"/>
    <cellStyle name="Normal 2 2 6 27 2 2" xfId="7438"/>
    <cellStyle name="Normal 2 2 6 27 2 2 2" xfId="7439"/>
    <cellStyle name="Normal 2 2 6 27 2 2 2 2" xfId="37523"/>
    <cellStyle name="Normal 2 2 6 27 2 2 3" xfId="37524"/>
    <cellStyle name="Normal 2 2 6 27 2 3" xfId="7440"/>
    <cellStyle name="Normal 2 2 6 27 2 3 2" xfId="37525"/>
    <cellStyle name="Normal 2 2 6 27 2 4" xfId="37526"/>
    <cellStyle name="Normal 2 2 6 27 3" xfId="7441"/>
    <cellStyle name="Normal 2 2 6 27 3 2" xfId="7442"/>
    <cellStyle name="Normal 2 2 6 27 3 2 2" xfId="7443"/>
    <cellStyle name="Normal 2 2 6 27 3 2 2 2" xfId="37527"/>
    <cellStyle name="Normal 2 2 6 27 3 2 3" xfId="37528"/>
    <cellStyle name="Normal 2 2 6 27 3 3" xfId="7444"/>
    <cellStyle name="Normal 2 2 6 27 3 3 2" xfId="37529"/>
    <cellStyle name="Normal 2 2 6 27 3 4" xfId="37530"/>
    <cellStyle name="Normal 2 2 6 27 4" xfId="7445"/>
    <cellStyle name="Normal 2 2 6 27 4 2" xfId="7446"/>
    <cellStyle name="Normal 2 2 6 27 4 2 2" xfId="7447"/>
    <cellStyle name="Normal 2 2 6 27 4 2 2 2" xfId="37531"/>
    <cellStyle name="Normal 2 2 6 27 4 2 3" xfId="37532"/>
    <cellStyle name="Normal 2 2 6 27 4 3" xfId="7448"/>
    <cellStyle name="Normal 2 2 6 27 4 3 2" xfId="37533"/>
    <cellStyle name="Normal 2 2 6 27 4 4" xfId="37534"/>
    <cellStyle name="Normal 2 2 6 27 5" xfId="7449"/>
    <cellStyle name="Normal 2 2 6 27 5 2" xfId="7450"/>
    <cellStyle name="Normal 2 2 6 27 5 2 2" xfId="37535"/>
    <cellStyle name="Normal 2 2 6 27 5 3" xfId="37536"/>
    <cellStyle name="Normal 2 2 6 27 6" xfId="7451"/>
    <cellStyle name="Normal 2 2 6 27 6 2" xfId="37537"/>
    <cellStyle name="Normal 2 2 6 27 7" xfId="7452"/>
    <cellStyle name="Normal 2 2 6 27 7 2" xfId="37538"/>
    <cellStyle name="Normal 2 2 6 27 8" xfId="37539"/>
    <cellStyle name="Normal 2 2 6 28" xfId="7453"/>
    <cellStyle name="Normal 2 2 6 28 2" xfId="7454"/>
    <cellStyle name="Normal 2 2 6 28 2 2" xfId="7455"/>
    <cellStyle name="Normal 2 2 6 28 2 2 2" xfId="7456"/>
    <cellStyle name="Normal 2 2 6 28 2 2 2 2" xfId="37540"/>
    <cellStyle name="Normal 2 2 6 28 2 2 3" xfId="37541"/>
    <cellStyle name="Normal 2 2 6 28 2 3" xfId="7457"/>
    <cellStyle name="Normal 2 2 6 28 2 3 2" xfId="37542"/>
    <cellStyle name="Normal 2 2 6 28 2 4" xfId="37543"/>
    <cellStyle name="Normal 2 2 6 28 3" xfId="7458"/>
    <cellStyle name="Normal 2 2 6 28 3 2" xfId="7459"/>
    <cellStyle name="Normal 2 2 6 28 3 2 2" xfId="7460"/>
    <cellStyle name="Normal 2 2 6 28 3 2 2 2" xfId="37544"/>
    <cellStyle name="Normal 2 2 6 28 3 2 3" xfId="37545"/>
    <cellStyle name="Normal 2 2 6 28 3 3" xfId="7461"/>
    <cellStyle name="Normal 2 2 6 28 3 3 2" xfId="37546"/>
    <cellStyle name="Normal 2 2 6 28 3 4" xfId="37547"/>
    <cellStyle name="Normal 2 2 6 28 4" xfId="7462"/>
    <cellStyle name="Normal 2 2 6 28 4 2" xfId="7463"/>
    <cellStyle name="Normal 2 2 6 28 4 2 2" xfId="7464"/>
    <cellStyle name="Normal 2 2 6 28 4 2 2 2" xfId="37548"/>
    <cellStyle name="Normal 2 2 6 28 4 2 3" xfId="37549"/>
    <cellStyle name="Normal 2 2 6 28 4 3" xfId="7465"/>
    <cellStyle name="Normal 2 2 6 28 4 3 2" xfId="37550"/>
    <cellStyle name="Normal 2 2 6 28 4 4" xfId="37551"/>
    <cellStyle name="Normal 2 2 6 28 5" xfId="7466"/>
    <cellStyle name="Normal 2 2 6 28 5 2" xfId="7467"/>
    <cellStyle name="Normal 2 2 6 28 5 2 2" xfId="37552"/>
    <cellStyle name="Normal 2 2 6 28 5 3" xfId="37553"/>
    <cellStyle name="Normal 2 2 6 28 6" xfId="7468"/>
    <cellStyle name="Normal 2 2 6 28 6 2" xfId="37554"/>
    <cellStyle name="Normal 2 2 6 28 7" xfId="7469"/>
    <cellStyle name="Normal 2 2 6 28 7 2" xfId="37555"/>
    <cellStyle name="Normal 2 2 6 28 8" xfId="37556"/>
    <cellStyle name="Normal 2 2 6 29" xfId="7470"/>
    <cellStyle name="Normal 2 2 6 29 2" xfId="7471"/>
    <cellStyle name="Normal 2 2 6 29 2 2" xfId="7472"/>
    <cellStyle name="Normal 2 2 6 29 2 2 2" xfId="7473"/>
    <cellStyle name="Normal 2 2 6 29 2 2 2 2" xfId="37557"/>
    <cellStyle name="Normal 2 2 6 29 2 2 3" xfId="37558"/>
    <cellStyle name="Normal 2 2 6 29 2 3" xfId="7474"/>
    <cellStyle name="Normal 2 2 6 29 2 3 2" xfId="37559"/>
    <cellStyle name="Normal 2 2 6 29 2 4" xfId="37560"/>
    <cellStyle name="Normal 2 2 6 29 3" xfId="7475"/>
    <cellStyle name="Normal 2 2 6 29 3 2" xfId="7476"/>
    <cellStyle name="Normal 2 2 6 29 3 2 2" xfId="7477"/>
    <cellStyle name="Normal 2 2 6 29 3 2 2 2" xfId="37561"/>
    <cellStyle name="Normal 2 2 6 29 3 2 3" xfId="37562"/>
    <cellStyle name="Normal 2 2 6 29 3 3" xfId="7478"/>
    <cellStyle name="Normal 2 2 6 29 3 3 2" xfId="37563"/>
    <cellStyle name="Normal 2 2 6 29 3 4" xfId="37564"/>
    <cellStyle name="Normal 2 2 6 29 4" xfId="7479"/>
    <cellStyle name="Normal 2 2 6 29 4 2" xfId="7480"/>
    <cellStyle name="Normal 2 2 6 29 4 2 2" xfId="7481"/>
    <cellStyle name="Normal 2 2 6 29 4 2 2 2" xfId="37565"/>
    <cellStyle name="Normal 2 2 6 29 4 2 3" xfId="37566"/>
    <cellStyle name="Normal 2 2 6 29 4 3" xfId="7482"/>
    <cellStyle name="Normal 2 2 6 29 4 3 2" xfId="37567"/>
    <cellStyle name="Normal 2 2 6 29 4 4" xfId="37568"/>
    <cellStyle name="Normal 2 2 6 29 5" xfId="7483"/>
    <cellStyle name="Normal 2 2 6 29 5 2" xfId="7484"/>
    <cellStyle name="Normal 2 2 6 29 5 2 2" xfId="37569"/>
    <cellStyle name="Normal 2 2 6 29 5 3" xfId="37570"/>
    <cellStyle name="Normal 2 2 6 29 6" xfId="7485"/>
    <cellStyle name="Normal 2 2 6 29 6 2" xfId="37571"/>
    <cellStyle name="Normal 2 2 6 29 7" xfId="7486"/>
    <cellStyle name="Normal 2 2 6 29 7 2" xfId="37572"/>
    <cellStyle name="Normal 2 2 6 29 8" xfId="37573"/>
    <cellStyle name="Normal 2 2 6 3" xfId="7487"/>
    <cellStyle name="Normal 2 2 6 3 2" xfId="7488"/>
    <cellStyle name="Normal 2 2 6 3 2 2" xfId="7489"/>
    <cellStyle name="Normal 2 2 6 3 2 2 2" xfId="7490"/>
    <cellStyle name="Normal 2 2 6 3 2 2 2 2" xfId="37574"/>
    <cellStyle name="Normal 2 2 6 3 2 2 3" xfId="37575"/>
    <cellStyle name="Normal 2 2 6 3 2 3" xfId="7491"/>
    <cellStyle name="Normal 2 2 6 3 2 3 2" xfId="37576"/>
    <cellStyle name="Normal 2 2 6 3 2 4" xfId="37577"/>
    <cellStyle name="Normal 2 2 6 3 3" xfId="7492"/>
    <cellStyle name="Normal 2 2 6 3 3 2" xfId="7493"/>
    <cellStyle name="Normal 2 2 6 3 3 2 2" xfId="7494"/>
    <cellStyle name="Normal 2 2 6 3 3 2 2 2" xfId="37578"/>
    <cellStyle name="Normal 2 2 6 3 3 2 3" xfId="37579"/>
    <cellStyle name="Normal 2 2 6 3 3 3" xfId="7495"/>
    <cellStyle name="Normal 2 2 6 3 3 3 2" xfId="37580"/>
    <cellStyle name="Normal 2 2 6 3 3 4" xfId="37581"/>
    <cellStyle name="Normal 2 2 6 3 4" xfId="7496"/>
    <cellStyle name="Normal 2 2 6 3 4 2" xfId="7497"/>
    <cellStyle name="Normal 2 2 6 3 4 2 2" xfId="7498"/>
    <cellStyle name="Normal 2 2 6 3 4 2 2 2" xfId="37582"/>
    <cellStyle name="Normal 2 2 6 3 4 2 3" xfId="37583"/>
    <cellStyle name="Normal 2 2 6 3 4 3" xfId="7499"/>
    <cellStyle name="Normal 2 2 6 3 4 3 2" xfId="37584"/>
    <cellStyle name="Normal 2 2 6 3 4 4" xfId="37585"/>
    <cellStyle name="Normal 2 2 6 3 5" xfId="7500"/>
    <cellStyle name="Normal 2 2 6 3 5 2" xfId="7501"/>
    <cellStyle name="Normal 2 2 6 3 5 2 2" xfId="37586"/>
    <cellStyle name="Normal 2 2 6 3 5 3" xfId="37587"/>
    <cellStyle name="Normal 2 2 6 3 6" xfId="7502"/>
    <cellStyle name="Normal 2 2 6 3 6 2" xfId="37588"/>
    <cellStyle name="Normal 2 2 6 3 7" xfId="7503"/>
    <cellStyle name="Normal 2 2 6 3 7 2" xfId="37589"/>
    <cellStyle name="Normal 2 2 6 3 8" xfId="37590"/>
    <cellStyle name="Normal 2 2 6 30" xfId="7504"/>
    <cellStyle name="Normal 2 2 6 30 2" xfId="7505"/>
    <cellStyle name="Normal 2 2 6 30 2 2" xfId="7506"/>
    <cellStyle name="Normal 2 2 6 30 2 2 2" xfId="37591"/>
    <cellStyle name="Normal 2 2 6 30 2 3" xfId="37592"/>
    <cellStyle name="Normal 2 2 6 30 3" xfId="7507"/>
    <cellStyle name="Normal 2 2 6 30 3 2" xfId="37593"/>
    <cellStyle name="Normal 2 2 6 30 4" xfId="37594"/>
    <cellStyle name="Normal 2 2 6 31" xfId="7508"/>
    <cellStyle name="Normal 2 2 6 31 2" xfId="7509"/>
    <cellStyle name="Normal 2 2 6 31 2 2" xfId="7510"/>
    <cellStyle name="Normal 2 2 6 31 2 2 2" xfId="37595"/>
    <cellStyle name="Normal 2 2 6 31 2 3" xfId="37596"/>
    <cellStyle name="Normal 2 2 6 31 3" xfId="7511"/>
    <cellStyle name="Normal 2 2 6 31 3 2" xfId="37597"/>
    <cellStyle name="Normal 2 2 6 31 4" xfId="37598"/>
    <cellStyle name="Normal 2 2 6 32" xfId="7512"/>
    <cellStyle name="Normal 2 2 6 32 2" xfId="7513"/>
    <cellStyle name="Normal 2 2 6 32 2 2" xfId="7514"/>
    <cellStyle name="Normal 2 2 6 32 2 2 2" xfId="37599"/>
    <cellStyle name="Normal 2 2 6 32 2 3" xfId="37600"/>
    <cellStyle name="Normal 2 2 6 32 3" xfId="7515"/>
    <cellStyle name="Normal 2 2 6 32 3 2" xfId="37601"/>
    <cellStyle name="Normal 2 2 6 32 4" xfId="37602"/>
    <cellStyle name="Normal 2 2 6 33" xfId="7516"/>
    <cellStyle name="Normal 2 2 6 33 2" xfId="7517"/>
    <cellStyle name="Normal 2 2 6 33 2 2" xfId="37603"/>
    <cellStyle name="Normal 2 2 6 33 3" xfId="37604"/>
    <cellStyle name="Normal 2 2 6 34" xfId="7518"/>
    <cellStyle name="Normal 2 2 6 34 2" xfId="37605"/>
    <cellStyle name="Normal 2 2 6 35" xfId="7519"/>
    <cellStyle name="Normal 2 2 6 35 2" xfId="37606"/>
    <cellStyle name="Normal 2 2 6 36" xfId="37607"/>
    <cellStyle name="Normal 2 2 6 4" xfId="7520"/>
    <cellStyle name="Normal 2 2 6 4 2" xfId="7521"/>
    <cellStyle name="Normal 2 2 6 4 2 2" xfId="7522"/>
    <cellStyle name="Normal 2 2 6 4 2 2 2" xfId="7523"/>
    <cellStyle name="Normal 2 2 6 4 2 2 2 2" xfId="37608"/>
    <cellStyle name="Normal 2 2 6 4 2 2 3" xfId="37609"/>
    <cellStyle name="Normal 2 2 6 4 2 3" xfId="7524"/>
    <cellStyle name="Normal 2 2 6 4 2 3 2" xfId="37610"/>
    <cellStyle name="Normal 2 2 6 4 2 4" xfId="37611"/>
    <cellStyle name="Normal 2 2 6 4 3" xfId="7525"/>
    <cellStyle name="Normal 2 2 6 4 3 2" xfId="7526"/>
    <cellStyle name="Normal 2 2 6 4 3 2 2" xfId="7527"/>
    <cellStyle name="Normal 2 2 6 4 3 2 2 2" xfId="37612"/>
    <cellStyle name="Normal 2 2 6 4 3 2 3" xfId="37613"/>
    <cellStyle name="Normal 2 2 6 4 3 3" xfId="7528"/>
    <cellStyle name="Normal 2 2 6 4 3 3 2" xfId="37614"/>
    <cellStyle name="Normal 2 2 6 4 3 4" xfId="37615"/>
    <cellStyle name="Normal 2 2 6 4 4" xfId="7529"/>
    <cellStyle name="Normal 2 2 6 4 4 2" xfId="7530"/>
    <cellStyle name="Normal 2 2 6 4 4 2 2" xfId="7531"/>
    <cellStyle name="Normal 2 2 6 4 4 2 2 2" xfId="37616"/>
    <cellStyle name="Normal 2 2 6 4 4 2 3" xfId="37617"/>
    <cellStyle name="Normal 2 2 6 4 4 3" xfId="7532"/>
    <cellStyle name="Normal 2 2 6 4 4 3 2" xfId="37618"/>
    <cellStyle name="Normal 2 2 6 4 4 4" xfId="37619"/>
    <cellStyle name="Normal 2 2 6 4 5" xfId="7533"/>
    <cellStyle name="Normal 2 2 6 4 5 2" xfId="7534"/>
    <cellStyle name="Normal 2 2 6 4 5 2 2" xfId="37620"/>
    <cellStyle name="Normal 2 2 6 4 5 3" xfId="37621"/>
    <cellStyle name="Normal 2 2 6 4 6" xfId="7535"/>
    <cellStyle name="Normal 2 2 6 4 6 2" xfId="37622"/>
    <cellStyle name="Normal 2 2 6 4 7" xfId="7536"/>
    <cellStyle name="Normal 2 2 6 4 7 2" xfId="37623"/>
    <cellStyle name="Normal 2 2 6 4 8" xfId="37624"/>
    <cellStyle name="Normal 2 2 6 5" xfId="7537"/>
    <cellStyle name="Normal 2 2 6 5 2" xfId="7538"/>
    <cellStyle name="Normal 2 2 6 5 2 2" xfId="7539"/>
    <cellStyle name="Normal 2 2 6 5 2 2 2" xfId="7540"/>
    <cellStyle name="Normal 2 2 6 5 2 2 2 2" xfId="37625"/>
    <cellStyle name="Normal 2 2 6 5 2 2 3" xfId="37626"/>
    <cellStyle name="Normal 2 2 6 5 2 3" xfId="7541"/>
    <cellStyle name="Normal 2 2 6 5 2 3 2" xfId="37627"/>
    <cellStyle name="Normal 2 2 6 5 2 4" xfId="37628"/>
    <cellStyle name="Normal 2 2 6 5 3" xfId="7542"/>
    <cellStyle name="Normal 2 2 6 5 3 2" xfId="7543"/>
    <cellStyle name="Normal 2 2 6 5 3 2 2" xfId="7544"/>
    <cellStyle name="Normal 2 2 6 5 3 2 2 2" xfId="37629"/>
    <cellStyle name="Normal 2 2 6 5 3 2 3" xfId="37630"/>
    <cellStyle name="Normal 2 2 6 5 3 3" xfId="7545"/>
    <cellStyle name="Normal 2 2 6 5 3 3 2" xfId="37631"/>
    <cellStyle name="Normal 2 2 6 5 3 4" xfId="37632"/>
    <cellStyle name="Normal 2 2 6 5 4" xfId="7546"/>
    <cellStyle name="Normal 2 2 6 5 4 2" xfId="7547"/>
    <cellStyle name="Normal 2 2 6 5 4 2 2" xfId="7548"/>
    <cellStyle name="Normal 2 2 6 5 4 2 2 2" xfId="37633"/>
    <cellStyle name="Normal 2 2 6 5 4 2 3" xfId="37634"/>
    <cellStyle name="Normal 2 2 6 5 4 3" xfId="7549"/>
    <cellStyle name="Normal 2 2 6 5 4 3 2" xfId="37635"/>
    <cellStyle name="Normal 2 2 6 5 4 4" xfId="37636"/>
    <cellStyle name="Normal 2 2 6 5 5" xfId="7550"/>
    <cellStyle name="Normal 2 2 6 5 5 2" xfId="7551"/>
    <cellStyle name="Normal 2 2 6 5 5 2 2" xfId="37637"/>
    <cellStyle name="Normal 2 2 6 5 5 3" xfId="37638"/>
    <cellStyle name="Normal 2 2 6 5 6" xfId="7552"/>
    <cellStyle name="Normal 2 2 6 5 6 2" xfId="37639"/>
    <cellStyle name="Normal 2 2 6 5 7" xfId="7553"/>
    <cellStyle name="Normal 2 2 6 5 7 2" xfId="37640"/>
    <cellStyle name="Normal 2 2 6 5 8" xfId="37641"/>
    <cellStyle name="Normal 2 2 6 6" xfId="7554"/>
    <cellStyle name="Normal 2 2 6 6 2" xfId="7555"/>
    <cellStyle name="Normal 2 2 6 6 2 2" xfId="7556"/>
    <cellStyle name="Normal 2 2 6 6 2 2 2" xfId="7557"/>
    <cellStyle name="Normal 2 2 6 6 2 2 2 2" xfId="37642"/>
    <cellStyle name="Normal 2 2 6 6 2 2 3" xfId="37643"/>
    <cellStyle name="Normal 2 2 6 6 2 3" xfId="7558"/>
    <cellStyle name="Normal 2 2 6 6 2 3 2" xfId="37644"/>
    <cellStyle name="Normal 2 2 6 6 2 4" xfId="37645"/>
    <cellStyle name="Normal 2 2 6 6 3" xfId="7559"/>
    <cellStyle name="Normal 2 2 6 6 3 2" xfId="7560"/>
    <cellStyle name="Normal 2 2 6 6 3 2 2" xfId="7561"/>
    <cellStyle name="Normal 2 2 6 6 3 2 2 2" xfId="37646"/>
    <cellStyle name="Normal 2 2 6 6 3 2 3" xfId="37647"/>
    <cellStyle name="Normal 2 2 6 6 3 3" xfId="7562"/>
    <cellStyle name="Normal 2 2 6 6 3 3 2" xfId="37648"/>
    <cellStyle name="Normal 2 2 6 6 3 4" xfId="37649"/>
    <cellStyle name="Normal 2 2 6 6 4" xfId="7563"/>
    <cellStyle name="Normal 2 2 6 6 4 2" xfId="7564"/>
    <cellStyle name="Normal 2 2 6 6 4 2 2" xfId="7565"/>
    <cellStyle name="Normal 2 2 6 6 4 2 2 2" xfId="37650"/>
    <cellStyle name="Normal 2 2 6 6 4 2 3" xfId="37651"/>
    <cellStyle name="Normal 2 2 6 6 4 3" xfId="7566"/>
    <cellStyle name="Normal 2 2 6 6 4 3 2" xfId="37652"/>
    <cellStyle name="Normal 2 2 6 6 4 4" xfId="37653"/>
    <cellStyle name="Normal 2 2 6 6 5" xfId="7567"/>
    <cellStyle name="Normal 2 2 6 6 5 2" xfId="7568"/>
    <cellStyle name="Normal 2 2 6 6 5 2 2" xfId="37654"/>
    <cellStyle name="Normal 2 2 6 6 5 3" xfId="37655"/>
    <cellStyle name="Normal 2 2 6 6 6" xfId="7569"/>
    <cellStyle name="Normal 2 2 6 6 6 2" xfId="37656"/>
    <cellStyle name="Normal 2 2 6 6 7" xfId="7570"/>
    <cellStyle name="Normal 2 2 6 6 7 2" xfId="37657"/>
    <cellStyle name="Normal 2 2 6 6 8" xfId="37658"/>
    <cellStyle name="Normal 2 2 6 7" xfId="7571"/>
    <cellStyle name="Normal 2 2 6 7 2" xfId="7572"/>
    <cellStyle name="Normal 2 2 6 7 2 2" xfId="7573"/>
    <cellStyle name="Normal 2 2 6 7 2 2 2" xfId="7574"/>
    <cellStyle name="Normal 2 2 6 7 2 2 2 2" xfId="37659"/>
    <cellStyle name="Normal 2 2 6 7 2 2 3" xfId="37660"/>
    <cellStyle name="Normal 2 2 6 7 2 3" xfId="7575"/>
    <cellStyle name="Normal 2 2 6 7 2 3 2" xfId="37661"/>
    <cellStyle name="Normal 2 2 6 7 2 4" xfId="37662"/>
    <cellStyle name="Normal 2 2 6 7 3" xfId="7576"/>
    <cellStyle name="Normal 2 2 6 7 3 2" xfId="7577"/>
    <cellStyle name="Normal 2 2 6 7 3 2 2" xfId="7578"/>
    <cellStyle name="Normal 2 2 6 7 3 2 2 2" xfId="37663"/>
    <cellStyle name="Normal 2 2 6 7 3 2 3" xfId="37664"/>
    <cellStyle name="Normal 2 2 6 7 3 3" xfId="7579"/>
    <cellStyle name="Normal 2 2 6 7 3 3 2" xfId="37665"/>
    <cellStyle name="Normal 2 2 6 7 3 4" xfId="37666"/>
    <cellStyle name="Normal 2 2 6 7 4" xfId="7580"/>
    <cellStyle name="Normal 2 2 6 7 4 2" xfId="7581"/>
    <cellStyle name="Normal 2 2 6 7 4 2 2" xfId="7582"/>
    <cellStyle name="Normal 2 2 6 7 4 2 2 2" xfId="37667"/>
    <cellStyle name="Normal 2 2 6 7 4 2 3" xfId="37668"/>
    <cellStyle name="Normal 2 2 6 7 4 3" xfId="7583"/>
    <cellStyle name="Normal 2 2 6 7 4 3 2" xfId="37669"/>
    <cellStyle name="Normal 2 2 6 7 4 4" xfId="37670"/>
    <cellStyle name="Normal 2 2 6 7 5" xfId="7584"/>
    <cellStyle name="Normal 2 2 6 7 5 2" xfId="7585"/>
    <cellStyle name="Normal 2 2 6 7 5 2 2" xfId="37671"/>
    <cellStyle name="Normal 2 2 6 7 5 3" xfId="37672"/>
    <cellStyle name="Normal 2 2 6 7 6" xfId="7586"/>
    <cellStyle name="Normal 2 2 6 7 6 2" xfId="37673"/>
    <cellStyle name="Normal 2 2 6 7 7" xfId="7587"/>
    <cellStyle name="Normal 2 2 6 7 7 2" xfId="37674"/>
    <cellStyle name="Normal 2 2 6 7 8" xfId="37675"/>
    <cellStyle name="Normal 2 2 6 8" xfId="7588"/>
    <cellStyle name="Normal 2 2 6 8 2" xfId="7589"/>
    <cellStyle name="Normal 2 2 6 8 2 2" xfId="7590"/>
    <cellStyle name="Normal 2 2 6 8 2 2 2" xfId="7591"/>
    <cellStyle name="Normal 2 2 6 8 2 2 2 2" xfId="37676"/>
    <cellStyle name="Normal 2 2 6 8 2 2 3" xfId="37677"/>
    <cellStyle name="Normal 2 2 6 8 2 3" xfId="7592"/>
    <cellStyle name="Normal 2 2 6 8 2 3 2" xfId="37678"/>
    <cellStyle name="Normal 2 2 6 8 2 4" xfId="37679"/>
    <cellStyle name="Normal 2 2 6 8 3" xfId="7593"/>
    <cellStyle name="Normal 2 2 6 8 3 2" xfId="7594"/>
    <cellStyle name="Normal 2 2 6 8 3 2 2" xfId="7595"/>
    <cellStyle name="Normal 2 2 6 8 3 2 2 2" xfId="37680"/>
    <cellStyle name="Normal 2 2 6 8 3 2 3" xfId="37681"/>
    <cellStyle name="Normal 2 2 6 8 3 3" xfId="7596"/>
    <cellStyle name="Normal 2 2 6 8 3 3 2" xfId="37682"/>
    <cellStyle name="Normal 2 2 6 8 3 4" xfId="37683"/>
    <cellStyle name="Normal 2 2 6 8 4" xfId="7597"/>
    <cellStyle name="Normal 2 2 6 8 4 2" xfId="7598"/>
    <cellStyle name="Normal 2 2 6 8 4 2 2" xfId="7599"/>
    <cellStyle name="Normal 2 2 6 8 4 2 2 2" xfId="37684"/>
    <cellStyle name="Normal 2 2 6 8 4 2 3" xfId="37685"/>
    <cellStyle name="Normal 2 2 6 8 4 3" xfId="7600"/>
    <cellStyle name="Normal 2 2 6 8 4 3 2" xfId="37686"/>
    <cellStyle name="Normal 2 2 6 8 4 4" xfId="37687"/>
    <cellStyle name="Normal 2 2 6 8 5" xfId="7601"/>
    <cellStyle name="Normal 2 2 6 8 5 2" xfId="7602"/>
    <cellStyle name="Normal 2 2 6 8 5 2 2" xfId="37688"/>
    <cellStyle name="Normal 2 2 6 8 5 3" xfId="37689"/>
    <cellStyle name="Normal 2 2 6 8 6" xfId="7603"/>
    <cellStyle name="Normal 2 2 6 8 6 2" xfId="37690"/>
    <cellStyle name="Normal 2 2 6 8 7" xfId="7604"/>
    <cellStyle name="Normal 2 2 6 8 7 2" xfId="37691"/>
    <cellStyle name="Normal 2 2 6 8 8" xfId="37692"/>
    <cellStyle name="Normal 2 2 6 9" xfId="7605"/>
    <cellStyle name="Normal 2 2 6 9 2" xfId="7606"/>
    <cellStyle name="Normal 2 2 6 9 2 2" xfId="7607"/>
    <cellStyle name="Normal 2 2 6 9 2 2 2" xfId="7608"/>
    <cellStyle name="Normal 2 2 6 9 2 2 2 2" xfId="37693"/>
    <cellStyle name="Normal 2 2 6 9 2 2 3" xfId="37694"/>
    <cellStyle name="Normal 2 2 6 9 2 3" xfId="7609"/>
    <cellStyle name="Normal 2 2 6 9 2 3 2" xfId="37695"/>
    <cellStyle name="Normal 2 2 6 9 2 4" xfId="37696"/>
    <cellStyle name="Normal 2 2 6 9 3" xfId="7610"/>
    <cellStyle name="Normal 2 2 6 9 3 2" xfId="7611"/>
    <cellStyle name="Normal 2 2 6 9 3 2 2" xfId="7612"/>
    <cellStyle name="Normal 2 2 6 9 3 2 2 2" xfId="37697"/>
    <cellStyle name="Normal 2 2 6 9 3 2 3" xfId="37698"/>
    <cellStyle name="Normal 2 2 6 9 3 3" xfId="7613"/>
    <cellStyle name="Normal 2 2 6 9 3 3 2" xfId="37699"/>
    <cellStyle name="Normal 2 2 6 9 3 4" xfId="37700"/>
    <cellStyle name="Normal 2 2 6 9 4" xfId="7614"/>
    <cellStyle name="Normal 2 2 6 9 4 2" xfId="7615"/>
    <cellStyle name="Normal 2 2 6 9 4 2 2" xfId="7616"/>
    <cellStyle name="Normal 2 2 6 9 4 2 2 2" xfId="37701"/>
    <cellStyle name="Normal 2 2 6 9 4 2 3" xfId="37702"/>
    <cellStyle name="Normal 2 2 6 9 4 3" xfId="7617"/>
    <cellStyle name="Normal 2 2 6 9 4 3 2" xfId="37703"/>
    <cellStyle name="Normal 2 2 6 9 4 4" xfId="37704"/>
    <cellStyle name="Normal 2 2 6 9 5" xfId="7618"/>
    <cellStyle name="Normal 2 2 6 9 5 2" xfId="7619"/>
    <cellStyle name="Normal 2 2 6 9 5 2 2" xfId="37705"/>
    <cellStyle name="Normal 2 2 6 9 5 3" xfId="37706"/>
    <cellStyle name="Normal 2 2 6 9 6" xfId="7620"/>
    <cellStyle name="Normal 2 2 6 9 6 2" xfId="37707"/>
    <cellStyle name="Normal 2 2 6 9 7" xfId="7621"/>
    <cellStyle name="Normal 2 2 6 9 7 2" xfId="37708"/>
    <cellStyle name="Normal 2 2 6 9 8" xfId="37709"/>
    <cellStyle name="Normal 2 2 7" xfId="7622"/>
    <cellStyle name="Normal 2 2 7 10" xfId="7623"/>
    <cellStyle name="Normal 2 2 7 10 2" xfId="7624"/>
    <cellStyle name="Normal 2 2 7 10 2 2" xfId="7625"/>
    <cellStyle name="Normal 2 2 7 10 2 2 2" xfId="7626"/>
    <cellStyle name="Normal 2 2 7 10 2 2 2 2" xfId="37710"/>
    <cellStyle name="Normal 2 2 7 10 2 2 3" xfId="37711"/>
    <cellStyle name="Normal 2 2 7 10 2 3" xfId="7627"/>
    <cellStyle name="Normal 2 2 7 10 2 3 2" xfId="37712"/>
    <cellStyle name="Normal 2 2 7 10 2 4" xfId="37713"/>
    <cellStyle name="Normal 2 2 7 10 3" xfId="7628"/>
    <cellStyle name="Normal 2 2 7 10 3 2" xfId="7629"/>
    <cellStyle name="Normal 2 2 7 10 3 2 2" xfId="7630"/>
    <cellStyle name="Normal 2 2 7 10 3 2 2 2" xfId="37714"/>
    <cellStyle name="Normal 2 2 7 10 3 2 3" xfId="37715"/>
    <cellStyle name="Normal 2 2 7 10 3 3" xfId="7631"/>
    <cellStyle name="Normal 2 2 7 10 3 3 2" xfId="37716"/>
    <cellStyle name="Normal 2 2 7 10 3 4" xfId="37717"/>
    <cellStyle name="Normal 2 2 7 10 4" xfId="7632"/>
    <cellStyle name="Normal 2 2 7 10 4 2" xfId="7633"/>
    <cellStyle name="Normal 2 2 7 10 4 2 2" xfId="7634"/>
    <cellStyle name="Normal 2 2 7 10 4 2 2 2" xfId="37718"/>
    <cellStyle name="Normal 2 2 7 10 4 2 3" xfId="37719"/>
    <cellStyle name="Normal 2 2 7 10 4 3" xfId="7635"/>
    <cellStyle name="Normal 2 2 7 10 4 3 2" xfId="37720"/>
    <cellStyle name="Normal 2 2 7 10 4 4" xfId="37721"/>
    <cellStyle name="Normal 2 2 7 10 5" xfId="7636"/>
    <cellStyle name="Normal 2 2 7 10 5 2" xfId="7637"/>
    <cellStyle name="Normal 2 2 7 10 5 2 2" xfId="37722"/>
    <cellStyle name="Normal 2 2 7 10 5 3" xfId="37723"/>
    <cellStyle name="Normal 2 2 7 10 6" xfId="7638"/>
    <cellStyle name="Normal 2 2 7 10 6 2" xfId="37724"/>
    <cellStyle name="Normal 2 2 7 10 7" xfId="7639"/>
    <cellStyle name="Normal 2 2 7 10 7 2" xfId="37725"/>
    <cellStyle name="Normal 2 2 7 10 8" xfId="37726"/>
    <cellStyle name="Normal 2 2 7 11" xfId="7640"/>
    <cellStyle name="Normal 2 2 7 11 2" xfId="7641"/>
    <cellStyle name="Normal 2 2 7 11 2 2" xfId="7642"/>
    <cellStyle name="Normal 2 2 7 11 2 2 2" xfId="7643"/>
    <cellStyle name="Normal 2 2 7 11 2 2 2 2" xfId="37727"/>
    <cellStyle name="Normal 2 2 7 11 2 2 3" xfId="37728"/>
    <cellStyle name="Normal 2 2 7 11 2 3" xfId="7644"/>
    <cellStyle name="Normal 2 2 7 11 2 3 2" xfId="37729"/>
    <cellStyle name="Normal 2 2 7 11 2 4" xfId="37730"/>
    <cellStyle name="Normal 2 2 7 11 3" xfId="7645"/>
    <cellStyle name="Normal 2 2 7 11 3 2" xfId="7646"/>
    <cellStyle name="Normal 2 2 7 11 3 2 2" xfId="7647"/>
    <cellStyle name="Normal 2 2 7 11 3 2 2 2" xfId="37731"/>
    <cellStyle name="Normal 2 2 7 11 3 2 3" xfId="37732"/>
    <cellStyle name="Normal 2 2 7 11 3 3" xfId="7648"/>
    <cellStyle name="Normal 2 2 7 11 3 3 2" xfId="37733"/>
    <cellStyle name="Normal 2 2 7 11 3 4" xfId="37734"/>
    <cellStyle name="Normal 2 2 7 11 4" xfId="7649"/>
    <cellStyle name="Normal 2 2 7 11 4 2" xfId="7650"/>
    <cellStyle name="Normal 2 2 7 11 4 2 2" xfId="7651"/>
    <cellStyle name="Normal 2 2 7 11 4 2 2 2" xfId="37735"/>
    <cellStyle name="Normal 2 2 7 11 4 2 3" xfId="37736"/>
    <cellStyle name="Normal 2 2 7 11 4 3" xfId="7652"/>
    <cellStyle name="Normal 2 2 7 11 4 3 2" xfId="37737"/>
    <cellStyle name="Normal 2 2 7 11 4 4" xfId="37738"/>
    <cellStyle name="Normal 2 2 7 11 5" xfId="7653"/>
    <cellStyle name="Normal 2 2 7 11 5 2" xfId="7654"/>
    <cellStyle name="Normal 2 2 7 11 5 2 2" xfId="37739"/>
    <cellStyle name="Normal 2 2 7 11 5 3" xfId="37740"/>
    <cellStyle name="Normal 2 2 7 11 6" xfId="7655"/>
    <cellStyle name="Normal 2 2 7 11 6 2" xfId="37741"/>
    <cellStyle name="Normal 2 2 7 11 7" xfId="7656"/>
    <cellStyle name="Normal 2 2 7 11 7 2" xfId="37742"/>
    <cellStyle name="Normal 2 2 7 11 8" xfId="37743"/>
    <cellStyle name="Normal 2 2 7 12" xfId="7657"/>
    <cellStyle name="Normal 2 2 7 12 2" xfId="7658"/>
    <cellStyle name="Normal 2 2 7 12 2 2" xfId="7659"/>
    <cellStyle name="Normal 2 2 7 12 2 2 2" xfId="7660"/>
    <cellStyle name="Normal 2 2 7 12 2 2 2 2" xfId="37744"/>
    <cellStyle name="Normal 2 2 7 12 2 2 3" xfId="37745"/>
    <cellStyle name="Normal 2 2 7 12 2 3" xfId="7661"/>
    <cellStyle name="Normal 2 2 7 12 2 3 2" xfId="37746"/>
    <cellStyle name="Normal 2 2 7 12 2 4" xfId="37747"/>
    <cellStyle name="Normal 2 2 7 12 3" xfId="7662"/>
    <cellStyle name="Normal 2 2 7 12 3 2" xfId="7663"/>
    <cellStyle name="Normal 2 2 7 12 3 2 2" xfId="7664"/>
    <cellStyle name="Normal 2 2 7 12 3 2 2 2" xfId="37748"/>
    <cellStyle name="Normal 2 2 7 12 3 2 3" xfId="37749"/>
    <cellStyle name="Normal 2 2 7 12 3 3" xfId="7665"/>
    <cellStyle name="Normal 2 2 7 12 3 3 2" xfId="37750"/>
    <cellStyle name="Normal 2 2 7 12 3 4" xfId="37751"/>
    <cellStyle name="Normal 2 2 7 12 4" xfId="7666"/>
    <cellStyle name="Normal 2 2 7 12 4 2" xfId="7667"/>
    <cellStyle name="Normal 2 2 7 12 4 2 2" xfId="7668"/>
    <cellStyle name="Normal 2 2 7 12 4 2 2 2" xfId="37752"/>
    <cellStyle name="Normal 2 2 7 12 4 2 3" xfId="37753"/>
    <cellStyle name="Normal 2 2 7 12 4 3" xfId="7669"/>
    <cellStyle name="Normal 2 2 7 12 4 3 2" xfId="37754"/>
    <cellStyle name="Normal 2 2 7 12 4 4" xfId="37755"/>
    <cellStyle name="Normal 2 2 7 12 5" xfId="7670"/>
    <cellStyle name="Normal 2 2 7 12 5 2" xfId="7671"/>
    <cellStyle name="Normal 2 2 7 12 5 2 2" xfId="37756"/>
    <cellStyle name="Normal 2 2 7 12 5 3" xfId="37757"/>
    <cellStyle name="Normal 2 2 7 12 6" xfId="7672"/>
    <cellStyle name="Normal 2 2 7 12 6 2" xfId="37758"/>
    <cellStyle name="Normal 2 2 7 12 7" xfId="7673"/>
    <cellStyle name="Normal 2 2 7 12 7 2" xfId="37759"/>
    <cellStyle name="Normal 2 2 7 12 8" xfId="37760"/>
    <cellStyle name="Normal 2 2 7 13" xfId="7674"/>
    <cellStyle name="Normal 2 2 7 13 2" xfId="7675"/>
    <cellStyle name="Normal 2 2 7 13 2 2" xfId="7676"/>
    <cellStyle name="Normal 2 2 7 13 2 2 2" xfId="7677"/>
    <cellStyle name="Normal 2 2 7 13 2 2 2 2" xfId="37761"/>
    <cellStyle name="Normal 2 2 7 13 2 2 3" xfId="37762"/>
    <cellStyle name="Normal 2 2 7 13 2 3" xfId="7678"/>
    <cellStyle name="Normal 2 2 7 13 2 3 2" xfId="37763"/>
    <cellStyle name="Normal 2 2 7 13 2 4" xfId="37764"/>
    <cellStyle name="Normal 2 2 7 13 3" xfId="7679"/>
    <cellStyle name="Normal 2 2 7 13 3 2" xfId="7680"/>
    <cellStyle name="Normal 2 2 7 13 3 2 2" xfId="7681"/>
    <cellStyle name="Normal 2 2 7 13 3 2 2 2" xfId="37765"/>
    <cellStyle name="Normal 2 2 7 13 3 2 3" xfId="37766"/>
    <cellStyle name="Normal 2 2 7 13 3 3" xfId="7682"/>
    <cellStyle name="Normal 2 2 7 13 3 3 2" xfId="37767"/>
    <cellStyle name="Normal 2 2 7 13 3 4" xfId="37768"/>
    <cellStyle name="Normal 2 2 7 13 4" xfId="7683"/>
    <cellStyle name="Normal 2 2 7 13 4 2" xfId="7684"/>
    <cellStyle name="Normal 2 2 7 13 4 2 2" xfId="7685"/>
    <cellStyle name="Normal 2 2 7 13 4 2 2 2" xfId="37769"/>
    <cellStyle name="Normal 2 2 7 13 4 2 3" xfId="37770"/>
    <cellStyle name="Normal 2 2 7 13 4 3" xfId="7686"/>
    <cellStyle name="Normal 2 2 7 13 4 3 2" xfId="37771"/>
    <cellStyle name="Normal 2 2 7 13 4 4" xfId="37772"/>
    <cellStyle name="Normal 2 2 7 13 5" xfId="7687"/>
    <cellStyle name="Normal 2 2 7 13 5 2" xfId="7688"/>
    <cellStyle name="Normal 2 2 7 13 5 2 2" xfId="37773"/>
    <cellStyle name="Normal 2 2 7 13 5 3" xfId="37774"/>
    <cellStyle name="Normal 2 2 7 13 6" xfId="7689"/>
    <cellStyle name="Normal 2 2 7 13 6 2" xfId="37775"/>
    <cellStyle name="Normal 2 2 7 13 7" xfId="7690"/>
    <cellStyle name="Normal 2 2 7 13 7 2" xfId="37776"/>
    <cellStyle name="Normal 2 2 7 13 8" xfId="37777"/>
    <cellStyle name="Normal 2 2 7 14" xfId="7691"/>
    <cellStyle name="Normal 2 2 7 14 2" xfId="7692"/>
    <cellStyle name="Normal 2 2 7 14 2 2" xfId="7693"/>
    <cellStyle name="Normal 2 2 7 14 2 2 2" xfId="7694"/>
    <cellStyle name="Normal 2 2 7 14 2 2 2 2" xfId="37778"/>
    <cellStyle name="Normal 2 2 7 14 2 2 3" xfId="37779"/>
    <cellStyle name="Normal 2 2 7 14 2 3" xfId="7695"/>
    <cellStyle name="Normal 2 2 7 14 2 3 2" xfId="37780"/>
    <cellStyle name="Normal 2 2 7 14 2 4" xfId="37781"/>
    <cellStyle name="Normal 2 2 7 14 3" xfId="7696"/>
    <cellStyle name="Normal 2 2 7 14 3 2" xfId="7697"/>
    <cellStyle name="Normal 2 2 7 14 3 2 2" xfId="7698"/>
    <cellStyle name="Normal 2 2 7 14 3 2 2 2" xfId="37782"/>
    <cellStyle name="Normal 2 2 7 14 3 2 3" xfId="37783"/>
    <cellStyle name="Normal 2 2 7 14 3 3" xfId="7699"/>
    <cellStyle name="Normal 2 2 7 14 3 3 2" xfId="37784"/>
    <cellStyle name="Normal 2 2 7 14 3 4" xfId="37785"/>
    <cellStyle name="Normal 2 2 7 14 4" xfId="7700"/>
    <cellStyle name="Normal 2 2 7 14 4 2" xfId="7701"/>
    <cellStyle name="Normal 2 2 7 14 4 2 2" xfId="7702"/>
    <cellStyle name="Normal 2 2 7 14 4 2 2 2" xfId="37786"/>
    <cellStyle name="Normal 2 2 7 14 4 2 3" xfId="37787"/>
    <cellStyle name="Normal 2 2 7 14 4 3" xfId="7703"/>
    <cellStyle name="Normal 2 2 7 14 4 3 2" xfId="37788"/>
    <cellStyle name="Normal 2 2 7 14 4 4" xfId="37789"/>
    <cellStyle name="Normal 2 2 7 14 5" xfId="7704"/>
    <cellStyle name="Normal 2 2 7 14 5 2" xfId="7705"/>
    <cellStyle name="Normal 2 2 7 14 5 2 2" xfId="37790"/>
    <cellStyle name="Normal 2 2 7 14 5 3" xfId="37791"/>
    <cellStyle name="Normal 2 2 7 14 6" xfId="7706"/>
    <cellStyle name="Normal 2 2 7 14 6 2" xfId="37792"/>
    <cellStyle name="Normal 2 2 7 14 7" xfId="7707"/>
    <cellStyle name="Normal 2 2 7 14 7 2" xfId="37793"/>
    <cellStyle name="Normal 2 2 7 14 8" xfId="37794"/>
    <cellStyle name="Normal 2 2 7 15" xfId="7708"/>
    <cellStyle name="Normal 2 2 7 15 2" xfId="7709"/>
    <cellStyle name="Normal 2 2 7 15 2 2" xfId="7710"/>
    <cellStyle name="Normal 2 2 7 15 2 2 2" xfId="7711"/>
    <cellStyle name="Normal 2 2 7 15 2 2 2 2" xfId="37795"/>
    <cellStyle name="Normal 2 2 7 15 2 2 3" xfId="37796"/>
    <cellStyle name="Normal 2 2 7 15 2 3" xfId="7712"/>
    <cellStyle name="Normal 2 2 7 15 2 3 2" xfId="37797"/>
    <cellStyle name="Normal 2 2 7 15 2 4" xfId="37798"/>
    <cellStyle name="Normal 2 2 7 15 3" xfId="7713"/>
    <cellStyle name="Normal 2 2 7 15 3 2" xfId="7714"/>
    <cellStyle name="Normal 2 2 7 15 3 2 2" xfId="7715"/>
    <cellStyle name="Normal 2 2 7 15 3 2 2 2" xfId="37799"/>
    <cellStyle name="Normal 2 2 7 15 3 2 3" xfId="37800"/>
    <cellStyle name="Normal 2 2 7 15 3 3" xfId="7716"/>
    <cellStyle name="Normal 2 2 7 15 3 3 2" xfId="37801"/>
    <cellStyle name="Normal 2 2 7 15 3 4" xfId="37802"/>
    <cellStyle name="Normal 2 2 7 15 4" xfId="7717"/>
    <cellStyle name="Normal 2 2 7 15 4 2" xfId="7718"/>
    <cellStyle name="Normal 2 2 7 15 4 2 2" xfId="7719"/>
    <cellStyle name="Normal 2 2 7 15 4 2 2 2" xfId="37803"/>
    <cellStyle name="Normal 2 2 7 15 4 2 3" xfId="37804"/>
    <cellStyle name="Normal 2 2 7 15 4 3" xfId="7720"/>
    <cellStyle name="Normal 2 2 7 15 4 3 2" xfId="37805"/>
    <cellStyle name="Normal 2 2 7 15 4 4" xfId="37806"/>
    <cellStyle name="Normal 2 2 7 15 5" xfId="7721"/>
    <cellStyle name="Normal 2 2 7 15 5 2" xfId="7722"/>
    <cellStyle name="Normal 2 2 7 15 5 2 2" xfId="37807"/>
    <cellStyle name="Normal 2 2 7 15 5 3" xfId="37808"/>
    <cellStyle name="Normal 2 2 7 15 6" xfId="7723"/>
    <cellStyle name="Normal 2 2 7 15 6 2" xfId="37809"/>
    <cellStyle name="Normal 2 2 7 15 7" xfId="7724"/>
    <cellStyle name="Normal 2 2 7 15 7 2" xfId="37810"/>
    <cellStyle name="Normal 2 2 7 15 8" xfId="37811"/>
    <cellStyle name="Normal 2 2 7 16" xfId="7725"/>
    <cellStyle name="Normal 2 2 7 16 2" xfId="7726"/>
    <cellStyle name="Normal 2 2 7 16 2 2" xfId="7727"/>
    <cellStyle name="Normal 2 2 7 16 2 2 2" xfId="7728"/>
    <cellStyle name="Normal 2 2 7 16 2 2 2 2" xfId="37812"/>
    <cellStyle name="Normal 2 2 7 16 2 2 3" xfId="37813"/>
    <cellStyle name="Normal 2 2 7 16 2 3" xfId="7729"/>
    <cellStyle name="Normal 2 2 7 16 2 3 2" xfId="37814"/>
    <cellStyle name="Normal 2 2 7 16 2 4" xfId="37815"/>
    <cellStyle name="Normal 2 2 7 16 3" xfId="7730"/>
    <cellStyle name="Normal 2 2 7 16 3 2" xfId="7731"/>
    <cellStyle name="Normal 2 2 7 16 3 2 2" xfId="7732"/>
    <cellStyle name="Normal 2 2 7 16 3 2 2 2" xfId="37816"/>
    <cellStyle name="Normal 2 2 7 16 3 2 3" xfId="37817"/>
    <cellStyle name="Normal 2 2 7 16 3 3" xfId="7733"/>
    <cellStyle name="Normal 2 2 7 16 3 3 2" xfId="37818"/>
    <cellStyle name="Normal 2 2 7 16 3 4" xfId="37819"/>
    <cellStyle name="Normal 2 2 7 16 4" xfId="7734"/>
    <cellStyle name="Normal 2 2 7 16 4 2" xfId="7735"/>
    <cellStyle name="Normal 2 2 7 16 4 2 2" xfId="7736"/>
    <cellStyle name="Normal 2 2 7 16 4 2 2 2" xfId="37820"/>
    <cellStyle name="Normal 2 2 7 16 4 2 3" xfId="37821"/>
    <cellStyle name="Normal 2 2 7 16 4 3" xfId="7737"/>
    <cellStyle name="Normal 2 2 7 16 4 3 2" xfId="37822"/>
    <cellStyle name="Normal 2 2 7 16 4 4" xfId="37823"/>
    <cellStyle name="Normal 2 2 7 16 5" xfId="7738"/>
    <cellStyle name="Normal 2 2 7 16 5 2" xfId="7739"/>
    <cellStyle name="Normal 2 2 7 16 5 2 2" xfId="37824"/>
    <cellStyle name="Normal 2 2 7 16 5 3" xfId="37825"/>
    <cellStyle name="Normal 2 2 7 16 6" xfId="7740"/>
    <cellStyle name="Normal 2 2 7 16 6 2" xfId="37826"/>
    <cellStyle name="Normal 2 2 7 16 7" xfId="7741"/>
    <cellStyle name="Normal 2 2 7 16 7 2" xfId="37827"/>
    <cellStyle name="Normal 2 2 7 16 8" xfId="37828"/>
    <cellStyle name="Normal 2 2 7 17" xfId="7742"/>
    <cellStyle name="Normal 2 2 7 17 2" xfId="7743"/>
    <cellStyle name="Normal 2 2 7 17 2 2" xfId="7744"/>
    <cellStyle name="Normal 2 2 7 17 2 2 2" xfId="7745"/>
    <cellStyle name="Normal 2 2 7 17 2 2 2 2" xfId="37829"/>
    <cellStyle name="Normal 2 2 7 17 2 2 3" xfId="37830"/>
    <cellStyle name="Normal 2 2 7 17 2 3" xfId="7746"/>
    <cellStyle name="Normal 2 2 7 17 2 3 2" xfId="37831"/>
    <cellStyle name="Normal 2 2 7 17 2 4" xfId="37832"/>
    <cellStyle name="Normal 2 2 7 17 3" xfId="7747"/>
    <cellStyle name="Normal 2 2 7 17 3 2" xfId="7748"/>
    <cellStyle name="Normal 2 2 7 17 3 2 2" xfId="7749"/>
    <cellStyle name="Normal 2 2 7 17 3 2 2 2" xfId="37833"/>
    <cellStyle name="Normal 2 2 7 17 3 2 3" xfId="37834"/>
    <cellStyle name="Normal 2 2 7 17 3 3" xfId="7750"/>
    <cellStyle name="Normal 2 2 7 17 3 3 2" xfId="37835"/>
    <cellStyle name="Normal 2 2 7 17 3 4" xfId="37836"/>
    <cellStyle name="Normal 2 2 7 17 4" xfId="7751"/>
    <cellStyle name="Normal 2 2 7 17 4 2" xfId="7752"/>
    <cellStyle name="Normal 2 2 7 17 4 2 2" xfId="7753"/>
    <cellStyle name="Normal 2 2 7 17 4 2 2 2" xfId="37837"/>
    <cellStyle name="Normal 2 2 7 17 4 2 3" xfId="37838"/>
    <cellStyle name="Normal 2 2 7 17 4 3" xfId="7754"/>
    <cellStyle name="Normal 2 2 7 17 4 3 2" xfId="37839"/>
    <cellStyle name="Normal 2 2 7 17 4 4" xfId="37840"/>
    <cellStyle name="Normal 2 2 7 17 5" xfId="7755"/>
    <cellStyle name="Normal 2 2 7 17 5 2" xfId="7756"/>
    <cellStyle name="Normal 2 2 7 17 5 2 2" xfId="37841"/>
    <cellStyle name="Normal 2 2 7 17 5 3" xfId="37842"/>
    <cellStyle name="Normal 2 2 7 17 6" xfId="7757"/>
    <cellStyle name="Normal 2 2 7 17 6 2" xfId="37843"/>
    <cellStyle name="Normal 2 2 7 17 7" xfId="7758"/>
    <cellStyle name="Normal 2 2 7 17 7 2" xfId="37844"/>
    <cellStyle name="Normal 2 2 7 17 8" xfId="37845"/>
    <cellStyle name="Normal 2 2 7 18" xfId="7759"/>
    <cellStyle name="Normal 2 2 7 18 2" xfId="7760"/>
    <cellStyle name="Normal 2 2 7 18 2 2" xfId="7761"/>
    <cellStyle name="Normal 2 2 7 18 2 2 2" xfId="7762"/>
    <cellStyle name="Normal 2 2 7 18 2 2 2 2" xfId="37846"/>
    <cellStyle name="Normal 2 2 7 18 2 2 3" xfId="37847"/>
    <cellStyle name="Normal 2 2 7 18 2 3" xfId="7763"/>
    <cellStyle name="Normal 2 2 7 18 2 3 2" xfId="37848"/>
    <cellStyle name="Normal 2 2 7 18 2 4" xfId="37849"/>
    <cellStyle name="Normal 2 2 7 18 3" xfId="7764"/>
    <cellStyle name="Normal 2 2 7 18 3 2" xfId="7765"/>
    <cellStyle name="Normal 2 2 7 18 3 2 2" xfId="7766"/>
    <cellStyle name="Normal 2 2 7 18 3 2 2 2" xfId="37850"/>
    <cellStyle name="Normal 2 2 7 18 3 2 3" xfId="37851"/>
    <cellStyle name="Normal 2 2 7 18 3 3" xfId="7767"/>
    <cellStyle name="Normal 2 2 7 18 3 3 2" xfId="37852"/>
    <cellStyle name="Normal 2 2 7 18 3 4" xfId="37853"/>
    <cellStyle name="Normal 2 2 7 18 4" xfId="7768"/>
    <cellStyle name="Normal 2 2 7 18 4 2" xfId="7769"/>
    <cellStyle name="Normal 2 2 7 18 4 2 2" xfId="7770"/>
    <cellStyle name="Normal 2 2 7 18 4 2 2 2" xfId="37854"/>
    <cellStyle name="Normal 2 2 7 18 4 2 3" xfId="37855"/>
    <cellStyle name="Normal 2 2 7 18 4 3" xfId="7771"/>
    <cellStyle name="Normal 2 2 7 18 4 3 2" xfId="37856"/>
    <cellStyle name="Normal 2 2 7 18 4 4" xfId="37857"/>
    <cellStyle name="Normal 2 2 7 18 5" xfId="7772"/>
    <cellStyle name="Normal 2 2 7 18 5 2" xfId="7773"/>
    <cellStyle name="Normal 2 2 7 18 5 2 2" xfId="37858"/>
    <cellStyle name="Normal 2 2 7 18 5 3" xfId="37859"/>
    <cellStyle name="Normal 2 2 7 18 6" xfId="7774"/>
    <cellStyle name="Normal 2 2 7 18 6 2" xfId="37860"/>
    <cellStyle name="Normal 2 2 7 18 7" xfId="7775"/>
    <cellStyle name="Normal 2 2 7 18 7 2" xfId="37861"/>
    <cellStyle name="Normal 2 2 7 18 8" xfId="37862"/>
    <cellStyle name="Normal 2 2 7 19" xfId="7776"/>
    <cellStyle name="Normal 2 2 7 19 2" xfId="7777"/>
    <cellStyle name="Normal 2 2 7 19 2 2" xfId="7778"/>
    <cellStyle name="Normal 2 2 7 19 2 2 2" xfId="7779"/>
    <cellStyle name="Normal 2 2 7 19 2 2 2 2" xfId="37863"/>
    <cellStyle name="Normal 2 2 7 19 2 2 3" xfId="37864"/>
    <cellStyle name="Normal 2 2 7 19 2 3" xfId="7780"/>
    <cellStyle name="Normal 2 2 7 19 2 3 2" xfId="37865"/>
    <cellStyle name="Normal 2 2 7 19 2 4" xfId="37866"/>
    <cellStyle name="Normal 2 2 7 19 3" xfId="7781"/>
    <cellStyle name="Normal 2 2 7 19 3 2" xfId="7782"/>
    <cellStyle name="Normal 2 2 7 19 3 2 2" xfId="7783"/>
    <cellStyle name="Normal 2 2 7 19 3 2 2 2" xfId="37867"/>
    <cellStyle name="Normal 2 2 7 19 3 2 3" xfId="37868"/>
    <cellStyle name="Normal 2 2 7 19 3 3" xfId="7784"/>
    <cellStyle name="Normal 2 2 7 19 3 3 2" xfId="37869"/>
    <cellStyle name="Normal 2 2 7 19 3 4" xfId="37870"/>
    <cellStyle name="Normal 2 2 7 19 4" xfId="7785"/>
    <cellStyle name="Normal 2 2 7 19 4 2" xfId="7786"/>
    <cellStyle name="Normal 2 2 7 19 4 2 2" xfId="7787"/>
    <cellStyle name="Normal 2 2 7 19 4 2 2 2" xfId="37871"/>
    <cellStyle name="Normal 2 2 7 19 4 2 3" xfId="37872"/>
    <cellStyle name="Normal 2 2 7 19 4 3" xfId="7788"/>
    <cellStyle name="Normal 2 2 7 19 4 3 2" xfId="37873"/>
    <cellStyle name="Normal 2 2 7 19 4 4" xfId="37874"/>
    <cellStyle name="Normal 2 2 7 19 5" xfId="7789"/>
    <cellStyle name="Normal 2 2 7 19 5 2" xfId="7790"/>
    <cellStyle name="Normal 2 2 7 19 5 2 2" xfId="37875"/>
    <cellStyle name="Normal 2 2 7 19 5 3" xfId="37876"/>
    <cellStyle name="Normal 2 2 7 19 6" xfId="7791"/>
    <cellStyle name="Normal 2 2 7 19 6 2" xfId="37877"/>
    <cellStyle name="Normal 2 2 7 19 7" xfId="7792"/>
    <cellStyle name="Normal 2 2 7 19 7 2" xfId="37878"/>
    <cellStyle name="Normal 2 2 7 19 8" xfId="37879"/>
    <cellStyle name="Normal 2 2 7 2" xfId="7793"/>
    <cellStyle name="Normal 2 2 7 2 2" xfId="7794"/>
    <cellStyle name="Normal 2 2 7 2 2 2" xfId="7795"/>
    <cellStyle name="Normal 2 2 7 2 2 2 2" xfId="7796"/>
    <cellStyle name="Normal 2 2 7 2 2 2 2 2" xfId="37880"/>
    <cellStyle name="Normal 2 2 7 2 2 2 3" xfId="37881"/>
    <cellStyle name="Normal 2 2 7 2 2 3" xfId="7797"/>
    <cellStyle name="Normal 2 2 7 2 2 3 2" xfId="37882"/>
    <cellStyle name="Normal 2 2 7 2 2 4" xfId="37883"/>
    <cellStyle name="Normal 2 2 7 2 3" xfId="7798"/>
    <cellStyle name="Normal 2 2 7 2 3 2" xfId="7799"/>
    <cellStyle name="Normal 2 2 7 2 3 2 2" xfId="7800"/>
    <cellStyle name="Normal 2 2 7 2 3 2 2 2" xfId="37884"/>
    <cellStyle name="Normal 2 2 7 2 3 2 3" xfId="37885"/>
    <cellStyle name="Normal 2 2 7 2 3 3" xfId="7801"/>
    <cellStyle name="Normal 2 2 7 2 3 3 2" xfId="37886"/>
    <cellStyle name="Normal 2 2 7 2 3 4" xfId="37887"/>
    <cellStyle name="Normal 2 2 7 2 4" xfId="7802"/>
    <cellStyle name="Normal 2 2 7 2 4 2" xfId="7803"/>
    <cellStyle name="Normal 2 2 7 2 4 2 2" xfId="7804"/>
    <cellStyle name="Normal 2 2 7 2 4 2 2 2" xfId="37888"/>
    <cellStyle name="Normal 2 2 7 2 4 2 3" xfId="37889"/>
    <cellStyle name="Normal 2 2 7 2 4 3" xfId="7805"/>
    <cellStyle name="Normal 2 2 7 2 4 3 2" xfId="37890"/>
    <cellStyle name="Normal 2 2 7 2 4 4" xfId="37891"/>
    <cellStyle name="Normal 2 2 7 2 5" xfId="7806"/>
    <cellStyle name="Normal 2 2 7 2 5 2" xfId="7807"/>
    <cellStyle name="Normal 2 2 7 2 5 2 2" xfId="37892"/>
    <cellStyle name="Normal 2 2 7 2 5 3" xfId="37893"/>
    <cellStyle name="Normal 2 2 7 2 6" xfId="7808"/>
    <cellStyle name="Normal 2 2 7 2 6 2" xfId="37894"/>
    <cellStyle name="Normal 2 2 7 2 7" xfId="7809"/>
    <cellStyle name="Normal 2 2 7 2 7 2" xfId="37895"/>
    <cellStyle name="Normal 2 2 7 2 8" xfId="37896"/>
    <cellStyle name="Normal 2 2 7 20" xfId="7810"/>
    <cellStyle name="Normal 2 2 7 20 2" xfId="7811"/>
    <cellStyle name="Normal 2 2 7 20 2 2" xfId="7812"/>
    <cellStyle name="Normal 2 2 7 20 2 2 2" xfId="7813"/>
    <cellStyle name="Normal 2 2 7 20 2 2 2 2" xfId="37897"/>
    <cellStyle name="Normal 2 2 7 20 2 2 3" xfId="37898"/>
    <cellStyle name="Normal 2 2 7 20 2 3" xfId="7814"/>
    <cellStyle name="Normal 2 2 7 20 2 3 2" xfId="37899"/>
    <cellStyle name="Normal 2 2 7 20 2 4" xfId="37900"/>
    <cellStyle name="Normal 2 2 7 20 3" xfId="7815"/>
    <cellStyle name="Normal 2 2 7 20 3 2" xfId="7816"/>
    <cellStyle name="Normal 2 2 7 20 3 2 2" xfId="7817"/>
    <cellStyle name="Normal 2 2 7 20 3 2 2 2" xfId="37901"/>
    <cellStyle name="Normal 2 2 7 20 3 2 3" xfId="37902"/>
    <cellStyle name="Normal 2 2 7 20 3 3" xfId="7818"/>
    <cellStyle name="Normal 2 2 7 20 3 3 2" xfId="37903"/>
    <cellStyle name="Normal 2 2 7 20 3 4" xfId="37904"/>
    <cellStyle name="Normal 2 2 7 20 4" xfId="7819"/>
    <cellStyle name="Normal 2 2 7 20 4 2" xfId="7820"/>
    <cellStyle name="Normal 2 2 7 20 4 2 2" xfId="7821"/>
    <cellStyle name="Normal 2 2 7 20 4 2 2 2" xfId="37905"/>
    <cellStyle name="Normal 2 2 7 20 4 2 3" xfId="37906"/>
    <cellStyle name="Normal 2 2 7 20 4 3" xfId="7822"/>
    <cellStyle name="Normal 2 2 7 20 4 3 2" xfId="37907"/>
    <cellStyle name="Normal 2 2 7 20 4 4" xfId="37908"/>
    <cellStyle name="Normal 2 2 7 20 5" xfId="7823"/>
    <cellStyle name="Normal 2 2 7 20 5 2" xfId="7824"/>
    <cellStyle name="Normal 2 2 7 20 5 2 2" xfId="37909"/>
    <cellStyle name="Normal 2 2 7 20 5 3" xfId="37910"/>
    <cellStyle name="Normal 2 2 7 20 6" xfId="7825"/>
    <cellStyle name="Normal 2 2 7 20 6 2" xfId="37911"/>
    <cellStyle name="Normal 2 2 7 20 7" xfId="7826"/>
    <cellStyle name="Normal 2 2 7 20 7 2" xfId="37912"/>
    <cellStyle name="Normal 2 2 7 20 8" xfId="37913"/>
    <cellStyle name="Normal 2 2 7 21" xfId="7827"/>
    <cellStyle name="Normal 2 2 7 21 2" xfId="7828"/>
    <cellStyle name="Normal 2 2 7 21 2 2" xfId="7829"/>
    <cellStyle name="Normal 2 2 7 21 2 2 2" xfId="7830"/>
    <cellStyle name="Normal 2 2 7 21 2 2 2 2" xfId="37914"/>
    <cellStyle name="Normal 2 2 7 21 2 2 3" xfId="37915"/>
    <cellStyle name="Normal 2 2 7 21 2 3" xfId="7831"/>
    <cellStyle name="Normal 2 2 7 21 2 3 2" xfId="37916"/>
    <cellStyle name="Normal 2 2 7 21 2 4" xfId="37917"/>
    <cellStyle name="Normal 2 2 7 21 3" xfId="7832"/>
    <cellStyle name="Normal 2 2 7 21 3 2" xfId="7833"/>
    <cellStyle name="Normal 2 2 7 21 3 2 2" xfId="7834"/>
    <cellStyle name="Normal 2 2 7 21 3 2 2 2" xfId="37918"/>
    <cellStyle name="Normal 2 2 7 21 3 2 3" xfId="37919"/>
    <cellStyle name="Normal 2 2 7 21 3 3" xfId="7835"/>
    <cellStyle name="Normal 2 2 7 21 3 3 2" xfId="37920"/>
    <cellStyle name="Normal 2 2 7 21 3 4" xfId="37921"/>
    <cellStyle name="Normal 2 2 7 21 4" xfId="7836"/>
    <cellStyle name="Normal 2 2 7 21 4 2" xfId="7837"/>
    <cellStyle name="Normal 2 2 7 21 4 2 2" xfId="7838"/>
    <cellStyle name="Normal 2 2 7 21 4 2 2 2" xfId="37922"/>
    <cellStyle name="Normal 2 2 7 21 4 2 3" xfId="37923"/>
    <cellStyle name="Normal 2 2 7 21 4 3" xfId="7839"/>
    <cellStyle name="Normal 2 2 7 21 4 3 2" xfId="37924"/>
    <cellStyle name="Normal 2 2 7 21 4 4" xfId="37925"/>
    <cellStyle name="Normal 2 2 7 21 5" xfId="7840"/>
    <cellStyle name="Normal 2 2 7 21 5 2" xfId="7841"/>
    <cellStyle name="Normal 2 2 7 21 5 2 2" xfId="37926"/>
    <cellStyle name="Normal 2 2 7 21 5 3" xfId="37927"/>
    <cellStyle name="Normal 2 2 7 21 6" xfId="7842"/>
    <cellStyle name="Normal 2 2 7 21 6 2" xfId="37928"/>
    <cellStyle name="Normal 2 2 7 21 7" xfId="7843"/>
    <cellStyle name="Normal 2 2 7 21 7 2" xfId="37929"/>
    <cellStyle name="Normal 2 2 7 21 8" xfId="37930"/>
    <cellStyle name="Normal 2 2 7 22" xfId="7844"/>
    <cellStyle name="Normal 2 2 7 22 2" xfId="7845"/>
    <cellStyle name="Normal 2 2 7 22 2 2" xfId="7846"/>
    <cellStyle name="Normal 2 2 7 22 2 2 2" xfId="7847"/>
    <cellStyle name="Normal 2 2 7 22 2 2 2 2" xfId="37931"/>
    <cellStyle name="Normal 2 2 7 22 2 2 3" xfId="37932"/>
    <cellStyle name="Normal 2 2 7 22 2 3" xfId="7848"/>
    <cellStyle name="Normal 2 2 7 22 2 3 2" xfId="37933"/>
    <cellStyle name="Normal 2 2 7 22 2 4" xfId="37934"/>
    <cellStyle name="Normal 2 2 7 22 3" xfId="7849"/>
    <cellStyle name="Normal 2 2 7 22 3 2" xfId="7850"/>
    <cellStyle name="Normal 2 2 7 22 3 2 2" xfId="7851"/>
    <cellStyle name="Normal 2 2 7 22 3 2 2 2" xfId="37935"/>
    <cellStyle name="Normal 2 2 7 22 3 2 3" xfId="37936"/>
    <cellStyle name="Normal 2 2 7 22 3 3" xfId="7852"/>
    <cellStyle name="Normal 2 2 7 22 3 3 2" xfId="37937"/>
    <cellStyle name="Normal 2 2 7 22 3 4" xfId="37938"/>
    <cellStyle name="Normal 2 2 7 22 4" xfId="7853"/>
    <cellStyle name="Normal 2 2 7 22 4 2" xfId="7854"/>
    <cellStyle name="Normal 2 2 7 22 4 2 2" xfId="7855"/>
    <cellStyle name="Normal 2 2 7 22 4 2 2 2" xfId="37939"/>
    <cellStyle name="Normal 2 2 7 22 4 2 3" xfId="37940"/>
    <cellStyle name="Normal 2 2 7 22 4 3" xfId="7856"/>
    <cellStyle name="Normal 2 2 7 22 4 3 2" xfId="37941"/>
    <cellStyle name="Normal 2 2 7 22 4 4" xfId="37942"/>
    <cellStyle name="Normal 2 2 7 22 5" xfId="7857"/>
    <cellStyle name="Normal 2 2 7 22 5 2" xfId="7858"/>
    <cellStyle name="Normal 2 2 7 22 5 2 2" xfId="37943"/>
    <cellStyle name="Normal 2 2 7 22 5 3" xfId="37944"/>
    <cellStyle name="Normal 2 2 7 22 6" xfId="7859"/>
    <cellStyle name="Normal 2 2 7 22 6 2" xfId="37945"/>
    <cellStyle name="Normal 2 2 7 22 7" xfId="7860"/>
    <cellStyle name="Normal 2 2 7 22 7 2" xfId="37946"/>
    <cellStyle name="Normal 2 2 7 22 8" xfId="37947"/>
    <cellStyle name="Normal 2 2 7 23" xfId="7861"/>
    <cellStyle name="Normal 2 2 7 23 2" xfId="7862"/>
    <cellStyle name="Normal 2 2 7 23 2 2" xfId="7863"/>
    <cellStyle name="Normal 2 2 7 23 2 2 2" xfId="7864"/>
    <cellStyle name="Normal 2 2 7 23 2 2 2 2" xfId="37948"/>
    <cellStyle name="Normal 2 2 7 23 2 2 3" xfId="37949"/>
    <cellStyle name="Normal 2 2 7 23 2 3" xfId="7865"/>
    <cellStyle name="Normal 2 2 7 23 2 3 2" xfId="37950"/>
    <cellStyle name="Normal 2 2 7 23 2 4" xfId="37951"/>
    <cellStyle name="Normal 2 2 7 23 3" xfId="7866"/>
    <cellStyle name="Normal 2 2 7 23 3 2" xfId="7867"/>
    <cellStyle name="Normal 2 2 7 23 3 2 2" xfId="7868"/>
    <cellStyle name="Normal 2 2 7 23 3 2 2 2" xfId="37952"/>
    <cellStyle name="Normal 2 2 7 23 3 2 3" xfId="37953"/>
    <cellStyle name="Normal 2 2 7 23 3 3" xfId="7869"/>
    <cellStyle name="Normal 2 2 7 23 3 3 2" xfId="37954"/>
    <cellStyle name="Normal 2 2 7 23 3 4" xfId="37955"/>
    <cellStyle name="Normal 2 2 7 23 4" xfId="7870"/>
    <cellStyle name="Normal 2 2 7 23 4 2" xfId="7871"/>
    <cellStyle name="Normal 2 2 7 23 4 2 2" xfId="7872"/>
    <cellStyle name="Normal 2 2 7 23 4 2 2 2" xfId="37956"/>
    <cellStyle name="Normal 2 2 7 23 4 2 3" xfId="37957"/>
    <cellStyle name="Normal 2 2 7 23 4 3" xfId="7873"/>
    <cellStyle name="Normal 2 2 7 23 4 3 2" xfId="37958"/>
    <cellStyle name="Normal 2 2 7 23 4 4" xfId="37959"/>
    <cellStyle name="Normal 2 2 7 23 5" xfId="7874"/>
    <cellStyle name="Normal 2 2 7 23 5 2" xfId="7875"/>
    <cellStyle name="Normal 2 2 7 23 5 2 2" xfId="37960"/>
    <cellStyle name="Normal 2 2 7 23 5 3" xfId="37961"/>
    <cellStyle name="Normal 2 2 7 23 6" xfId="7876"/>
    <cellStyle name="Normal 2 2 7 23 6 2" xfId="37962"/>
    <cellStyle name="Normal 2 2 7 23 7" xfId="7877"/>
    <cellStyle name="Normal 2 2 7 23 7 2" xfId="37963"/>
    <cellStyle name="Normal 2 2 7 23 8" xfId="37964"/>
    <cellStyle name="Normal 2 2 7 24" xfId="7878"/>
    <cellStyle name="Normal 2 2 7 24 2" xfId="7879"/>
    <cellStyle name="Normal 2 2 7 24 2 2" xfId="7880"/>
    <cellStyle name="Normal 2 2 7 24 2 2 2" xfId="7881"/>
    <cellStyle name="Normal 2 2 7 24 2 2 2 2" xfId="37965"/>
    <cellStyle name="Normal 2 2 7 24 2 2 3" xfId="37966"/>
    <cellStyle name="Normal 2 2 7 24 2 3" xfId="7882"/>
    <cellStyle name="Normal 2 2 7 24 2 3 2" xfId="37967"/>
    <cellStyle name="Normal 2 2 7 24 2 4" xfId="37968"/>
    <cellStyle name="Normal 2 2 7 24 3" xfId="7883"/>
    <cellStyle name="Normal 2 2 7 24 3 2" xfId="7884"/>
    <cellStyle name="Normal 2 2 7 24 3 2 2" xfId="7885"/>
    <cellStyle name="Normal 2 2 7 24 3 2 2 2" xfId="37969"/>
    <cellStyle name="Normal 2 2 7 24 3 2 3" xfId="37970"/>
    <cellStyle name="Normal 2 2 7 24 3 3" xfId="7886"/>
    <cellStyle name="Normal 2 2 7 24 3 3 2" xfId="37971"/>
    <cellStyle name="Normal 2 2 7 24 3 4" xfId="37972"/>
    <cellStyle name="Normal 2 2 7 24 4" xfId="7887"/>
    <cellStyle name="Normal 2 2 7 24 4 2" xfId="7888"/>
    <cellStyle name="Normal 2 2 7 24 4 2 2" xfId="7889"/>
    <cellStyle name="Normal 2 2 7 24 4 2 2 2" xfId="37973"/>
    <cellStyle name="Normal 2 2 7 24 4 2 3" xfId="37974"/>
    <cellStyle name="Normal 2 2 7 24 4 3" xfId="7890"/>
    <cellStyle name="Normal 2 2 7 24 4 3 2" xfId="37975"/>
    <cellStyle name="Normal 2 2 7 24 4 4" xfId="37976"/>
    <cellStyle name="Normal 2 2 7 24 5" xfId="7891"/>
    <cellStyle name="Normal 2 2 7 24 5 2" xfId="7892"/>
    <cellStyle name="Normal 2 2 7 24 5 2 2" xfId="37977"/>
    <cellStyle name="Normal 2 2 7 24 5 3" xfId="37978"/>
    <cellStyle name="Normal 2 2 7 24 6" xfId="7893"/>
    <cellStyle name="Normal 2 2 7 24 6 2" xfId="37979"/>
    <cellStyle name="Normal 2 2 7 24 7" xfId="7894"/>
    <cellStyle name="Normal 2 2 7 24 7 2" xfId="37980"/>
    <cellStyle name="Normal 2 2 7 24 8" xfId="37981"/>
    <cellStyle name="Normal 2 2 7 25" xfId="7895"/>
    <cellStyle name="Normal 2 2 7 25 2" xfId="7896"/>
    <cellStyle name="Normal 2 2 7 25 2 2" xfId="7897"/>
    <cellStyle name="Normal 2 2 7 25 2 2 2" xfId="7898"/>
    <cellStyle name="Normal 2 2 7 25 2 2 2 2" xfId="37982"/>
    <cellStyle name="Normal 2 2 7 25 2 2 3" xfId="37983"/>
    <cellStyle name="Normal 2 2 7 25 2 3" xfId="7899"/>
    <cellStyle name="Normal 2 2 7 25 2 3 2" xfId="37984"/>
    <cellStyle name="Normal 2 2 7 25 2 4" xfId="37985"/>
    <cellStyle name="Normal 2 2 7 25 3" xfId="7900"/>
    <cellStyle name="Normal 2 2 7 25 3 2" xfId="7901"/>
    <cellStyle name="Normal 2 2 7 25 3 2 2" xfId="7902"/>
    <cellStyle name="Normal 2 2 7 25 3 2 2 2" xfId="37986"/>
    <cellStyle name="Normal 2 2 7 25 3 2 3" xfId="37987"/>
    <cellStyle name="Normal 2 2 7 25 3 3" xfId="7903"/>
    <cellStyle name="Normal 2 2 7 25 3 3 2" xfId="37988"/>
    <cellStyle name="Normal 2 2 7 25 3 4" xfId="37989"/>
    <cellStyle name="Normal 2 2 7 25 4" xfId="7904"/>
    <cellStyle name="Normal 2 2 7 25 4 2" xfId="7905"/>
    <cellStyle name="Normal 2 2 7 25 4 2 2" xfId="7906"/>
    <cellStyle name="Normal 2 2 7 25 4 2 2 2" xfId="37990"/>
    <cellStyle name="Normal 2 2 7 25 4 2 3" xfId="37991"/>
    <cellStyle name="Normal 2 2 7 25 4 3" xfId="7907"/>
    <cellStyle name="Normal 2 2 7 25 4 3 2" xfId="37992"/>
    <cellStyle name="Normal 2 2 7 25 4 4" xfId="37993"/>
    <cellStyle name="Normal 2 2 7 25 5" xfId="7908"/>
    <cellStyle name="Normal 2 2 7 25 5 2" xfId="7909"/>
    <cellStyle name="Normal 2 2 7 25 5 2 2" xfId="37994"/>
    <cellStyle name="Normal 2 2 7 25 5 3" xfId="37995"/>
    <cellStyle name="Normal 2 2 7 25 6" xfId="7910"/>
    <cellStyle name="Normal 2 2 7 25 6 2" xfId="37996"/>
    <cellStyle name="Normal 2 2 7 25 7" xfId="7911"/>
    <cellStyle name="Normal 2 2 7 25 7 2" xfId="37997"/>
    <cellStyle name="Normal 2 2 7 25 8" xfId="37998"/>
    <cellStyle name="Normal 2 2 7 26" xfId="7912"/>
    <cellStyle name="Normal 2 2 7 26 2" xfId="7913"/>
    <cellStyle name="Normal 2 2 7 26 2 2" xfId="7914"/>
    <cellStyle name="Normal 2 2 7 26 2 2 2" xfId="7915"/>
    <cellStyle name="Normal 2 2 7 26 2 2 2 2" xfId="37999"/>
    <cellStyle name="Normal 2 2 7 26 2 2 3" xfId="38000"/>
    <cellStyle name="Normal 2 2 7 26 2 3" xfId="7916"/>
    <cellStyle name="Normal 2 2 7 26 2 3 2" xfId="38001"/>
    <cellStyle name="Normal 2 2 7 26 2 4" xfId="38002"/>
    <cellStyle name="Normal 2 2 7 26 3" xfId="7917"/>
    <cellStyle name="Normal 2 2 7 26 3 2" xfId="7918"/>
    <cellStyle name="Normal 2 2 7 26 3 2 2" xfId="7919"/>
    <cellStyle name="Normal 2 2 7 26 3 2 2 2" xfId="38003"/>
    <cellStyle name="Normal 2 2 7 26 3 2 3" xfId="38004"/>
    <cellStyle name="Normal 2 2 7 26 3 3" xfId="7920"/>
    <cellStyle name="Normal 2 2 7 26 3 3 2" xfId="38005"/>
    <cellStyle name="Normal 2 2 7 26 3 4" xfId="38006"/>
    <cellStyle name="Normal 2 2 7 26 4" xfId="7921"/>
    <cellStyle name="Normal 2 2 7 26 4 2" xfId="7922"/>
    <cellStyle name="Normal 2 2 7 26 4 2 2" xfId="7923"/>
    <cellStyle name="Normal 2 2 7 26 4 2 2 2" xfId="38007"/>
    <cellStyle name="Normal 2 2 7 26 4 2 3" xfId="38008"/>
    <cellStyle name="Normal 2 2 7 26 4 3" xfId="7924"/>
    <cellStyle name="Normal 2 2 7 26 4 3 2" xfId="38009"/>
    <cellStyle name="Normal 2 2 7 26 4 4" xfId="38010"/>
    <cellStyle name="Normal 2 2 7 26 5" xfId="7925"/>
    <cellStyle name="Normal 2 2 7 26 5 2" xfId="7926"/>
    <cellStyle name="Normal 2 2 7 26 5 2 2" xfId="38011"/>
    <cellStyle name="Normal 2 2 7 26 5 3" xfId="38012"/>
    <cellStyle name="Normal 2 2 7 26 6" xfId="7927"/>
    <cellStyle name="Normal 2 2 7 26 6 2" xfId="38013"/>
    <cellStyle name="Normal 2 2 7 26 7" xfId="7928"/>
    <cellStyle name="Normal 2 2 7 26 7 2" xfId="38014"/>
    <cellStyle name="Normal 2 2 7 26 8" xfId="38015"/>
    <cellStyle name="Normal 2 2 7 27" xfId="7929"/>
    <cellStyle name="Normal 2 2 7 27 2" xfId="7930"/>
    <cellStyle name="Normal 2 2 7 27 2 2" xfId="7931"/>
    <cellStyle name="Normal 2 2 7 27 2 2 2" xfId="7932"/>
    <cellStyle name="Normal 2 2 7 27 2 2 2 2" xfId="38016"/>
    <cellStyle name="Normal 2 2 7 27 2 2 3" xfId="38017"/>
    <cellStyle name="Normal 2 2 7 27 2 3" xfId="7933"/>
    <cellStyle name="Normal 2 2 7 27 2 3 2" xfId="38018"/>
    <cellStyle name="Normal 2 2 7 27 2 4" xfId="38019"/>
    <cellStyle name="Normal 2 2 7 27 3" xfId="7934"/>
    <cellStyle name="Normal 2 2 7 27 3 2" xfId="7935"/>
    <cellStyle name="Normal 2 2 7 27 3 2 2" xfId="7936"/>
    <cellStyle name="Normal 2 2 7 27 3 2 2 2" xfId="38020"/>
    <cellStyle name="Normal 2 2 7 27 3 2 3" xfId="38021"/>
    <cellStyle name="Normal 2 2 7 27 3 3" xfId="7937"/>
    <cellStyle name="Normal 2 2 7 27 3 3 2" xfId="38022"/>
    <cellStyle name="Normal 2 2 7 27 3 4" xfId="38023"/>
    <cellStyle name="Normal 2 2 7 27 4" xfId="7938"/>
    <cellStyle name="Normal 2 2 7 27 4 2" xfId="7939"/>
    <cellStyle name="Normal 2 2 7 27 4 2 2" xfId="7940"/>
    <cellStyle name="Normal 2 2 7 27 4 2 2 2" xfId="38024"/>
    <cellStyle name="Normal 2 2 7 27 4 2 3" xfId="38025"/>
    <cellStyle name="Normal 2 2 7 27 4 3" xfId="7941"/>
    <cellStyle name="Normal 2 2 7 27 4 3 2" xfId="38026"/>
    <cellStyle name="Normal 2 2 7 27 4 4" xfId="38027"/>
    <cellStyle name="Normal 2 2 7 27 5" xfId="7942"/>
    <cellStyle name="Normal 2 2 7 27 5 2" xfId="7943"/>
    <cellStyle name="Normal 2 2 7 27 5 2 2" xfId="38028"/>
    <cellStyle name="Normal 2 2 7 27 5 3" xfId="38029"/>
    <cellStyle name="Normal 2 2 7 27 6" xfId="7944"/>
    <cellStyle name="Normal 2 2 7 27 6 2" xfId="38030"/>
    <cellStyle name="Normal 2 2 7 27 7" xfId="7945"/>
    <cellStyle name="Normal 2 2 7 27 7 2" xfId="38031"/>
    <cellStyle name="Normal 2 2 7 27 8" xfId="38032"/>
    <cellStyle name="Normal 2 2 7 28" xfId="7946"/>
    <cellStyle name="Normal 2 2 7 28 2" xfId="7947"/>
    <cellStyle name="Normal 2 2 7 28 2 2" xfId="7948"/>
    <cellStyle name="Normal 2 2 7 28 2 2 2" xfId="7949"/>
    <cellStyle name="Normal 2 2 7 28 2 2 2 2" xfId="38033"/>
    <cellStyle name="Normal 2 2 7 28 2 2 3" xfId="38034"/>
    <cellStyle name="Normal 2 2 7 28 2 3" xfId="7950"/>
    <cellStyle name="Normal 2 2 7 28 2 3 2" xfId="38035"/>
    <cellStyle name="Normal 2 2 7 28 2 4" xfId="38036"/>
    <cellStyle name="Normal 2 2 7 28 3" xfId="7951"/>
    <cellStyle name="Normal 2 2 7 28 3 2" xfId="7952"/>
    <cellStyle name="Normal 2 2 7 28 3 2 2" xfId="7953"/>
    <cellStyle name="Normal 2 2 7 28 3 2 2 2" xfId="38037"/>
    <cellStyle name="Normal 2 2 7 28 3 2 3" xfId="38038"/>
    <cellStyle name="Normal 2 2 7 28 3 3" xfId="7954"/>
    <cellStyle name="Normal 2 2 7 28 3 3 2" xfId="38039"/>
    <cellStyle name="Normal 2 2 7 28 3 4" xfId="38040"/>
    <cellStyle name="Normal 2 2 7 28 4" xfId="7955"/>
    <cellStyle name="Normal 2 2 7 28 4 2" xfId="7956"/>
    <cellStyle name="Normal 2 2 7 28 4 2 2" xfId="7957"/>
    <cellStyle name="Normal 2 2 7 28 4 2 2 2" xfId="38041"/>
    <cellStyle name="Normal 2 2 7 28 4 2 3" xfId="38042"/>
    <cellStyle name="Normal 2 2 7 28 4 3" xfId="7958"/>
    <cellStyle name="Normal 2 2 7 28 4 3 2" xfId="38043"/>
    <cellStyle name="Normal 2 2 7 28 4 4" xfId="38044"/>
    <cellStyle name="Normal 2 2 7 28 5" xfId="7959"/>
    <cellStyle name="Normal 2 2 7 28 5 2" xfId="7960"/>
    <cellStyle name="Normal 2 2 7 28 5 2 2" xfId="38045"/>
    <cellStyle name="Normal 2 2 7 28 5 3" xfId="38046"/>
    <cellStyle name="Normal 2 2 7 28 6" xfId="7961"/>
    <cellStyle name="Normal 2 2 7 28 6 2" xfId="38047"/>
    <cellStyle name="Normal 2 2 7 28 7" xfId="7962"/>
    <cellStyle name="Normal 2 2 7 28 7 2" xfId="38048"/>
    <cellStyle name="Normal 2 2 7 28 8" xfId="38049"/>
    <cellStyle name="Normal 2 2 7 29" xfId="7963"/>
    <cellStyle name="Normal 2 2 7 29 2" xfId="7964"/>
    <cellStyle name="Normal 2 2 7 29 2 2" xfId="7965"/>
    <cellStyle name="Normal 2 2 7 29 2 2 2" xfId="7966"/>
    <cellStyle name="Normal 2 2 7 29 2 2 2 2" xfId="38050"/>
    <cellStyle name="Normal 2 2 7 29 2 2 3" xfId="38051"/>
    <cellStyle name="Normal 2 2 7 29 2 3" xfId="7967"/>
    <cellStyle name="Normal 2 2 7 29 2 3 2" xfId="38052"/>
    <cellStyle name="Normal 2 2 7 29 2 4" xfId="38053"/>
    <cellStyle name="Normal 2 2 7 29 3" xfId="7968"/>
    <cellStyle name="Normal 2 2 7 29 3 2" xfId="7969"/>
    <cellStyle name="Normal 2 2 7 29 3 2 2" xfId="7970"/>
    <cellStyle name="Normal 2 2 7 29 3 2 2 2" xfId="38054"/>
    <cellStyle name="Normal 2 2 7 29 3 2 3" xfId="38055"/>
    <cellStyle name="Normal 2 2 7 29 3 3" xfId="7971"/>
    <cellStyle name="Normal 2 2 7 29 3 3 2" xfId="38056"/>
    <cellStyle name="Normal 2 2 7 29 3 4" xfId="38057"/>
    <cellStyle name="Normal 2 2 7 29 4" xfId="7972"/>
    <cellStyle name="Normal 2 2 7 29 4 2" xfId="7973"/>
    <cellStyle name="Normal 2 2 7 29 4 2 2" xfId="7974"/>
    <cellStyle name="Normal 2 2 7 29 4 2 2 2" xfId="38058"/>
    <cellStyle name="Normal 2 2 7 29 4 2 3" xfId="38059"/>
    <cellStyle name="Normal 2 2 7 29 4 3" xfId="7975"/>
    <cellStyle name="Normal 2 2 7 29 4 3 2" xfId="38060"/>
    <cellStyle name="Normal 2 2 7 29 4 4" xfId="38061"/>
    <cellStyle name="Normal 2 2 7 29 5" xfId="7976"/>
    <cellStyle name="Normal 2 2 7 29 5 2" xfId="7977"/>
    <cellStyle name="Normal 2 2 7 29 5 2 2" xfId="38062"/>
    <cellStyle name="Normal 2 2 7 29 5 3" xfId="38063"/>
    <cellStyle name="Normal 2 2 7 29 6" xfId="7978"/>
    <cellStyle name="Normal 2 2 7 29 6 2" xfId="38064"/>
    <cellStyle name="Normal 2 2 7 29 7" xfId="7979"/>
    <cellStyle name="Normal 2 2 7 29 7 2" xfId="38065"/>
    <cellStyle name="Normal 2 2 7 29 8" xfId="38066"/>
    <cellStyle name="Normal 2 2 7 3" xfId="7980"/>
    <cellStyle name="Normal 2 2 7 3 2" xfId="7981"/>
    <cellStyle name="Normal 2 2 7 3 2 2" xfId="7982"/>
    <cellStyle name="Normal 2 2 7 3 2 2 2" xfId="7983"/>
    <cellStyle name="Normal 2 2 7 3 2 2 2 2" xfId="38067"/>
    <cellStyle name="Normal 2 2 7 3 2 2 3" xfId="38068"/>
    <cellStyle name="Normal 2 2 7 3 2 3" xfId="7984"/>
    <cellStyle name="Normal 2 2 7 3 2 3 2" xfId="38069"/>
    <cellStyle name="Normal 2 2 7 3 2 4" xfId="38070"/>
    <cellStyle name="Normal 2 2 7 3 3" xfId="7985"/>
    <cellStyle name="Normal 2 2 7 3 3 2" xfId="7986"/>
    <cellStyle name="Normal 2 2 7 3 3 2 2" xfId="7987"/>
    <cellStyle name="Normal 2 2 7 3 3 2 2 2" xfId="38071"/>
    <cellStyle name="Normal 2 2 7 3 3 2 3" xfId="38072"/>
    <cellStyle name="Normal 2 2 7 3 3 3" xfId="7988"/>
    <cellStyle name="Normal 2 2 7 3 3 3 2" xfId="38073"/>
    <cellStyle name="Normal 2 2 7 3 3 4" xfId="38074"/>
    <cellStyle name="Normal 2 2 7 3 4" xfId="7989"/>
    <cellStyle name="Normal 2 2 7 3 4 2" xfId="7990"/>
    <cellStyle name="Normal 2 2 7 3 4 2 2" xfId="7991"/>
    <cellStyle name="Normal 2 2 7 3 4 2 2 2" xfId="38075"/>
    <cellStyle name="Normal 2 2 7 3 4 2 3" xfId="38076"/>
    <cellStyle name="Normal 2 2 7 3 4 3" xfId="7992"/>
    <cellStyle name="Normal 2 2 7 3 4 3 2" xfId="38077"/>
    <cellStyle name="Normal 2 2 7 3 4 4" xfId="38078"/>
    <cellStyle name="Normal 2 2 7 3 5" xfId="7993"/>
    <cellStyle name="Normal 2 2 7 3 5 2" xfId="7994"/>
    <cellStyle name="Normal 2 2 7 3 5 2 2" xfId="38079"/>
    <cellStyle name="Normal 2 2 7 3 5 3" xfId="38080"/>
    <cellStyle name="Normal 2 2 7 3 6" xfId="7995"/>
    <cellStyle name="Normal 2 2 7 3 6 2" xfId="38081"/>
    <cellStyle name="Normal 2 2 7 3 7" xfId="7996"/>
    <cellStyle name="Normal 2 2 7 3 7 2" xfId="38082"/>
    <cellStyle name="Normal 2 2 7 3 8" xfId="38083"/>
    <cellStyle name="Normal 2 2 7 30" xfId="7997"/>
    <cellStyle name="Normal 2 2 7 30 2" xfId="7998"/>
    <cellStyle name="Normal 2 2 7 30 2 2" xfId="7999"/>
    <cellStyle name="Normal 2 2 7 30 2 2 2" xfId="38084"/>
    <cellStyle name="Normal 2 2 7 30 2 3" xfId="38085"/>
    <cellStyle name="Normal 2 2 7 30 3" xfId="8000"/>
    <cellStyle name="Normal 2 2 7 30 3 2" xfId="38086"/>
    <cellStyle name="Normal 2 2 7 30 4" xfId="38087"/>
    <cellStyle name="Normal 2 2 7 31" xfId="8001"/>
    <cellStyle name="Normal 2 2 7 31 2" xfId="8002"/>
    <cellStyle name="Normal 2 2 7 31 2 2" xfId="8003"/>
    <cellStyle name="Normal 2 2 7 31 2 2 2" xfId="38088"/>
    <cellStyle name="Normal 2 2 7 31 2 3" xfId="38089"/>
    <cellStyle name="Normal 2 2 7 31 3" xfId="8004"/>
    <cellStyle name="Normal 2 2 7 31 3 2" xfId="38090"/>
    <cellStyle name="Normal 2 2 7 31 4" xfId="38091"/>
    <cellStyle name="Normal 2 2 7 32" xfId="8005"/>
    <cellStyle name="Normal 2 2 7 32 2" xfId="8006"/>
    <cellStyle name="Normal 2 2 7 32 2 2" xfId="8007"/>
    <cellStyle name="Normal 2 2 7 32 2 2 2" xfId="38092"/>
    <cellStyle name="Normal 2 2 7 32 2 3" xfId="38093"/>
    <cellStyle name="Normal 2 2 7 32 3" xfId="8008"/>
    <cellStyle name="Normal 2 2 7 32 3 2" xfId="38094"/>
    <cellStyle name="Normal 2 2 7 32 4" xfId="38095"/>
    <cellStyle name="Normal 2 2 7 33" xfId="8009"/>
    <cellStyle name="Normal 2 2 7 33 2" xfId="8010"/>
    <cellStyle name="Normal 2 2 7 33 2 2" xfId="38096"/>
    <cellStyle name="Normal 2 2 7 33 3" xfId="38097"/>
    <cellStyle name="Normal 2 2 7 34" xfId="8011"/>
    <cellStyle name="Normal 2 2 7 34 2" xfId="38098"/>
    <cellStyle name="Normal 2 2 7 35" xfId="8012"/>
    <cellStyle name="Normal 2 2 7 35 2" xfId="38099"/>
    <cellStyle name="Normal 2 2 7 36" xfId="38100"/>
    <cellStyle name="Normal 2 2 7 4" xfId="8013"/>
    <cellStyle name="Normal 2 2 7 4 2" xfId="8014"/>
    <cellStyle name="Normal 2 2 7 4 2 2" xfId="8015"/>
    <cellStyle name="Normal 2 2 7 4 2 2 2" xfId="8016"/>
    <cellStyle name="Normal 2 2 7 4 2 2 2 2" xfId="38101"/>
    <cellStyle name="Normal 2 2 7 4 2 2 3" xfId="38102"/>
    <cellStyle name="Normal 2 2 7 4 2 3" xfId="8017"/>
    <cellStyle name="Normal 2 2 7 4 2 3 2" xfId="38103"/>
    <cellStyle name="Normal 2 2 7 4 2 4" xfId="38104"/>
    <cellStyle name="Normal 2 2 7 4 3" xfId="8018"/>
    <cellStyle name="Normal 2 2 7 4 3 2" xfId="8019"/>
    <cellStyle name="Normal 2 2 7 4 3 2 2" xfId="8020"/>
    <cellStyle name="Normal 2 2 7 4 3 2 2 2" xfId="38105"/>
    <cellStyle name="Normal 2 2 7 4 3 2 3" xfId="38106"/>
    <cellStyle name="Normal 2 2 7 4 3 3" xfId="8021"/>
    <cellStyle name="Normal 2 2 7 4 3 3 2" xfId="38107"/>
    <cellStyle name="Normal 2 2 7 4 3 4" xfId="38108"/>
    <cellStyle name="Normal 2 2 7 4 4" xfId="8022"/>
    <cellStyle name="Normal 2 2 7 4 4 2" xfId="8023"/>
    <cellStyle name="Normal 2 2 7 4 4 2 2" xfId="8024"/>
    <cellStyle name="Normal 2 2 7 4 4 2 2 2" xfId="38109"/>
    <cellStyle name="Normal 2 2 7 4 4 2 3" xfId="38110"/>
    <cellStyle name="Normal 2 2 7 4 4 3" xfId="8025"/>
    <cellStyle name="Normal 2 2 7 4 4 3 2" xfId="38111"/>
    <cellStyle name="Normal 2 2 7 4 4 4" xfId="38112"/>
    <cellStyle name="Normal 2 2 7 4 5" xfId="8026"/>
    <cellStyle name="Normal 2 2 7 4 5 2" xfId="8027"/>
    <cellStyle name="Normal 2 2 7 4 5 2 2" xfId="38113"/>
    <cellStyle name="Normal 2 2 7 4 5 3" xfId="38114"/>
    <cellStyle name="Normal 2 2 7 4 6" xfId="8028"/>
    <cellStyle name="Normal 2 2 7 4 6 2" xfId="38115"/>
    <cellStyle name="Normal 2 2 7 4 7" xfId="8029"/>
    <cellStyle name="Normal 2 2 7 4 7 2" xfId="38116"/>
    <cellStyle name="Normal 2 2 7 4 8" xfId="38117"/>
    <cellStyle name="Normal 2 2 7 5" xfId="8030"/>
    <cellStyle name="Normal 2 2 7 5 2" xfId="8031"/>
    <cellStyle name="Normal 2 2 7 5 2 2" xfId="8032"/>
    <cellStyle name="Normal 2 2 7 5 2 2 2" xfId="8033"/>
    <cellStyle name="Normal 2 2 7 5 2 2 2 2" xfId="38118"/>
    <cellStyle name="Normal 2 2 7 5 2 2 3" xfId="38119"/>
    <cellStyle name="Normal 2 2 7 5 2 3" xfId="8034"/>
    <cellStyle name="Normal 2 2 7 5 2 3 2" xfId="38120"/>
    <cellStyle name="Normal 2 2 7 5 2 4" xfId="38121"/>
    <cellStyle name="Normal 2 2 7 5 3" xfId="8035"/>
    <cellStyle name="Normal 2 2 7 5 3 2" xfId="8036"/>
    <cellStyle name="Normal 2 2 7 5 3 2 2" xfId="8037"/>
    <cellStyle name="Normal 2 2 7 5 3 2 2 2" xfId="38122"/>
    <cellStyle name="Normal 2 2 7 5 3 2 3" xfId="38123"/>
    <cellStyle name="Normal 2 2 7 5 3 3" xfId="8038"/>
    <cellStyle name="Normal 2 2 7 5 3 3 2" xfId="38124"/>
    <cellStyle name="Normal 2 2 7 5 3 4" xfId="38125"/>
    <cellStyle name="Normal 2 2 7 5 4" xfId="8039"/>
    <cellStyle name="Normal 2 2 7 5 4 2" xfId="8040"/>
    <cellStyle name="Normal 2 2 7 5 4 2 2" xfId="8041"/>
    <cellStyle name="Normal 2 2 7 5 4 2 2 2" xfId="38126"/>
    <cellStyle name="Normal 2 2 7 5 4 2 3" xfId="38127"/>
    <cellStyle name="Normal 2 2 7 5 4 3" xfId="8042"/>
    <cellStyle name="Normal 2 2 7 5 4 3 2" xfId="38128"/>
    <cellStyle name="Normal 2 2 7 5 4 4" xfId="38129"/>
    <cellStyle name="Normal 2 2 7 5 5" xfId="8043"/>
    <cellStyle name="Normal 2 2 7 5 5 2" xfId="8044"/>
    <cellStyle name="Normal 2 2 7 5 5 2 2" xfId="38130"/>
    <cellStyle name="Normal 2 2 7 5 5 3" xfId="38131"/>
    <cellStyle name="Normal 2 2 7 5 6" xfId="8045"/>
    <cellStyle name="Normal 2 2 7 5 6 2" xfId="38132"/>
    <cellStyle name="Normal 2 2 7 5 7" xfId="8046"/>
    <cellStyle name="Normal 2 2 7 5 7 2" xfId="38133"/>
    <cellStyle name="Normal 2 2 7 5 8" xfId="38134"/>
    <cellStyle name="Normal 2 2 7 6" xfId="8047"/>
    <cellStyle name="Normal 2 2 7 6 2" xfId="8048"/>
    <cellStyle name="Normal 2 2 7 6 2 2" xfId="8049"/>
    <cellStyle name="Normal 2 2 7 6 2 2 2" xfId="8050"/>
    <cellStyle name="Normal 2 2 7 6 2 2 2 2" xfId="38135"/>
    <cellStyle name="Normal 2 2 7 6 2 2 3" xfId="38136"/>
    <cellStyle name="Normal 2 2 7 6 2 3" xfId="8051"/>
    <cellStyle name="Normal 2 2 7 6 2 3 2" xfId="38137"/>
    <cellStyle name="Normal 2 2 7 6 2 4" xfId="38138"/>
    <cellStyle name="Normal 2 2 7 6 3" xfId="8052"/>
    <cellStyle name="Normal 2 2 7 6 3 2" xfId="8053"/>
    <cellStyle name="Normal 2 2 7 6 3 2 2" xfId="8054"/>
    <cellStyle name="Normal 2 2 7 6 3 2 2 2" xfId="38139"/>
    <cellStyle name="Normal 2 2 7 6 3 2 3" xfId="38140"/>
    <cellStyle name="Normal 2 2 7 6 3 3" xfId="8055"/>
    <cellStyle name="Normal 2 2 7 6 3 3 2" xfId="38141"/>
    <cellStyle name="Normal 2 2 7 6 3 4" xfId="38142"/>
    <cellStyle name="Normal 2 2 7 6 4" xfId="8056"/>
    <cellStyle name="Normal 2 2 7 6 4 2" xfId="8057"/>
    <cellStyle name="Normal 2 2 7 6 4 2 2" xfId="8058"/>
    <cellStyle name="Normal 2 2 7 6 4 2 2 2" xfId="38143"/>
    <cellStyle name="Normal 2 2 7 6 4 2 3" xfId="38144"/>
    <cellStyle name="Normal 2 2 7 6 4 3" xfId="8059"/>
    <cellStyle name="Normal 2 2 7 6 4 3 2" xfId="38145"/>
    <cellStyle name="Normal 2 2 7 6 4 4" xfId="38146"/>
    <cellStyle name="Normal 2 2 7 6 5" xfId="8060"/>
    <cellStyle name="Normal 2 2 7 6 5 2" xfId="8061"/>
    <cellStyle name="Normal 2 2 7 6 5 2 2" xfId="38147"/>
    <cellStyle name="Normal 2 2 7 6 5 3" xfId="38148"/>
    <cellStyle name="Normal 2 2 7 6 6" xfId="8062"/>
    <cellStyle name="Normal 2 2 7 6 6 2" xfId="38149"/>
    <cellStyle name="Normal 2 2 7 6 7" xfId="8063"/>
    <cellStyle name="Normal 2 2 7 6 7 2" xfId="38150"/>
    <cellStyle name="Normal 2 2 7 6 8" xfId="38151"/>
    <cellStyle name="Normal 2 2 7 7" xfId="8064"/>
    <cellStyle name="Normal 2 2 7 7 2" xfId="8065"/>
    <cellStyle name="Normal 2 2 7 7 2 2" xfId="8066"/>
    <cellStyle name="Normal 2 2 7 7 2 2 2" xfId="8067"/>
    <cellStyle name="Normal 2 2 7 7 2 2 2 2" xfId="38152"/>
    <cellStyle name="Normal 2 2 7 7 2 2 3" xfId="38153"/>
    <cellStyle name="Normal 2 2 7 7 2 3" xfId="8068"/>
    <cellStyle name="Normal 2 2 7 7 2 3 2" xfId="38154"/>
    <cellStyle name="Normal 2 2 7 7 2 4" xfId="38155"/>
    <cellStyle name="Normal 2 2 7 7 3" xfId="8069"/>
    <cellStyle name="Normal 2 2 7 7 3 2" xfId="8070"/>
    <cellStyle name="Normal 2 2 7 7 3 2 2" xfId="8071"/>
    <cellStyle name="Normal 2 2 7 7 3 2 2 2" xfId="38156"/>
    <cellStyle name="Normal 2 2 7 7 3 2 3" xfId="38157"/>
    <cellStyle name="Normal 2 2 7 7 3 3" xfId="8072"/>
    <cellStyle name="Normal 2 2 7 7 3 3 2" xfId="38158"/>
    <cellStyle name="Normal 2 2 7 7 3 4" xfId="38159"/>
    <cellStyle name="Normal 2 2 7 7 4" xfId="8073"/>
    <cellStyle name="Normal 2 2 7 7 4 2" xfId="8074"/>
    <cellStyle name="Normal 2 2 7 7 4 2 2" xfId="8075"/>
    <cellStyle name="Normal 2 2 7 7 4 2 2 2" xfId="38160"/>
    <cellStyle name="Normal 2 2 7 7 4 2 3" xfId="38161"/>
    <cellStyle name="Normal 2 2 7 7 4 3" xfId="8076"/>
    <cellStyle name="Normal 2 2 7 7 4 3 2" xfId="38162"/>
    <cellStyle name="Normal 2 2 7 7 4 4" xfId="38163"/>
    <cellStyle name="Normal 2 2 7 7 5" xfId="8077"/>
    <cellStyle name="Normal 2 2 7 7 5 2" xfId="8078"/>
    <cellStyle name="Normal 2 2 7 7 5 2 2" xfId="38164"/>
    <cellStyle name="Normal 2 2 7 7 5 3" xfId="38165"/>
    <cellStyle name="Normal 2 2 7 7 6" xfId="8079"/>
    <cellStyle name="Normal 2 2 7 7 6 2" xfId="38166"/>
    <cellStyle name="Normal 2 2 7 7 7" xfId="8080"/>
    <cellStyle name="Normal 2 2 7 7 7 2" xfId="38167"/>
    <cellStyle name="Normal 2 2 7 7 8" xfId="38168"/>
    <cellStyle name="Normal 2 2 7 8" xfId="8081"/>
    <cellStyle name="Normal 2 2 7 8 2" xfId="8082"/>
    <cellStyle name="Normal 2 2 7 8 2 2" xfId="8083"/>
    <cellStyle name="Normal 2 2 7 8 2 2 2" xfId="8084"/>
    <cellStyle name="Normal 2 2 7 8 2 2 2 2" xfId="38169"/>
    <cellStyle name="Normal 2 2 7 8 2 2 3" xfId="38170"/>
    <cellStyle name="Normal 2 2 7 8 2 3" xfId="8085"/>
    <cellStyle name="Normal 2 2 7 8 2 3 2" xfId="38171"/>
    <cellStyle name="Normal 2 2 7 8 2 4" xfId="38172"/>
    <cellStyle name="Normal 2 2 7 8 3" xfId="8086"/>
    <cellStyle name="Normal 2 2 7 8 3 2" xfId="8087"/>
    <cellStyle name="Normal 2 2 7 8 3 2 2" xfId="8088"/>
    <cellStyle name="Normal 2 2 7 8 3 2 2 2" xfId="38173"/>
    <cellStyle name="Normal 2 2 7 8 3 2 3" xfId="38174"/>
    <cellStyle name="Normal 2 2 7 8 3 3" xfId="8089"/>
    <cellStyle name="Normal 2 2 7 8 3 3 2" xfId="38175"/>
    <cellStyle name="Normal 2 2 7 8 3 4" xfId="38176"/>
    <cellStyle name="Normal 2 2 7 8 4" xfId="8090"/>
    <cellStyle name="Normal 2 2 7 8 4 2" xfId="8091"/>
    <cellStyle name="Normal 2 2 7 8 4 2 2" xfId="8092"/>
    <cellStyle name="Normal 2 2 7 8 4 2 2 2" xfId="38177"/>
    <cellStyle name="Normal 2 2 7 8 4 2 3" xfId="38178"/>
    <cellStyle name="Normal 2 2 7 8 4 3" xfId="8093"/>
    <cellStyle name="Normal 2 2 7 8 4 3 2" xfId="38179"/>
    <cellStyle name="Normal 2 2 7 8 4 4" xfId="38180"/>
    <cellStyle name="Normal 2 2 7 8 5" xfId="8094"/>
    <cellStyle name="Normal 2 2 7 8 5 2" xfId="8095"/>
    <cellStyle name="Normal 2 2 7 8 5 2 2" xfId="38181"/>
    <cellStyle name="Normal 2 2 7 8 5 3" xfId="38182"/>
    <cellStyle name="Normal 2 2 7 8 6" xfId="8096"/>
    <cellStyle name="Normal 2 2 7 8 6 2" xfId="38183"/>
    <cellStyle name="Normal 2 2 7 8 7" xfId="8097"/>
    <cellStyle name="Normal 2 2 7 8 7 2" xfId="38184"/>
    <cellStyle name="Normal 2 2 7 8 8" xfId="38185"/>
    <cellStyle name="Normal 2 2 7 9" xfId="8098"/>
    <cellStyle name="Normal 2 2 7 9 2" xfId="8099"/>
    <cellStyle name="Normal 2 2 7 9 2 2" xfId="8100"/>
    <cellStyle name="Normal 2 2 7 9 2 2 2" xfId="8101"/>
    <cellStyle name="Normal 2 2 7 9 2 2 2 2" xfId="38186"/>
    <cellStyle name="Normal 2 2 7 9 2 2 3" xfId="38187"/>
    <cellStyle name="Normal 2 2 7 9 2 3" xfId="8102"/>
    <cellStyle name="Normal 2 2 7 9 2 3 2" xfId="38188"/>
    <cellStyle name="Normal 2 2 7 9 2 4" xfId="38189"/>
    <cellStyle name="Normal 2 2 7 9 3" xfId="8103"/>
    <cellStyle name="Normal 2 2 7 9 3 2" xfId="8104"/>
    <cellStyle name="Normal 2 2 7 9 3 2 2" xfId="8105"/>
    <cellStyle name="Normal 2 2 7 9 3 2 2 2" xfId="38190"/>
    <cellStyle name="Normal 2 2 7 9 3 2 3" xfId="38191"/>
    <cellStyle name="Normal 2 2 7 9 3 3" xfId="8106"/>
    <cellStyle name="Normal 2 2 7 9 3 3 2" xfId="38192"/>
    <cellStyle name="Normal 2 2 7 9 3 4" xfId="38193"/>
    <cellStyle name="Normal 2 2 7 9 4" xfId="8107"/>
    <cellStyle name="Normal 2 2 7 9 4 2" xfId="8108"/>
    <cellStyle name="Normal 2 2 7 9 4 2 2" xfId="8109"/>
    <cellStyle name="Normal 2 2 7 9 4 2 2 2" xfId="38194"/>
    <cellStyle name="Normal 2 2 7 9 4 2 3" xfId="38195"/>
    <cellStyle name="Normal 2 2 7 9 4 3" xfId="8110"/>
    <cellStyle name="Normal 2 2 7 9 4 3 2" xfId="38196"/>
    <cellStyle name="Normal 2 2 7 9 4 4" xfId="38197"/>
    <cellStyle name="Normal 2 2 7 9 5" xfId="8111"/>
    <cellStyle name="Normal 2 2 7 9 5 2" xfId="8112"/>
    <cellStyle name="Normal 2 2 7 9 5 2 2" xfId="38198"/>
    <cellStyle name="Normal 2 2 7 9 5 3" xfId="38199"/>
    <cellStyle name="Normal 2 2 7 9 6" xfId="8113"/>
    <cellStyle name="Normal 2 2 7 9 6 2" xfId="38200"/>
    <cellStyle name="Normal 2 2 7 9 7" xfId="8114"/>
    <cellStyle name="Normal 2 2 7 9 7 2" xfId="38201"/>
    <cellStyle name="Normal 2 2 7 9 8" xfId="38202"/>
    <cellStyle name="Normal 2 2 8" xfId="8115"/>
    <cellStyle name="Normal 2 2 8 2" xfId="8116"/>
    <cellStyle name="Normal 2 2 8 2 2" xfId="8117"/>
    <cellStyle name="Normal 2 2 8 2 2 2" xfId="8118"/>
    <cellStyle name="Normal 2 2 8 2 2 2 2" xfId="38203"/>
    <cellStyle name="Normal 2 2 8 2 2 3" xfId="38204"/>
    <cellStyle name="Normal 2 2 8 2 3" xfId="8119"/>
    <cellStyle name="Normal 2 2 8 2 3 2" xfId="38205"/>
    <cellStyle name="Normal 2 2 8 2 4" xfId="38206"/>
    <cellStyle name="Normal 2 2 8 3" xfId="8120"/>
    <cellStyle name="Normal 2 2 8 3 2" xfId="8121"/>
    <cellStyle name="Normal 2 2 8 3 2 2" xfId="8122"/>
    <cellStyle name="Normal 2 2 8 3 2 2 2" xfId="38207"/>
    <cellStyle name="Normal 2 2 8 3 2 3" xfId="38208"/>
    <cellStyle name="Normal 2 2 8 3 3" xfId="8123"/>
    <cellStyle name="Normal 2 2 8 3 3 2" xfId="38209"/>
    <cellStyle name="Normal 2 2 8 3 4" xfId="38210"/>
    <cellStyle name="Normal 2 2 8 4" xfId="8124"/>
    <cellStyle name="Normal 2 2 8 4 2" xfId="8125"/>
    <cellStyle name="Normal 2 2 8 4 2 2" xfId="8126"/>
    <cellStyle name="Normal 2 2 8 4 2 2 2" xfId="38211"/>
    <cellStyle name="Normal 2 2 8 4 2 3" xfId="38212"/>
    <cellStyle name="Normal 2 2 8 4 3" xfId="8127"/>
    <cellStyle name="Normal 2 2 8 4 3 2" xfId="38213"/>
    <cellStyle name="Normal 2 2 8 4 4" xfId="38214"/>
    <cellStyle name="Normal 2 2 8 5" xfId="8128"/>
    <cellStyle name="Normal 2 2 8 5 2" xfId="8129"/>
    <cellStyle name="Normal 2 2 8 5 2 2" xfId="38215"/>
    <cellStyle name="Normal 2 2 8 5 3" xfId="38216"/>
    <cellStyle name="Normal 2 2 8 6" xfId="8130"/>
    <cellStyle name="Normal 2 2 8 6 2" xfId="38217"/>
    <cellStyle name="Normal 2 2 8 7" xfId="8131"/>
    <cellStyle name="Normal 2 2 8 7 2" xfId="38218"/>
    <cellStyle name="Normal 2 2 8 8" xfId="38219"/>
    <cellStyle name="Normal 2 2 9" xfId="8132"/>
    <cellStyle name="Normal 2 2 9 2" xfId="8133"/>
    <cellStyle name="Normal 2 2 9 2 2" xfId="8134"/>
    <cellStyle name="Normal 2 2 9 2 2 2" xfId="8135"/>
    <cellStyle name="Normal 2 2 9 2 2 2 2" xfId="38220"/>
    <cellStyle name="Normal 2 2 9 2 2 3" xfId="38221"/>
    <cellStyle name="Normal 2 2 9 2 3" xfId="8136"/>
    <cellStyle name="Normal 2 2 9 2 3 2" xfId="38222"/>
    <cellStyle name="Normal 2 2 9 2 4" xfId="38223"/>
    <cellStyle name="Normal 2 2 9 3" xfId="8137"/>
    <cellStyle name="Normal 2 2 9 3 2" xfId="8138"/>
    <cellStyle name="Normal 2 2 9 3 2 2" xfId="8139"/>
    <cellStyle name="Normal 2 2 9 3 2 2 2" xfId="38224"/>
    <cellStyle name="Normal 2 2 9 3 2 3" xfId="38225"/>
    <cellStyle name="Normal 2 2 9 3 3" xfId="8140"/>
    <cellStyle name="Normal 2 2 9 3 3 2" xfId="38226"/>
    <cellStyle name="Normal 2 2 9 3 4" xfId="38227"/>
    <cellStyle name="Normal 2 2 9 4" xfId="8141"/>
    <cellStyle name="Normal 2 2 9 4 2" xfId="8142"/>
    <cellStyle name="Normal 2 2 9 4 2 2" xfId="8143"/>
    <cellStyle name="Normal 2 2 9 4 2 2 2" xfId="38228"/>
    <cellStyle name="Normal 2 2 9 4 2 3" xfId="38229"/>
    <cellStyle name="Normal 2 2 9 4 3" xfId="8144"/>
    <cellStyle name="Normal 2 2 9 4 3 2" xfId="38230"/>
    <cellStyle name="Normal 2 2 9 4 4" xfId="38231"/>
    <cellStyle name="Normal 2 2 9 5" xfId="8145"/>
    <cellStyle name="Normal 2 2 9 5 2" xfId="8146"/>
    <cellStyle name="Normal 2 2 9 5 2 2" xfId="38232"/>
    <cellStyle name="Normal 2 2 9 5 3" xfId="38233"/>
    <cellStyle name="Normal 2 2 9 6" xfId="8147"/>
    <cellStyle name="Normal 2 2 9 6 2" xfId="38234"/>
    <cellStyle name="Normal 2 2 9 7" xfId="8148"/>
    <cellStyle name="Normal 2 2 9 7 2" xfId="38235"/>
    <cellStyle name="Normal 2 2 9 8" xfId="38236"/>
    <cellStyle name="Normal 2 20" xfId="8149"/>
    <cellStyle name="Normal 2 20 2" xfId="8150"/>
    <cellStyle name="Normal 2 20 2 2" xfId="8151"/>
    <cellStyle name="Normal 2 20 2 2 2" xfId="8152"/>
    <cellStyle name="Normal 2 20 2 2 2 2" xfId="38237"/>
    <cellStyle name="Normal 2 20 2 2 3" xfId="38238"/>
    <cellStyle name="Normal 2 20 2 3" xfId="8153"/>
    <cellStyle name="Normal 2 20 2 3 2" xfId="38239"/>
    <cellStyle name="Normal 2 20 2 4" xfId="38240"/>
    <cellStyle name="Normal 2 20 3" xfId="8154"/>
    <cellStyle name="Normal 2 20 3 2" xfId="8155"/>
    <cellStyle name="Normal 2 20 3 2 2" xfId="8156"/>
    <cellStyle name="Normal 2 20 3 2 2 2" xfId="38241"/>
    <cellStyle name="Normal 2 20 3 2 3" xfId="38242"/>
    <cellStyle name="Normal 2 20 3 3" xfId="8157"/>
    <cellStyle name="Normal 2 20 3 3 2" xfId="38243"/>
    <cellStyle name="Normal 2 20 3 4" xfId="38244"/>
    <cellStyle name="Normal 2 20 4" xfId="8158"/>
    <cellStyle name="Normal 2 20 4 2" xfId="8159"/>
    <cellStyle name="Normal 2 20 4 2 2" xfId="8160"/>
    <cellStyle name="Normal 2 20 4 2 2 2" xfId="38245"/>
    <cellStyle name="Normal 2 20 4 2 3" xfId="38246"/>
    <cellStyle name="Normal 2 20 4 3" xfId="8161"/>
    <cellStyle name="Normal 2 20 4 3 2" xfId="38247"/>
    <cellStyle name="Normal 2 20 4 4" xfId="38248"/>
    <cellStyle name="Normal 2 20 5" xfId="8162"/>
    <cellStyle name="Normal 2 20 5 2" xfId="8163"/>
    <cellStyle name="Normal 2 20 5 2 2" xfId="38249"/>
    <cellStyle name="Normal 2 20 5 3" xfId="38250"/>
    <cellStyle name="Normal 2 20 6" xfId="8164"/>
    <cellStyle name="Normal 2 20 6 2" xfId="38251"/>
    <cellStyle name="Normal 2 20 7" xfId="8165"/>
    <cellStyle name="Normal 2 20 7 2" xfId="38252"/>
    <cellStyle name="Normal 2 20 8" xfId="38253"/>
    <cellStyle name="Normal 2 21" xfId="8166"/>
    <cellStyle name="Normal 2 21 2" xfId="8167"/>
    <cellStyle name="Normal 2 21 2 2" xfId="8168"/>
    <cellStyle name="Normal 2 21 2 2 2" xfId="8169"/>
    <cellStyle name="Normal 2 21 2 2 2 2" xfId="38254"/>
    <cellStyle name="Normal 2 21 2 2 3" xfId="38255"/>
    <cellStyle name="Normal 2 21 2 3" xfId="8170"/>
    <cellStyle name="Normal 2 21 2 3 2" xfId="38256"/>
    <cellStyle name="Normal 2 21 2 4" xfId="38257"/>
    <cellStyle name="Normal 2 21 3" xfId="8171"/>
    <cellStyle name="Normal 2 21 3 2" xfId="8172"/>
    <cellStyle name="Normal 2 21 3 2 2" xfId="8173"/>
    <cellStyle name="Normal 2 21 3 2 2 2" xfId="38258"/>
    <cellStyle name="Normal 2 21 3 2 3" xfId="38259"/>
    <cellStyle name="Normal 2 21 3 3" xfId="8174"/>
    <cellStyle name="Normal 2 21 3 3 2" xfId="38260"/>
    <cellStyle name="Normal 2 21 3 4" xfId="38261"/>
    <cellStyle name="Normal 2 21 4" xfId="8175"/>
    <cellStyle name="Normal 2 21 4 2" xfId="8176"/>
    <cellStyle name="Normal 2 21 4 2 2" xfId="8177"/>
    <cellStyle name="Normal 2 21 4 2 2 2" xfId="38262"/>
    <cellStyle name="Normal 2 21 4 2 3" xfId="38263"/>
    <cellStyle name="Normal 2 21 4 3" xfId="8178"/>
    <cellStyle name="Normal 2 21 4 3 2" xfId="38264"/>
    <cellStyle name="Normal 2 21 4 4" xfId="38265"/>
    <cellStyle name="Normal 2 21 5" xfId="8179"/>
    <cellStyle name="Normal 2 21 5 2" xfId="8180"/>
    <cellStyle name="Normal 2 21 5 2 2" xfId="38266"/>
    <cellStyle name="Normal 2 21 5 3" xfId="38267"/>
    <cellStyle name="Normal 2 21 6" xfId="8181"/>
    <cellStyle name="Normal 2 21 6 2" xfId="38268"/>
    <cellStyle name="Normal 2 21 7" xfId="8182"/>
    <cellStyle name="Normal 2 21 7 2" xfId="38269"/>
    <cellStyle name="Normal 2 21 8" xfId="38270"/>
    <cellStyle name="Normal 2 22" xfId="8183"/>
    <cellStyle name="Normal 2 22 2" xfId="8184"/>
    <cellStyle name="Normal 2 22 2 2" xfId="8185"/>
    <cellStyle name="Normal 2 22 2 2 2" xfId="8186"/>
    <cellStyle name="Normal 2 22 2 2 2 2" xfId="38271"/>
    <cellStyle name="Normal 2 22 2 2 3" xfId="38272"/>
    <cellStyle name="Normal 2 22 2 3" xfId="8187"/>
    <cellStyle name="Normal 2 22 2 3 2" xfId="38273"/>
    <cellStyle name="Normal 2 22 2 4" xfId="38274"/>
    <cellStyle name="Normal 2 22 3" xfId="8188"/>
    <cellStyle name="Normal 2 22 3 2" xfId="8189"/>
    <cellStyle name="Normal 2 22 3 2 2" xfId="8190"/>
    <cellStyle name="Normal 2 22 3 2 2 2" xfId="38275"/>
    <cellStyle name="Normal 2 22 3 2 3" xfId="38276"/>
    <cellStyle name="Normal 2 22 3 3" xfId="8191"/>
    <cellStyle name="Normal 2 22 3 3 2" xfId="38277"/>
    <cellStyle name="Normal 2 22 3 4" xfId="38278"/>
    <cellStyle name="Normal 2 22 4" xfId="8192"/>
    <cellStyle name="Normal 2 22 4 2" xfId="8193"/>
    <cellStyle name="Normal 2 22 4 2 2" xfId="8194"/>
    <cellStyle name="Normal 2 22 4 2 2 2" xfId="38279"/>
    <cellStyle name="Normal 2 22 4 2 3" xfId="38280"/>
    <cellStyle name="Normal 2 22 4 3" xfId="8195"/>
    <cellStyle name="Normal 2 22 4 3 2" xfId="38281"/>
    <cellStyle name="Normal 2 22 4 4" xfId="38282"/>
    <cellStyle name="Normal 2 22 5" xfId="8196"/>
    <cellStyle name="Normal 2 22 5 2" xfId="8197"/>
    <cellStyle name="Normal 2 22 5 2 2" xfId="38283"/>
    <cellStyle name="Normal 2 22 5 3" xfId="38284"/>
    <cellStyle name="Normal 2 22 6" xfId="8198"/>
    <cellStyle name="Normal 2 22 6 2" xfId="38285"/>
    <cellStyle name="Normal 2 22 7" xfId="8199"/>
    <cellStyle name="Normal 2 22 7 2" xfId="38286"/>
    <cellStyle name="Normal 2 22 8" xfId="38287"/>
    <cellStyle name="Normal 2 23" xfId="8200"/>
    <cellStyle name="Normal 2 23 2" xfId="8201"/>
    <cellStyle name="Normal 2 23 2 2" xfId="8202"/>
    <cellStyle name="Normal 2 23 2 2 2" xfId="8203"/>
    <cellStyle name="Normal 2 23 2 2 2 2" xfId="38288"/>
    <cellStyle name="Normal 2 23 2 2 3" xfId="38289"/>
    <cellStyle name="Normal 2 23 2 3" xfId="8204"/>
    <cellStyle name="Normal 2 23 2 3 2" xfId="38290"/>
    <cellStyle name="Normal 2 23 2 4" xfId="38291"/>
    <cellStyle name="Normal 2 23 3" xfId="8205"/>
    <cellStyle name="Normal 2 23 3 2" xfId="8206"/>
    <cellStyle name="Normal 2 23 3 2 2" xfId="8207"/>
    <cellStyle name="Normal 2 23 3 2 2 2" xfId="38292"/>
    <cellStyle name="Normal 2 23 3 2 3" xfId="38293"/>
    <cellStyle name="Normal 2 23 3 3" xfId="8208"/>
    <cellStyle name="Normal 2 23 3 3 2" xfId="38294"/>
    <cellStyle name="Normal 2 23 3 4" xfId="38295"/>
    <cellStyle name="Normal 2 23 4" xfId="8209"/>
    <cellStyle name="Normal 2 23 4 2" xfId="8210"/>
    <cellStyle name="Normal 2 23 4 2 2" xfId="8211"/>
    <cellStyle name="Normal 2 23 4 2 2 2" xfId="38296"/>
    <cellStyle name="Normal 2 23 4 2 3" xfId="38297"/>
    <cellStyle name="Normal 2 23 4 3" xfId="8212"/>
    <cellStyle name="Normal 2 23 4 3 2" xfId="38298"/>
    <cellStyle name="Normal 2 23 4 4" xfId="38299"/>
    <cellStyle name="Normal 2 23 5" xfId="8213"/>
    <cellStyle name="Normal 2 23 5 2" xfId="8214"/>
    <cellStyle name="Normal 2 23 5 2 2" xfId="38300"/>
    <cellStyle name="Normal 2 23 5 3" xfId="38301"/>
    <cellStyle name="Normal 2 23 6" xfId="8215"/>
    <cellStyle name="Normal 2 23 6 2" xfId="38302"/>
    <cellStyle name="Normal 2 23 7" xfId="8216"/>
    <cellStyle name="Normal 2 23 7 2" xfId="38303"/>
    <cellStyle name="Normal 2 23 8" xfId="38304"/>
    <cellStyle name="Normal 2 24" xfId="8217"/>
    <cellStyle name="Normal 2 24 2" xfId="8218"/>
    <cellStyle name="Normal 2 24 2 2" xfId="8219"/>
    <cellStyle name="Normal 2 24 2 2 2" xfId="8220"/>
    <cellStyle name="Normal 2 24 2 2 2 2" xfId="38305"/>
    <cellStyle name="Normal 2 24 2 2 3" xfId="38306"/>
    <cellStyle name="Normal 2 24 2 3" xfId="8221"/>
    <cellStyle name="Normal 2 24 2 3 2" xfId="38307"/>
    <cellStyle name="Normal 2 24 2 4" xfId="38308"/>
    <cellStyle name="Normal 2 24 3" xfId="8222"/>
    <cellStyle name="Normal 2 24 3 2" xfId="8223"/>
    <cellStyle name="Normal 2 24 3 2 2" xfId="8224"/>
    <cellStyle name="Normal 2 24 3 2 2 2" xfId="38309"/>
    <cellStyle name="Normal 2 24 3 2 3" xfId="38310"/>
    <cellStyle name="Normal 2 24 3 3" xfId="8225"/>
    <cellStyle name="Normal 2 24 3 3 2" xfId="38311"/>
    <cellStyle name="Normal 2 24 3 4" xfId="38312"/>
    <cellStyle name="Normal 2 24 4" xfId="8226"/>
    <cellStyle name="Normal 2 24 4 2" xfId="8227"/>
    <cellStyle name="Normal 2 24 4 2 2" xfId="8228"/>
    <cellStyle name="Normal 2 24 4 2 2 2" xfId="38313"/>
    <cellStyle name="Normal 2 24 4 2 3" xfId="38314"/>
    <cellStyle name="Normal 2 24 4 3" xfId="8229"/>
    <cellStyle name="Normal 2 24 4 3 2" xfId="38315"/>
    <cellStyle name="Normal 2 24 4 4" xfId="38316"/>
    <cellStyle name="Normal 2 24 5" xfId="8230"/>
    <cellStyle name="Normal 2 24 5 2" xfId="8231"/>
    <cellStyle name="Normal 2 24 5 2 2" xfId="38317"/>
    <cellStyle name="Normal 2 24 5 3" xfId="38318"/>
    <cellStyle name="Normal 2 24 6" xfId="8232"/>
    <cellStyle name="Normal 2 24 6 2" xfId="38319"/>
    <cellStyle name="Normal 2 24 7" xfId="8233"/>
    <cellStyle name="Normal 2 24 7 2" xfId="38320"/>
    <cellStyle name="Normal 2 24 8" xfId="38321"/>
    <cellStyle name="Normal 2 25" xfId="8234"/>
    <cellStyle name="Normal 2 25 2" xfId="8235"/>
    <cellStyle name="Normal 2 25 2 2" xfId="8236"/>
    <cellStyle name="Normal 2 25 2 2 2" xfId="8237"/>
    <cellStyle name="Normal 2 25 2 2 2 2" xfId="38322"/>
    <cellStyle name="Normal 2 25 2 2 3" xfId="38323"/>
    <cellStyle name="Normal 2 25 2 3" xfId="8238"/>
    <cellStyle name="Normal 2 25 2 3 2" xfId="38324"/>
    <cellStyle name="Normal 2 25 2 4" xfId="38325"/>
    <cellStyle name="Normal 2 25 3" xfId="8239"/>
    <cellStyle name="Normal 2 25 3 2" xfId="8240"/>
    <cellStyle name="Normal 2 25 3 2 2" xfId="8241"/>
    <cellStyle name="Normal 2 25 3 2 2 2" xfId="38326"/>
    <cellStyle name="Normal 2 25 3 2 3" xfId="38327"/>
    <cellStyle name="Normal 2 25 3 3" xfId="8242"/>
    <cellStyle name="Normal 2 25 3 3 2" xfId="38328"/>
    <cellStyle name="Normal 2 25 3 4" xfId="38329"/>
    <cellStyle name="Normal 2 25 4" xfId="8243"/>
    <cellStyle name="Normal 2 25 4 2" xfId="8244"/>
    <cellStyle name="Normal 2 25 4 2 2" xfId="8245"/>
    <cellStyle name="Normal 2 25 4 2 2 2" xfId="38330"/>
    <cellStyle name="Normal 2 25 4 2 3" xfId="38331"/>
    <cellStyle name="Normal 2 25 4 3" xfId="8246"/>
    <cellStyle name="Normal 2 25 4 3 2" xfId="38332"/>
    <cellStyle name="Normal 2 25 4 4" xfId="38333"/>
    <cellStyle name="Normal 2 25 5" xfId="8247"/>
    <cellStyle name="Normal 2 25 5 2" xfId="8248"/>
    <cellStyle name="Normal 2 25 5 2 2" xfId="38334"/>
    <cellStyle name="Normal 2 25 5 3" xfId="38335"/>
    <cellStyle name="Normal 2 25 6" xfId="8249"/>
    <cellStyle name="Normal 2 25 6 2" xfId="38336"/>
    <cellStyle name="Normal 2 25 7" xfId="8250"/>
    <cellStyle name="Normal 2 25 7 2" xfId="38337"/>
    <cellStyle name="Normal 2 25 8" xfId="38338"/>
    <cellStyle name="Normal 2 26" xfId="8251"/>
    <cellStyle name="Normal 2 26 2" xfId="8252"/>
    <cellStyle name="Normal 2 26 2 2" xfId="8253"/>
    <cellStyle name="Normal 2 26 2 2 2" xfId="8254"/>
    <cellStyle name="Normal 2 26 2 2 2 2" xfId="38339"/>
    <cellStyle name="Normal 2 26 2 2 3" xfId="38340"/>
    <cellStyle name="Normal 2 26 2 3" xfId="8255"/>
    <cellStyle name="Normal 2 26 2 3 2" xfId="38341"/>
    <cellStyle name="Normal 2 26 2 4" xfId="38342"/>
    <cellStyle name="Normal 2 26 3" xfId="8256"/>
    <cellStyle name="Normal 2 26 3 2" xfId="8257"/>
    <cellStyle name="Normal 2 26 3 2 2" xfId="8258"/>
    <cellStyle name="Normal 2 26 3 2 2 2" xfId="38343"/>
    <cellStyle name="Normal 2 26 3 2 3" xfId="38344"/>
    <cellStyle name="Normal 2 26 3 3" xfId="8259"/>
    <cellStyle name="Normal 2 26 3 3 2" xfId="38345"/>
    <cellStyle name="Normal 2 26 3 4" xfId="38346"/>
    <cellStyle name="Normal 2 26 4" xfId="8260"/>
    <cellStyle name="Normal 2 26 4 2" xfId="8261"/>
    <cellStyle name="Normal 2 26 4 2 2" xfId="8262"/>
    <cellStyle name="Normal 2 26 4 2 2 2" xfId="38347"/>
    <cellStyle name="Normal 2 26 4 2 3" xfId="38348"/>
    <cellStyle name="Normal 2 26 4 3" xfId="8263"/>
    <cellStyle name="Normal 2 26 4 3 2" xfId="38349"/>
    <cellStyle name="Normal 2 26 4 4" xfId="38350"/>
    <cellStyle name="Normal 2 26 5" xfId="8264"/>
    <cellStyle name="Normal 2 26 5 2" xfId="8265"/>
    <cellStyle name="Normal 2 26 5 2 2" xfId="38351"/>
    <cellStyle name="Normal 2 26 5 3" xfId="38352"/>
    <cellStyle name="Normal 2 26 6" xfId="8266"/>
    <cellStyle name="Normal 2 26 6 2" xfId="38353"/>
    <cellStyle name="Normal 2 26 7" xfId="8267"/>
    <cellStyle name="Normal 2 26 7 2" xfId="38354"/>
    <cellStyle name="Normal 2 26 8" xfId="38355"/>
    <cellStyle name="Normal 2 27" xfId="8268"/>
    <cellStyle name="Normal 2 27 2" xfId="8269"/>
    <cellStyle name="Normal 2 27 2 2" xfId="8270"/>
    <cellStyle name="Normal 2 27 2 2 2" xfId="8271"/>
    <cellStyle name="Normal 2 27 2 2 2 2" xfId="38356"/>
    <cellStyle name="Normal 2 27 2 2 3" xfId="38357"/>
    <cellStyle name="Normal 2 27 2 3" xfId="8272"/>
    <cellStyle name="Normal 2 27 2 3 2" xfId="38358"/>
    <cellStyle name="Normal 2 27 2 4" xfId="38359"/>
    <cellStyle name="Normal 2 27 3" xfId="8273"/>
    <cellStyle name="Normal 2 27 3 2" xfId="8274"/>
    <cellStyle name="Normal 2 27 3 2 2" xfId="8275"/>
    <cellStyle name="Normal 2 27 3 2 2 2" xfId="38360"/>
    <cellStyle name="Normal 2 27 3 2 3" xfId="38361"/>
    <cellStyle name="Normal 2 27 3 3" xfId="8276"/>
    <cellStyle name="Normal 2 27 3 3 2" xfId="38362"/>
    <cellStyle name="Normal 2 27 3 4" xfId="38363"/>
    <cellStyle name="Normal 2 27 4" xfId="8277"/>
    <cellStyle name="Normal 2 27 4 2" xfId="8278"/>
    <cellStyle name="Normal 2 27 4 2 2" xfId="8279"/>
    <cellStyle name="Normal 2 27 4 2 2 2" xfId="38364"/>
    <cellStyle name="Normal 2 27 4 2 3" xfId="38365"/>
    <cellStyle name="Normal 2 27 4 3" xfId="8280"/>
    <cellStyle name="Normal 2 27 4 3 2" xfId="38366"/>
    <cellStyle name="Normal 2 27 4 4" xfId="38367"/>
    <cellStyle name="Normal 2 27 5" xfId="8281"/>
    <cellStyle name="Normal 2 27 5 2" xfId="8282"/>
    <cellStyle name="Normal 2 27 5 2 2" xfId="38368"/>
    <cellStyle name="Normal 2 27 5 3" xfId="38369"/>
    <cellStyle name="Normal 2 27 6" xfId="8283"/>
    <cellStyle name="Normal 2 27 6 2" xfId="38370"/>
    <cellStyle name="Normal 2 27 7" xfId="8284"/>
    <cellStyle name="Normal 2 27 7 2" xfId="38371"/>
    <cellStyle name="Normal 2 27 8" xfId="38372"/>
    <cellStyle name="Normal 2 28" xfId="8285"/>
    <cellStyle name="Normal 2 28 2" xfId="8286"/>
    <cellStyle name="Normal 2 28 2 2" xfId="8287"/>
    <cellStyle name="Normal 2 28 2 2 2" xfId="8288"/>
    <cellStyle name="Normal 2 28 2 2 2 2" xfId="38373"/>
    <cellStyle name="Normal 2 28 2 2 3" xfId="38374"/>
    <cellStyle name="Normal 2 28 2 3" xfId="8289"/>
    <cellStyle name="Normal 2 28 2 3 2" xfId="38375"/>
    <cellStyle name="Normal 2 28 2 4" xfId="38376"/>
    <cellStyle name="Normal 2 28 3" xfId="8290"/>
    <cellStyle name="Normal 2 28 3 2" xfId="8291"/>
    <cellStyle name="Normal 2 28 3 2 2" xfId="8292"/>
    <cellStyle name="Normal 2 28 3 2 2 2" xfId="38377"/>
    <cellStyle name="Normal 2 28 3 2 3" xfId="38378"/>
    <cellStyle name="Normal 2 28 3 3" xfId="8293"/>
    <cellStyle name="Normal 2 28 3 3 2" xfId="38379"/>
    <cellStyle name="Normal 2 28 3 4" xfId="38380"/>
    <cellStyle name="Normal 2 28 4" xfId="8294"/>
    <cellStyle name="Normal 2 28 4 2" xfId="8295"/>
    <cellStyle name="Normal 2 28 4 2 2" xfId="8296"/>
    <cellStyle name="Normal 2 28 4 2 2 2" xfId="38381"/>
    <cellStyle name="Normal 2 28 4 2 3" xfId="38382"/>
    <cellStyle name="Normal 2 28 4 3" xfId="8297"/>
    <cellStyle name="Normal 2 28 4 3 2" xfId="38383"/>
    <cellStyle name="Normal 2 28 4 4" xfId="38384"/>
    <cellStyle name="Normal 2 28 5" xfId="8298"/>
    <cellStyle name="Normal 2 28 5 2" xfId="8299"/>
    <cellStyle name="Normal 2 28 5 2 2" xfId="38385"/>
    <cellStyle name="Normal 2 28 5 3" xfId="38386"/>
    <cellStyle name="Normal 2 28 6" xfId="8300"/>
    <cellStyle name="Normal 2 28 6 2" xfId="38387"/>
    <cellStyle name="Normal 2 28 7" xfId="8301"/>
    <cellStyle name="Normal 2 28 7 2" xfId="38388"/>
    <cellStyle name="Normal 2 28 8" xfId="38389"/>
    <cellStyle name="Normal 2 29" xfId="8302"/>
    <cellStyle name="Normal 2 29 2" xfId="8303"/>
    <cellStyle name="Normal 2 29 2 2" xfId="8304"/>
    <cellStyle name="Normal 2 29 2 2 2" xfId="8305"/>
    <cellStyle name="Normal 2 29 2 2 2 2" xfId="38390"/>
    <cellStyle name="Normal 2 29 2 2 3" xfId="38391"/>
    <cellStyle name="Normal 2 29 2 3" xfId="8306"/>
    <cellStyle name="Normal 2 29 2 3 2" xfId="38392"/>
    <cellStyle name="Normal 2 29 2 4" xfId="38393"/>
    <cellStyle name="Normal 2 29 3" xfId="8307"/>
    <cellStyle name="Normal 2 29 3 2" xfId="8308"/>
    <cellStyle name="Normal 2 29 3 2 2" xfId="8309"/>
    <cellStyle name="Normal 2 29 3 2 2 2" xfId="38394"/>
    <cellStyle name="Normal 2 29 3 2 3" xfId="38395"/>
    <cellStyle name="Normal 2 29 3 3" xfId="8310"/>
    <cellStyle name="Normal 2 29 3 3 2" xfId="38396"/>
    <cellStyle name="Normal 2 29 3 4" xfId="38397"/>
    <cellStyle name="Normal 2 29 4" xfId="8311"/>
    <cellStyle name="Normal 2 29 4 2" xfId="8312"/>
    <cellStyle name="Normal 2 29 4 2 2" xfId="8313"/>
    <cellStyle name="Normal 2 29 4 2 2 2" xfId="38398"/>
    <cellStyle name="Normal 2 29 4 2 3" xfId="38399"/>
    <cellStyle name="Normal 2 29 4 3" xfId="8314"/>
    <cellStyle name="Normal 2 29 4 3 2" xfId="38400"/>
    <cellStyle name="Normal 2 29 4 4" xfId="38401"/>
    <cellStyle name="Normal 2 29 5" xfId="8315"/>
    <cellStyle name="Normal 2 29 5 2" xfId="8316"/>
    <cellStyle name="Normal 2 29 5 2 2" xfId="38402"/>
    <cellStyle name="Normal 2 29 5 3" xfId="38403"/>
    <cellStyle name="Normal 2 29 6" xfId="8317"/>
    <cellStyle name="Normal 2 29 6 2" xfId="38404"/>
    <cellStyle name="Normal 2 29 7" xfId="8318"/>
    <cellStyle name="Normal 2 29 7 2" xfId="38405"/>
    <cellStyle name="Normal 2 29 8" xfId="38406"/>
    <cellStyle name="Normal 2 3" xfId="8319"/>
    <cellStyle name="Normal 2 3 10" xfId="8320"/>
    <cellStyle name="Normal 2 3 10 2" xfId="8321"/>
    <cellStyle name="Normal 2 3 10 2 2" xfId="8322"/>
    <cellStyle name="Normal 2 3 10 2 2 2" xfId="8323"/>
    <cellStyle name="Normal 2 3 10 2 2 2 2" xfId="38407"/>
    <cellStyle name="Normal 2 3 10 2 2 3" xfId="38408"/>
    <cellStyle name="Normal 2 3 10 2 3" xfId="8324"/>
    <cellStyle name="Normal 2 3 10 2 3 2" xfId="38409"/>
    <cellStyle name="Normal 2 3 10 2 4" xfId="38410"/>
    <cellStyle name="Normal 2 3 10 3" xfId="8325"/>
    <cellStyle name="Normal 2 3 10 3 2" xfId="8326"/>
    <cellStyle name="Normal 2 3 10 3 2 2" xfId="8327"/>
    <cellStyle name="Normal 2 3 10 3 2 2 2" xfId="38411"/>
    <cellStyle name="Normal 2 3 10 3 2 3" xfId="38412"/>
    <cellStyle name="Normal 2 3 10 3 3" xfId="8328"/>
    <cellStyle name="Normal 2 3 10 3 3 2" xfId="38413"/>
    <cellStyle name="Normal 2 3 10 3 4" xfId="38414"/>
    <cellStyle name="Normal 2 3 10 4" xfId="8329"/>
    <cellStyle name="Normal 2 3 10 4 2" xfId="8330"/>
    <cellStyle name="Normal 2 3 10 4 2 2" xfId="8331"/>
    <cellStyle name="Normal 2 3 10 4 2 2 2" xfId="38415"/>
    <cellStyle name="Normal 2 3 10 4 2 3" xfId="38416"/>
    <cellStyle name="Normal 2 3 10 4 3" xfId="8332"/>
    <cellStyle name="Normal 2 3 10 4 3 2" xfId="38417"/>
    <cellStyle name="Normal 2 3 10 4 4" xfId="38418"/>
    <cellStyle name="Normal 2 3 10 5" xfId="8333"/>
    <cellStyle name="Normal 2 3 10 5 2" xfId="8334"/>
    <cellStyle name="Normal 2 3 10 5 2 2" xfId="38419"/>
    <cellStyle name="Normal 2 3 10 5 3" xfId="38420"/>
    <cellStyle name="Normal 2 3 10 6" xfId="8335"/>
    <cellStyle name="Normal 2 3 10 6 2" xfId="38421"/>
    <cellStyle name="Normal 2 3 10 7" xfId="8336"/>
    <cellStyle name="Normal 2 3 10 7 2" xfId="38422"/>
    <cellStyle name="Normal 2 3 10 8" xfId="38423"/>
    <cellStyle name="Normal 2 3 11" xfId="8337"/>
    <cellStyle name="Normal 2 3 11 2" xfId="8338"/>
    <cellStyle name="Normal 2 3 11 2 2" xfId="8339"/>
    <cellStyle name="Normal 2 3 11 2 2 2" xfId="8340"/>
    <cellStyle name="Normal 2 3 11 2 2 2 2" xfId="38424"/>
    <cellStyle name="Normal 2 3 11 2 2 3" xfId="38425"/>
    <cellStyle name="Normal 2 3 11 2 3" xfId="8341"/>
    <cellStyle name="Normal 2 3 11 2 3 2" xfId="38426"/>
    <cellStyle name="Normal 2 3 11 2 4" xfId="38427"/>
    <cellStyle name="Normal 2 3 11 3" xfId="8342"/>
    <cellStyle name="Normal 2 3 11 3 2" xfId="8343"/>
    <cellStyle name="Normal 2 3 11 3 2 2" xfId="8344"/>
    <cellStyle name="Normal 2 3 11 3 2 2 2" xfId="38428"/>
    <cellStyle name="Normal 2 3 11 3 2 3" xfId="38429"/>
    <cellStyle name="Normal 2 3 11 3 3" xfId="8345"/>
    <cellStyle name="Normal 2 3 11 3 3 2" xfId="38430"/>
    <cellStyle name="Normal 2 3 11 3 4" xfId="38431"/>
    <cellStyle name="Normal 2 3 11 4" xfId="8346"/>
    <cellStyle name="Normal 2 3 11 4 2" xfId="8347"/>
    <cellStyle name="Normal 2 3 11 4 2 2" xfId="8348"/>
    <cellStyle name="Normal 2 3 11 4 2 2 2" xfId="38432"/>
    <cellStyle name="Normal 2 3 11 4 2 3" xfId="38433"/>
    <cellStyle name="Normal 2 3 11 4 3" xfId="8349"/>
    <cellStyle name="Normal 2 3 11 4 3 2" xfId="38434"/>
    <cellStyle name="Normal 2 3 11 4 4" xfId="38435"/>
    <cellStyle name="Normal 2 3 11 5" xfId="8350"/>
    <cellStyle name="Normal 2 3 11 5 2" xfId="8351"/>
    <cellStyle name="Normal 2 3 11 5 2 2" xfId="38436"/>
    <cellStyle name="Normal 2 3 11 5 3" xfId="38437"/>
    <cellStyle name="Normal 2 3 11 6" xfId="8352"/>
    <cellStyle name="Normal 2 3 11 6 2" xfId="38438"/>
    <cellStyle name="Normal 2 3 11 7" xfId="8353"/>
    <cellStyle name="Normal 2 3 11 7 2" xfId="38439"/>
    <cellStyle name="Normal 2 3 11 8" xfId="38440"/>
    <cellStyle name="Normal 2 3 12" xfId="8354"/>
    <cellStyle name="Normal 2 3 12 2" xfId="8355"/>
    <cellStyle name="Normal 2 3 12 2 2" xfId="8356"/>
    <cellStyle name="Normal 2 3 12 2 2 2" xfId="8357"/>
    <cellStyle name="Normal 2 3 12 2 2 2 2" xfId="38441"/>
    <cellStyle name="Normal 2 3 12 2 2 3" xfId="38442"/>
    <cellStyle name="Normal 2 3 12 2 3" xfId="8358"/>
    <cellStyle name="Normal 2 3 12 2 3 2" xfId="38443"/>
    <cellStyle name="Normal 2 3 12 2 4" xfId="38444"/>
    <cellStyle name="Normal 2 3 12 3" xfId="8359"/>
    <cellStyle name="Normal 2 3 12 3 2" xfId="8360"/>
    <cellStyle name="Normal 2 3 12 3 2 2" xfId="8361"/>
    <cellStyle name="Normal 2 3 12 3 2 2 2" xfId="38445"/>
    <cellStyle name="Normal 2 3 12 3 2 3" xfId="38446"/>
    <cellStyle name="Normal 2 3 12 3 3" xfId="8362"/>
    <cellStyle name="Normal 2 3 12 3 3 2" xfId="38447"/>
    <cellStyle name="Normal 2 3 12 3 4" xfId="38448"/>
    <cellStyle name="Normal 2 3 12 4" xfId="8363"/>
    <cellStyle name="Normal 2 3 12 4 2" xfId="8364"/>
    <cellStyle name="Normal 2 3 12 4 2 2" xfId="8365"/>
    <cellStyle name="Normal 2 3 12 4 2 2 2" xfId="38449"/>
    <cellStyle name="Normal 2 3 12 4 2 3" xfId="38450"/>
    <cellStyle name="Normal 2 3 12 4 3" xfId="8366"/>
    <cellStyle name="Normal 2 3 12 4 3 2" xfId="38451"/>
    <cellStyle name="Normal 2 3 12 4 4" xfId="38452"/>
    <cellStyle name="Normal 2 3 12 5" xfId="8367"/>
    <cellStyle name="Normal 2 3 12 5 2" xfId="8368"/>
    <cellStyle name="Normal 2 3 12 5 2 2" xfId="38453"/>
    <cellStyle name="Normal 2 3 12 5 3" xfId="38454"/>
    <cellStyle name="Normal 2 3 12 6" xfId="8369"/>
    <cellStyle name="Normal 2 3 12 6 2" xfId="38455"/>
    <cellStyle name="Normal 2 3 12 7" xfId="8370"/>
    <cellStyle name="Normal 2 3 12 7 2" xfId="38456"/>
    <cellStyle name="Normal 2 3 12 8" xfId="38457"/>
    <cellStyle name="Normal 2 3 13" xfId="8371"/>
    <cellStyle name="Normal 2 3 13 2" xfId="8372"/>
    <cellStyle name="Normal 2 3 13 2 2" xfId="8373"/>
    <cellStyle name="Normal 2 3 13 2 2 2" xfId="8374"/>
    <cellStyle name="Normal 2 3 13 2 2 2 2" xfId="38458"/>
    <cellStyle name="Normal 2 3 13 2 2 3" xfId="38459"/>
    <cellStyle name="Normal 2 3 13 2 3" xfId="8375"/>
    <cellStyle name="Normal 2 3 13 2 3 2" xfId="38460"/>
    <cellStyle name="Normal 2 3 13 2 4" xfId="38461"/>
    <cellStyle name="Normal 2 3 13 3" xfId="8376"/>
    <cellStyle name="Normal 2 3 13 3 2" xfId="8377"/>
    <cellStyle name="Normal 2 3 13 3 2 2" xfId="8378"/>
    <cellStyle name="Normal 2 3 13 3 2 2 2" xfId="38462"/>
    <cellStyle name="Normal 2 3 13 3 2 3" xfId="38463"/>
    <cellStyle name="Normal 2 3 13 3 3" xfId="8379"/>
    <cellStyle name="Normal 2 3 13 3 3 2" xfId="38464"/>
    <cellStyle name="Normal 2 3 13 3 4" xfId="38465"/>
    <cellStyle name="Normal 2 3 13 4" xfId="8380"/>
    <cellStyle name="Normal 2 3 13 4 2" xfId="8381"/>
    <cellStyle name="Normal 2 3 13 4 2 2" xfId="8382"/>
    <cellStyle name="Normal 2 3 13 4 2 2 2" xfId="38466"/>
    <cellStyle name="Normal 2 3 13 4 2 3" xfId="38467"/>
    <cellStyle name="Normal 2 3 13 4 3" xfId="8383"/>
    <cellStyle name="Normal 2 3 13 4 3 2" xfId="38468"/>
    <cellStyle name="Normal 2 3 13 4 4" xfId="38469"/>
    <cellStyle name="Normal 2 3 13 5" xfId="8384"/>
    <cellStyle name="Normal 2 3 13 5 2" xfId="8385"/>
    <cellStyle name="Normal 2 3 13 5 2 2" xfId="38470"/>
    <cellStyle name="Normal 2 3 13 5 3" xfId="38471"/>
    <cellStyle name="Normal 2 3 13 6" xfId="8386"/>
    <cellStyle name="Normal 2 3 13 6 2" xfId="38472"/>
    <cellStyle name="Normal 2 3 13 7" xfId="8387"/>
    <cellStyle name="Normal 2 3 13 7 2" xfId="38473"/>
    <cellStyle name="Normal 2 3 13 8" xfId="38474"/>
    <cellStyle name="Normal 2 3 14" xfId="8388"/>
    <cellStyle name="Normal 2 3 14 2" xfId="8389"/>
    <cellStyle name="Normal 2 3 14 2 2" xfId="8390"/>
    <cellStyle name="Normal 2 3 14 2 2 2" xfId="8391"/>
    <cellStyle name="Normal 2 3 14 2 2 2 2" xfId="38475"/>
    <cellStyle name="Normal 2 3 14 2 2 3" xfId="38476"/>
    <cellStyle name="Normal 2 3 14 2 3" xfId="8392"/>
    <cellStyle name="Normal 2 3 14 2 3 2" xfId="38477"/>
    <cellStyle name="Normal 2 3 14 2 4" xfId="38478"/>
    <cellStyle name="Normal 2 3 14 3" xfId="8393"/>
    <cellStyle name="Normal 2 3 14 3 2" xfId="8394"/>
    <cellStyle name="Normal 2 3 14 3 2 2" xfId="8395"/>
    <cellStyle name="Normal 2 3 14 3 2 2 2" xfId="38479"/>
    <cellStyle name="Normal 2 3 14 3 2 3" xfId="38480"/>
    <cellStyle name="Normal 2 3 14 3 3" xfId="8396"/>
    <cellStyle name="Normal 2 3 14 3 3 2" xfId="38481"/>
    <cellStyle name="Normal 2 3 14 3 4" xfId="38482"/>
    <cellStyle name="Normal 2 3 14 4" xfId="8397"/>
    <cellStyle name="Normal 2 3 14 4 2" xfId="8398"/>
    <cellStyle name="Normal 2 3 14 4 2 2" xfId="8399"/>
    <cellStyle name="Normal 2 3 14 4 2 2 2" xfId="38483"/>
    <cellStyle name="Normal 2 3 14 4 2 3" xfId="38484"/>
    <cellStyle name="Normal 2 3 14 4 3" xfId="8400"/>
    <cellStyle name="Normal 2 3 14 4 3 2" xfId="38485"/>
    <cellStyle name="Normal 2 3 14 4 4" xfId="38486"/>
    <cellStyle name="Normal 2 3 14 5" xfId="8401"/>
    <cellStyle name="Normal 2 3 14 5 2" xfId="8402"/>
    <cellStyle name="Normal 2 3 14 5 2 2" xfId="38487"/>
    <cellStyle name="Normal 2 3 14 5 3" xfId="38488"/>
    <cellStyle name="Normal 2 3 14 6" xfId="8403"/>
    <cellStyle name="Normal 2 3 14 6 2" xfId="38489"/>
    <cellStyle name="Normal 2 3 14 7" xfId="8404"/>
    <cellStyle name="Normal 2 3 14 7 2" xfId="38490"/>
    <cellStyle name="Normal 2 3 14 8" xfId="38491"/>
    <cellStyle name="Normal 2 3 15" xfId="8405"/>
    <cellStyle name="Normal 2 3 15 2" xfId="8406"/>
    <cellStyle name="Normal 2 3 15 2 2" xfId="8407"/>
    <cellStyle name="Normal 2 3 15 2 2 2" xfId="8408"/>
    <cellStyle name="Normal 2 3 15 2 2 2 2" xfId="38492"/>
    <cellStyle name="Normal 2 3 15 2 2 3" xfId="38493"/>
    <cellStyle name="Normal 2 3 15 2 3" xfId="8409"/>
    <cellStyle name="Normal 2 3 15 2 3 2" xfId="38494"/>
    <cellStyle name="Normal 2 3 15 2 4" xfId="38495"/>
    <cellStyle name="Normal 2 3 15 3" xfId="8410"/>
    <cellStyle name="Normal 2 3 15 3 2" xfId="8411"/>
    <cellStyle name="Normal 2 3 15 3 2 2" xfId="8412"/>
    <cellStyle name="Normal 2 3 15 3 2 2 2" xfId="38496"/>
    <cellStyle name="Normal 2 3 15 3 2 3" xfId="38497"/>
    <cellStyle name="Normal 2 3 15 3 3" xfId="8413"/>
    <cellStyle name="Normal 2 3 15 3 3 2" xfId="38498"/>
    <cellStyle name="Normal 2 3 15 3 4" xfId="38499"/>
    <cellStyle name="Normal 2 3 15 4" xfId="8414"/>
    <cellStyle name="Normal 2 3 15 4 2" xfId="8415"/>
    <cellStyle name="Normal 2 3 15 4 2 2" xfId="8416"/>
    <cellStyle name="Normal 2 3 15 4 2 2 2" xfId="38500"/>
    <cellStyle name="Normal 2 3 15 4 2 3" xfId="38501"/>
    <cellStyle name="Normal 2 3 15 4 3" xfId="8417"/>
    <cellStyle name="Normal 2 3 15 4 3 2" xfId="38502"/>
    <cellStyle name="Normal 2 3 15 4 4" xfId="38503"/>
    <cellStyle name="Normal 2 3 15 5" xfId="8418"/>
    <cellStyle name="Normal 2 3 15 5 2" xfId="8419"/>
    <cellStyle name="Normal 2 3 15 5 2 2" xfId="38504"/>
    <cellStyle name="Normal 2 3 15 5 3" xfId="38505"/>
    <cellStyle name="Normal 2 3 15 6" xfId="8420"/>
    <cellStyle name="Normal 2 3 15 6 2" xfId="38506"/>
    <cellStyle name="Normal 2 3 15 7" xfId="8421"/>
    <cellStyle name="Normal 2 3 15 7 2" xfId="38507"/>
    <cellStyle name="Normal 2 3 15 8" xfId="38508"/>
    <cellStyle name="Normal 2 3 16" xfId="8422"/>
    <cellStyle name="Normal 2 3 16 2" xfId="8423"/>
    <cellStyle name="Normal 2 3 16 2 2" xfId="8424"/>
    <cellStyle name="Normal 2 3 16 2 2 2" xfId="8425"/>
    <cellStyle name="Normal 2 3 16 2 2 2 2" xfId="38509"/>
    <cellStyle name="Normal 2 3 16 2 2 3" xfId="38510"/>
    <cellStyle name="Normal 2 3 16 2 3" xfId="8426"/>
    <cellStyle name="Normal 2 3 16 2 3 2" xfId="38511"/>
    <cellStyle name="Normal 2 3 16 2 4" xfId="38512"/>
    <cellStyle name="Normal 2 3 16 3" xfId="8427"/>
    <cellStyle name="Normal 2 3 16 3 2" xfId="8428"/>
    <cellStyle name="Normal 2 3 16 3 2 2" xfId="8429"/>
    <cellStyle name="Normal 2 3 16 3 2 2 2" xfId="38513"/>
    <cellStyle name="Normal 2 3 16 3 2 3" xfId="38514"/>
    <cellStyle name="Normal 2 3 16 3 3" xfId="8430"/>
    <cellStyle name="Normal 2 3 16 3 3 2" xfId="38515"/>
    <cellStyle name="Normal 2 3 16 3 4" xfId="38516"/>
    <cellStyle name="Normal 2 3 16 4" xfId="8431"/>
    <cellStyle name="Normal 2 3 16 4 2" xfId="8432"/>
    <cellStyle name="Normal 2 3 16 4 2 2" xfId="8433"/>
    <cellStyle name="Normal 2 3 16 4 2 2 2" xfId="38517"/>
    <cellStyle name="Normal 2 3 16 4 2 3" xfId="38518"/>
    <cellStyle name="Normal 2 3 16 4 3" xfId="8434"/>
    <cellStyle name="Normal 2 3 16 4 3 2" xfId="38519"/>
    <cellStyle name="Normal 2 3 16 4 4" xfId="38520"/>
    <cellStyle name="Normal 2 3 16 5" xfId="8435"/>
    <cellStyle name="Normal 2 3 16 5 2" xfId="8436"/>
    <cellStyle name="Normal 2 3 16 5 2 2" xfId="38521"/>
    <cellStyle name="Normal 2 3 16 5 3" xfId="38522"/>
    <cellStyle name="Normal 2 3 16 6" xfId="8437"/>
    <cellStyle name="Normal 2 3 16 6 2" xfId="38523"/>
    <cellStyle name="Normal 2 3 16 7" xfId="8438"/>
    <cellStyle name="Normal 2 3 16 7 2" xfId="38524"/>
    <cellStyle name="Normal 2 3 16 8" xfId="38525"/>
    <cellStyle name="Normal 2 3 17" xfId="8439"/>
    <cellStyle name="Normal 2 3 17 2" xfId="8440"/>
    <cellStyle name="Normal 2 3 17 2 2" xfId="8441"/>
    <cellStyle name="Normal 2 3 17 2 2 2" xfId="8442"/>
    <cellStyle name="Normal 2 3 17 2 2 2 2" xfId="38526"/>
    <cellStyle name="Normal 2 3 17 2 2 3" xfId="38527"/>
    <cellStyle name="Normal 2 3 17 2 3" xfId="8443"/>
    <cellStyle name="Normal 2 3 17 2 3 2" xfId="38528"/>
    <cellStyle name="Normal 2 3 17 2 4" xfId="38529"/>
    <cellStyle name="Normal 2 3 17 3" xfId="8444"/>
    <cellStyle name="Normal 2 3 17 3 2" xfId="8445"/>
    <cellStyle name="Normal 2 3 17 3 2 2" xfId="8446"/>
    <cellStyle name="Normal 2 3 17 3 2 2 2" xfId="38530"/>
    <cellStyle name="Normal 2 3 17 3 2 3" xfId="38531"/>
    <cellStyle name="Normal 2 3 17 3 3" xfId="8447"/>
    <cellStyle name="Normal 2 3 17 3 3 2" xfId="38532"/>
    <cellStyle name="Normal 2 3 17 3 4" xfId="38533"/>
    <cellStyle name="Normal 2 3 17 4" xfId="8448"/>
    <cellStyle name="Normal 2 3 17 4 2" xfId="8449"/>
    <cellStyle name="Normal 2 3 17 4 2 2" xfId="8450"/>
    <cellStyle name="Normal 2 3 17 4 2 2 2" xfId="38534"/>
    <cellStyle name="Normal 2 3 17 4 2 3" xfId="38535"/>
    <cellStyle name="Normal 2 3 17 4 3" xfId="8451"/>
    <cellStyle name="Normal 2 3 17 4 3 2" xfId="38536"/>
    <cellStyle name="Normal 2 3 17 4 4" xfId="38537"/>
    <cellStyle name="Normal 2 3 17 5" xfId="8452"/>
    <cellStyle name="Normal 2 3 17 5 2" xfId="8453"/>
    <cellStyle name="Normal 2 3 17 5 2 2" xfId="38538"/>
    <cellStyle name="Normal 2 3 17 5 3" xfId="38539"/>
    <cellStyle name="Normal 2 3 17 6" xfId="8454"/>
    <cellStyle name="Normal 2 3 17 6 2" xfId="38540"/>
    <cellStyle name="Normal 2 3 17 7" xfId="8455"/>
    <cellStyle name="Normal 2 3 17 7 2" xfId="38541"/>
    <cellStyle name="Normal 2 3 17 8" xfId="38542"/>
    <cellStyle name="Normal 2 3 18" xfId="8456"/>
    <cellStyle name="Normal 2 3 18 2" xfId="8457"/>
    <cellStyle name="Normal 2 3 18 2 2" xfId="8458"/>
    <cellStyle name="Normal 2 3 18 2 2 2" xfId="8459"/>
    <cellStyle name="Normal 2 3 18 2 2 2 2" xfId="38543"/>
    <cellStyle name="Normal 2 3 18 2 2 3" xfId="38544"/>
    <cellStyle name="Normal 2 3 18 2 3" xfId="8460"/>
    <cellStyle name="Normal 2 3 18 2 3 2" xfId="38545"/>
    <cellStyle name="Normal 2 3 18 2 4" xfId="38546"/>
    <cellStyle name="Normal 2 3 18 3" xfId="8461"/>
    <cellStyle name="Normal 2 3 18 3 2" xfId="8462"/>
    <cellStyle name="Normal 2 3 18 3 2 2" xfId="8463"/>
    <cellStyle name="Normal 2 3 18 3 2 2 2" xfId="38547"/>
    <cellStyle name="Normal 2 3 18 3 2 3" xfId="38548"/>
    <cellStyle name="Normal 2 3 18 3 3" xfId="8464"/>
    <cellStyle name="Normal 2 3 18 3 3 2" xfId="38549"/>
    <cellStyle name="Normal 2 3 18 3 4" xfId="38550"/>
    <cellStyle name="Normal 2 3 18 4" xfId="8465"/>
    <cellStyle name="Normal 2 3 18 4 2" xfId="8466"/>
    <cellStyle name="Normal 2 3 18 4 2 2" xfId="8467"/>
    <cellStyle name="Normal 2 3 18 4 2 2 2" xfId="38551"/>
    <cellStyle name="Normal 2 3 18 4 2 3" xfId="38552"/>
    <cellStyle name="Normal 2 3 18 4 3" xfId="8468"/>
    <cellStyle name="Normal 2 3 18 4 3 2" xfId="38553"/>
    <cellStyle name="Normal 2 3 18 4 4" xfId="38554"/>
    <cellStyle name="Normal 2 3 18 5" xfId="8469"/>
    <cellStyle name="Normal 2 3 18 5 2" xfId="8470"/>
    <cellStyle name="Normal 2 3 18 5 2 2" xfId="38555"/>
    <cellStyle name="Normal 2 3 18 5 3" xfId="38556"/>
    <cellStyle name="Normal 2 3 18 6" xfId="8471"/>
    <cellStyle name="Normal 2 3 18 6 2" xfId="38557"/>
    <cellStyle name="Normal 2 3 18 7" xfId="8472"/>
    <cellStyle name="Normal 2 3 18 7 2" xfId="38558"/>
    <cellStyle name="Normal 2 3 18 8" xfId="38559"/>
    <cellStyle name="Normal 2 3 19" xfId="8473"/>
    <cellStyle name="Normal 2 3 19 2" xfId="8474"/>
    <cellStyle name="Normal 2 3 19 2 2" xfId="8475"/>
    <cellStyle name="Normal 2 3 19 2 2 2" xfId="8476"/>
    <cellStyle name="Normal 2 3 19 2 2 2 2" xfId="38560"/>
    <cellStyle name="Normal 2 3 19 2 2 3" xfId="38561"/>
    <cellStyle name="Normal 2 3 19 2 3" xfId="8477"/>
    <cellStyle name="Normal 2 3 19 2 3 2" xfId="38562"/>
    <cellStyle name="Normal 2 3 19 2 4" xfId="38563"/>
    <cellStyle name="Normal 2 3 19 3" xfId="8478"/>
    <cellStyle name="Normal 2 3 19 3 2" xfId="8479"/>
    <cellStyle name="Normal 2 3 19 3 2 2" xfId="8480"/>
    <cellStyle name="Normal 2 3 19 3 2 2 2" xfId="38564"/>
    <cellStyle name="Normal 2 3 19 3 2 3" xfId="38565"/>
    <cellStyle name="Normal 2 3 19 3 3" xfId="8481"/>
    <cellStyle name="Normal 2 3 19 3 3 2" xfId="38566"/>
    <cellStyle name="Normal 2 3 19 3 4" xfId="38567"/>
    <cellStyle name="Normal 2 3 19 4" xfId="8482"/>
    <cellStyle name="Normal 2 3 19 4 2" xfId="8483"/>
    <cellStyle name="Normal 2 3 19 4 2 2" xfId="8484"/>
    <cellStyle name="Normal 2 3 19 4 2 2 2" xfId="38568"/>
    <cellStyle name="Normal 2 3 19 4 2 3" xfId="38569"/>
    <cellStyle name="Normal 2 3 19 4 3" xfId="8485"/>
    <cellStyle name="Normal 2 3 19 4 3 2" xfId="38570"/>
    <cellStyle name="Normal 2 3 19 4 4" xfId="38571"/>
    <cellStyle name="Normal 2 3 19 5" xfId="8486"/>
    <cellStyle name="Normal 2 3 19 5 2" xfId="8487"/>
    <cellStyle name="Normal 2 3 19 5 2 2" xfId="38572"/>
    <cellStyle name="Normal 2 3 19 5 3" xfId="38573"/>
    <cellStyle name="Normal 2 3 19 6" xfId="8488"/>
    <cellStyle name="Normal 2 3 19 6 2" xfId="38574"/>
    <cellStyle name="Normal 2 3 19 7" xfId="8489"/>
    <cellStyle name="Normal 2 3 19 7 2" xfId="38575"/>
    <cellStyle name="Normal 2 3 19 8" xfId="38576"/>
    <cellStyle name="Normal 2 3 2" xfId="8490"/>
    <cellStyle name="Normal 2 3 2 2" xfId="8491"/>
    <cellStyle name="Normal 2 3 2 2 2" xfId="8492"/>
    <cellStyle name="Normal 2 3 2 2 2 2" xfId="8493"/>
    <cellStyle name="Normal 2 3 2 2 2 2 2" xfId="38577"/>
    <cellStyle name="Normal 2 3 2 2 2 3" xfId="38578"/>
    <cellStyle name="Normal 2 3 2 2 3" xfId="8494"/>
    <cellStyle name="Normal 2 3 2 2 3 2" xfId="38579"/>
    <cellStyle name="Normal 2 3 2 2 4" xfId="38580"/>
    <cellStyle name="Normal 2 3 2 3" xfId="8495"/>
    <cellStyle name="Normal 2 3 2 3 2" xfId="8496"/>
    <cellStyle name="Normal 2 3 2 3 2 2" xfId="8497"/>
    <cellStyle name="Normal 2 3 2 3 2 2 2" xfId="38581"/>
    <cellStyle name="Normal 2 3 2 3 2 3" xfId="38582"/>
    <cellStyle name="Normal 2 3 2 3 3" xfId="8498"/>
    <cellStyle name="Normal 2 3 2 3 3 2" xfId="38583"/>
    <cellStyle name="Normal 2 3 2 3 4" xfId="38584"/>
    <cellStyle name="Normal 2 3 2 4" xfId="8499"/>
    <cellStyle name="Normal 2 3 2 4 2" xfId="8500"/>
    <cellStyle name="Normal 2 3 2 4 2 2" xfId="8501"/>
    <cellStyle name="Normal 2 3 2 4 2 2 2" xfId="38585"/>
    <cellStyle name="Normal 2 3 2 4 2 3" xfId="38586"/>
    <cellStyle name="Normal 2 3 2 4 3" xfId="8502"/>
    <cellStyle name="Normal 2 3 2 4 3 2" xfId="38587"/>
    <cellStyle name="Normal 2 3 2 4 4" xfId="38588"/>
    <cellStyle name="Normal 2 3 2 5" xfId="8503"/>
    <cellStyle name="Normal 2 3 2 5 2" xfId="8504"/>
    <cellStyle name="Normal 2 3 2 5 2 2" xfId="38589"/>
    <cellStyle name="Normal 2 3 2 5 3" xfId="38590"/>
    <cellStyle name="Normal 2 3 2 6" xfId="8505"/>
    <cellStyle name="Normal 2 3 2 6 2" xfId="38591"/>
    <cellStyle name="Normal 2 3 2 7" xfId="8506"/>
    <cellStyle name="Normal 2 3 2 7 2" xfId="38592"/>
    <cellStyle name="Normal 2 3 2 8" xfId="38593"/>
    <cellStyle name="Normal 2 3 20" xfId="8507"/>
    <cellStyle name="Normal 2 3 20 2" xfId="8508"/>
    <cellStyle name="Normal 2 3 20 2 2" xfId="8509"/>
    <cellStyle name="Normal 2 3 20 2 2 2" xfId="8510"/>
    <cellStyle name="Normal 2 3 20 2 2 2 2" xfId="38594"/>
    <cellStyle name="Normal 2 3 20 2 2 3" xfId="38595"/>
    <cellStyle name="Normal 2 3 20 2 3" xfId="8511"/>
    <cellStyle name="Normal 2 3 20 2 3 2" xfId="38596"/>
    <cellStyle name="Normal 2 3 20 2 4" xfId="38597"/>
    <cellStyle name="Normal 2 3 20 3" xfId="8512"/>
    <cellStyle name="Normal 2 3 20 3 2" xfId="8513"/>
    <cellStyle name="Normal 2 3 20 3 2 2" xfId="8514"/>
    <cellStyle name="Normal 2 3 20 3 2 2 2" xfId="38598"/>
    <cellStyle name="Normal 2 3 20 3 2 3" xfId="38599"/>
    <cellStyle name="Normal 2 3 20 3 3" xfId="8515"/>
    <cellStyle name="Normal 2 3 20 3 3 2" xfId="38600"/>
    <cellStyle name="Normal 2 3 20 3 4" xfId="38601"/>
    <cellStyle name="Normal 2 3 20 4" xfId="8516"/>
    <cellStyle name="Normal 2 3 20 4 2" xfId="8517"/>
    <cellStyle name="Normal 2 3 20 4 2 2" xfId="8518"/>
    <cellStyle name="Normal 2 3 20 4 2 2 2" xfId="38602"/>
    <cellStyle name="Normal 2 3 20 4 2 3" xfId="38603"/>
    <cellStyle name="Normal 2 3 20 4 3" xfId="8519"/>
    <cellStyle name="Normal 2 3 20 4 3 2" xfId="38604"/>
    <cellStyle name="Normal 2 3 20 4 4" xfId="38605"/>
    <cellStyle name="Normal 2 3 20 5" xfId="8520"/>
    <cellStyle name="Normal 2 3 20 5 2" xfId="8521"/>
    <cellStyle name="Normal 2 3 20 5 2 2" xfId="38606"/>
    <cellStyle name="Normal 2 3 20 5 3" xfId="38607"/>
    <cellStyle name="Normal 2 3 20 6" xfId="8522"/>
    <cellStyle name="Normal 2 3 20 6 2" xfId="38608"/>
    <cellStyle name="Normal 2 3 20 7" xfId="8523"/>
    <cellStyle name="Normal 2 3 20 7 2" xfId="38609"/>
    <cellStyle name="Normal 2 3 20 8" xfId="38610"/>
    <cellStyle name="Normal 2 3 21" xfId="8524"/>
    <cellStyle name="Normal 2 3 21 2" xfId="8525"/>
    <cellStyle name="Normal 2 3 21 2 2" xfId="8526"/>
    <cellStyle name="Normal 2 3 21 2 2 2" xfId="8527"/>
    <cellStyle name="Normal 2 3 21 2 2 2 2" xfId="38611"/>
    <cellStyle name="Normal 2 3 21 2 2 3" xfId="38612"/>
    <cellStyle name="Normal 2 3 21 2 3" xfId="8528"/>
    <cellStyle name="Normal 2 3 21 2 3 2" xfId="38613"/>
    <cellStyle name="Normal 2 3 21 2 4" xfId="38614"/>
    <cellStyle name="Normal 2 3 21 3" xfId="8529"/>
    <cellStyle name="Normal 2 3 21 3 2" xfId="8530"/>
    <cellStyle name="Normal 2 3 21 3 2 2" xfId="8531"/>
    <cellStyle name="Normal 2 3 21 3 2 2 2" xfId="38615"/>
    <cellStyle name="Normal 2 3 21 3 2 3" xfId="38616"/>
    <cellStyle name="Normal 2 3 21 3 3" xfId="8532"/>
    <cellStyle name="Normal 2 3 21 3 3 2" xfId="38617"/>
    <cellStyle name="Normal 2 3 21 3 4" xfId="38618"/>
    <cellStyle name="Normal 2 3 21 4" xfId="8533"/>
    <cellStyle name="Normal 2 3 21 4 2" xfId="8534"/>
    <cellStyle name="Normal 2 3 21 4 2 2" xfId="8535"/>
    <cellStyle name="Normal 2 3 21 4 2 2 2" xfId="38619"/>
    <cellStyle name="Normal 2 3 21 4 2 3" xfId="38620"/>
    <cellStyle name="Normal 2 3 21 4 3" xfId="8536"/>
    <cellStyle name="Normal 2 3 21 4 3 2" xfId="38621"/>
    <cellStyle name="Normal 2 3 21 4 4" xfId="38622"/>
    <cellStyle name="Normal 2 3 21 5" xfId="8537"/>
    <cellStyle name="Normal 2 3 21 5 2" xfId="8538"/>
    <cellStyle name="Normal 2 3 21 5 2 2" xfId="38623"/>
    <cellStyle name="Normal 2 3 21 5 3" xfId="38624"/>
    <cellStyle name="Normal 2 3 21 6" xfId="8539"/>
    <cellStyle name="Normal 2 3 21 6 2" xfId="38625"/>
    <cellStyle name="Normal 2 3 21 7" xfId="8540"/>
    <cellStyle name="Normal 2 3 21 7 2" xfId="38626"/>
    <cellStyle name="Normal 2 3 21 8" xfId="38627"/>
    <cellStyle name="Normal 2 3 22" xfId="8541"/>
    <cellStyle name="Normal 2 3 22 2" xfId="8542"/>
    <cellStyle name="Normal 2 3 22 2 2" xfId="8543"/>
    <cellStyle name="Normal 2 3 22 2 2 2" xfId="8544"/>
    <cellStyle name="Normal 2 3 22 2 2 2 2" xfId="38628"/>
    <cellStyle name="Normal 2 3 22 2 2 3" xfId="38629"/>
    <cellStyle name="Normal 2 3 22 2 3" xfId="8545"/>
    <cellStyle name="Normal 2 3 22 2 3 2" xfId="38630"/>
    <cellStyle name="Normal 2 3 22 2 4" xfId="38631"/>
    <cellStyle name="Normal 2 3 22 3" xfId="8546"/>
    <cellStyle name="Normal 2 3 22 3 2" xfId="8547"/>
    <cellStyle name="Normal 2 3 22 3 2 2" xfId="8548"/>
    <cellStyle name="Normal 2 3 22 3 2 2 2" xfId="38632"/>
    <cellStyle name="Normal 2 3 22 3 2 3" xfId="38633"/>
    <cellStyle name="Normal 2 3 22 3 3" xfId="8549"/>
    <cellStyle name="Normal 2 3 22 3 3 2" xfId="38634"/>
    <cellStyle name="Normal 2 3 22 3 4" xfId="38635"/>
    <cellStyle name="Normal 2 3 22 4" xfId="8550"/>
    <cellStyle name="Normal 2 3 22 4 2" xfId="8551"/>
    <cellStyle name="Normal 2 3 22 4 2 2" xfId="8552"/>
    <cellStyle name="Normal 2 3 22 4 2 2 2" xfId="38636"/>
    <cellStyle name="Normal 2 3 22 4 2 3" xfId="38637"/>
    <cellStyle name="Normal 2 3 22 4 3" xfId="8553"/>
    <cellStyle name="Normal 2 3 22 4 3 2" xfId="38638"/>
    <cellStyle name="Normal 2 3 22 4 4" xfId="38639"/>
    <cellStyle name="Normal 2 3 22 5" xfId="8554"/>
    <cellStyle name="Normal 2 3 22 5 2" xfId="8555"/>
    <cellStyle name="Normal 2 3 22 5 2 2" xfId="38640"/>
    <cellStyle name="Normal 2 3 22 5 3" xfId="38641"/>
    <cellStyle name="Normal 2 3 22 6" xfId="8556"/>
    <cellStyle name="Normal 2 3 22 6 2" xfId="38642"/>
    <cellStyle name="Normal 2 3 22 7" xfId="8557"/>
    <cellStyle name="Normal 2 3 22 7 2" xfId="38643"/>
    <cellStyle name="Normal 2 3 22 8" xfId="38644"/>
    <cellStyle name="Normal 2 3 23" xfId="8558"/>
    <cellStyle name="Normal 2 3 23 2" xfId="8559"/>
    <cellStyle name="Normal 2 3 23 2 2" xfId="8560"/>
    <cellStyle name="Normal 2 3 23 2 2 2" xfId="8561"/>
    <cellStyle name="Normal 2 3 23 2 2 2 2" xfId="38645"/>
    <cellStyle name="Normal 2 3 23 2 2 3" xfId="38646"/>
    <cellStyle name="Normal 2 3 23 2 3" xfId="8562"/>
    <cellStyle name="Normal 2 3 23 2 3 2" xfId="38647"/>
    <cellStyle name="Normal 2 3 23 2 4" xfId="38648"/>
    <cellStyle name="Normal 2 3 23 3" xfId="8563"/>
    <cellStyle name="Normal 2 3 23 3 2" xfId="8564"/>
    <cellStyle name="Normal 2 3 23 3 2 2" xfId="8565"/>
    <cellStyle name="Normal 2 3 23 3 2 2 2" xfId="38649"/>
    <cellStyle name="Normal 2 3 23 3 2 3" xfId="38650"/>
    <cellStyle name="Normal 2 3 23 3 3" xfId="8566"/>
    <cellStyle name="Normal 2 3 23 3 3 2" xfId="38651"/>
    <cellStyle name="Normal 2 3 23 3 4" xfId="38652"/>
    <cellStyle name="Normal 2 3 23 4" xfId="8567"/>
    <cellStyle name="Normal 2 3 23 4 2" xfId="8568"/>
    <cellStyle name="Normal 2 3 23 4 2 2" xfId="8569"/>
    <cellStyle name="Normal 2 3 23 4 2 2 2" xfId="38653"/>
    <cellStyle name="Normal 2 3 23 4 2 3" xfId="38654"/>
    <cellStyle name="Normal 2 3 23 4 3" xfId="8570"/>
    <cellStyle name="Normal 2 3 23 4 3 2" xfId="38655"/>
    <cellStyle name="Normal 2 3 23 4 4" xfId="38656"/>
    <cellStyle name="Normal 2 3 23 5" xfId="8571"/>
    <cellStyle name="Normal 2 3 23 5 2" xfId="8572"/>
    <cellStyle name="Normal 2 3 23 5 2 2" xfId="38657"/>
    <cellStyle name="Normal 2 3 23 5 3" xfId="38658"/>
    <cellStyle name="Normal 2 3 23 6" xfId="8573"/>
    <cellStyle name="Normal 2 3 23 6 2" xfId="38659"/>
    <cellStyle name="Normal 2 3 23 7" xfId="8574"/>
    <cellStyle name="Normal 2 3 23 7 2" xfId="38660"/>
    <cellStyle name="Normal 2 3 23 8" xfId="38661"/>
    <cellStyle name="Normal 2 3 24" xfId="8575"/>
    <cellStyle name="Normal 2 3 24 2" xfId="8576"/>
    <cellStyle name="Normal 2 3 24 2 2" xfId="8577"/>
    <cellStyle name="Normal 2 3 24 2 2 2" xfId="8578"/>
    <cellStyle name="Normal 2 3 24 2 2 2 2" xfId="38662"/>
    <cellStyle name="Normal 2 3 24 2 2 3" xfId="38663"/>
    <cellStyle name="Normal 2 3 24 2 3" xfId="8579"/>
    <cellStyle name="Normal 2 3 24 2 3 2" xfId="38664"/>
    <cellStyle name="Normal 2 3 24 2 4" xfId="38665"/>
    <cellStyle name="Normal 2 3 24 3" xfId="8580"/>
    <cellStyle name="Normal 2 3 24 3 2" xfId="8581"/>
    <cellStyle name="Normal 2 3 24 3 2 2" xfId="8582"/>
    <cellStyle name="Normal 2 3 24 3 2 2 2" xfId="38666"/>
    <cellStyle name="Normal 2 3 24 3 2 3" xfId="38667"/>
    <cellStyle name="Normal 2 3 24 3 3" xfId="8583"/>
    <cellStyle name="Normal 2 3 24 3 3 2" xfId="38668"/>
    <cellStyle name="Normal 2 3 24 3 4" xfId="38669"/>
    <cellStyle name="Normal 2 3 24 4" xfId="8584"/>
    <cellStyle name="Normal 2 3 24 4 2" xfId="8585"/>
    <cellStyle name="Normal 2 3 24 4 2 2" xfId="8586"/>
    <cellStyle name="Normal 2 3 24 4 2 2 2" xfId="38670"/>
    <cellStyle name="Normal 2 3 24 4 2 3" xfId="38671"/>
    <cellStyle name="Normal 2 3 24 4 3" xfId="8587"/>
    <cellStyle name="Normal 2 3 24 4 3 2" xfId="38672"/>
    <cellStyle name="Normal 2 3 24 4 4" xfId="38673"/>
    <cellStyle name="Normal 2 3 24 5" xfId="8588"/>
    <cellStyle name="Normal 2 3 24 5 2" xfId="8589"/>
    <cellStyle name="Normal 2 3 24 5 2 2" xfId="38674"/>
    <cellStyle name="Normal 2 3 24 5 3" xfId="38675"/>
    <cellStyle name="Normal 2 3 24 6" xfId="8590"/>
    <cellStyle name="Normal 2 3 24 6 2" xfId="38676"/>
    <cellStyle name="Normal 2 3 24 7" xfId="8591"/>
    <cellStyle name="Normal 2 3 24 7 2" xfId="38677"/>
    <cellStyle name="Normal 2 3 24 8" xfId="38678"/>
    <cellStyle name="Normal 2 3 25" xfId="8592"/>
    <cellStyle name="Normal 2 3 25 2" xfId="8593"/>
    <cellStyle name="Normal 2 3 25 2 2" xfId="8594"/>
    <cellStyle name="Normal 2 3 25 2 2 2" xfId="8595"/>
    <cellStyle name="Normal 2 3 25 2 2 2 2" xfId="38679"/>
    <cellStyle name="Normal 2 3 25 2 2 3" xfId="38680"/>
    <cellStyle name="Normal 2 3 25 2 3" xfId="8596"/>
    <cellStyle name="Normal 2 3 25 2 3 2" xfId="38681"/>
    <cellStyle name="Normal 2 3 25 2 4" xfId="38682"/>
    <cellStyle name="Normal 2 3 25 3" xfId="8597"/>
    <cellStyle name="Normal 2 3 25 3 2" xfId="8598"/>
    <cellStyle name="Normal 2 3 25 3 2 2" xfId="8599"/>
    <cellStyle name="Normal 2 3 25 3 2 2 2" xfId="38683"/>
    <cellStyle name="Normal 2 3 25 3 2 3" xfId="38684"/>
    <cellStyle name="Normal 2 3 25 3 3" xfId="8600"/>
    <cellStyle name="Normal 2 3 25 3 3 2" xfId="38685"/>
    <cellStyle name="Normal 2 3 25 3 4" xfId="38686"/>
    <cellStyle name="Normal 2 3 25 4" xfId="8601"/>
    <cellStyle name="Normal 2 3 25 4 2" xfId="8602"/>
    <cellStyle name="Normal 2 3 25 4 2 2" xfId="8603"/>
    <cellStyle name="Normal 2 3 25 4 2 2 2" xfId="38687"/>
    <cellStyle name="Normal 2 3 25 4 2 3" xfId="38688"/>
    <cellStyle name="Normal 2 3 25 4 3" xfId="8604"/>
    <cellStyle name="Normal 2 3 25 4 3 2" xfId="38689"/>
    <cellStyle name="Normal 2 3 25 4 4" xfId="38690"/>
    <cellStyle name="Normal 2 3 25 5" xfId="8605"/>
    <cellStyle name="Normal 2 3 25 5 2" xfId="8606"/>
    <cellStyle name="Normal 2 3 25 5 2 2" xfId="38691"/>
    <cellStyle name="Normal 2 3 25 5 3" xfId="38692"/>
    <cellStyle name="Normal 2 3 25 6" xfId="8607"/>
    <cellStyle name="Normal 2 3 25 6 2" xfId="38693"/>
    <cellStyle name="Normal 2 3 25 7" xfId="8608"/>
    <cellStyle name="Normal 2 3 25 7 2" xfId="38694"/>
    <cellStyle name="Normal 2 3 25 8" xfId="38695"/>
    <cellStyle name="Normal 2 3 26" xfId="8609"/>
    <cellStyle name="Normal 2 3 26 2" xfId="8610"/>
    <cellStyle name="Normal 2 3 26 2 2" xfId="8611"/>
    <cellStyle name="Normal 2 3 26 2 2 2" xfId="8612"/>
    <cellStyle name="Normal 2 3 26 2 2 2 2" xfId="38696"/>
    <cellStyle name="Normal 2 3 26 2 2 3" xfId="38697"/>
    <cellStyle name="Normal 2 3 26 2 3" xfId="8613"/>
    <cellStyle name="Normal 2 3 26 2 3 2" xfId="38698"/>
    <cellStyle name="Normal 2 3 26 2 4" xfId="38699"/>
    <cellStyle name="Normal 2 3 26 3" xfId="8614"/>
    <cellStyle name="Normal 2 3 26 3 2" xfId="8615"/>
    <cellStyle name="Normal 2 3 26 3 2 2" xfId="8616"/>
    <cellStyle name="Normal 2 3 26 3 2 2 2" xfId="38700"/>
    <cellStyle name="Normal 2 3 26 3 2 3" xfId="38701"/>
    <cellStyle name="Normal 2 3 26 3 3" xfId="8617"/>
    <cellStyle name="Normal 2 3 26 3 3 2" xfId="38702"/>
    <cellStyle name="Normal 2 3 26 3 4" xfId="38703"/>
    <cellStyle name="Normal 2 3 26 4" xfId="8618"/>
    <cellStyle name="Normal 2 3 26 4 2" xfId="8619"/>
    <cellStyle name="Normal 2 3 26 4 2 2" xfId="8620"/>
    <cellStyle name="Normal 2 3 26 4 2 2 2" xfId="38704"/>
    <cellStyle name="Normal 2 3 26 4 2 3" xfId="38705"/>
    <cellStyle name="Normal 2 3 26 4 3" xfId="8621"/>
    <cellStyle name="Normal 2 3 26 4 3 2" xfId="38706"/>
    <cellStyle name="Normal 2 3 26 4 4" xfId="38707"/>
    <cellStyle name="Normal 2 3 26 5" xfId="8622"/>
    <cellStyle name="Normal 2 3 26 5 2" xfId="8623"/>
    <cellStyle name="Normal 2 3 26 5 2 2" xfId="38708"/>
    <cellStyle name="Normal 2 3 26 5 3" xfId="38709"/>
    <cellStyle name="Normal 2 3 26 6" xfId="8624"/>
    <cellStyle name="Normal 2 3 26 6 2" xfId="38710"/>
    <cellStyle name="Normal 2 3 26 7" xfId="8625"/>
    <cellStyle name="Normal 2 3 26 7 2" xfId="38711"/>
    <cellStyle name="Normal 2 3 26 8" xfId="38712"/>
    <cellStyle name="Normal 2 3 27" xfId="8626"/>
    <cellStyle name="Normal 2 3 27 2" xfId="8627"/>
    <cellStyle name="Normal 2 3 27 2 2" xfId="8628"/>
    <cellStyle name="Normal 2 3 27 2 2 2" xfId="8629"/>
    <cellStyle name="Normal 2 3 27 2 2 2 2" xfId="38713"/>
    <cellStyle name="Normal 2 3 27 2 2 3" xfId="38714"/>
    <cellStyle name="Normal 2 3 27 2 3" xfId="8630"/>
    <cellStyle name="Normal 2 3 27 2 3 2" xfId="38715"/>
    <cellStyle name="Normal 2 3 27 2 4" xfId="38716"/>
    <cellStyle name="Normal 2 3 27 3" xfId="8631"/>
    <cellStyle name="Normal 2 3 27 3 2" xfId="8632"/>
    <cellStyle name="Normal 2 3 27 3 2 2" xfId="8633"/>
    <cellStyle name="Normal 2 3 27 3 2 2 2" xfId="38717"/>
    <cellStyle name="Normal 2 3 27 3 2 3" xfId="38718"/>
    <cellStyle name="Normal 2 3 27 3 3" xfId="8634"/>
    <cellStyle name="Normal 2 3 27 3 3 2" xfId="38719"/>
    <cellStyle name="Normal 2 3 27 3 4" xfId="38720"/>
    <cellStyle name="Normal 2 3 27 4" xfId="8635"/>
    <cellStyle name="Normal 2 3 27 4 2" xfId="8636"/>
    <cellStyle name="Normal 2 3 27 4 2 2" xfId="8637"/>
    <cellStyle name="Normal 2 3 27 4 2 2 2" xfId="38721"/>
    <cellStyle name="Normal 2 3 27 4 2 3" xfId="38722"/>
    <cellStyle name="Normal 2 3 27 4 3" xfId="8638"/>
    <cellStyle name="Normal 2 3 27 4 3 2" xfId="38723"/>
    <cellStyle name="Normal 2 3 27 4 4" xfId="38724"/>
    <cellStyle name="Normal 2 3 27 5" xfId="8639"/>
    <cellStyle name="Normal 2 3 27 5 2" xfId="8640"/>
    <cellStyle name="Normal 2 3 27 5 2 2" xfId="38725"/>
    <cellStyle name="Normal 2 3 27 5 3" xfId="38726"/>
    <cellStyle name="Normal 2 3 27 6" xfId="8641"/>
    <cellStyle name="Normal 2 3 27 6 2" xfId="38727"/>
    <cellStyle name="Normal 2 3 27 7" xfId="8642"/>
    <cellStyle name="Normal 2 3 27 7 2" xfId="38728"/>
    <cellStyle name="Normal 2 3 27 8" xfId="38729"/>
    <cellStyle name="Normal 2 3 28" xfId="8643"/>
    <cellStyle name="Normal 2 3 28 2" xfId="8644"/>
    <cellStyle name="Normal 2 3 28 2 2" xfId="8645"/>
    <cellStyle name="Normal 2 3 28 2 2 2" xfId="8646"/>
    <cellStyle name="Normal 2 3 28 2 2 2 2" xfId="38730"/>
    <cellStyle name="Normal 2 3 28 2 2 3" xfId="38731"/>
    <cellStyle name="Normal 2 3 28 2 3" xfId="8647"/>
    <cellStyle name="Normal 2 3 28 2 3 2" xfId="38732"/>
    <cellStyle name="Normal 2 3 28 2 4" xfId="38733"/>
    <cellStyle name="Normal 2 3 28 3" xfId="8648"/>
    <cellStyle name="Normal 2 3 28 3 2" xfId="8649"/>
    <cellStyle name="Normal 2 3 28 3 2 2" xfId="8650"/>
    <cellStyle name="Normal 2 3 28 3 2 2 2" xfId="38734"/>
    <cellStyle name="Normal 2 3 28 3 2 3" xfId="38735"/>
    <cellStyle name="Normal 2 3 28 3 3" xfId="8651"/>
    <cellStyle name="Normal 2 3 28 3 3 2" xfId="38736"/>
    <cellStyle name="Normal 2 3 28 3 4" xfId="38737"/>
    <cellStyle name="Normal 2 3 28 4" xfId="8652"/>
    <cellStyle name="Normal 2 3 28 4 2" xfId="8653"/>
    <cellStyle name="Normal 2 3 28 4 2 2" xfId="8654"/>
    <cellStyle name="Normal 2 3 28 4 2 2 2" xfId="38738"/>
    <cellStyle name="Normal 2 3 28 4 2 3" xfId="38739"/>
    <cellStyle name="Normal 2 3 28 4 3" xfId="8655"/>
    <cellStyle name="Normal 2 3 28 4 3 2" xfId="38740"/>
    <cellStyle name="Normal 2 3 28 4 4" xfId="38741"/>
    <cellStyle name="Normal 2 3 28 5" xfId="8656"/>
    <cellStyle name="Normal 2 3 28 5 2" xfId="8657"/>
    <cellStyle name="Normal 2 3 28 5 2 2" xfId="38742"/>
    <cellStyle name="Normal 2 3 28 5 3" xfId="38743"/>
    <cellStyle name="Normal 2 3 28 6" xfId="8658"/>
    <cellStyle name="Normal 2 3 28 6 2" xfId="38744"/>
    <cellStyle name="Normal 2 3 28 7" xfId="8659"/>
    <cellStyle name="Normal 2 3 28 7 2" xfId="38745"/>
    <cellStyle name="Normal 2 3 28 8" xfId="38746"/>
    <cellStyle name="Normal 2 3 29" xfId="8660"/>
    <cellStyle name="Normal 2 3 29 2" xfId="8661"/>
    <cellStyle name="Normal 2 3 29 2 2" xfId="8662"/>
    <cellStyle name="Normal 2 3 29 2 2 2" xfId="8663"/>
    <cellStyle name="Normal 2 3 29 2 2 2 2" xfId="38747"/>
    <cellStyle name="Normal 2 3 29 2 2 3" xfId="38748"/>
    <cellStyle name="Normal 2 3 29 2 3" xfId="8664"/>
    <cellStyle name="Normal 2 3 29 2 3 2" xfId="38749"/>
    <cellStyle name="Normal 2 3 29 2 4" xfId="38750"/>
    <cellStyle name="Normal 2 3 29 3" xfId="8665"/>
    <cellStyle name="Normal 2 3 29 3 2" xfId="8666"/>
    <cellStyle name="Normal 2 3 29 3 2 2" xfId="8667"/>
    <cellStyle name="Normal 2 3 29 3 2 2 2" xfId="38751"/>
    <cellStyle name="Normal 2 3 29 3 2 3" xfId="38752"/>
    <cellStyle name="Normal 2 3 29 3 3" xfId="8668"/>
    <cellStyle name="Normal 2 3 29 3 3 2" xfId="38753"/>
    <cellStyle name="Normal 2 3 29 3 4" xfId="38754"/>
    <cellStyle name="Normal 2 3 29 4" xfId="8669"/>
    <cellStyle name="Normal 2 3 29 4 2" xfId="8670"/>
    <cellStyle name="Normal 2 3 29 4 2 2" xfId="8671"/>
    <cellStyle name="Normal 2 3 29 4 2 2 2" xfId="38755"/>
    <cellStyle name="Normal 2 3 29 4 2 3" xfId="38756"/>
    <cellStyle name="Normal 2 3 29 4 3" xfId="8672"/>
    <cellStyle name="Normal 2 3 29 4 3 2" xfId="38757"/>
    <cellStyle name="Normal 2 3 29 4 4" xfId="38758"/>
    <cellStyle name="Normal 2 3 29 5" xfId="8673"/>
    <cellStyle name="Normal 2 3 29 5 2" xfId="8674"/>
    <cellStyle name="Normal 2 3 29 5 2 2" xfId="38759"/>
    <cellStyle name="Normal 2 3 29 5 3" xfId="38760"/>
    <cellStyle name="Normal 2 3 29 6" xfId="8675"/>
    <cellStyle name="Normal 2 3 29 6 2" xfId="38761"/>
    <cellStyle name="Normal 2 3 29 7" xfId="8676"/>
    <cellStyle name="Normal 2 3 29 7 2" xfId="38762"/>
    <cellStyle name="Normal 2 3 29 8" xfId="38763"/>
    <cellStyle name="Normal 2 3 3" xfId="8677"/>
    <cellStyle name="Normal 2 3 3 2" xfId="8678"/>
    <cellStyle name="Normal 2 3 3 2 2" xfId="8679"/>
    <cellStyle name="Normal 2 3 3 2 2 2" xfId="8680"/>
    <cellStyle name="Normal 2 3 3 2 2 2 2" xfId="38764"/>
    <cellStyle name="Normal 2 3 3 2 2 3" xfId="38765"/>
    <cellStyle name="Normal 2 3 3 2 3" xfId="8681"/>
    <cellStyle name="Normal 2 3 3 2 3 2" xfId="38766"/>
    <cellStyle name="Normal 2 3 3 2 4" xfId="38767"/>
    <cellStyle name="Normal 2 3 3 3" xfId="8682"/>
    <cellStyle name="Normal 2 3 3 3 2" xfId="8683"/>
    <cellStyle name="Normal 2 3 3 3 2 2" xfId="8684"/>
    <cellStyle name="Normal 2 3 3 3 2 2 2" xfId="38768"/>
    <cellStyle name="Normal 2 3 3 3 2 3" xfId="38769"/>
    <cellStyle name="Normal 2 3 3 3 3" xfId="8685"/>
    <cellStyle name="Normal 2 3 3 3 3 2" xfId="38770"/>
    <cellStyle name="Normal 2 3 3 3 4" xfId="38771"/>
    <cellStyle name="Normal 2 3 3 4" xfId="8686"/>
    <cellStyle name="Normal 2 3 3 4 2" xfId="8687"/>
    <cellStyle name="Normal 2 3 3 4 2 2" xfId="8688"/>
    <cellStyle name="Normal 2 3 3 4 2 2 2" xfId="38772"/>
    <cellStyle name="Normal 2 3 3 4 2 3" xfId="38773"/>
    <cellStyle name="Normal 2 3 3 4 3" xfId="8689"/>
    <cellStyle name="Normal 2 3 3 4 3 2" xfId="38774"/>
    <cellStyle name="Normal 2 3 3 4 4" xfId="38775"/>
    <cellStyle name="Normal 2 3 3 5" xfId="8690"/>
    <cellStyle name="Normal 2 3 3 5 2" xfId="8691"/>
    <cellStyle name="Normal 2 3 3 5 2 2" xfId="38776"/>
    <cellStyle name="Normal 2 3 3 5 3" xfId="38777"/>
    <cellStyle name="Normal 2 3 3 6" xfId="8692"/>
    <cellStyle name="Normal 2 3 3 6 2" xfId="38778"/>
    <cellStyle name="Normal 2 3 3 7" xfId="8693"/>
    <cellStyle name="Normal 2 3 3 7 2" xfId="38779"/>
    <cellStyle name="Normal 2 3 3 8" xfId="38780"/>
    <cellStyle name="Normal 2 3 30" xfId="8694"/>
    <cellStyle name="Normal 2 3 30 2" xfId="8695"/>
    <cellStyle name="Normal 2 3 30 2 2" xfId="8696"/>
    <cellStyle name="Normal 2 3 30 2 2 2" xfId="38781"/>
    <cellStyle name="Normal 2 3 30 2 3" xfId="38782"/>
    <cellStyle name="Normal 2 3 30 3" xfId="8697"/>
    <cellStyle name="Normal 2 3 30 3 2" xfId="38783"/>
    <cellStyle name="Normal 2 3 30 4" xfId="38784"/>
    <cellStyle name="Normal 2 3 31" xfId="8698"/>
    <cellStyle name="Normal 2 3 31 2" xfId="8699"/>
    <cellStyle name="Normal 2 3 31 2 2" xfId="8700"/>
    <cellStyle name="Normal 2 3 31 2 2 2" xfId="38785"/>
    <cellStyle name="Normal 2 3 31 2 3" xfId="38786"/>
    <cellStyle name="Normal 2 3 31 3" xfId="8701"/>
    <cellStyle name="Normal 2 3 31 3 2" xfId="38787"/>
    <cellStyle name="Normal 2 3 31 4" xfId="38788"/>
    <cellStyle name="Normal 2 3 32" xfId="8702"/>
    <cellStyle name="Normal 2 3 32 2" xfId="8703"/>
    <cellStyle name="Normal 2 3 32 2 2" xfId="8704"/>
    <cellStyle name="Normal 2 3 32 2 2 2" xfId="38789"/>
    <cellStyle name="Normal 2 3 32 2 3" xfId="38790"/>
    <cellStyle name="Normal 2 3 32 3" xfId="8705"/>
    <cellStyle name="Normal 2 3 32 3 2" xfId="38791"/>
    <cellStyle name="Normal 2 3 32 4" xfId="38792"/>
    <cellStyle name="Normal 2 3 33" xfId="8706"/>
    <cellStyle name="Normal 2 3 33 2" xfId="8707"/>
    <cellStyle name="Normal 2 3 33 2 2" xfId="38793"/>
    <cellStyle name="Normal 2 3 33 3" xfId="38794"/>
    <cellStyle name="Normal 2 3 34" xfId="8708"/>
    <cellStyle name="Normal 2 3 34 2" xfId="38795"/>
    <cellStyle name="Normal 2 3 35" xfId="8709"/>
    <cellStyle name="Normal 2 3 35 2" xfId="38796"/>
    <cellStyle name="Normal 2 3 36" xfId="38797"/>
    <cellStyle name="Normal 2 3 4" xfId="8710"/>
    <cellStyle name="Normal 2 3 4 2" xfId="8711"/>
    <cellStyle name="Normal 2 3 4 2 2" xfId="8712"/>
    <cellStyle name="Normal 2 3 4 2 2 2" xfId="8713"/>
    <cellStyle name="Normal 2 3 4 2 2 2 2" xfId="38798"/>
    <cellStyle name="Normal 2 3 4 2 2 3" xfId="38799"/>
    <cellStyle name="Normal 2 3 4 2 3" xfId="8714"/>
    <cellStyle name="Normal 2 3 4 2 3 2" xfId="38800"/>
    <cellStyle name="Normal 2 3 4 2 4" xfId="38801"/>
    <cellStyle name="Normal 2 3 4 3" xfId="8715"/>
    <cellStyle name="Normal 2 3 4 3 2" xfId="8716"/>
    <cellStyle name="Normal 2 3 4 3 2 2" xfId="8717"/>
    <cellStyle name="Normal 2 3 4 3 2 2 2" xfId="38802"/>
    <cellStyle name="Normal 2 3 4 3 2 3" xfId="38803"/>
    <cellStyle name="Normal 2 3 4 3 3" xfId="8718"/>
    <cellStyle name="Normal 2 3 4 3 3 2" xfId="38804"/>
    <cellStyle name="Normal 2 3 4 3 4" xfId="38805"/>
    <cellStyle name="Normal 2 3 4 4" xfId="8719"/>
    <cellStyle name="Normal 2 3 4 4 2" xfId="8720"/>
    <cellStyle name="Normal 2 3 4 4 2 2" xfId="8721"/>
    <cellStyle name="Normal 2 3 4 4 2 2 2" xfId="38806"/>
    <cellStyle name="Normal 2 3 4 4 2 3" xfId="38807"/>
    <cellStyle name="Normal 2 3 4 4 3" xfId="8722"/>
    <cellStyle name="Normal 2 3 4 4 3 2" xfId="38808"/>
    <cellStyle name="Normal 2 3 4 4 4" xfId="38809"/>
    <cellStyle name="Normal 2 3 4 5" xfId="8723"/>
    <cellStyle name="Normal 2 3 4 5 2" xfId="8724"/>
    <cellStyle name="Normal 2 3 4 5 2 2" xfId="38810"/>
    <cellStyle name="Normal 2 3 4 5 3" xfId="38811"/>
    <cellStyle name="Normal 2 3 4 6" xfId="8725"/>
    <cellStyle name="Normal 2 3 4 6 2" xfId="38812"/>
    <cellStyle name="Normal 2 3 4 7" xfId="8726"/>
    <cellStyle name="Normal 2 3 4 7 2" xfId="38813"/>
    <cellStyle name="Normal 2 3 4 8" xfId="38814"/>
    <cellStyle name="Normal 2 3 5" xfId="8727"/>
    <cellStyle name="Normal 2 3 5 2" xfId="8728"/>
    <cellStyle name="Normal 2 3 5 2 2" xfId="8729"/>
    <cellStyle name="Normal 2 3 5 2 2 2" xfId="8730"/>
    <cellStyle name="Normal 2 3 5 2 2 2 2" xfId="38815"/>
    <cellStyle name="Normal 2 3 5 2 2 3" xfId="38816"/>
    <cellStyle name="Normal 2 3 5 2 3" xfId="8731"/>
    <cellStyle name="Normal 2 3 5 2 3 2" xfId="38817"/>
    <cellStyle name="Normal 2 3 5 2 4" xfId="38818"/>
    <cellStyle name="Normal 2 3 5 3" xfId="8732"/>
    <cellStyle name="Normal 2 3 5 3 2" xfId="8733"/>
    <cellStyle name="Normal 2 3 5 3 2 2" xfId="8734"/>
    <cellStyle name="Normal 2 3 5 3 2 2 2" xfId="38819"/>
    <cellStyle name="Normal 2 3 5 3 2 3" xfId="38820"/>
    <cellStyle name="Normal 2 3 5 3 3" xfId="8735"/>
    <cellStyle name="Normal 2 3 5 3 3 2" xfId="38821"/>
    <cellStyle name="Normal 2 3 5 3 4" xfId="38822"/>
    <cellStyle name="Normal 2 3 5 4" xfId="8736"/>
    <cellStyle name="Normal 2 3 5 4 2" xfId="8737"/>
    <cellStyle name="Normal 2 3 5 4 2 2" xfId="8738"/>
    <cellStyle name="Normal 2 3 5 4 2 2 2" xfId="38823"/>
    <cellStyle name="Normal 2 3 5 4 2 3" xfId="38824"/>
    <cellStyle name="Normal 2 3 5 4 3" xfId="8739"/>
    <cellStyle name="Normal 2 3 5 4 3 2" xfId="38825"/>
    <cellStyle name="Normal 2 3 5 4 4" xfId="38826"/>
    <cellStyle name="Normal 2 3 5 5" xfId="8740"/>
    <cellStyle name="Normal 2 3 5 5 2" xfId="8741"/>
    <cellStyle name="Normal 2 3 5 5 2 2" xfId="38827"/>
    <cellStyle name="Normal 2 3 5 5 3" xfId="38828"/>
    <cellStyle name="Normal 2 3 5 6" xfId="8742"/>
    <cellStyle name="Normal 2 3 5 6 2" xfId="38829"/>
    <cellStyle name="Normal 2 3 5 7" xfId="8743"/>
    <cellStyle name="Normal 2 3 5 7 2" xfId="38830"/>
    <cellStyle name="Normal 2 3 5 8" xfId="38831"/>
    <cellStyle name="Normal 2 3 6" xfId="8744"/>
    <cellStyle name="Normal 2 3 6 2" xfId="8745"/>
    <cellStyle name="Normal 2 3 6 2 2" xfId="8746"/>
    <cellStyle name="Normal 2 3 6 2 2 2" xfId="8747"/>
    <cellStyle name="Normal 2 3 6 2 2 2 2" xfId="38832"/>
    <cellStyle name="Normal 2 3 6 2 2 3" xfId="38833"/>
    <cellStyle name="Normal 2 3 6 2 3" xfId="8748"/>
    <cellStyle name="Normal 2 3 6 2 3 2" xfId="38834"/>
    <cellStyle name="Normal 2 3 6 2 4" xfId="38835"/>
    <cellStyle name="Normal 2 3 6 3" xfId="8749"/>
    <cellStyle name="Normal 2 3 6 3 2" xfId="8750"/>
    <cellStyle name="Normal 2 3 6 3 2 2" xfId="8751"/>
    <cellStyle name="Normal 2 3 6 3 2 2 2" xfId="38836"/>
    <cellStyle name="Normal 2 3 6 3 2 3" xfId="38837"/>
    <cellStyle name="Normal 2 3 6 3 3" xfId="8752"/>
    <cellStyle name="Normal 2 3 6 3 3 2" xfId="38838"/>
    <cellStyle name="Normal 2 3 6 3 4" xfId="38839"/>
    <cellStyle name="Normal 2 3 6 4" xfId="8753"/>
    <cellStyle name="Normal 2 3 6 4 2" xfId="8754"/>
    <cellStyle name="Normal 2 3 6 4 2 2" xfId="8755"/>
    <cellStyle name="Normal 2 3 6 4 2 2 2" xfId="38840"/>
    <cellStyle name="Normal 2 3 6 4 2 3" xfId="38841"/>
    <cellStyle name="Normal 2 3 6 4 3" xfId="8756"/>
    <cellStyle name="Normal 2 3 6 4 3 2" xfId="38842"/>
    <cellStyle name="Normal 2 3 6 4 4" xfId="38843"/>
    <cellStyle name="Normal 2 3 6 5" xfId="8757"/>
    <cellStyle name="Normal 2 3 6 5 2" xfId="8758"/>
    <cellStyle name="Normal 2 3 6 5 2 2" xfId="38844"/>
    <cellStyle name="Normal 2 3 6 5 3" xfId="38845"/>
    <cellStyle name="Normal 2 3 6 6" xfId="8759"/>
    <cellStyle name="Normal 2 3 6 6 2" xfId="38846"/>
    <cellStyle name="Normal 2 3 6 7" xfId="8760"/>
    <cellStyle name="Normal 2 3 6 7 2" xfId="38847"/>
    <cellStyle name="Normal 2 3 6 8" xfId="38848"/>
    <cellStyle name="Normal 2 3 7" xfId="8761"/>
    <cellStyle name="Normal 2 3 7 2" xfId="8762"/>
    <cellStyle name="Normal 2 3 7 2 2" xfId="8763"/>
    <cellStyle name="Normal 2 3 7 2 2 2" xfId="8764"/>
    <cellStyle name="Normal 2 3 7 2 2 2 2" xfId="38849"/>
    <cellStyle name="Normal 2 3 7 2 2 3" xfId="38850"/>
    <cellStyle name="Normal 2 3 7 2 3" xfId="8765"/>
    <cellStyle name="Normal 2 3 7 2 3 2" xfId="38851"/>
    <cellStyle name="Normal 2 3 7 2 4" xfId="38852"/>
    <cellStyle name="Normal 2 3 7 3" xfId="8766"/>
    <cellStyle name="Normal 2 3 7 3 2" xfId="8767"/>
    <cellStyle name="Normal 2 3 7 3 2 2" xfId="8768"/>
    <cellStyle name="Normal 2 3 7 3 2 2 2" xfId="38853"/>
    <cellStyle name="Normal 2 3 7 3 2 3" xfId="38854"/>
    <cellStyle name="Normal 2 3 7 3 3" xfId="8769"/>
    <cellStyle name="Normal 2 3 7 3 3 2" xfId="38855"/>
    <cellStyle name="Normal 2 3 7 3 4" xfId="38856"/>
    <cellStyle name="Normal 2 3 7 4" xfId="8770"/>
    <cellStyle name="Normal 2 3 7 4 2" xfId="8771"/>
    <cellStyle name="Normal 2 3 7 4 2 2" xfId="8772"/>
    <cellStyle name="Normal 2 3 7 4 2 2 2" xfId="38857"/>
    <cellStyle name="Normal 2 3 7 4 2 3" xfId="38858"/>
    <cellStyle name="Normal 2 3 7 4 3" xfId="8773"/>
    <cellStyle name="Normal 2 3 7 4 3 2" xfId="38859"/>
    <cellStyle name="Normal 2 3 7 4 4" xfId="38860"/>
    <cellStyle name="Normal 2 3 7 5" xfId="8774"/>
    <cellStyle name="Normal 2 3 7 5 2" xfId="8775"/>
    <cellStyle name="Normal 2 3 7 5 2 2" xfId="38861"/>
    <cellStyle name="Normal 2 3 7 5 3" xfId="38862"/>
    <cellStyle name="Normal 2 3 7 6" xfId="8776"/>
    <cellStyle name="Normal 2 3 7 6 2" xfId="38863"/>
    <cellStyle name="Normal 2 3 7 7" xfId="8777"/>
    <cellStyle name="Normal 2 3 7 7 2" xfId="38864"/>
    <cellStyle name="Normal 2 3 7 8" xfId="38865"/>
    <cellStyle name="Normal 2 3 8" xfId="8778"/>
    <cellStyle name="Normal 2 3 8 2" xfId="8779"/>
    <cellStyle name="Normal 2 3 8 2 2" xfId="8780"/>
    <cellStyle name="Normal 2 3 8 2 2 2" xfId="8781"/>
    <cellStyle name="Normal 2 3 8 2 2 2 2" xfId="38866"/>
    <cellStyle name="Normal 2 3 8 2 2 3" xfId="38867"/>
    <cellStyle name="Normal 2 3 8 2 3" xfId="8782"/>
    <cellStyle name="Normal 2 3 8 2 3 2" xfId="38868"/>
    <cellStyle name="Normal 2 3 8 2 4" xfId="38869"/>
    <cellStyle name="Normal 2 3 8 3" xfId="8783"/>
    <cellStyle name="Normal 2 3 8 3 2" xfId="8784"/>
    <cellStyle name="Normal 2 3 8 3 2 2" xfId="8785"/>
    <cellStyle name="Normal 2 3 8 3 2 2 2" xfId="38870"/>
    <cellStyle name="Normal 2 3 8 3 2 3" xfId="38871"/>
    <cellStyle name="Normal 2 3 8 3 3" xfId="8786"/>
    <cellStyle name="Normal 2 3 8 3 3 2" xfId="38872"/>
    <cellStyle name="Normal 2 3 8 3 4" xfId="38873"/>
    <cellStyle name="Normal 2 3 8 4" xfId="8787"/>
    <cellStyle name="Normal 2 3 8 4 2" xfId="8788"/>
    <cellStyle name="Normal 2 3 8 4 2 2" xfId="8789"/>
    <cellStyle name="Normal 2 3 8 4 2 2 2" xfId="38874"/>
    <cellStyle name="Normal 2 3 8 4 2 3" xfId="38875"/>
    <cellStyle name="Normal 2 3 8 4 3" xfId="8790"/>
    <cellStyle name="Normal 2 3 8 4 3 2" xfId="38876"/>
    <cellStyle name="Normal 2 3 8 4 4" xfId="38877"/>
    <cellStyle name="Normal 2 3 8 5" xfId="8791"/>
    <cellStyle name="Normal 2 3 8 5 2" xfId="8792"/>
    <cellStyle name="Normal 2 3 8 5 2 2" xfId="38878"/>
    <cellStyle name="Normal 2 3 8 5 3" xfId="38879"/>
    <cellStyle name="Normal 2 3 8 6" xfId="8793"/>
    <cellStyle name="Normal 2 3 8 6 2" xfId="38880"/>
    <cellStyle name="Normal 2 3 8 7" xfId="8794"/>
    <cellStyle name="Normal 2 3 8 7 2" xfId="38881"/>
    <cellStyle name="Normal 2 3 8 8" xfId="38882"/>
    <cellStyle name="Normal 2 3 9" xfId="8795"/>
    <cellStyle name="Normal 2 3 9 2" xfId="8796"/>
    <cellStyle name="Normal 2 3 9 2 2" xfId="8797"/>
    <cellStyle name="Normal 2 3 9 2 2 2" xfId="8798"/>
    <cellStyle name="Normal 2 3 9 2 2 2 2" xfId="38883"/>
    <cellStyle name="Normal 2 3 9 2 2 3" xfId="38884"/>
    <cellStyle name="Normal 2 3 9 2 3" xfId="8799"/>
    <cellStyle name="Normal 2 3 9 2 3 2" xfId="38885"/>
    <cellStyle name="Normal 2 3 9 2 4" xfId="38886"/>
    <cellStyle name="Normal 2 3 9 3" xfId="8800"/>
    <cellStyle name="Normal 2 3 9 3 2" xfId="8801"/>
    <cellStyle name="Normal 2 3 9 3 2 2" xfId="8802"/>
    <cellStyle name="Normal 2 3 9 3 2 2 2" xfId="38887"/>
    <cellStyle name="Normal 2 3 9 3 2 3" xfId="38888"/>
    <cellStyle name="Normal 2 3 9 3 3" xfId="8803"/>
    <cellStyle name="Normal 2 3 9 3 3 2" xfId="38889"/>
    <cellStyle name="Normal 2 3 9 3 4" xfId="38890"/>
    <cellStyle name="Normal 2 3 9 4" xfId="8804"/>
    <cellStyle name="Normal 2 3 9 4 2" xfId="8805"/>
    <cellStyle name="Normal 2 3 9 4 2 2" xfId="8806"/>
    <cellStyle name="Normal 2 3 9 4 2 2 2" xfId="38891"/>
    <cellStyle name="Normal 2 3 9 4 2 3" xfId="38892"/>
    <cellStyle name="Normal 2 3 9 4 3" xfId="8807"/>
    <cellStyle name="Normal 2 3 9 4 3 2" xfId="38893"/>
    <cellStyle name="Normal 2 3 9 4 4" xfId="38894"/>
    <cellStyle name="Normal 2 3 9 5" xfId="8808"/>
    <cellStyle name="Normal 2 3 9 5 2" xfId="8809"/>
    <cellStyle name="Normal 2 3 9 5 2 2" xfId="38895"/>
    <cellStyle name="Normal 2 3 9 5 3" xfId="38896"/>
    <cellStyle name="Normal 2 3 9 6" xfId="8810"/>
    <cellStyle name="Normal 2 3 9 6 2" xfId="38897"/>
    <cellStyle name="Normal 2 3 9 7" xfId="8811"/>
    <cellStyle name="Normal 2 3 9 7 2" xfId="38898"/>
    <cellStyle name="Normal 2 3 9 8" xfId="38899"/>
    <cellStyle name="Normal 2 30" xfId="8812"/>
    <cellStyle name="Normal 2 30 2" xfId="8813"/>
    <cellStyle name="Normal 2 30 2 2" xfId="8814"/>
    <cellStyle name="Normal 2 30 2 2 2" xfId="8815"/>
    <cellStyle name="Normal 2 30 2 2 2 2" xfId="38900"/>
    <cellStyle name="Normal 2 30 2 2 3" xfId="38901"/>
    <cellStyle name="Normal 2 30 2 3" xfId="8816"/>
    <cellStyle name="Normal 2 30 2 3 2" xfId="38902"/>
    <cellStyle name="Normal 2 30 2 4" xfId="38903"/>
    <cellStyle name="Normal 2 30 3" xfId="8817"/>
    <cellStyle name="Normal 2 30 3 2" xfId="8818"/>
    <cellStyle name="Normal 2 30 3 2 2" xfId="8819"/>
    <cellStyle name="Normal 2 30 3 2 2 2" xfId="38904"/>
    <cellStyle name="Normal 2 30 3 2 3" xfId="38905"/>
    <cellStyle name="Normal 2 30 3 3" xfId="8820"/>
    <cellStyle name="Normal 2 30 3 3 2" xfId="38906"/>
    <cellStyle name="Normal 2 30 3 4" xfId="38907"/>
    <cellStyle name="Normal 2 30 4" xfId="8821"/>
    <cellStyle name="Normal 2 30 4 2" xfId="8822"/>
    <cellStyle name="Normal 2 30 4 2 2" xfId="8823"/>
    <cellStyle name="Normal 2 30 4 2 2 2" xfId="38908"/>
    <cellStyle name="Normal 2 30 4 2 3" xfId="38909"/>
    <cellStyle name="Normal 2 30 4 3" xfId="8824"/>
    <cellStyle name="Normal 2 30 4 3 2" xfId="38910"/>
    <cellStyle name="Normal 2 30 4 4" xfId="38911"/>
    <cellStyle name="Normal 2 30 5" xfId="8825"/>
    <cellStyle name="Normal 2 30 5 2" xfId="8826"/>
    <cellStyle name="Normal 2 30 5 2 2" xfId="38912"/>
    <cellStyle name="Normal 2 30 5 3" xfId="38913"/>
    <cellStyle name="Normal 2 30 6" xfId="8827"/>
    <cellStyle name="Normal 2 30 6 2" xfId="38914"/>
    <cellStyle name="Normal 2 30 7" xfId="8828"/>
    <cellStyle name="Normal 2 30 7 2" xfId="38915"/>
    <cellStyle name="Normal 2 30 8" xfId="38916"/>
    <cellStyle name="Normal 2 31" xfId="8829"/>
    <cellStyle name="Normal 2 31 2" xfId="8830"/>
    <cellStyle name="Normal 2 31 2 2" xfId="8831"/>
    <cellStyle name="Normal 2 31 2 2 2" xfId="8832"/>
    <cellStyle name="Normal 2 31 2 2 2 2" xfId="38917"/>
    <cellStyle name="Normal 2 31 2 2 3" xfId="38918"/>
    <cellStyle name="Normal 2 31 2 3" xfId="8833"/>
    <cellStyle name="Normal 2 31 2 3 2" xfId="38919"/>
    <cellStyle name="Normal 2 31 2 4" xfId="38920"/>
    <cellStyle name="Normal 2 31 3" xfId="8834"/>
    <cellStyle name="Normal 2 31 3 2" xfId="8835"/>
    <cellStyle name="Normal 2 31 3 2 2" xfId="8836"/>
    <cellStyle name="Normal 2 31 3 2 2 2" xfId="38921"/>
    <cellStyle name="Normal 2 31 3 2 3" xfId="38922"/>
    <cellStyle name="Normal 2 31 3 3" xfId="8837"/>
    <cellStyle name="Normal 2 31 3 3 2" xfId="38923"/>
    <cellStyle name="Normal 2 31 3 4" xfId="38924"/>
    <cellStyle name="Normal 2 31 4" xfId="8838"/>
    <cellStyle name="Normal 2 31 4 2" xfId="8839"/>
    <cellStyle name="Normal 2 31 4 2 2" xfId="8840"/>
    <cellStyle name="Normal 2 31 4 2 2 2" xfId="38925"/>
    <cellStyle name="Normal 2 31 4 2 3" xfId="38926"/>
    <cellStyle name="Normal 2 31 4 3" xfId="8841"/>
    <cellStyle name="Normal 2 31 4 3 2" xfId="38927"/>
    <cellStyle name="Normal 2 31 4 4" xfId="38928"/>
    <cellStyle name="Normal 2 31 5" xfId="8842"/>
    <cellStyle name="Normal 2 31 5 2" xfId="8843"/>
    <cellStyle name="Normal 2 31 5 2 2" xfId="38929"/>
    <cellStyle name="Normal 2 31 5 3" xfId="38930"/>
    <cellStyle name="Normal 2 31 6" xfId="8844"/>
    <cellStyle name="Normal 2 31 6 2" xfId="38931"/>
    <cellStyle name="Normal 2 31 7" xfId="8845"/>
    <cellStyle name="Normal 2 31 7 2" xfId="38932"/>
    <cellStyle name="Normal 2 31 8" xfId="38933"/>
    <cellStyle name="Normal 2 32" xfId="8846"/>
    <cellStyle name="Normal 2 32 2" xfId="8847"/>
    <cellStyle name="Normal 2 32 2 2" xfId="8848"/>
    <cellStyle name="Normal 2 32 2 2 2" xfId="8849"/>
    <cellStyle name="Normal 2 32 2 2 2 2" xfId="38934"/>
    <cellStyle name="Normal 2 32 2 2 3" xfId="38935"/>
    <cellStyle name="Normal 2 32 2 3" xfId="8850"/>
    <cellStyle name="Normal 2 32 2 3 2" xfId="38936"/>
    <cellStyle name="Normal 2 32 2 4" xfId="38937"/>
    <cellStyle name="Normal 2 32 3" xfId="8851"/>
    <cellStyle name="Normal 2 32 3 2" xfId="8852"/>
    <cellStyle name="Normal 2 32 3 2 2" xfId="8853"/>
    <cellStyle name="Normal 2 32 3 2 2 2" xfId="38938"/>
    <cellStyle name="Normal 2 32 3 2 3" xfId="38939"/>
    <cellStyle name="Normal 2 32 3 3" xfId="8854"/>
    <cellStyle name="Normal 2 32 3 3 2" xfId="38940"/>
    <cellStyle name="Normal 2 32 3 4" xfId="38941"/>
    <cellStyle name="Normal 2 32 4" xfId="8855"/>
    <cellStyle name="Normal 2 32 4 2" xfId="8856"/>
    <cellStyle name="Normal 2 32 4 2 2" xfId="8857"/>
    <cellStyle name="Normal 2 32 4 2 2 2" xfId="38942"/>
    <cellStyle name="Normal 2 32 4 2 3" xfId="38943"/>
    <cellStyle name="Normal 2 32 4 3" xfId="8858"/>
    <cellStyle name="Normal 2 32 4 3 2" xfId="38944"/>
    <cellStyle name="Normal 2 32 4 4" xfId="38945"/>
    <cellStyle name="Normal 2 32 5" xfId="8859"/>
    <cellStyle name="Normal 2 32 5 2" xfId="8860"/>
    <cellStyle name="Normal 2 32 5 2 2" xfId="38946"/>
    <cellStyle name="Normal 2 32 5 3" xfId="38947"/>
    <cellStyle name="Normal 2 32 6" xfId="8861"/>
    <cellStyle name="Normal 2 32 6 2" xfId="38948"/>
    <cellStyle name="Normal 2 32 7" xfId="8862"/>
    <cellStyle name="Normal 2 32 7 2" xfId="38949"/>
    <cellStyle name="Normal 2 32 8" xfId="38950"/>
    <cellStyle name="Normal 2 33" xfId="8863"/>
    <cellStyle name="Normal 2 33 2" xfId="8864"/>
    <cellStyle name="Normal 2 33 2 2" xfId="8865"/>
    <cellStyle name="Normal 2 33 2 2 2" xfId="8866"/>
    <cellStyle name="Normal 2 33 2 2 2 2" xfId="38951"/>
    <cellStyle name="Normal 2 33 2 2 3" xfId="38952"/>
    <cellStyle name="Normal 2 33 2 3" xfId="8867"/>
    <cellStyle name="Normal 2 33 2 3 2" xfId="38953"/>
    <cellStyle name="Normal 2 33 2 4" xfId="38954"/>
    <cellStyle name="Normal 2 33 3" xfId="8868"/>
    <cellStyle name="Normal 2 33 3 2" xfId="8869"/>
    <cellStyle name="Normal 2 33 3 2 2" xfId="8870"/>
    <cellStyle name="Normal 2 33 3 2 2 2" xfId="38955"/>
    <cellStyle name="Normal 2 33 3 2 3" xfId="38956"/>
    <cellStyle name="Normal 2 33 3 3" xfId="8871"/>
    <cellStyle name="Normal 2 33 3 3 2" xfId="38957"/>
    <cellStyle name="Normal 2 33 3 4" xfId="38958"/>
    <cellStyle name="Normal 2 33 4" xfId="8872"/>
    <cellStyle name="Normal 2 33 4 2" xfId="8873"/>
    <cellStyle name="Normal 2 33 4 2 2" xfId="8874"/>
    <cellStyle name="Normal 2 33 4 2 2 2" xfId="38959"/>
    <cellStyle name="Normal 2 33 4 2 3" xfId="38960"/>
    <cellStyle name="Normal 2 33 4 3" xfId="8875"/>
    <cellStyle name="Normal 2 33 4 3 2" xfId="38961"/>
    <cellStyle name="Normal 2 33 4 4" xfId="38962"/>
    <cellStyle name="Normal 2 33 5" xfId="8876"/>
    <cellStyle name="Normal 2 33 5 2" xfId="8877"/>
    <cellStyle name="Normal 2 33 5 2 2" xfId="38963"/>
    <cellStyle name="Normal 2 33 5 3" xfId="38964"/>
    <cellStyle name="Normal 2 33 6" xfId="8878"/>
    <cellStyle name="Normal 2 33 6 2" xfId="38965"/>
    <cellStyle name="Normal 2 33 7" xfId="8879"/>
    <cellStyle name="Normal 2 33 7 2" xfId="38966"/>
    <cellStyle name="Normal 2 33 8" xfId="38967"/>
    <cellStyle name="Normal 2 34" xfId="8880"/>
    <cellStyle name="Normal 2 34 2" xfId="8881"/>
    <cellStyle name="Normal 2 34 2 2" xfId="8882"/>
    <cellStyle name="Normal 2 34 2 2 2" xfId="8883"/>
    <cellStyle name="Normal 2 34 2 2 2 2" xfId="38968"/>
    <cellStyle name="Normal 2 34 2 2 3" xfId="38969"/>
    <cellStyle name="Normal 2 34 2 3" xfId="8884"/>
    <cellStyle name="Normal 2 34 2 3 2" xfId="38970"/>
    <cellStyle name="Normal 2 34 2 4" xfId="38971"/>
    <cellStyle name="Normal 2 34 3" xfId="8885"/>
    <cellStyle name="Normal 2 34 3 2" xfId="8886"/>
    <cellStyle name="Normal 2 34 3 2 2" xfId="8887"/>
    <cellStyle name="Normal 2 34 3 2 2 2" xfId="38972"/>
    <cellStyle name="Normal 2 34 3 2 3" xfId="38973"/>
    <cellStyle name="Normal 2 34 3 3" xfId="8888"/>
    <cellStyle name="Normal 2 34 3 3 2" xfId="38974"/>
    <cellStyle name="Normal 2 34 3 4" xfId="38975"/>
    <cellStyle name="Normal 2 34 4" xfId="8889"/>
    <cellStyle name="Normal 2 34 4 2" xfId="8890"/>
    <cellStyle name="Normal 2 34 4 2 2" xfId="8891"/>
    <cellStyle name="Normal 2 34 4 2 2 2" xfId="38976"/>
    <cellStyle name="Normal 2 34 4 2 3" xfId="38977"/>
    <cellStyle name="Normal 2 34 4 3" xfId="8892"/>
    <cellStyle name="Normal 2 34 4 3 2" xfId="38978"/>
    <cellStyle name="Normal 2 34 4 4" xfId="38979"/>
    <cellStyle name="Normal 2 34 5" xfId="8893"/>
    <cellStyle name="Normal 2 34 5 2" xfId="8894"/>
    <cellStyle name="Normal 2 34 5 2 2" xfId="38980"/>
    <cellStyle name="Normal 2 34 5 3" xfId="38981"/>
    <cellStyle name="Normal 2 34 6" xfId="8895"/>
    <cellStyle name="Normal 2 34 6 2" xfId="38982"/>
    <cellStyle name="Normal 2 34 7" xfId="8896"/>
    <cellStyle name="Normal 2 34 7 2" xfId="38983"/>
    <cellStyle name="Normal 2 34 8" xfId="38984"/>
    <cellStyle name="Normal 2 35" xfId="8897"/>
    <cellStyle name="Normal 2 35 2" xfId="8898"/>
    <cellStyle name="Normal 2 35 2 2" xfId="8899"/>
    <cellStyle name="Normal 2 35 2 2 2" xfId="8900"/>
    <cellStyle name="Normal 2 35 2 2 2 2" xfId="38985"/>
    <cellStyle name="Normal 2 35 2 2 3" xfId="38986"/>
    <cellStyle name="Normal 2 35 2 3" xfId="8901"/>
    <cellStyle name="Normal 2 35 2 3 2" xfId="38987"/>
    <cellStyle name="Normal 2 35 2 4" xfId="38988"/>
    <cellStyle name="Normal 2 35 3" xfId="8902"/>
    <cellStyle name="Normal 2 35 3 2" xfId="8903"/>
    <cellStyle name="Normal 2 35 3 2 2" xfId="8904"/>
    <cellStyle name="Normal 2 35 3 2 2 2" xfId="38989"/>
    <cellStyle name="Normal 2 35 3 2 3" xfId="38990"/>
    <cellStyle name="Normal 2 35 3 3" xfId="8905"/>
    <cellStyle name="Normal 2 35 3 3 2" xfId="38991"/>
    <cellStyle name="Normal 2 35 3 4" xfId="38992"/>
    <cellStyle name="Normal 2 35 4" xfId="8906"/>
    <cellStyle name="Normal 2 35 4 2" xfId="8907"/>
    <cellStyle name="Normal 2 35 4 2 2" xfId="8908"/>
    <cellStyle name="Normal 2 35 4 2 2 2" xfId="38993"/>
    <cellStyle name="Normal 2 35 4 2 3" xfId="38994"/>
    <cellStyle name="Normal 2 35 4 3" xfId="8909"/>
    <cellStyle name="Normal 2 35 4 3 2" xfId="38995"/>
    <cellStyle name="Normal 2 35 4 4" xfId="38996"/>
    <cellStyle name="Normal 2 35 5" xfId="8910"/>
    <cellStyle name="Normal 2 35 5 2" xfId="8911"/>
    <cellStyle name="Normal 2 35 5 2 2" xfId="38997"/>
    <cellStyle name="Normal 2 35 5 3" xfId="38998"/>
    <cellStyle name="Normal 2 35 6" xfId="8912"/>
    <cellStyle name="Normal 2 35 6 2" xfId="38999"/>
    <cellStyle name="Normal 2 35 7" xfId="8913"/>
    <cellStyle name="Normal 2 35 7 2" xfId="39000"/>
    <cellStyle name="Normal 2 35 8" xfId="39001"/>
    <cellStyle name="Normal 2 36" xfId="8914"/>
    <cellStyle name="Normal 2 36 2" xfId="8915"/>
    <cellStyle name="Normal 2 36 2 2" xfId="8916"/>
    <cellStyle name="Normal 2 36 2 2 2" xfId="8917"/>
    <cellStyle name="Normal 2 36 2 2 2 2" xfId="39002"/>
    <cellStyle name="Normal 2 36 2 2 3" xfId="39003"/>
    <cellStyle name="Normal 2 36 2 3" xfId="8918"/>
    <cellStyle name="Normal 2 36 2 3 2" xfId="39004"/>
    <cellStyle name="Normal 2 36 2 4" xfId="39005"/>
    <cellStyle name="Normal 2 36 3" xfId="8919"/>
    <cellStyle name="Normal 2 36 3 2" xfId="8920"/>
    <cellStyle name="Normal 2 36 3 2 2" xfId="8921"/>
    <cellStyle name="Normal 2 36 3 2 2 2" xfId="39006"/>
    <cellStyle name="Normal 2 36 3 2 3" xfId="39007"/>
    <cellStyle name="Normal 2 36 3 3" xfId="8922"/>
    <cellStyle name="Normal 2 36 3 3 2" xfId="39008"/>
    <cellStyle name="Normal 2 36 3 4" xfId="39009"/>
    <cellStyle name="Normal 2 36 4" xfId="8923"/>
    <cellStyle name="Normal 2 36 4 2" xfId="8924"/>
    <cellStyle name="Normal 2 36 4 2 2" xfId="8925"/>
    <cellStyle name="Normal 2 36 4 2 2 2" xfId="39010"/>
    <cellStyle name="Normal 2 36 4 2 3" xfId="39011"/>
    <cellStyle name="Normal 2 36 4 3" xfId="8926"/>
    <cellStyle name="Normal 2 36 4 3 2" xfId="39012"/>
    <cellStyle name="Normal 2 36 4 4" xfId="39013"/>
    <cellStyle name="Normal 2 36 5" xfId="8927"/>
    <cellStyle name="Normal 2 36 5 2" xfId="8928"/>
    <cellStyle name="Normal 2 36 5 2 2" xfId="39014"/>
    <cellStyle name="Normal 2 36 5 3" xfId="39015"/>
    <cellStyle name="Normal 2 36 6" xfId="8929"/>
    <cellStyle name="Normal 2 36 6 2" xfId="39016"/>
    <cellStyle name="Normal 2 36 7" xfId="8930"/>
    <cellStyle name="Normal 2 36 7 2" xfId="39017"/>
    <cellStyle name="Normal 2 36 8" xfId="39018"/>
    <cellStyle name="Normal 2 37" xfId="8931"/>
    <cellStyle name="Normal 2 37 2" xfId="8932"/>
    <cellStyle name="Normal 2 37 2 2" xfId="8933"/>
    <cellStyle name="Normal 2 37 2 2 2" xfId="39019"/>
    <cellStyle name="Normal 2 37 2 3" xfId="39020"/>
    <cellStyle name="Normal 2 37 3" xfId="8934"/>
    <cellStyle name="Normal 2 37 3 2" xfId="39021"/>
    <cellStyle name="Normal 2 37 4" xfId="39022"/>
    <cellStyle name="Normal 2 38" xfId="8935"/>
    <cellStyle name="Normal 2 38 2" xfId="8936"/>
    <cellStyle name="Normal 2 38 2 2" xfId="8937"/>
    <cellStyle name="Normal 2 38 2 2 2" xfId="39023"/>
    <cellStyle name="Normal 2 38 2 3" xfId="39024"/>
    <cellStyle name="Normal 2 38 3" xfId="8938"/>
    <cellStyle name="Normal 2 38 3 2" xfId="39025"/>
    <cellStyle name="Normal 2 38 4" xfId="39026"/>
    <cellStyle name="Normal 2 39" xfId="8939"/>
    <cellStyle name="Normal 2 39 2" xfId="8940"/>
    <cellStyle name="Normal 2 39 2 2" xfId="8941"/>
    <cellStyle name="Normal 2 39 2 2 2" xfId="39027"/>
    <cellStyle name="Normal 2 39 2 3" xfId="39028"/>
    <cellStyle name="Normal 2 39 3" xfId="8942"/>
    <cellStyle name="Normal 2 39 3 2" xfId="39029"/>
    <cellStyle name="Normal 2 39 4" xfId="39030"/>
    <cellStyle name="Normal 2 4" xfId="8943"/>
    <cellStyle name="Normal 2 4 10" xfId="8944"/>
    <cellStyle name="Normal 2 4 10 2" xfId="8945"/>
    <cellStyle name="Normal 2 4 10 2 2" xfId="8946"/>
    <cellStyle name="Normal 2 4 10 2 2 2" xfId="8947"/>
    <cellStyle name="Normal 2 4 10 2 2 2 2" xfId="39031"/>
    <cellStyle name="Normal 2 4 10 2 2 3" xfId="39032"/>
    <cellStyle name="Normal 2 4 10 2 3" xfId="8948"/>
    <cellStyle name="Normal 2 4 10 2 3 2" xfId="39033"/>
    <cellStyle name="Normal 2 4 10 2 4" xfId="39034"/>
    <cellStyle name="Normal 2 4 10 3" xfId="8949"/>
    <cellStyle name="Normal 2 4 10 3 2" xfId="8950"/>
    <cellStyle name="Normal 2 4 10 3 2 2" xfId="8951"/>
    <cellStyle name="Normal 2 4 10 3 2 2 2" xfId="39035"/>
    <cellStyle name="Normal 2 4 10 3 2 3" xfId="39036"/>
    <cellStyle name="Normal 2 4 10 3 3" xfId="8952"/>
    <cellStyle name="Normal 2 4 10 3 3 2" xfId="39037"/>
    <cellStyle name="Normal 2 4 10 3 4" xfId="39038"/>
    <cellStyle name="Normal 2 4 10 4" xfId="8953"/>
    <cellStyle name="Normal 2 4 10 4 2" xfId="8954"/>
    <cellStyle name="Normal 2 4 10 4 2 2" xfId="8955"/>
    <cellStyle name="Normal 2 4 10 4 2 2 2" xfId="39039"/>
    <cellStyle name="Normal 2 4 10 4 2 3" xfId="39040"/>
    <cellStyle name="Normal 2 4 10 4 3" xfId="8956"/>
    <cellStyle name="Normal 2 4 10 4 3 2" xfId="39041"/>
    <cellStyle name="Normal 2 4 10 4 4" xfId="39042"/>
    <cellStyle name="Normal 2 4 10 5" xfId="8957"/>
    <cellStyle name="Normal 2 4 10 5 2" xfId="8958"/>
    <cellStyle name="Normal 2 4 10 5 2 2" xfId="39043"/>
    <cellStyle name="Normal 2 4 10 5 3" xfId="39044"/>
    <cellStyle name="Normal 2 4 10 6" xfId="8959"/>
    <cellStyle name="Normal 2 4 10 6 2" xfId="39045"/>
    <cellStyle name="Normal 2 4 10 7" xfId="8960"/>
    <cellStyle name="Normal 2 4 10 7 2" xfId="39046"/>
    <cellStyle name="Normal 2 4 10 8" xfId="39047"/>
    <cellStyle name="Normal 2 4 11" xfId="8961"/>
    <cellStyle name="Normal 2 4 11 2" xfId="8962"/>
    <cellStyle name="Normal 2 4 11 2 2" xfId="8963"/>
    <cellStyle name="Normal 2 4 11 2 2 2" xfId="8964"/>
    <cellStyle name="Normal 2 4 11 2 2 2 2" xfId="39048"/>
    <cellStyle name="Normal 2 4 11 2 2 3" xfId="39049"/>
    <cellStyle name="Normal 2 4 11 2 3" xfId="8965"/>
    <cellStyle name="Normal 2 4 11 2 3 2" xfId="39050"/>
    <cellStyle name="Normal 2 4 11 2 4" xfId="39051"/>
    <cellStyle name="Normal 2 4 11 3" xfId="8966"/>
    <cellStyle name="Normal 2 4 11 3 2" xfId="8967"/>
    <cellStyle name="Normal 2 4 11 3 2 2" xfId="8968"/>
    <cellStyle name="Normal 2 4 11 3 2 2 2" xfId="39052"/>
    <cellStyle name="Normal 2 4 11 3 2 3" xfId="39053"/>
    <cellStyle name="Normal 2 4 11 3 3" xfId="8969"/>
    <cellStyle name="Normal 2 4 11 3 3 2" xfId="39054"/>
    <cellStyle name="Normal 2 4 11 3 4" xfId="39055"/>
    <cellStyle name="Normal 2 4 11 4" xfId="8970"/>
    <cellStyle name="Normal 2 4 11 4 2" xfId="8971"/>
    <cellStyle name="Normal 2 4 11 4 2 2" xfId="8972"/>
    <cellStyle name="Normal 2 4 11 4 2 2 2" xfId="39056"/>
    <cellStyle name="Normal 2 4 11 4 2 3" xfId="39057"/>
    <cellStyle name="Normal 2 4 11 4 3" xfId="8973"/>
    <cellStyle name="Normal 2 4 11 4 3 2" xfId="39058"/>
    <cellStyle name="Normal 2 4 11 4 4" xfId="39059"/>
    <cellStyle name="Normal 2 4 11 5" xfId="8974"/>
    <cellStyle name="Normal 2 4 11 5 2" xfId="8975"/>
    <cellStyle name="Normal 2 4 11 5 2 2" xfId="39060"/>
    <cellStyle name="Normal 2 4 11 5 3" xfId="39061"/>
    <cellStyle name="Normal 2 4 11 6" xfId="8976"/>
    <cellStyle name="Normal 2 4 11 6 2" xfId="39062"/>
    <cellStyle name="Normal 2 4 11 7" xfId="8977"/>
    <cellStyle name="Normal 2 4 11 7 2" xfId="39063"/>
    <cellStyle name="Normal 2 4 11 8" xfId="39064"/>
    <cellStyle name="Normal 2 4 12" xfId="8978"/>
    <cellStyle name="Normal 2 4 12 2" xfId="8979"/>
    <cellStyle name="Normal 2 4 12 2 2" xfId="8980"/>
    <cellStyle name="Normal 2 4 12 2 2 2" xfId="8981"/>
    <cellStyle name="Normal 2 4 12 2 2 2 2" xfId="39065"/>
    <cellStyle name="Normal 2 4 12 2 2 3" xfId="39066"/>
    <cellStyle name="Normal 2 4 12 2 3" xfId="8982"/>
    <cellStyle name="Normal 2 4 12 2 3 2" xfId="39067"/>
    <cellStyle name="Normal 2 4 12 2 4" xfId="39068"/>
    <cellStyle name="Normal 2 4 12 3" xfId="8983"/>
    <cellStyle name="Normal 2 4 12 3 2" xfId="8984"/>
    <cellStyle name="Normal 2 4 12 3 2 2" xfId="8985"/>
    <cellStyle name="Normal 2 4 12 3 2 2 2" xfId="39069"/>
    <cellStyle name="Normal 2 4 12 3 2 3" xfId="39070"/>
    <cellStyle name="Normal 2 4 12 3 3" xfId="8986"/>
    <cellStyle name="Normal 2 4 12 3 3 2" xfId="39071"/>
    <cellStyle name="Normal 2 4 12 3 4" xfId="39072"/>
    <cellStyle name="Normal 2 4 12 4" xfId="8987"/>
    <cellStyle name="Normal 2 4 12 4 2" xfId="8988"/>
    <cellStyle name="Normal 2 4 12 4 2 2" xfId="8989"/>
    <cellStyle name="Normal 2 4 12 4 2 2 2" xfId="39073"/>
    <cellStyle name="Normal 2 4 12 4 2 3" xfId="39074"/>
    <cellStyle name="Normal 2 4 12 4 3" xfId="8990"/>
    <cellStyle name="Normal 2 4 12 4 3 2" xfId="39075"/>
    <cellStyle name="Normal 2 4 12 4 4" xfId="39076"/>
    <cellStyle name="Normal 2 4 12 5" xfId="8991"/>
    <cellStyle name="Normal 2 4 12 5 2" xfId="8992"/>
    <cellStyle name="Normal 2 4 12 5 2 2" xfId="39077"/>
    <cellStyle name="Normal 2 4 12 5 3" xfId="39078"/>
    <cellStyle name="Normal 2 4 12 6" xfId="8993"/>
    <cellStyle name="Normal 2 4 12 6 2" xfId="39079"/>
    <cellStyle name="Normal 2 4 12 7" xfId="8994"/>
    <cellStyle name="Normal 2 4 12 7 2" xfId="39080"/>
    <cellStyle name="Normal 2 4 12 8" xfId="39081"/>
    <cellStyle name="Normal 2 4 13" xfId="8995"/>
    <cellStyle name="Normal 2 4 13 2" xfId="8996"/>
    <cellStyle name="Normal 2 4 13 2 2" xfId="8997"/>
    <cellStyle name="Normal 2 4 13 2 2 2" xfId="8998"/>
    <cellStyle name="Normal 2 4 13 2 2 2 2" xfId="39082"/>
    <cellStyle name="Normal 2 4 13 2 2 3" xfId="39083"/>
    <cellStyle name="Normal 2 4 13 2 3" xfId="8999"/>
    <cellStyle name="Normal 2 4 13 2 3 2" xfId="39084"/>
    <cellStyle name="Normal 2 4 13 2 4" xfId="39085"/>
    <cellStyle name="Normal 2 4 13 3" xfId="9000"/>
    <cellStyle name="Normal 2 4 13 3 2" xfId="9001"/>
    <cellStyle name="Normal 2 4 13 3 2 2" xfId="9002"/>
    <cellStyle name="Normal 2 4 13 3 2 2 2" xfId="39086"/>
    <cellStyle name="Normal 2 4 13 3 2 3" xfId="39087"/>
    <cellStyle name="Normal 2 4 13 3 3" xfId="9003"/>
    <cellStyle name="Normal 2 4 13 3 3 2" xfId="39088"/>
    <cellStyle name="Normal 2 4 13 3 4" xfId="39089"/>
    <cellStyle name="Normal 2 4 13 4" xfId="9004"/>
    <cellStyle name="Normal 2 4 13 4 2" xfId="9005"/>
    <cellStyle name="Normal 2 4 13 4 2 2" xfId="9006"/>
    <cellStyle name="Normal 2 4 13 4 2 2 2" xfId="39090"/>
    <cellStyle name="Normal 2 4 13 4 2 3" xfId="39091"/>
    <cellStyle name="Normal 2 4 13 4 3" xfId="9007"/>
    <cellStyle name="Normal 2 4 13 4 3 2" xfId="39092"/>
    <cellStyle name="Normal 2 4 13 4 4" xfId="39093"/>
    <cellStyle name="Normal 2 4 13 5" xfId="9008"/>
    <cellStyle name="Normal 2 4 13 5 2" xfId="9009"/>
    <cellStyle name="Normal 2 4 13 5 2 2" xfId="39094"/>
    <cellStyle name="Normal 2 4 13 5 3" xfId="39095"/>
    <cellStyle name="Normal 2 4 13 6" xfId="9010"/>
    <cellStyle name="Normal 2 4 13 6 2" xfId="39096"/>
    <cellStyle name="Normal 2 4 13 7" xfId="9011"/>
    <cellStyle name="Normal 2 4 13 7 2" xfId="39097"/>
    <cellStyle name="Normal 2 4 13 8" xfId="39098"/>
    <cellStyle name="Normal 2 4 14" xfId="9012"/>
    <cellStyle name="Normal 2 4 14 2" xfId="9013"/>
    <cellStyle name="Normal 2 4 14 2 2" xfId="9014"/>
    <cellStyle name="Normal 2 4 14 2 2 2" xfId="9015"/>
    <cellStyle name="Normal 2 4 14 2 2 2 2" xfId="39099"/>
    <cellStyle name="Normal 2 4 14 2 2 3" xfId="39100"/>
    <cellStyle name="Normal 2 4 14 2 3" xfId="9016"/>
    <cellStyle name="Normal 2 4 14 2 3 2" xfId="39101"/>
    <cellStyle name="Normal 2 4 14 2 4" xfId="39102"/>
    <cellStyle name="Normal 2 4 14 3" xfId="9017"/>
    <cellStyle name="Normal 2 4 14 3 2" xfId="9018"/>
    <cellStyle name="Normal 2 4 14 3 2 2" xfId="9019"/>
    <cellStyle name="Normal 2 4 14 3 2 2 2" xfId="39103"/>
    <cellStyle name="Normal 2 4 14 3 2 3" xfId="39104"/>
    <cellStyle name="Normal 2 4 14 3 3" xfId="9020"/>
    <cellStyle name="Normal 2 4 14 3 3 2" xfId="39105"/>
    <cellStyle name="Normal 2 4 14 3 4" xfId="39106"/>
    <cellStyle name="Normal 2 4 14 4" xfId="9021"/>
    <cellStyle name="Normal 2 4 14 4 2" xfId="9022"/>
    <cellStyle name="Normal 2 4 14 4 2 2" xfId="9023"/>
    <cellStyle name="Normal 2 4 14 4 2 2 2" xfId="39107"/>
    <cellStyle name="Normal 2 4 14 4 2 3" xfId="39108"/>
    <cellStyle name="Normal 2 4 14 4 3" xfId="9024"/>
    <cellStyle name="Normal 2 4 14 4 3 2" xfId="39109"/>
    <cellStyle name="Normal 2 4 14 4 4" xfId="39110"/>
    <cellStyle name="Normal 2 4 14 5" xfId="9025"/>
    <cellStyle name="Normal 2 4 14 5 2" xfId="9026"/>
    <cellStyle name="Normal 2 4 14 5 2 2" xfId="39111"/>
    <cellStyle name="Normal 2 4 14 5 3" xfId="39112"/>
    <cellStyle name="Normal 2 4 14 6" xfId="9027"/>
    <cellStyle name="Normal 2 4 14 6 2" xfId="39113"/>
    <cellStyle name="Normal 2 4 14 7" xfId="9028"/>
    <cellStyle name="Normal 2 4 14 7 2" xfId="39114"/>
    <cellStyle name="Normal 2 4 14 8" xfId="39115"/>
    <cellStyle name="Normal 2 4 15" xfId="9029"/>
    <cellStyle name="Normal 2 4 15 2" xfId="9030"/>
    <cellStyle name="Normal 2 4 15 2 2" xfId="9031"/>
    <cellStyle name="Normal 2 4 15 2 2 2" xfId="9032"/>
    <cellStyle name="Normal 2 4 15 2 2 2 2" xfId="39116"/>
    <cellStyle name="Normal 2 4 15 2 2 3" xfId="39117"/>
    <cellStyle name="Normal 2 4 15 2 3" xfId="9033"/>
    <cellStyle name="Normal 2 4 15 2 3 2" xfId="39118"/>
    <cellStyle name="Normal 2 4 15 2 4" xfId="39119"/>
    <cellStyle name="Normal 2 4 15 3" xfId="9034"/>
    <cellStyle name="Normal 2 4 15 3 2" xfId="9035"/>
    <cellStyle name="Normal 2 4 15 3 2 2" xfId="9036"/>
    <cellStyle name="Normal 2 4 15 3 2 2 2" xfId="39120"/>
    <cellStyle name="Normal 2 4 15 3 2 3" xfId="39121"/>
    <cellStyle name="Normal 2 4 15 3 3" xfId="9037"/>
    <cellStyle name="Normal 2 4 15 3 3 2" xfId="39122"/>
    <cellStyle name="Normal 2 4 15 3 4" xfId="39123"/>
    <cellStyle name="Normal 2 4 15 4" xfId="9038"/>
    <cellStyle name="Normal 2 4 15 4 2" xfId="9039"/>
    <cellStyle name="Normal 2 4 15 4 2 2" xfId="9040"/>
    <cellStyle name="Normal 2 4 15 4 2 2 2" xfId="39124"/>
    <cellStyle name="Normal 2 4 15 4 2 3" xfId="39125"/>
    <cellStyle name="Normal 2 4 15 4 3" xfId="9041"/>
    <cellStyle name="Normal 2 4 15 4 3 2" xfId="39126"/>
    <cellStyle name="Normal 2 4 15 4 4" xfId="39127"/>
    <cellStyle name="Normal 2 4 15 5" xfId="9042"/>
    <cellStyle name="Normal 2 4 15 5 2" xfId="9043"/>
    <cellStyle name="Normal 2 4 15 5 2 2" xfId="39128"/>
    <cellStyle name="Normal 2 4 15 5 3" xfId="39129"/>
    <cellStyle name="Normal 2 4 15 6" xfId="9044"/>
    <cellStyle name="Normal 2 4 15 6 2" xfId="39130"/>
    <cellStyle name="Normal 2 4 15 7" xfId="9045"/>
    <cellStyle name="Normal 2 4 15 7 2" xfId="39131"/>
    <cellStyle name="Normal 2 4 15 8" xfId="39132"/>
    <cellStyle name="Normal 2 4 16" xfId="9046"/>
    <cellStyle name="Normal 2 4 16 2" xfId="9047"/>
    <cellStyle name="Normal 2 4 16 2 2" xfId="9048"/>
    <cellStyle name="Normal 2 4 16 2 2 2" xfId="9049"/>
    <cellStyle name="Normal 2 4 16 2 2 2 2" xfId="39133"/>
    <cellStyle name="Normal 2 4 16 2 2 3" xfId="39134"/>
    <cellStyle name="Normal 2 4 16 2 3" xfId="9050"/>
    <cellStyle name="Normal 2 4 16 2 3 2" xfId="39135"/>
    <cellStyle name="Normal 2 4 16 2 4" xfId="39136"/>
    <cellStyle name="Normal 2 4 16 3" xfId="9051"/>
    <cellStyle name="Normal 2 4 16 3 2" xfId="9052"/>
    <cellStyle name="Normal 2 4 16 3 2 2" xfId="9053"/>
    <cellStyle name="Normal 2 4 16 3 2 2 2" xfId="39137"/>
    <cellStyle name="Normal 2 4 16 3 2 3" xfId="39138"/>
    <cellStyle name="Normal 2 4 16 3 3" xfId="9054"/>
    <cellStyle name="Normal 2 4 16 3 3 2" xfId="39139"/>
    <cellStyle name="Normal 2 4 16 3 4" xfId="39140"/>
    <cellStyle name="Normal 2 4 16 4" xfId="9055"/>
    <cellStyle name="Normal 2 4 16 4 2" xfId="9056"/>
    <cellStyle name="Normal 2 4 16 4 2 2" xfId="9057"/>
    <cellStyle name="Normal 2 4 16 4 2 2 2" xfId="39141"/>
    <cellStyle name="Normal 2 4 16 4 2 3" xfId="39142"/>
    <cellStyle name="Normal 2 4 16 4 3" xfId="9058"/>
    <cellStyle name="Normal 2 4 16 4 3 2" xfId="39143"/>
    <cellStyle name="Normal 2 4 16 4 4" xfId="39144"/>
    <cellStyle name="Normal 2 4 16 5" xfId="9059"/>
    <cellStyle name="Normal 2 4 16 5 2" xfId="9060"/>
    <cellStyle name="Normal 2 4 16 5 2 2" xfId="39145"/>
    <cellStyle name="Normal 2 4 16 5 3" xfId="39146"/>
    <cellStyle name="Normal 2 4 16 6" xfId="9061"/>
    <cellStyle name="Normal 2 4 16 6 2" xfId="39147"/>
    <cellStyle name="Normal 2 4 16 7" xfId="9062"/>
    <cellStyle name="Normal 2 4 16 7 2" xfId="39148"/>
    <cellStyle name="Normal 2 4 16 8" xfId="39149"/>
    <cellStyle name="Normal 2 4 17" xfId="9063"/>
    <cellStyle name="Normal 2 4 17 2" xfId="9064"/>
    <cellStyle name="Normal 2 4 17 2 2" xfId="9065"/>
    <cellStyle name="Normal 2 4 17 2 2 2" xfId="9066"/>
    <cellStyle name="Normal 2 4 17 2 2 2 2" xfId="39150"/>
    <cellStyle name="Normal 2 4 17 2 2 3" xfId="39151"/>
    <cellStyle name="Normal 2 4 17 2 3" xfId="9067"/>
    <cellStyle name="Normal 2 4 17 2 3 2" xfId="39152"/>
    <cellStyle name="Normal 2 4 17 2 4" xfId="39153"/>
    <cellStyle name="Normal 2 4 17 3" xfId="9068"/>
    <cellStyle name="Normal 2 4 17 3 2" xfId="9069"/>
    <cellStyle name="Normal 2 4 17 3 2 2" xfId="9070"/>
    <cellStyle name="Normal 2 4 17 3 2 2 2" xfId="39154"/>
    <cellStyle name="Normal 2 4 17 3 2 3" xfId="39155"/>
    <cellStyle name="Normal 2 4 17 3 3" xfId="9071"/>
    <cellStyle name="Normal 2 4 17 3 3 2" xfId="39156"/>
    <cellStyle name="Normal 2 4 17 3 4" xfId="39157"/>
    <cellStyle name="Normal 2 4 17 4" xfId="9072"/>
    <cellStyle name="Normal 2 4 17 4 2" xfId="9073"/>
    <cellStyle name="Normal 2 4 17 4 2 2" xfId="9074"/>
    <cellStyle name="Normal 2 4 17 4 2 2 2" xfId="39158"/>
    <cellStyle name="Normal 2 4 17 4 2 3" xfId="39159"/>
    <cellStyle name="Normal 2 4 17 4 3" xfId="9075"/>
    <cellStyle name="Normal 2 4 17 4 3 2" xfId="39160"/>
    <cellStyle name="Normal 2 4 17 4 4" xfId="39161"/>
    <cellStyle name="Normal 2 4 17 5" xfId="9076"/>
    <cellStyle name="Normal 2 4 17 5 2" xfId="9077"/>
    <cellStyle name="Normal 2 4 17 5 2 2" xfId="39162"/>
    <cellStyle name="Normal 2 4 17 5 3" xfId="39163"/>
    <cellStyle name="Normal 2 4 17 6" xfId="9078"/>
    <cellStyle name="Normal 2 4 17 6 2" xfId="39164"/>
    <cellStyle name="Normal 2 4 17 7" xfId="9079"/>
    <cellStyle name="Normal 2 4 17 7 2" xfId="39165"/>
    <cellStyle name="Normal 2 4 17 8" xfId="39166"/>
    <cellStyle name="Normal 2 4 18" xfId="9080"/>
    <cellStyle name="Normal 2 4 18 2" xfId="9081"/>
    <cellStyle name="Normal 2 4 18 2 2" xfId="9082"/>
    <cellStyle name="Normal 2 4 18 2 2 2" xfId="9083"/>
    <cellStyle name="Normal 2 4 18 2 2 2 2" xfId="39167"/>
    <cellStyle name="Normal 2 4 18 2 2 3" xfId="39168"/>
    <cellStyle name="Normal 2 4 18 2 3" xfId="9084"/>
    <cellStyle name="Normal 2 4 18 2 3 2" xfId="39169"/>
    <cellStyle name="Normal 2 4 18 2 4" xfId="39170"/>
    <cellStyle name="Normal 2 4 18 3" xfId="9085"/>
    <cellStyle name="Normal 2 4 18 3 2" xfId="9086"/>
    <cellStyle name="Normal 2 4 18 3 2 2" xfId="9087"/>
    <cellStyle name="Normal 2 4 18 3 2 2 2" xfId="39171"/>
    <cellStyle name="Normal 2 4 18 3 2 3" xfId="39172"/>
    <cellStyle name="Normal 2 4 18 3 3" xfId="9088"/>
    <cellStyle name="Normal 2 4 18 3 3 2" xfId="39173"/>
    <cellStyle name="Normal 2 4 18 3 4" xfId="39174"/>
    <cellStyle name="Normal 2 4 18 4" xfId="9089"/>
    <cellStyle name="Normal 2 4 18 4 2" xfId="9090"/>
    <cellStyle name="Normal 2 4 18 4 2 2" xfId="9091"/>
    <cellStyle name="Normal 2 4 18 4 2 2 2" xfId="39175"/>
    <cellStyle name="Normal 2 4 18 4 2 3" xfId="39176"/>
    <cellStyle name="Normal 2 4 18 4 3" xfId="9092"/>
    <cellStyle name="Normal 2 4 18 4 3 2" xfId="39177"/>
    <cellStyle name="Normal 2 4 18 4 4" xfId="39178"/>
    <cellStyle name="Normal 2 4 18 5" xfId="9093"/>
    <cellStyle name="Normal 2 4 18 5 2" xfId="9094"/>
    <cellStyle name="Normal 2 4 18 5 2 2" xfId="39179"/>
    <cellStyle name="Normal 2 4 18 5 3" xfId="39180"/>
    <cellStyle name="Normal 2 4 18 6" xfId="9095"/>
    <cellStyle name="Normal 2 4 18 6 2" xfId="39181"/>
    <cellStyle name="Normal 2 4 18 7" xfId="9096"/>
    <cellStyle name="Normal 2 4 18 7 2" xfId="39182"/>
    <cellStyle name="Normal 2 4 18 8" xfId="39183"/>
    <cellStyle name="Normal 2 4 19" xfId="9097"/>
    <cellStyle name="Normal 2 4 19 2" xfId="9098"/>
    <cellStyle name="Normal 2 4 19 2 2" xfId="9099"/>
    <cellStyle name="Normal 2 4 19 2 2 2" xfId="9100"/>
    <cellStyle name="Normal 2 4 19 2 2 2 2" xfId="39184"/>
    <cellStyle name="Normal 2 4 19 2 2 3" xfId="39185"/>
    <cellStyle name="Normal 2 4 19 2 3" xfId="9101"/>
    <cellStyle name="Normal 2 4 19 2 3 2" xfId="39186"/>
    <cellStyle name="Normal 2 4 19 2 4" xfId="39187"/>
    <cellStyle name="Normal 2 4 19 3" xfId="9102"/>
    <cellStyle name="Normal 2 4 19 3 2" xfId="9103"/>
    <cellStyle name="Normal 2 4 19 3 2 2" xfId="9104"/>
    <cellStyle name="Normal 2 4 19 3 2 2 2" xfId="39188"/>
    <cellStyle name="Normal 2 4 19 3 2 3" xfId="39189"/>
    <cellStyle name="Normal 2 4 19 3 3" xfId="9105"/>
    <cellStyle name="Normal 2 4 19 3 3 2" xfId="39190"/>
    <cellStyle name="Normal 2 4 19 3 4" xfId="39191"/>
    <cellStyle name="Normal 2 4 19 4" xfId="9106"/>
    <cellStyle name="Normal 2 4 19 4 2" xfId="9107"/>
    <cellStyle name="Normal 2 4 19 4 2 2" xfId="9108"/>
    <cellStyle name="Normal 2 4 19 4 2 2 2" xfId="39192"/>
    <cellStyle name="Normal 2 4 19 4 2 3" xfId="39193"/>
    <cellStyle name="Normal 2 4 19 4 3" xfId="9109"/>
    <cellStyle name="Normal 2 4 19 4 3 2" xfId="39194"/>
    <cellStyle name="Normal 2 4 19 4 4" xfId="39195"/>
    <cellStyle name="Normal 2 4 19 5" xfId="9110"/>
    <cellStyle name="Normal 2 4 19 5 2" xfId="9111"/>
    <cellStyle name="Normal 2 4 19 5 2 2" xfId="39196"/>
    <cellStyle name="Normal 2 4 19 5 3" xfId="39197"/>
    <cellStyle name="Normal 2 4 19 6" xfId="9112"/>
    <cellStyle name="Normal 2 4 19 6 2" xfId="39198"/>
    <cellStyle name="Normal 2 4 19 7" xfId="9113"/>
    <cellStyle name="Normal 2 4 19 7 2" xfId="39199"/>
    <cellStyle name="Normal 2 4 19 8" xfId="39200"/>
    <cellStyle name="Normal 2 4 2" xfId="9114"/>
    <cellStyle name="Normal 2 4 2 2" xfId="9115"/>
    <cellStyle name="Normal 2 4 2 2 2" xfId="9116"/>
    <cellStyle name="Normal 2 4 2 2 2 2" xfId="9117"/>
    <cellStyle name="Normal 2 4 2 2 2 2 2" xfId="39201"/>
    <cellStyle name="Normal 2 4 2 2 2 3" xfId="39202"/>
    <cellStyle name="Normal 2 4 2 2 3" xfId="9118"/>
    <cellStyle name="Normal 2 4 2 2 3 2" xfId="39203"/>
    <cellStyle name="Normal 2 4 2 2 4" xfId="39204"/>
    <cellStyle name="Normal 2 4 2 3" xfId="9119"/>
    <cellStyle name="Normal 2 4 2 3 2" xfId="9120"/>
    <cellStyle name="Normal 2 4 2 3 2 2" xfId="9121"/>
    <cellStyle name="Normal 2 4 2 3 2 2 2" xfId="39205"/>
    <cellStyle name="Normal 2 4 2 3 2 3" xfId="39206"/>
    <cellStyle name="Normal 2 4 2 3 3" xfId="9122"/>
    <cellStyle name="Normal 2 4 2 3 3 2" xfId="39207"/>
    <cellStyle name="Normal 2 4 2 3 4" xfId="39208"/>
    <cellStyle name="Normal 2 4 2 4" xfId="9123"/>
    <cellStyle name="Normal 2 4 2 4 2" xfId="9124"/>
    <cellStyle name="Normal 2 4 2 4 2 2" xfId="9125"/>
    <cellStyle name="Normal 2 4 2 4 2 2 2" xfId="39209"/>
    <cellStyle name="Normal 2 4 2 4 2 3" xfId="39210"/>
    <cellStyle name="Normal 2 4 2 4 3" xfId="9126"/>
    <cellStyle name="Normal 2 4 2 4 3 2" xfId="39211"/>
    <cellStyle name="Normal 2 4 2 4 4" xfId="39212"/>
    <cellStyle name="Normal 2 4 2 5" xfId="9127"/>
    <cellStyle name="Normal 2 4 2 5 2" xfId="9128"/>
    <cellStyle name="Normal 2 4 2 5 2 2" xfId="39213"/>
    <cellStyle name="Normal 2 4 2 5 3" xfId="39214"/>
    <cellStyle name="Normal 2 4 2 6" xfId="9129"/>
    <cellStyle name="Normal 2 4 2 6 2" xfId="39215"/>
    <cellStyle name="Normal 2 4 2 7" xfId="9130"/>
    <cellStyle name="Normal 2 4 2 7 2" xfId="39216"/>
    <cellStyle name="Normal 2 4 2 8" xfId="39217"/>
    <cellStyle name="Normal 2 4 20" xfId="9131"/>
    <cellStyle name="Normal 2 4 20 2" xfId="9132"/>
    <cellStyle name="Normal 2 4 20 2 2" xfId="9133"/>
    <cellStyle name="Normal 2 4 20 2 2 2" xfId="9134"/>
    <cellStyle name="Normal 2 4 20 2 2 2 2" xfId="39218"/>
    <cellStyle name="Normal 2 4 20 2 2 3" xfId="39219"/>
    <cellStyle name="Normal 2 4 20 2 3" xfId="9135"/>
    <cellStyle name="Normal 2 4 20 2 3 2" xfId="39220"/>
    <cellStyle name="Normal 2 4 20 2 4" xfId="39221"/>
    <cellStyle name="Normal 2 4 20 3" xfId="9136"/>
    <cellStyle name="Normal 2 4 20 3 2" xfId="9137"/>
    <cellStyle name="Normal 2 4 20 3 2 2" xfId="9138"/>
    <cellStyle name="Normal 2 4 20 3 2 2 2" xfId="39222"/>
    <cellStyle name="Normal 2 4 20 3 2 3" xfId="39223"/>
    <cellStyle name="Normal 2 4 20 3 3" xfId="9139"/>
    <cellStyle name="Normal 2 4 20 3 3 2" xfId="39224"/>
    <cellStyle name="Normal 2 4 20 3 4" xfId="39225"/>
    <cellStyle name="Normal 2 4 20 4" xfId="9140"/>
    <cellStyle name="Normal 2 4 20 4 2" xfId="9141"/>
    <cellStyle name="Normal 2 4 20 4 2 2" xfId="9142"/>
    <cellStyle name="Normal 2 4 20 4 2 2 2" xfId="39226"/>
    <cellStyle name="Normal 2 4 20 4 2 3" xfId="39227"/>
    <cellStyle name="Normal 2 4 20 4 3" xfId="9143"/>
    <cellStyle name="Normal 2 4 20 4 3 2" xfId="39228"/>
    <cellStyle name="Normal 2 4 20 4 4" xfId="39229"/>
    <cellStyle name="Normal 2 4 20 5" xfId="9144"/>
    <cellStyle name="Normal 2 4 20 5 2" xfId="9145"/>
    <cellStyle name="Normal 2 4 20 5 2 2" xfId="39230"/>
    <cellStyle name="Normal 2 4 20 5 3" xfId="39231"/>
    <cellStyle name="Normal 2 4 20 6" xfId="9146"/>
    <cellStyle name="Normal 2 4 20 6 2" xfId="39232"/>
    <cellStyle name="Normal 2 4 20 7" xfId="9147"/>
    <cellStyle name="Normal 2 4 20 7 2" xfId="39233"/>
    <cellStyle name="Normal 2 4 20 8" xfId="39234"/>
    <cellStyle name="Normal 2 4 21" xfId="9148"/>
    <cellStyle name="Normal 2 4 21 2" xfId="9149"/>
    <cellStyle name="Normal 2 4 21 2 2" xfId="9150"/>
    <cellStyle name="Normal 2 4 21 2 2 2" xfId="9151"/>
    <cellStyle name="Normal 2 4 21 2 2 2 2" xfId="39235"/>
    <cellStyle name="Normal 2 4 21 2 2 3" xfId="39236"/>
    <cellStyle name="Normal 2 4 21 2 3" xfId="9152"/>
    <cellStyle name="Normal 2 4 21 2 3 2" xfId="39237"/>
    <cellStyle name="Normal 2 4 21 2 4" xfId="39238"/>
    <cellStyle name="Normal 2 4 21 3" xfId="9153"/>
    <cellStyle name="Normal 2 4 21 3 2" xfId="9154"/>
    <cellStyle name="Normal 2 4 21 3 2 2" xfId="9155"/>
    <cellStyle name="Normal 2 4 21 3 2 2 2" xfId="39239"/>
    <cellStyle name="Normal 2 4 21 3 2 3" xfId="39240"/>
    <cellStyle name="Normal 2 4 21 3 3" xfId="9156"/>
    <cellStyle name="Normal 2 4 21 3 3 2" xfId="39241"/>
    <cellStyle name="Normal 2 4 21 3 4" xfId="39242"/>
    <cellStyle name="Normal 2 4 21 4" xfId="9157"/>
    <cellStyle name="Normal 2 4 21 4 2" xfId="9158"/>
    <cellStyle name="Normal 2 4 21 4 2 2" xfId="9159"/>
    <cellStyle name="Normal 2 4 21 4 2 2 2" xfId="39243"/>
    <cellStyle name="Normal 2 4 21 4 2 3" xfId="39244"/>
    <cellStyle name="Normal 2 4 21 4 3" xfId="9160"/>
    <cellStyle name="Normal 2 4 21 4 3 2" xfId="39245"/>
    <cellStyle name="Normal 2 4 21 4 4" xfId="39246"/>
    <cellStyle name="Normal 2 4 21 5" xfId="9161"/>
    <cellStyle name="Normal 2 4 21 5 2" xfId="9162"/>
    <cellStyle name="Normal 2 4 21 5 2 2" xfId="39247"/>
    <cellStyle name="Normal 2 4 21 5 3" xfId="39248"/>
    <cellStyle name="Normal 2 4 21 6" xfId="9163"/>
    <cellStyle name="Normal 2 4 21 6 2" xfId="39249"/>
    <cellStyle name="Normal 2 4 21 7" xfId="9164"/>
    <cellStyle name="Normal 2 4 21 7 2" xfId="39250"/>
    <cellStyle name="Normal 2 4 21 8" xfId="39251"/>
    <cellStyle name="Normal 2 4 22" xfId="9165"/>
    <cellStyle name="Normal 2 4 22 2" xfId="9166"/>
    <cellStyle name="Normal 2 4 22 2 2" xfId="9167"/>
    <cellStyle name="Normal 2 4 22 2 2 2" xfId="9168"/>
    <cellStyle name="Normal 2 4 22 2 2 2 2" xfId="39252"/>
    <cellStyle name="Normal 2 4 22 2 2 3" xfId="39253"/>
    <cellStyle name="Normal 2 4 22 2 3" xfId="9169"/>
    <cellStyle name="Normal 2 4 22 2 3 2" xfId="39254"/>
    <cellStyle name="Normal 2 4 22 2 4" xfId="39255"/>
    <cellStyle name="Normal 2 4 22 3" xfId="9170"/>
    <cellStyle name="Normal 2 4 22 3 2" xfId="9171"/>
    <cellStyle name="Normal 2 4 22 3 2 2" xfId="9172"/>
    <cellStyle name="Normal 2 4 22 3 2 2 2" xfId="39256"/>
    <cellStyle name="Normal 2 4 22 3 2 3" xfId="39257"/>
    <cellStyle name="Normal 2 4 22 3 3" xfId="9173"/>
    <cellStyle name="Normal 2 4 22 3 3 2" xfId="39258"/>
    <cellStyle name="Normal 2 4 22 3 4" xfId="39259"/>
    <cellStyle name="Normal 2 4 22 4" xfId="9174"/>
    <cellStyle name="Normal 2 4 22 4 2" xfId="9175"/>
    <cellStyle name="Normal 2 4 22 4 2 2" xfId="9176"/>
    <cellStyle name="Normal 2 4 22 4 2 2 2" xfId="39260"/>
    <cellStyle name="Normal 2 4 22 4 2 3" xfId="39261"/>
    <cellStyle name="Normal 2 4 22 4 3" xfId="9177"/>
    <cellStyle name="Normal 2 4 22 4 3 2" xfId="39262"/>
    <cellStyle name="Normal 2 4 22 4 4" xfId="39263"/>
    <cellStyle name="Normal 2 4 22 5" xfId="9178"/>
    <cellStyle name="Normal 2 4 22 5 2" xfId="9179"/>
    <cellStyle name="Normal 2 4 22 5 2 2" xfId="39264"/>
    <cellStyle name="Normal 2 4 22 5 3" xfId="39265"/>
    <cellStyle name="Normal 2 4 22 6" xfId="9180"/>
    <cellStyle name="Normal 2 4 22 6 2" xfId="39266"/>
    <cellStyle name="Normal 2 4 22 7" xfId="9181"/>
    <cellStyle name="Normal 2 4 22 7 2" xfId="39267"/>
    <cellStyle name="Normal 2 4 22 8" xfId="39268"/>
    <cellStyle name="Normal 2 4 23" xfId="9182"/>
    <cellStyle name="Normal 2 4 23 2" xfId="9183"/>
    <cellStyle name="Normal 2 4 23 2 2" xfId="9184"/>
    <cellStyle name="Normal 2 4 23 2 2 2" xfId="9185"/>
    <cellStyle name="Normal 2 4 23 2 2 2 2" xfId="39269"/>
    <cellStyle name="Normal 2 4 23 2 2 3" xfId="39270"/>
    <cellStyle name="Normal 2 4 23 2 3" xfId="9186"/>
    <cellStyle name="Normal 2 4 23 2 3 2" xfId="39271"/>
    <cellStyle name="Normal 2 4 23 2 4" xfId="39272"/>
    <cellStyle name="Normal 2 4 23 3" xfId="9187"/>
    <cellStyle name="Normal 2 4 23 3 2" xfId="9188"/>
    <cellStyle name="Normal 2 4 23 3 2 2" xfId="9189"/>
    <cellStyle name="Normal 2 4 23 3 2 2 2" xfId="39273"/>
    <cellStyle name="Normal 2 4 23 3 2 3" xfId="39274"/>
    <cellStyle name="Normal 2 4 23 3 3" xfId="9190"/>
    <cellStyle name="Normal 2 4 23 3 3 2" xfId="39275"/>
    <cellStyle name="Normal 2 4 23 3 4" xfId="39276"/>
    <cellStyle name="Normal 2 4 23 4" xfId="9191"/>
    <cellStyle name="Normal 2 4 23 4 2" xfId="9192"/>
    <cellStyle name="Normal 2 4 23 4 2 2" xfId="9193"/>
    <cellStyle name="Normal 2 4 23 4 2 2 2" xfId="39277"/>
    <cellStyle name="Normal 2 4 23 4 2 3" xfId="39278"/>
    <cellStyle name="Normal 2 4 23 4 3" xfId="9194"/>
    <cellStyle name="Normal 2 4 23 4 3 2" xfId="39279"/>
    <cellStyle name="Normal 2 4 23 4 4" xfId="39280"/>
    <cellStyle name="Normal 2 4 23 5" xfId="9195"/>
    <cellStyle name="Normal 2 4 23 5 2" xfId="9196"/>
    <cellStyle name="Normal 2 4 23 5 2 2" xfId="39281"/>
    <cellStyle name="Normal 2 4 23 5 3" xfId="39282"/>
    <cellStyle name="Normal 2 4 23 6" xfId="9197"/>
    <cellStyle name="Normal 2 4 23 6 2" xfId="39283"/>
    <cellStyle name="Normal 2 4 23 7" xfId="9198"/>
    <cellStyle name="Normal 2 4 23 7 2" xfId="39284"/>
    <cellStyle name="Normal 2 4 23 8" xfId="39285"/>
    <cellStyle name="Normal 2 4 24" xfId="9199"/>
    <cellStyle name="Normal 2 4 24 2" xfId="9200"/>
    <cellStyle name="Normal 2 4 24 2 2" xfId="9201"/>
    <cellStyle name="Normal 2 4 24 2 2 2" xfId="9202"/>
    <cellStyle name="Normal 2 4 24 2 2 2 2" xfId="39286"/>
    <cellStyle name="Normal 2 4 24 2 2 3" xfId="39287"/>
    <cellStyle name="Normal 2 4 24 2 3" xfId="9203"/>
    <cellStyle name="Normal 2 4 24 2 3 2" xfId="39288"/>
    <cellStyle name="Normal 2 4 24 2 4" xfId="39289"/>
    <cellStyle name="Normal 2 4 24 3" xfId="9204"/>
    <cellStyle name="Normal 2 4 24 3 2" xfId="9205"/>
    <cellStyle name="Normal 2 4 24 3 2 2" xfId="9206"/>
    <cellStyle name="Normal 2 4 24 3 2 2 2" xfId="39290"/>
    <cellStyle name="Normal 2 4 24 3 2 3" xfId="39291"/>
    <cellStyle name="Normal 2 4 24 3 3" xfId="9207"/>
    <cellStyle name="Normal 2 4 24 3 3 2" xfId="39292"/>
    <cellStyle name="Normal 2 4 24 3 4" xfId="39293"/>
    <cellStyle name="Normal 2 4 24 4" xfId="9208"/>
    <cellStyle name="Normal 2 4 24 4 2" xfId="9209"/>
    <cellStyle name="Normal 2 4 24 4 2 2" xfId="9210"/>
    <cellStyle name="Normal 2 4 24 4 2 2 2" xfId="39294"/>
    <cellStyle name="Normal 2 4 24 4 2 3" xfId="39295"/>
    <cellStyle name="Normal 2 4 24 4 3" xfId="9211"/>
    <cellStyle name="Normal 2 4 24 4 3 2" xfId="39296"/>
    <cellStyle name="Normal 2 4 24 4 4" xfId="39297"/>
    <cellStyle name="Normal 2 4 24 5" xfId="9212"/>
    <cellStyle name="Normal 2 4 24 5 2" xfId="9213"/>
    <cellStyle name="Normal 2 4 24 5 2 2" xfId="39298"/>
    <cellStyle name="Normal 2 4 24 5 3" xfId="39299"/>
    <cellStyle name="Normal 2 4 24 6" xfId="9214"/>
    <cellStyle name="Normal 2 4 24 6 2" xfId="39300"/>
    <cellStyle name="Normal 2 4 24 7" xfId="9215"/>
    <cellStyle name="Normal 2 4 24 7 2" xfId="39301"/>
    <cellStyle name="Normal 2 4 24 8" xfId="39302"/>
    <cellStyle name="Normal 2 4 25" xfId="9216"/>
    <cellStyle name="Normal 2 4 25 2" xfId="9217"/>
    <cellStyle name="Normal 2 4 25 2 2" xfId="9218"/>
    <cellStyle name="Normal 2 4 25 2 2 2" xfId="9219"/>
    <cellStyle name="Normal 2 4 25 2 2 2 2" xfId="39303"/>
    <cellStyle name="Normal 2 4 25 2 2 3" xfId="39304"/>
    <cellStyle name="Normal 2 4 25 2 3" xfId="9220"/>
    <cellStyle name="Normal 2 4 25 2 3 2" xfId="39305"/>
    <cellStyle name="Normal 2 4 25 2 4" xfId="39306"/>
    <cellStyle name="Normal 2 4 25 3" xfId="9221"/>
    <cellStyle name="Normal 2 4 25 3 2" xfId="9222"/>
    <cellStyle name="Normal 2 4 25 3 2 2" xfId="9223"/>
    <cellStyle name="Normal 2 4 25 3 2 2 2" xfId="39307"/>
    <cellStyle name="Normal 2 4 25 3 2 3" xfId="39308"/>
    <cellStyle name="Normal 2 4 25 3 3" xfId="9224"/>
    <cellStyle name="Normal 2 4 25 3 3 2" xfId="39309"/>
    <cellStyle name="Normal 2 4 25 3 4" xfId="39310"/>
    <cellStyle name="Normal 2 4 25 4" xfId="9225"/>
    <cellStyle name="Normal 2 4 25 4 2" xfId="9226"/>
    <cellStyle name="Normal 2 4 25 4 2 2" xfId="9227"/>
    <cellStyle name="Normal 2 4 25 4 2 2 2" xfId="39311"/>
    <cellStyle name="Normal 2 4 25 4 2 3" xfId="39312"/>
    <cellStyle name="Normal 2 4 25 4 3" xfId="9228"/>
    <cellStyle name="Normal 2 4 25 4 3 2" xfId="39313"/>
    <cellStyle name="Normal 2 4 25 4 4" xfId="39314"/>
    <cellStyle name="Normal 2 4 25 5" xfId="9229"/>
    <cellStyle name="Normal 2 4 25 5 2" xfId="9230"/>
    <cellStyle name="Normal 2 4 25 5 2 2" xfId="39315"/>
    <cellStyle name="Normal 2 4 25 5 3" xfId="39316"/>
    <cellStyle name="Normal 2 4 25 6" xfId="9231"/>
    <cellStyle name="Normal 2 4 25 6 2" xfId="39317"/>
    <cellStyle name="Normal 2 4 25 7" xfId="9232"/>
    <cellStyle name="Normal 2 4 25 7 2" xfId="39318"/>
    <cellStyle name="Normal 2 4 25 8" xfId="39319"/>
    <cellStyle name="Normal 2 4 26" xfId="9233"/>
    <cellStyle name="Normal 2 4 26 2" xfId="9234"/>
    <cellStyle name="Normal 2 4 26 2 2" xfId="9235"/>
    <cellStyle name="Normal 2 4 26 2 2 2" xfId="9236"/>
    <cellStyle name="Normal 2 4 26 2 2 2 2" xfId="39320"/>
    <cellStyle name="Normal 2 4 26 2 2 3" xfId="39321"/>
    <cellStyle name="Normal 2 4 26 2 3" xfId="9237"/>
    <cellStyle name="Normal 2 4 26 2 3 2" xfId="39322"/>
    <cellStyle name="Normal 2 4 26 2 4" xfId="39323"/>
    <cellStyle name="Normal 2 4 26 3" xfId="9238"/>
    <cellStyle name="Normal 2 4 26 3 2" xfId="9239"/>
    <cellStyle name="Normal 2 4 26 3 2 2" xfId="9240"/>
    <cellStyle name="Normal 2 4 26 3 2 2 2" xfId="39324"/>
    <cellStyle name="Normal 2 4 26 3 2 3" xfId="39325"/>
    <cellStyle name="Normal 2 4 26 3 3" xfId="9241"/>
    <cellStyle name="Normal 2 4 26 3 3 2" xfId="39326"/>
    <cellStyle name="Normal 2 4 26 3 4" xfId="39327"/>
    <cellStyle name="Normal 2 4 26 4" xfId="9242"/>
    <cellStyle name="Normal 2 4 26 4 2" xfId="9243"/>
    <cellStyle name="Normal 2 4 26 4 2 2" xfId="9244"/>
    <cellStyle name="Normal 2 4 26 4 2 2 2" xfId="39328"/>
    <cellStyle name="Normal 2 4 26 4 2 3" xfId="39329"/>
    <cellStyle name="Normal 2 4 26 4 3" xfId="9245"/>
    <cellStyle name="Normal 2 4 26 4 3 2" xfId="39330"/>
    <cellStyle name="Normal 2 4 26 4 4" xfId="39331"/>
    <cellStyle name="Normal 2 4 26 5" xfId="9246"/>
    <cellStyle name="Normal 2 4 26 5 2" xfId="9247"/>
    <cellStyle name="Normal 2 4 26 5 2 2" xfId="39332"/>
    <cellStyle name="Normal 2 4 26 5 3" xfId="39333"/>
    <cellStyle name="Normal 2 4 26 6" xfId="9248"/>
    <cellStyle name="Normal 2 4 26 6 2" xfId="39334"/>
    <cellStyle name="Normal 2 4 26 7" xfId="9249"/>
    <cellStyle name="Normal 2 4 26 7 2" xfId="39335"/>
    <cellStyle name="Normal 2 4 26 8" xfId="39336"/>
    <cellStyle name="Normal 2 4 27" xfId="9250"/>
    <cellStyle name="Normal 2 4 27 2" xfId="9251"/>
    <cellStyle name="Normal 2 4 27 2 2" xfId="9252"/>
    <cellStyle name="Normal 2 4 27 2 2 2" xfId="9253"/>
    <cellStyle name="Normal 2 4 27 2 2 2 2" xfId="39337"/>
    <cellStyle name="Normal 2 4 27 2 2 3" xfId="39338"/>
    <cellStyle name="Normal 2 4 27 2 3" xfId="9254"/>
    <cellStyle name="Normal 2 4 27 2 3 2" xfId="39339"/>
    <cellStyle name="Normal 2 4 27 2 4" xfId="39340"/>
    <cellStyle name="Normal 2 4 27 3" xfId="9255"/>
    <cellStyle name="Normal 2 4 27 3 2" xfId="9256"/>
    <cellStyle name="Normal 2 4 27 3 2 2" xfId="9257"/>
    <cellStyle name="Normal 2 4 27 3 2 2 2" xfId="39341"/>
    <cellStyle name="Normal 2 4 27 3 2 3" xfId="39342"/>
    <cellStyle name="Normal 2 4 27 3 3" xfId="9258"/>
    <cellStyle name="Normal 2 4 27 3 3 2" xfId="39343"/>
    <cellStyle name="Normal 2 4 27 3 4" xfId="39344"/>
    <cellStyle name="Normal 2 4 27 4" xfId="9259"/>
    <cellStyle name="Normal 2 4 27 4 2" xfId="9260"/>
    <cellStyle name="Normal 2 4 27 4 2 2" xfId="9261"/>
    <cellStyle name="Normal 2 4 27 4 2 2 2" xfId="39345"/>
    <cellStyle name="Normal 2 4 27 4 2 3" xfId="39346"/>
    <cellStyle name="Normal 2 4 27 4 3" xfId="9262"/>
    <cellStyle name="Normal 2 4 27 4 3 2" xfId="39347"/>
    <cellStyle name="Normal 2 4 27 4 4" xfId="39348"/>
    <cellStyle name="Normal 2 4 27 5" xfId="9263"/>
    <cellStyle name="Normal 2 4 27 5 2" xfId="9264"/>
    <cellStyle name="Normal 2 4 27 5 2 2" xfId="39349"/>
    <cellStyle name="Normal 2 4 27 5 3" xfId="39350"/>
    <cellStyle name="Normal 2 4 27 6" xfId="9265"/>
    <cellStyle name="Normal 2 4 27 6 2" xfId="39351"/>
    <cellStyle name="Normal 2 4 27 7" xfId="9266"/>
    <cellStyle name="Normal 2 4 27 7 2" xfId="39352"/>
    <cellStyle name="Normal 2 4 27 8" xfId="39353"/>
    <cellStyle name="Normal 2 4 28" xfId="9267"/>
    <cellStyle name="Normal 2 4 28 2" xfId="9268"/>
    <cellStyle name="Normal 2 4 28 2 2" xfId="9269"/>
    <cellStyle name="Normal 2 4 28 2 2 2" xfId="9270"/>
    <cellStyle name="Normal 2 4 28 2 2 2 2" xfId="39354"/>
    <cellStyle name="Normal 2 4 28 2 2 3" xfId="39355"/>
    <cellStyle name="Normal 2 4 28 2 3" xfId="9271"/>
    <cellStyle name="Normal 2 4 28 2 3 2" xfId="39356"/>
    <cellStyle name="Normal 2 4 28 2 4" xfId="39357"/>
    <cellStyle name="Normal 2 4 28 3" xfId="9272"/>
    <cellStyle name="Normal 2 4 28 3 2" xfId="9273"/>
    <cellStyle name="Normal 2 4 28 3 2 2" xfId="9274"/>
    <cellStyle name="Normal 2 4 28 3 2 2 2" xfId="39358"/>
    <cellStyle name="Normal 2 4 28 3 2 3" xfId="39359"/>
    <cellStyle name="Normal 2 4 28 3 3" xfId="9275"/>
    <cellStyle name="Normal 2 4 28 3 3 2" xfId="39360"/>
    <cellStyle name="Normal 2 4 28 3 4" xfId="39361"/>
    <cellStyle name="Normal 2 4 28 4" xfId="9276"/>
    <cellStyle name="Normal 2 4 28 4 2" xfId="9277"/>
    <cellStyle name="Normal 2 4 28 4 2 2" xfId="9278"/>
    <cellStyle name="Normal 2 4 28 4 2 2 2" xfId="39362"/>
    <cellStyle name="Normal 2 4 28 4 2 3" xfId="39363"/>
    <cellStyle name="Normal 2 4 28 4 3" xfId="9279"/>
    <cellStyle name="Normal 2 4 28 4 3 2" xfId="39364"/>
    <cellStyle name="Normal 2 4 28 4 4" xfId="39365"/>
    <cellStyle name="Normal 2 4 28 5" xfId="9280"/>
    <cellStyle name="Normal 2 4 28 5 2" xfId="9281"/>
    <cellStyle name="Normal 2 4 28 5 2 2" xfId="39366"/>
    <cellStyle name="Normal 2 4 28 5 3" xfId="39367"/>
    <cellStyle name="Normal 2 4 28 6" xfId="9282"/>
    <cellStyle name="Normal 2 4 28 6 2" xfId="39368"/>
    <cellStyle name="Normal 2 4 28 7" xfId="9283"/>
    <cellStyle name="Normal 2 4 28 7 2" xfId="39369"/>
    <cellStyle name="Normal 2 4 28 8" xfId="39370"/>
    <cellStyle name="Normal 2 4 29" xfId="9284"/>
    <cellStyle name="Normal 2 4 29 2" xfId="9285"/>
    <cellStyle name="Normal 2 4 29 2 2" xfId="9286"/>
    <cellStyle name="Normal 2 4 29 2 2 2" xfId="9287"/>
    <cellStyle name="Normal 2 4 29 2 2 2 2" xfId="39371"/>
    <cellStyle name="Normal 2 4 29 2 2 3" xfId="39372"/>
    <cellStyle name="Normal 2 4 29 2 3" xfId="9288"/>
    <cellStyle name="Normal 2 4 29 2 3 2" xfId="39373"/>
    <cellStyle name="Normal 2 4 29 2 4" xfId="39374"/>
    <cellStyle name="Normal 2 4 29 3" xfId="9289"/>
    <cellStyle name="Normal 2 4 29 3 2" xfId="9290"/>
    <cellStyle name="Normal 2 4 29 3 2 2" xfId="9291"/>
    <cellStyle name="Normal 2 4 29 3 2 2 2" xfId="39375"/>
    <cellStyle name="Normal 2 4 29 3 2 3" xfId="39376"/>
    <cellStyle name="Normal 2 4 29 3 3" xfId="9292"/>
    <cellStyle name="Normal 2 4 29 3 3 2" xfId="39377"/>
    <cellStyle name="Normal 2 4 29 3 4" xfId="39378"/>
    <cellStyle name="Normal 2 4 29 4" xfId="9293"/>
    <cellStyle name="Normal 2 4 29 4 2" xfId="9294"/>
    <cellStyle name="Normal 2 4 29 4 2 2" xfId="9295"/>
    <cellStyle name="Normal 2 4 29 4 2 2 2" xfId="39379"/>
    <cellStyle name="Normal 2 4 29 4 2 3" xfId="39380"/>
    <cellStyle name="Normal 2 4 29 4 3" xfId="9296"/>
    <cellStyle name="Normal 2 4 29 4 3 2" xfId="39381"/>
    <cellStyle name="Normal 2 4 29 4 4" xfId="39382"/>
    <cellStyle name="Normal 2 4 29 5" xfId="9297"/>
    <cellStyle name="Normal 2 4 29 5 2" xfId="9298"/>
    <cellStyle name="Normal 2 4 29 5 2 2" xfId="39383"/>
    <cellStyle name="Normal 2 4 29 5 3" xfId="39384"/>
    <cellStyle name="Normal 2 4 29 6" xfId="9299"/>
    <cellStyle name="Normal 2 4 29 6 2" xfId="39385"/>
    <cellStyle name="Normal 2 4 29 7" xfId="9300"/>
    <cellStyle name="Normal 2 4 29 7 2" xfId="39386"/>
    <cellStyle name="Normal 2 4 29 8" xfId="39387"/>
    <cellStyle name="Normal 2 4 3" xfId="9301"/>
    <cellStyle name="Normal 2 4 3 2" xfId="9302"/>
    <cellStyle name="Normal 2 4 3 2 2" xfId="9303"/>
    <cellStyle name="Normal 2 4 3 2 2 2" xfId="9304"/>
    <cellStyle name="Normal 2 4 3 2 2 2 2" xfId="39388"/>
    <cellStyle name="Normal 2 4 3 2 2 3" xfId="39389"/>
    <cellStyle name="Normal 2 4 3 2 3" xfId="9305"/>
    <cellStyle name="Normal 2 4 3 2 3 2" xfId="39390"/>
    <cellStyle name="Normal 2 4 3 2 4" xfId="39391"/>
    <cellStyle name="Normal 2 4 3 3" xfId="9306"/>
    <cellStyle name="Normal 2 4 3 3 2" xfId="9307"/>
    <cellStyle name="Normal 2 4 3 3 2 2" xfId="9308"/>
    <cellStyle name="Normal 2 4 3 3 2 2 2" xfId="39392"/>
    <cellStyle name="Normal 2 4 3 3 2 3" xfId="39393"/>
    <cellStyle name="Normal 2 4 3 3 3" xfId="9309"/>
    <cellStyle name="Normal 2 4 3 3 3 2" xfId="39394"/>
    <cellStyle name="Normal 2 4 3 3 4" xfId="39395"/>
    <cellStyle name="Normal 2 4 3 4" xfId="9310"/>
    <cellStyle name="Normal 2 4 3 4 2" xfId="9311"/>
    <cellStyle name="Normal 2 4 3 4 2 2" xfId="9312"/>
    <cellStyle name="Normal 2 4 3 4 2 2 2" xfId="39396"/>
    <cellStyle name="Normal 2 4 3 4 2 3" xfId="39397"/>
    <cellStyle name="Normal 2 4 3 4 3" xfId="9313"/>
    <cellStyle name="Normal 2 4 3 4 3 2" xfId="39398"/>
    <cellStyle name="Normal 2 4 3 4 4" xfId="39399"/>
    <cellStyle name="Normal 2 4 3 5" xfId="9314"/>
    <cellStyle name="Normal 2 4 3 5 2" xfId="9315"/>
    <cellStyle name="Normal 2 4 3 5 2 2" xfId="39400"/>
    <cellStyle name="Normal 2 4 3 5 3" xfId="39401"/>
    <cellStyle name="Normal 2 4 3 6" xfId="9316"/>
    <cellStyle name="Normal 2 4 3 6 2" xfId="39402"/>
    <cellStyle name="Normal 2 4 3 7" xfId="9317"/>
    <cellStyle name="Normal 2 4 3 7 2" xfId="39403"/>
    <cellStyle name="Normal 2 4 3 8" xfId="39404"/>
    <cellStyle name="Normal 2 4 30" xfId="9318"/>
    <cellStyle name="Normal 2 4 30 2" xfId="9319"/>
    <cellStyle name="Normal 2 4 30 2 2" xfId="9320"/>
    <cellStyle name="Normal 2 4 30 2 2 2" xfId="39405"/>
    <cellStyle name="Normal 2 4 30 2 3" xfId="39406"/>
    <cellStyle name="Normal 2 4 30 3" xfId="9321"/>
    <cellStyle name="Normal 2 4 30 3 2" xfId="39407"/>
    <cellStyle name="Normal 2 4 30 4" xfId="39408"/>
    <cellStyle name="Normal 2 4 31" xfId="9322"/>
    <cellStyle name="Normal 2 4 31 2" xfId="9323"/>
    <cellStyle name="Normal 2 4 31 2 2" xfId="9324"/>
    <cellStyle name="Normal 2 4 31 2 2 2" xfId="39409"/>
    <cellStyle name="Normal 2 4 31 2 3" xfId="39410"/>
    <cellStyle name="Normal 2 4 31 3" xfId="9325"/>
    <cellStyle name="Normal 2 4 31 3 2" xfId="39411"/>
    <cellStyle name="Normal 2 4 31 4" xfId="39412"/>
    <cellStyle name="Normal 2 4 32" xfId="9326"/>
    <cellStyle name="Normal 2 4 32 2" xfId="9327"/>
    <cellStyle name="Normal 2 4 32 2 2" xfId="9328"/>
    <cellStyle name="Normal 2 4 32 2 2 2" xfId="39413"/>
    <cellStyle name="Normal 2 4 32 2 3" xfId="39414"/>
    <cellStyle name="Normal 2 4 32 3" xfId="9329"/>
    <cellStyle name="Normal 2 4 32 3 2" xfId="39415"/>
    <cellStyle name="Normal 2 4 32 4" xfId="39416"/>
    <cellStyle name="Normal 2 4 33" xfId="9330"/>
    <cellStyle name="Normal 2 4 33 2" xfId="9331"/>
    <cellStyle name="Normal 2 4 33 2 2" xfId="39417"/>
    <cellStyle name="Normal 2 4 33 3" xfId="39418"/>
    <cellStyle name="Normal 2 4 34" xfId="9332"/>
    <cellStyle name="Normal 2 4 34 2" xfId="39419"/>
    <cellStyle name="Normal 2 4 35" xfId="9333"/>
    <cellStyle name="Normal 2 4 35 2" xfId="39420"/>
    <cellStyle name="Normal 2 4 36" xfId="39421"/>
    <cellStyle name="Normal 2 4 4" xfId="9334"/>
    <cellStyle name="Normal 2 4 4 2" xfId="9335"/>
    <cellStyle name="Normal 2 4 4 2 2" xfId="9336"/>
    <cellStyle name="Normal 2 4 4 2 2 2" xfId="9337"/>
    <cellStyle name="Normal 2 4 4 2 2 2 2" xfId="39422"/>
    <cellStyle name="Normal 2 4 4 2 2 3" xfId="39423"/>
    <cellStyle name="Normal 2 4 4 2 3" xfId="9338"/>
    <cellStyle name="Normal 2 4 4 2 3 2" xfId="39424"/>
    <cellStyle name="Normal 2 4 4 2 4" xfId="39425"/>
    <cellStyle name="Normal 2 4 4 3" xfId="9339"/>
    <cellStyle name="Normal 2 4 4 3 2" xfId="9340"/>
    <cellStyle name="Normal 2 4 4 3 2 2" xfId="9341"/>
    <cellStyle name="Normal 2 4 4 3 2 2 2" xfId="39426"/>
    <cellStyle name="Normal 2 4 4 3 2 3" xfId="39427"/>
    <cellStyle name="Normal 2 4 4 3 3" xfId="9342"/>
    <cellStyle name="Normal 2 4 4 3 3 2" xfId="39428"/>
    <cellStyle name="Normal 2 4 4 3 4" xfId="39429"/>
    <cellStyle name="Normal 2 4 4 4" xfId="9343"/>
    <cellStyle name="Normal 2 4 4 4 2" xfId="9344"/>
    <cellStyle name="Normal 2 4 4 4 2 2" xfId="9345"/>
    <cellStyle name="Normal 2 4 4 4 2 2 2" xfId="39430"/>
    <cellStyle name="Normal 2 4 4 4 2 3" xfId="39431"/>
    <cellStyle name="Normal 2 4 4 4 3" xfId="9346"/>
    <cellStyle name="Normal 2 4 4 4 3 2" xfId="39432"/>
    <cellStyle name="Normal 2 4 4 4 4" xfId="39433"/>
    <cellStyle name="Normal 2 4 4 5" xfId="9347"/>
    <cellStyle name="Normal 2 4 4 5 2" xfId="9348"/>
    <cellStyle name="Normal 2 4 4 5 2 2" xfId="39434"/>
    <cellStyle name="Normal 2 4 4 5 3" xfId="39435"/>
    <cellStyle name="Normal 2 4 4 6" xfId="9349"/>
    <cellStyle name="Normal 2 4 4 6 2" xfId="39436"/>
    <cellStyle name="Normal 2 4 4 7" xfId="9350"/>
    <cellStyle name="Normal 2 4 4 7 2" xfId="39437"/>
    <cellStyle name="Normal 2 4 4 8" xfId="39438"/>
    <cellStyle name="Normal 2 4 5" xfId="9351"/>
    <cellStyle name="Normal 2 4 5 2" xfId="9352"/>
    <cellStyle name="Normal 2 4 5 2 2" xfId="9353"/>
    <cellStyle name="Normal 2 4 5 2 2 2" xfId="9354"/>
    <cellStyle name="Normal 2 4 5 2 2 2 2" xfId="39439"/>
    <cellStyle name="Normal 2 4 5 2 2 3" xfId="39440"/>
    <cellStyle name="Normal 2 4 5 2 3" xfId="9355"/>
    <cellStyle name="Normal 2 4 5 2 3 2" xfId="39441"/>
    <cellStyle name="Normal 2 4 5 2 4" xfId="39442"/>
    <cellStyle name="Normal 2 4 5 3" xfId="9356"/>
    <cellStyle name="Normal 2 4 5 3 2" xfId="9357"/>
    <cellStyle name="Normal 2 4 5 3 2 2" xfId="9358"/>
    <cellStyle name="Normal 2 4 5 3 2 2 2" xfId="39443"/>
    <cellStyle name="Normal 2 4 5 3 2 3" xfId="39444"/>
    <cellStyle name="Normal 2 4 5 3 3" xfId="9359"/>
    <cellStyle name="Normal 2 4 5 3 3 2" xfId="39445"/>
    <cellStyle name="Normal 2 4 5 3 4" xfId="39446"/>
    <cellStyle name="Normal 2 4 5 4" xfId="9360"/>
    <cellStyle name="Normal 2 4 5 4 2" xfId="9361"/>
    <cellStyle name="Normal 2 4 5 4 2 2" xfId="9362"/>
    <cellStyle name="Normal 2 4 5 4 2 2 2" xfId="39447"/>
    <cellStyle name="Normal 2 4 5 4 2 3" xfId="39448"/>
    <cellStyle name="Normal 2 4 5 4 3" xfId="9363"/>
    <cellStyle name="Normal 2 4 5 4 3 2" xfId="39449"/>
    <cellStyle name="Normal 2 4 5 4 4" xfId="39450"/>
    <cellStyle name="Normal 2 4 5 5" xfId="9364"/>
    <cellStyle name="Normal 2 4 5 5 2" xfId="9365"/>
    <cellStyle name="Normal 2 4 5 5 2 2" xfId="39451"/>
    <cellStyle name="Normal 2 4 5 5 3" xfId="39452"/>
    <cellStyle name="Normal 2 4 5 6" xfId="9366"/>
    <cellStyle name="Normal 2 4 5 6 2" xfId="39453"/>
    <cellStyle name="Normal 2 4 5 7" xfId="9367"/>
    <cellStyle name="Normal 2 4 5 7 2" xfId="39454"/>
    <cellStyle name="Normal 2 4 5 8" xfId="39455"/>
    <cellStyle name="Normal 2 4 6" xfId="9368"/>
    <cellStyle name="Normal 2 4 6 2" xfId="9369"/>
    <cellStyle name="Normal 2 4 6 2 2" xfId="9370"/>
    <cellStyle name="Normal 2 4 6 2 2 2" xfId="9371"/>
    <cellStyle name="Normal 2 4 6 2 2 2 2" xfId="39456"/>
    <cellStyle name="Normal 2 4 6 2 2 3" xfId="39457"/>
    <cellStyle name="Normal 2 4 6 2 3" xfId="9372"/>
    <cellStyle name="Normal 2 4 6 2 3 2" xfId="39458"/>
    <cellStyle name="Normal 2 4 6 2 4" xfId="39459"/>
    <cellStyle name="Normal 2 4 6 3" xfId="9373"/>
    <cellStyle name="Normal 2 4 6 3 2" xfId="9374"/>
    <cellStyle name="Normal 2 4 6 3 2 2" xfId="9375"/>
    <cellStyle name="Normal 2 4 6 3 2 2 2" xfId="39460"/>
    <cellStyle name="Normal 2 4 6 3 2 3" xfId="39461"/>
    <cellStyle name="Normal 2 4 6 3 3" xfId="9376"/>
    <cellStyle name="Normal 2 4 6 3 3 2" xfId="39462"/>
    <cellStyle name="Normal 2 4 6 3 4" xfId="39463"/>
    <cellStyle name="Normal 2 4 6 4" xfId="9377"/>
    <cellStyle name="Normal 2 4 6 4 2" xfId="9378"/>
    <cellStyle name="Normal 2 4 6 4 2 2" xfId="9379"/>
    <cellStyle name="Normal 2 4 6 4 2 2 2" xfId="39464"/>
    <cellStyle name="Normal 2 4 6 4 2 3" xfId="39465"/>
    <cellStyle name="Normal 2 4 6 4 3" xfId="9380"/>
    <cellStyle name="Normal 2 4 6 4 3 2" xfId="39466"/>
    <cellStyle name="Normal 2 4 6 4 4" xfId="39467"/>
    <cellStyle name="Normal 2 4 6 5" xfId="9381"/>
    <cellStyle name="Normal 2 4 6 5 2" xfId="9382"/>
    <cellStyle name="Normal 2 4 6 5 2 2" xfId="39468"/>
    <cellStyle name="Normal 2 4 6 5 3" xfId="39469"/>
    <cellStyle name="Normal 2 4 6 6" xfId="9383"/>
    <cellStyle name="Normal 2 4 6 6 2" xfId="39470"/>
    <cellStyle name="Normal 2 4 6 7" xfId="9384"/>
    <cellStyle name="Normal 2 4 6 7 2" xfId="39471"/>
    <cellStyle name="Normal 2 4 6 8" xfId="39472"/>
    <cellStyle name="Normal 2 4 7" xfId="9385"/>
    <cellStyle name="Normal 2 4 7 2" xfId="9386"/>
    <cellStyle name="Normal 2 4 7 2 2" xfId="9387"/>
    <cellStyle name="Normal 2 4 7 2 2 2" xfId="9388"/>
    <cellStyle name="Normal 2 4 7 2 2 2 2" xfId="39473"/>
    <cellStyle name="Normal 2 4 7 2 2 3" xfId="39474"/>
    <cellStyle name="Normal 2 4 7 2 3" xfId="9389"/>
    <cellStyle name="Normal 2 4 7 2 3 2" xfId="39475"/>
    <cellStyle name="Normal 2 4 7 2 4" xfId="39476"/>
    <cellStyle name="Normal 2 4 7 3" xfId="9390"/>
    <cellStyle name="Normal 2 4 7 3 2" xfId="9391"/>
    <cellStyle name="Normal 2 4 7 3 2 2" xfId="9392"/>
    <cellStyle name="Normal 2 4 7 3 2 2 2" xfId="39477"/>
    <cellStyle name="Normal 2 4 7 3 2 3" xfId="39478"/>
    <cellStyle name="Normal 2 4 7 3 3" xfId="9393"/>
    <cellStyle name="Normal 2 4 7 3 3 2" xfId="39479"/>
    <cellStyle name="Normal 2 4 7 3 4" xfId="39480"/>
    <cellStyle name="Normal 2 4 7 4" xfId="9394"/>
    <cellStyle name="Normal 2 4 7 4 2" xfId="9395"/>
    <cellStyle name="Normal 2 4 7 4 2 2" xfId="9396"/>
    <cellStyle name="Normal 2 4 7 4 2 2 2" xfId="39481"/>
    <cellStyle name="Normal 2 4 7 4 2 3" xfId="39482"/>
    <cellStyle name="Normal 2 4 7 4 3" xfId="9397"/>
    <cellStyle name="Normal 2 4 7 4 3 2" xfId="39483"/>
    <cellStyle name="Normal 2 4 7 4 4" xfId="39484"/>
    <cellStyle name="Normal 2 4 7 5" xfId="9398"/>
    <cellStyle name="Normal 2 4 7 5 2" xfId="9399"/>
    <cellStyle name="Normal 2 4 7 5 2 2" xfId="39485"/>
    <cellStyle name="Normal 2 4 7 5 3" xfId="39486"/>
    <cellStyle name="Normal 2 4 7 6" xfId="9400"/>
    <cellStyle name="Normal 2 4 7 6 2" xfId="39487"/>
    <cellStyle name="Normal 2 4 7 7" xfId="9401"/>
    <cellStyle name="Normal 2 4 7 7 2" xfId="39488"/>
    <cellStyle name="Normal 2 4 7 8" xfId="39489"/>
    <cellStyle name="Normal 2 4 8" xfId="9402"/>
    <cellStyle name="Normal 2 4 8 2" xfId="9403"/>
    <cellStyle name="Normal 2 4 8 2 2" xfId="9404"/>
    <cellStyle name="Normal 2 4 8 2 2 2" xfId="9405"/>
    <cellStyle name="Normal 2 4 8 2 2 2 2" xfId="39490"/>
    <cellStyle name="Normal 2 4 8 2 2 3" xfId="39491"/>
    <cellStyle name="Normal 2 4 8 2 3" xfId="9406"/>
    <cellStyle name="Normal 2 4 8 2 3 2" xfId="39492"/>
    <cellStyle name="Normal 2 4 8 2 4" xfId="39493"/>
    <cellStyle name="Normal 2 4 8 3" xfId="9407"/>
    <cellStyle name="Normal 2 4 8 3 2" xfId="9408"/>
    <cellStyle name="Normal 2 4 8 3 2 2" xfId="9409"/>
    <cellStyle name="Normal 2 4 8 3 2 2 2" xfId="39494"/>
    <cellStyle name="Normal 2 4 8 3 2 3" xfId="39495"/>
    <cellStyle name="Normal 2 4 8 3 3" xfId="9410"/>
    <cellStyle name="Normal 2 4 8 3 3 2" xfId="39496"/>
    <cellStyle name="Normal 2 4 8 3 4" xfId="39497"/>
    <cellStyle name="Normal 2 4 8 4" xfId="9411"/>
    <cellStyle name="Normal 2 4 8 4 2" xfId="9412"/>
    <cellStyle name="Normal 2 4 8 4 2 2" xfId="9413"/>
    <cellStyle name="Normal 2 4 8 4 2 2 2" xfId="39498"/>
    <cellStyle name="Normal 2 4 8 4 2 3" xfId="39499"/>
    <cellStyle name="Normal 2 4 8 4 3" xfId="9414"/>
    <cellStyle name="Normal 2 4 8 4 3 2" xfId="39500"/>
    <cellStyle name="Normal 2 4 8 4 4" xfId="39501"/>
    <cellStyle name="Normal 2 4 8 5" xfId="9415"/>
    <cellStyle name="Normal 2 4 8 5 2" xfId="9416"/>
    <cellStyle name="Normal 2 4 8 5 2 2" xfId="39502"/>
    <cellStyle name="Normal 2 4 8 5 3" xfId="39503"/>
    <cellStyle name="Normal 2 4 8 6" xfId="9417"/>
    <cellStyle name="Normal 2 4 8 6 2" xfId="39504"/>
    <cellStyle name="Normal 2 4 8 7" xfId="9418"/>
    <cellStyle name="Normal 2 4 8 7 2" xfId="39505"/>
    <cellStyle name="Normal 2 4 8 8" xfId="39506"/>
    <cellStyle name="Normal 2 4 9" xfId="9419"/>
    <cellStyle name="Normal 2 4 9 2" xfId="9420"/>
    <cellStyle name="Normal 2 4 9 2 2" xfId="9421"/>
    <cellStyle name="Normal 2 4 9 2 2 2" xfId="9422"/>
    <cellStyle name="Normal 2 4 9 2 2 2 2" xfId="39507"/>
    <cellStyle name="Normal 2 4 9 2 2 3" xfId="39508"/>
    <cellStyle name="Normal 2 4 9 2 3" xfId="9423"/>
    <cellStyle name="Normal 2 4 9 2 3 2" xfId="39509"/>
    <cellStyle name="Normal 2 4 9 2 4" xfId="39510"/>
    <cellStyle name="Normal 2 4 9 3" xfId="9424"/>
    <cellStyle name="Normal 2 4 9 3 2" xfId="9425"/>
    <cellStyle name="Normal 2 4 9 3 2 2" xfId="9426"/>
    <cellStyle name="Normal 2 4 9 3 2 2 2" xfId="39511"/>
    <cellStyle name="Normal 2 4 9 3 2 3" xfId="39512"/>
    <cellStyle name="Normal 2 4 9 3 3" xfId="9427"/>
    <cellStyle name="Normal 2 4 9 3 3 2" xfId="39513"/>
    <cellStyle name="Normal 2 4 9 3 4" xfId="39514"/>
    <cellStyle name="Normal 2 4 9 4" xfId="9428"/>
    <cellStyle name="Normal 2 4 9 4 2" xfId="9429"/>
    <cellStyle name="Normal 2 4 9 4 2 2" xfId="9430"/>
    <cellStyle name="Normal 2 4 9 4 2 2 2" xfId="39515"/>
    <cellStyle name="Normal 2 4 9 4 2 3" xfId="39516"/>
    <cellStyle name="Normal 2 4 9 4 3" xfId="9431"/>
    <cellStyle name="Normal 2 4 9 4 3 2" xfId="39517"/>
    <cellStyle name="Normal 2 4 9 4 4" xfId="39518"/>
    <cellStyle name="Normal 2 4 9 5" xfId="9432"/>
    <cellStyle name="Normal 2 4 9 5 2" xfId="9433"/>
    <cellStyle name="Normal 2 4 9 5 2 2" xfId="39519"/>
    <cellStyle name="Normal 2 4 9 5 3" xfId="39520"/>
    <cellStyle name="Normal 2 4 9 6" xfId="9434"/>
    <cellStyle name="Normal 2 4 9 6 2" xfId="39521"/>
    <cellStyle name="Normal 2 4 9 7" xfId="9435"/>
    <cellStyle name="Normal 2 4 9 7 2" xfId="39522"/>
    <cellStyle name="Normal 2 4 9 8" xfId="39523"/>
    <cellStyle name="Normal 2 40" xfId="9436"/>
    <cellStyle name="Normal 2 40 2" xfId="9437"/>
    <cellStyle name="Normal 2 40 2 2" xfId="39524"/>
    <cellStyle name="Normal 2 40 3" xfId="39525"/>
    <cellStyle name="Normal 2 41" xfId="9438"/>
    <cellStyle name="Normal 2 41 2" xfId="39526"/>
    <cellStyle name="Normal 2 42" xfId="9439"/>
    <cellStyle name="Normal 2 42 2" xfId="39527"/>
    <cellStyle name="Normal 2 43" xfId="39528"/>
    <cellStyle name="Normal 2 5" xfId="9440"/>
    <cellStyle name="Normal 2 5 10" xfId="9441"/>
    <cellStyle name="Normal 2 5 10 2" xfId="9442"/>
    <cellStyle name="Normal 2 5 10 2 2" xfId="9443"/>
    <cellStyle name="Normal 2 5 10 2 2 2" xfId="9444"/>
    <cellStyle name="Normal 2 5 10 2 2 2 2" xfId="39529"/>
    <cellStyle name="Normal 2 5 10 2 2 3" xfId="39530"/>
    <cellStyle name="Normal 2 5 10 2 3" xfId="9445"/>
    <cellStyle name="Normal 2 5 10 2 3 2" xfId="39531"/>
    <cellStyle name="Normal 2 5 10 2 4" xfId="39532"/>
    <cellStyle name="Normal 2 5 10 3" xfId="9446"/>
    <cellStyle name="Normal 2 5 10 3 2" xfId="9447"/>
    <cellStyle name="Normal 2 5 10 3 2 2" xfId="9448"/>
    <cellStyle name="Normal 2 5 10 3 2 2 2" xfId="39533"/>
    <cellStyle name="Normal 2 5 10 3 2 3" xfId="39534"/>
    <cellStyle name="Normal 2 5 10 3 3" xfId="9449"/>
    <cellStyle name="Normal 2 5 10 3 3 2" xfId="39535"/>
    <cellStyle name="Normal 2 5 10 3 4" xfId="39536"/>
    <cellStyle name="Normal 2 5 10 4" xfId="9450"/>
    <cellStyle name="Normal 2 5 10 4 2" xfId="9451"/>
    <cellStyle name="Normal 2 5 10 4 2 2" xfId="9452"/>
    <cellStyle name="Normal 2 5 10 4 2 2 2" xfId="39537"/>
    <cellStyle name="Normal 2 5 10 4 2 3" xfId="39538"/>
    <cellStyle name="Normal 2 5 10 4 3" xfId="9453"/>
    <cellStyle name="Normal 2 5 10 4 3 2" xfId="39539"/>
    <cellStyle name="Normal 2 5 10 4 4" xfId="39540"/>
    <cellStyle name="Normal 2 5 10 5" xfId="9454"/>
    <cellStyle name="Normal 2 5 10 5 2" xfId="9455"/>
    <cellStyle name="Normal 2 5 10 5 2 2" xfId="39541"/>
    <cellStyle name="Normal 2 5 10 5 3" xfId="39542"/>
    <cellStyle name="Normal 2 5 10 6" xfId="9456"/>
    <cellStyle name="Normal 2 5 10 6 2" xfId="39543"/>
    <cellStyle name="Normal 2 5 10 7" xfId="9457"/>
    <cellStyle name="Normal 2 5 10 7 2" xfId="39544"/>
    <cellStyle name="Normal 2 5 10 8" xfId="39545"/>
    <cellStyle name="Normal 2 5 11" xfId="9458"/>
    <cellStyle name="Normal 2 5 11 2" xfId="9459"/>
    <cellStyle name="Normal 2 5 11 2 2" xfId="9460"/>
    <cellStyle name="Normal 2 5 11 2 2 2" xfId="9461"/>
    <cellStyle name="Normal 2 5 11 2 2 2 2" xfId="39546"/>
    <cellStyle name="Normal 2 5 11 2 2 3" xfId="39547"/>
    <cellStyle name="Normal 2 5 11 2 3" xfId="9462"/>
    <cellStyle name="Normal 2 5 11 2 3 2" xfId="39548"/>
    <cellStyle name="Normal 2 5 11 2 4" xfId="39549"/>
    <cellStyle name="Normal 2 5 11 3" xfId="9463"/>
    <cellStyle name="Normal 2 5 11 3 2" xfId="9464"/>
    <cellStyle name="Normal 2 5 11 3 2 2" xfId="9465"/>
    <cellStyle name="Normal 2 5 11 3 2 2 2" xfId="39550"/>
    <cellStyle name="Normal 2 5 11 3 2 3" xfId="39551"/>
    <cellStyle name="Normal 2 5 11 3 3" xfId="9466"/>
    <cellStyle name="Normal 2 5 11 3 3 2" xfId="39552"/>
    <cellStyle name="Normal 2 5 11 3 4" xfId="39553"/>
    <cellStyle name="Normal 2 5 11 4" xfId="9467"/>
    <cellStyle name="Normal 2 5 11 4 2" xfId="9468"/>
    <cellStyle name="Normal 2 5 11 4 2 2" xfId="9469"/>
    <cellStyle name="Normal 2 5 11 4 2 2 2" xfId="39554"/>
    <cellStyle name="Normal 2 5 11 4 2 3" xfId="39555"/>
    <cellStyle name="Normal 2 5 11 4 3" xfId="9470"/>
    <cellStyle name="Normal 2 5 11 4 3 2" xfId="39556"/>
    <cellStyle name="Normal 2 5 11 4 4" xfId="39557"/>
    <cellStyle name="Normal 2 5 11 5" xfId="9471"/>
    <cellStyle name="Normal 2 5 11 5 2" xfId="9472"/>
    <cellStyle name="Normal 2 5 11 5 2 2" xfId="39558"/>
    <cellStyle name="Normal 2 5 11 5 3" xfId="39559"/>
    <cellStyle name="Normal 2 5 11 6" xfId="9473"/>
    <cellStyle name="Normal 2 5 11 6 2" xfId="39560"/>
    <cellStyle name="Normal 2 5 11 7" xfId="9474"/>
    <cellStyle name="Normal 2 5 11 7 2" xfId="39561"/>
    <cellStyle name="Normal 2 5 11 8" xfId="39562"/>
    <cellStyle name="Normal 2 5 12" xfId="9475"/>
    <cellStyle name="Normal 2 5 12 2" xfId="9476"/>
    <cellStyle name="Normal 2 5 12 2 2" xfId="9477"/>
    <cellStyle name="Normal 2 5 12 2 2 2" xfId="9478"/>
    <cellStyle name="Normal 2 5 12 2 2 2 2" xfId="39563"/>
    <cellStyle name="Normal 2 5 12 2 2 3" xfId="39564"/>
    <cellStyle name="Normal 2 5 12 2 3" xfId="9479"/>
    <cellStyle name="Normal 2 5 12 2 3 2" xfId="39565"/>
    <cellStyle name="Normal 2 5 12 2 4" xfId="39566"/>
    <cellStyle name="Normal 2 5 12 3" xfId="9480"/>
    <cellStyle name="Normal 2 5 12 3 2" xfId="9481"/>
    <cellStyle name="Normal 2 5 12 3 2 2" xfId="9482"/>
    <cellStyle name="Normal 2 5 12 3 2 2 2" xfId="39567"/>
    <cellStyle name="Normal 2 5 12 3 2 3" xfId="39568"/>
    <cellStyle name="Normal 2 5 12 3 3" xfId="9483"/>
    <cellStyle name="Normal 2 5 12 3 3 2" xfId="39569"/>
    <cellStyle name="Normal 2 5 12 3 4" xfId="39570"/>
    <cellStyle name="Normal 2 5 12 4" xfId="9484"/>
    <cellStyle name="Normal 2 5 12 4 2" xfId="9485"/>
    <cellStyle name="Normal 2 5 12 4 2 2" xfId="9486"/>
    <cellStyle name="Normal 2 5 12 4 2 2 2" xfId="39571"/>
    <cellStyle name="Normal 2 5 12 4 2 3" xfId="39572"/>
    <cellStyle name="Normal 2 5 12 4 3" xfId="9487"/>
    <cellStyle name="Normal 2 5 12 4 3 2" xfId="39573"/>
    <cellStyle name="Normal 2 5 12 4 4" xfId="39574"/>
    <cellStyle name="Normal 2 5 12 5" xfId="9488"/>
    <cellStyle name="Normal 2 5 12 5 2" xfId="9489"/>
    <cellStyle name="Normal 2 5 12 5 2 2" xfId="39575"/>
    <cellStyle name="Normal 2 5 12 5 3" xfId="39576"/>
    <cellStyle name="Normal 2 5 12 6" xfId="9490"/>
    <cellStyle name="Normal 2 5 12 6 2" xfId="39577"/>
    <cellStyle name="Normal 2 5 12 7" xfId="9491"/>
    <cellStyle name="Normal 2 5 12 7 2" xfId="39578"/>
    <cellStyle name="Normal 2 5 12 8" xfId="39579"/>
    <cellStyle name="Normal 2 5 13" xfId="9492"/>
    <cellStyle name="Normal 2 5 13 2" xfId="9493"/>
    <cellStyle name="Normal 2 5 13 2 2" xfId="9494"/>
    <cellStyle name="Normal 2 5 13 2 2 2" xfId="9495"/>
    <cellStyle name="Normal 2 5 13 2 2 2 2" xfId="39580"/>
    <cellStyle name="Normal 2 5 13 2 2 3" xfId="39581"/>
    <cellStyle name="Normal 2 5 13 2 3" xfId="9496"/>
    <cellStyle name="Normal 2 5 13 2 3 2" xfId="39582"/>
    <cellStyle name="Normal 2 5 13 2 4" xfId="39583"/>
    <cellStyle name="Normal 2 5 13 3" xfId="9497"/>
    <cellStyle name="Normal 2 5 13 3 2" xfId="9498"/>
    <cellStyle name="Normal 2 5 13 3 2 2" xfId="9499"/>
    <cellStyle name="Normal 2 5 13 3 2 2 2" xfId="39584"/>
    <cellStyle name="Normal 2 5 13 3 2 3" xfId="39585"/>
    <cellStyle name="Normal 2 5 13 3 3" xfId="9500"/>
    <cellStyle name="Normal 2 5 13 3 3 2" xfId="39586"/>
    <cellStyle name="Normal 2 5 13 3 4" xfId="39587"/>
    <cellStyle name="Normal 2 5 13 4" xfId="9501"/>
    <cellStyle name="Normal 2 5 13 4 2" xfId="9502"/>
    <cellStyle name="Normal 2 5 13 4 2 2" xfId="9503"/>
    <cellStyle name="Normal 2 5 13 4 2 2 2" xfId="39588"/>
    <cellStyle name="Normal 2 5 13 4 2 3" xfId="39589"/>
    <cellStyle name="Normal 2 5 13 4 3" xfId="9504"/>
    <cellStyle name="Normal 2 5 13 4 3 2" xfId="39590"/>
    <cellStyle name="Normal 2 5 13 4 4" xfId="39591"/>
    <cellStyle name="Normal 2 5 13 5" xfId="9505"/>
    <cellStyle name="Normal 2 5 13 5 2" xfId="9506"/>
    <cellStyle name="Normal 2 5 13 5 2 2" xfId="39592"/>
    <cellStyle name="Normal 2 5 13 5 3" xfId="39593"/>
    <cellStyle name="Normal 2 5 13 6" xfId="9507"/>
    <cellStyle name="Normal 2 5 13 6 2" xfId="39594"/>
    <cellStyle name="Normal 2 5 13 7" xfId="9508"/>
    <cellStyle name="Normal 2 5 13 7 2" xfId="39595"/>
    <cellStyle name="Normal 2 5 13 8" xfId="39596"/>
    <cellStyle name="Normal 2 5 14" xfId="9509"/>
    <cellStyle name="Normal 2 5 14 2" xfId="9510"/>
    <cellStyle name="Normal 2 5 14 2 2" xfId="9511"/>
    <cellStyle name="Normal 2 5 14 2 2 2" xfId="9512"/>
    <cellStyle name="Normal 2 5 14 2 2 2 2" xfId="39597"/>
    <cellStyle name="Normal 2 5 14 2 2 3" xfId="39598"/>
    <cellStyle name="Normal 2 5 14 2 3" xfId="9513"/>
    <cellStyle name="Normal 2 5 14 2 3 2" xfId="39599"/>
    <cellStyle name="Normal 2 5 14 2 4" xfId="39600"/>
    <cellStyle name="Normal 2 5 14 3" xfId="9514"/>
    <cellStyle name="Normal 2 5 14 3 2" xfId="9515"/>
    <cellStyle name="Normal 2 5 14 3 2 2" xfId="9516"/>
    <cellStyle name="Normal 2 5 14 3 2 2 2" xfId="39601"/>
    <cellStyle name="Normal 2 5 14 3 2 3" xfId="39602"/>
    <cellStyle name="Normal 2 5 14 3 3" xfId="9517"/>
    <cellStyle name="Normal 2 5 14 3 3 2" xfId="39603"/>
    <cellStyle name="Normal 2 5 14 3 4" xfId="39604"/>
    <cellStyle name="Normal 2 5 14 4" xfId="9518"/>
    <cellStyle name="Normal 2 5 14 4 2" xfId="9519"/>
    <cellStyle name="Normal 2 5 14 4 2 2" xfId="9520"/>
    <cellStyle name="Normal 2 5 14 4 2 2 2" xfId="39605"/>
    <cellStyle name="Normal 2 5 14 4 2 3" xfId="39606"/>
    <cellStyle name="Normal 2 5 14 4 3" xfId="9521"/>
    <cellStyle name="Normal 2 5 14 4 3 2" xfId="39607"/>
    <cellStyle name="Normal 2 5 14 4 4" xfId="39608"/>
    <cellStyle name="Normal 2 5 14 5" xfId="9522"/>
    <cellStyle name="Normal 2 5 14 5 2" xfId="9523"/>
    <cellStyle name="Normal 2 5 14 5 2 2" xfId="39609"/>
    <cellStyle name="Normal 2 5 14 5 3" xfId="39610"/>
    <cellStyle name="Normal 2 5 14 6" xfId="9524"/>
    <cellStyle name="Normal 2 5 14 6 2" xfId="39611"/>
    <cellStyle name="Normal 2 5 14 7" xfId="9525"/>
    <cellStyle name="Normal 2 5 14 7 2" xfId="39612"/>
    <cellStyle name="Normal 2 5 14 8" xfId="39613"/>
    <cellStyle name="Normal 2 5 15" xfId="9526"/>
    <cellStyle name="Normal 2 5 15 2" xfId="9527"/>
    <cellStyle name="Normal 2 5 15 2 2" xfId="9528"/>
    <cellStyle name="Normal 2 5 15 2 2 2" xfId="9529"/>
    <cellStyle name="Normal 2 5 15 2 2 2 2" xfId="39614"/>
    <cellStyle name="Normal 2 5 15 2 2 3" xfId="39615"/>
    <cellStyle name="Normal 2 5 15 2 3" xfId="9530"/>
    <cellStyle name="Normal 2 5 15 2 3 2" xfId="39616"/>
    <cellStyle name="Normal 2 5 15 2 4" xfId="39617"/>
    <cellStyle name="Normal 2 5 15 3" xfId="9531"/>
    <cellStyle name="Normal 2 5 15 3 2" xfId="9532"/>
    <cellStyle name="Normal 2 5 15 3 2 2" xfId="9533"/>
    <cellStyle name="Normal 2 5 15 3 2 2 2" xfId="39618"/>
    <cellStyle name="Normal 2 5 15 3 2 3" xfId="39619"/>
    <cellStyle name="Normal 2 5 15 3 3" xfId="9534"/>
    <cellStyle name="Normal 2 5 15 3 3 2" xfId="39620"/>
    <cellStyle name="Normal 2 5 15 3 4" xfId="39621"/>
    <cellStyle name="Normal 2 5 15 4" xfId="9535"/>
    <cellStyle name="Normal 2 5 15 4 2" xfId="9536"/>
    <cellStyle name="Normal 2 5 15 4 2 2" xfId="9537"/>
    <cellStyle name="Normal 2 5 15 4 2 2 2" xfId="39622"/>
    <cellStyle name="Normal 2 5 15 4 2 3" xfId="39623"/>
    <cellStyle name="Normal 2 5 15 4 3" xfId="9538"/>
    <cellStyle name="Normal 2 5 15 4 3 2" xfId="39624"/>
    <cellStyle name="Normal 2 5 15 4 4" xfId="39625"/>
    <cellStyle name="Normal 2 5 15 5" xfId="9539"/>
    <cellStyle name="Normal 2 5 15 5 2" xfId="9540"/>
    <cellStyle name="Normal 2 5 15 5 2 2" xfId="39626"/>
    <cellStyle name="Normal 2 5 15 5 3" xfId="39627"/>
    <cellStyle name="Normal 2 5 15 6" xfId="9541"/>
    <cellStyle name="Normal 2 5 15 6 2" xfId="39628"/>
    <cellStyle name="Normal 2 5 15 7" xfId="9542"/>
    <cellStyle name="Normal 2 5 15 7 2" xfId="39629"/>
    <cellStyle name="Normal 2 5 15 8" xfId="39630"/>
    <cellStyle name="Normal 2 5 16" xfId="9543"/>
    <cellStyle name="Normal 2 5 16 2" xfId="9544"/>
    <cellStyle name="Normal 2 5 16 2 2" xfId="9545"/>
    <cellStyle name="Normal 2 5 16 2 2 2" xfId="9546"/>
    <cellStyle name="Normal 2 5 16 2 2 2 2" xfId="39631"/>
    <cellStyle name="Normal 2 5 16 2 2 3" xfId="39632"/>
    <cellStyle name="Normal 2 5 16 2 3" xfId="9547"/>
    <cellStyle name="Normal 2 5 16 2 3 2" xfId="39633"/>
    <cellStyle name="Normal 2 5 16 2 4" xfId="39634"/>
    <cellStyle name="Normal 2 5 16 3" xfId="9548"/>
    <cellStyle name="Normal 2 5 16 3 2" xfId="9549"/>
    <cellStyle name="Normal 2 5 16 3 2 2" xfId="9550"/>
    <cellStyle name="Normal 2 5 16 3 2 2 2" xfId="39635"/>
    <cellStyle name="Normal 2 5 16 3 2 3" xfId="39636"/>
    <cellStyle name="Normal 2 5 16 3 3" xfId="9551"/>
    <cellStyle name="Normal 2 5 16 3 3 2" xfId="39637"/>
    <cellStyle name="Normal 2 5 16 3 4" xfId="39638"/>
    <cellStyle name="Normal 2 5 16 4" xfId="9552"/>
    <cellStyle name="Normal 2 5 16 4 2" xfId="9553"/>
    <cellStyle name="Normal 2 5 16 4 2 2" xfId="9554"/>
    <cellStyle name="Normal 2 5 16 4 2 2 2" xfId="39639"/>
    <cellStyle name="Normal 2 5 16 4 2 3" xfId="39640"/>
    <cellStyle name="Normal 2 5 16 4 3" xfId="9555"/>
    <cellStyle name="Normal 2 5 16 4 3 2" xfId="39641"/>
    <cellStyle name="Normal 2 5 16 4 4" xfId="39642"/>
    <cellStyle name="Normal 2 5 16 5" xfId="9556"/>
    <cellStyle name="Normal 2 5 16 5 2" xfId="9557"/>
    <cellStyle name="Normal 2 5 16 5 2 2" xfId="39643"/>
    <cellStyle name="Normal 2 5 16 5 3" xfId="39644"/>
    <cellStyle name="Normal 2 5 16 6" xfId="9558"/>
    <cellStyle name="Normal 2 5 16 6 2" xfId="39645"/>
    <cellStyle name="Normal 2 5 16 7" xfId="9559"/>
    <cellStyle name="Normal 2 5 16 7 2" xfId="39646"/>
    <cellStyle name="Normal 2 5 16 8" xfId="39647"/>
    <cellStyle name="Normal 2 5 17" xfId="9560"/>
    <cellStyle name="Normal 2 5 17 2" xfId="9561"/>
    <cellStyle name="Normal 2 5 17 2 2" xfId="9562"/>
    <cellStyle name="Normal 2 5 17 2 2 2" xfId="9563"/>
    <cellStyle name="Normal 2 5 17 2 2 2 2" xfId="39648"/>
    <cellStyle name="Normal 2 5 17 2 2 3" xfId="39649"/>
    <cellStyle name="Normal 2 5 17 2 3" xfId="9564"/>
    <cellStyle name="Normal 2 5 17 2 3 2" xfId="39650"/>
    <cellStyle name="Normal 2 5 17 2 4" xfId="39651"/>
    <cellStyle name="Normal 2 5 17 3" xfId="9565"/>
    <cellStyle name="Normal 2 5 17 3 2" xfId="9566"/>
    <cellStyle name="Normal 2 5 17 3 2 2" xfId="9567"/>
    <cellStyle name="Normal 2 5 17 3 2 2 2" xfId="39652"/>
    <cellStyle name="Normal 2 5 17 3 2 3" xfId="39653"/>
    <cellStyle name="Normal 2 5 17 3 3" xfId="9568"/>
    <cellStyle name="Normal 2 5 17 3 3 2" xfId="39654"/>
    <cellStyle name="Normal 2 5 17 3 4" xfId="39655"/>
    <cellStyle name="Normal 2 5 17 4" xfId="9569"/>
    <cellStyle name="Normal 2 5 17 4 2" xfId="9570"/>
    <cellStyle name="Normal 2 5 17 4 2 2" xfId="9571"/>
    <cellStyle name="Normal 2 5 17 4 2 2 2" xfId="39656"/>
    <cellStyle name="Normal 2 5 17 4 2 3" xfId="39657"/>
    <cellStyle name="Normal 2 5 17 4 3" xfId="9572"/>
    <cellStyle name="Normal 2 5 17 4 3 2" xfId="39658"/>
    <cellStyle name="Normal 2 5 17 4 4" xfId="39659"/>
    <cellStyle name="Normal 2 5 17 5" xfId="9573"/>
    <cellStyle name="Normal 2 5 17 5 2" xfId="9574"/>
    <cellStyle name="Normal 2 5 17 5 2 2" xfId="39660"/>
    <cellStyle name="Normal 2 5 17 5 3" xfId="39661"/>
    <cellStyle name="Normal 2 5 17 6" xfId="9575"/>
    <cellStyle name="Normal 2 5 17 6 2" xfId="39662"/>
    <cellStyle name="Normal 2 5 17 7" xfId="9576"/>
    <cellStyle name="Normal 2 5 17 7 2" xfId="39663"/>
    <cellStyle name="Normal 2 5 17 8" xfId="39664"/>
    <cellStyle name="Normal 2 5 18" xfId="9577"/>
    <cellStyle name="Normal 2 5 18 2" xfId="9578"/>
    <cellStyle name="Normal 2 5 18 2 2" xfId="9579"/>
    <cellStyle name="Normal 2 5 18 2 2 2" xfId="9580"/>
    <cellStyle name="Normal 2 5 18 2 2 2 2" xfId="39665"/>
    <cellStyle name="Normal 2 5 18 2 2 3" xfId="39666"/>
    <cellStyle name="Normal 2 5 18 2 3" xfId="9581"/>
    <cellStyle name="Normal 2 5 18 2 3 2" xfId="39667"/>
    <cellStyle name="Normal 2 5 18 2 4" xfId="39668"/>
    <cellStyle name="Normal 2 5 18 3" xfId="9582"/>
    <cellStyle name="Normal 2 5 18 3 2" xfId="9583"/>
    <cellStyle name="Normal 2 5 18 3 2 2" xfId="9584"/>
    <cellStyle name="Normal 2 5 18 3 2 2 2" xfId="39669"/>
    <cellStyle name="Normal 2 5 18 3 2 3" xfId="39670"/>
    <cellStyle name="Normal 2 5 18 3 3" xfId="9585"/>
    <cellStyle name="Normal 2 5 18 3 3 2" xfId="39671"/>
    <cellStyle name="Normal 2 5 18 3 4" xfId="39672"/>
    <cellStyle name="Normal 2 5 18 4" xfId="9586"/>
    <cellStyle name="Normal 2 5 18 4 2" xfId="9587"/>
    <cellStyle name="Normal 2 5 18 4 2 2" xfId="9588"/>
    <cellStyle name="Normal 2 5 18 4 2 2 2" xfId="39673"/>
    <cellStyle name="Normal 2 5 18 4 2 3" xfId="39674"/>
    <cellStyle name="Normal 2 5 18 4 3" xfId="9589"/>
    <cellStyle name="Normal 2 5 18 4 3 2" xfId="39675"/>
    <cellStyle name="Normal 2 5 18 4 4" xfId="39676"/>
    <cellStyle name="Normal 2 5 18 5" xfId="9590"/>
    <cellStyle name="Normal 2 5 18 5 2" xfId="9591"/>
    <cellStyle name="Normal 2 5 18 5 2 2" xfId="39677"/>
    <cellStyle name="Normal 2 5 18 5 3" xfId="39678"/>
    <cellStyle name="Normal 2 5 18 6" xfId="9592"/>
    <cellStyle name="Normal 2 5 18 6 2" xfId="39679"/>
    <cellStyle name="Normal 2 5 18 7" xfId="9593"/>
    <cellStyle name="Normal 2 5 18 7 2" xfId="39680"/>
    <cellStyle name="Normal 2 5 18 8" xfId="39681"/>
    <cellStyle name="Normal 2 5 19" xfId="9594"/>
    <cellStyle name="Normal 2 5 19 2" xfId="9595"/>
    <cellStyle name="Normal 2 5 19 2 2" xfId="9596"/>
    <cellStyle name="Normal 2 5 19 2 2 2" xfId="9597"/>
    <cellStyle name="Normal 2 5 19 2 2 2 2" xfId="39682"/>
    <cellStyle name="Normal 2 5 19 2 2 3" xfId="39683"/>
    <cellStyle name="Normal 2 5 19 2 3" xfId="9598"/>
    <cellStyle name="Normal 2 5 19 2 3 2" xfId="39684"/>
    <cellStyle name="Normal 2 5 19 2 4" xfId="39685"/>
    <cellStyle name="Normal 2 5 19 3" xfId="9599"/>
    <cellStyle name="Normal 2 5 19 3 2" xfId="9600"/>
    <cellStyle name="Normal 2 5 19 3 2 2" xfId="9601"/>
    <cellStyle name="Normal 2 5 19 3 2 2 2" xfId="39686"/>
    <cellStyle name="Normal 2 5 19 3 2 3" xfId="39687"/>
    <cellStyle name="Normal 2 5 19 3 3" xfId="9602"/>
    <cellStyle name="Normal 2 5 19 3 3 2" xfId="39688"/>
    <cellStyle name="Normal 2 5 19 3 4" xfId="39689"/>
    <cellStyle name="Normal 2 5 19 4" xfId="9603"/>
    <cellStyle name="Normal 2 5 19 4 2" xfId="9604"/>
    <cellStyle name="Normal 2 5 19 4 2 2" xfId="9605"/>
    <cellStyle name="Normal 2 5 19 4 2 2 2" xfId="39690"/>
    <cellStyle name="Normal 2 5 19 4 2 3" xfId="39691"/>
    <cellStyle name="Normal 2 5 19 4 3" xfId="9606"/>
    <cellStyle name="Normal 2 5 19 4 3 2" xfId="39692"/>
    <cellStyle name="Normal 2 5 19 4 4" xfId="39693"/>
    <cellStyle name="Normal 2 5 19 5" xfId="9607"/>
    <cellStyle name="Normal 2 5 19 5 2" xfId="9608"/>
    <cellStyle name="Normal 2 5 19 5 2 2" xfId="39694"/>
    <cellStyle name="Normal 2 5 19 5 3" xfId="39695"/>
    <cellStyle name="Normal 2 5 19 6" xfId="9609"/>
    <cellStyle name="Normal 2 5 19 6 2" xfId="39696"/>
    <cellStyle name="Normal 2 5 19 7" xfId="9610"/>
    <cellStyle name="Normal 2 5 19 7 2" xfId="39697"/>
    <cellStyle name="Normal 2 5 19 8" xfId="39698"/>
    <cellStyle name="Normal 2 5 2" xfId="9611"/>
    <cellStyle name="Normal 2 5 2 2" xfId="9612"/>
    <cellStyle name="Normal 2 5 2 2 2" xfId="9613"/>
    <cellStyle name="Normal 2 5 2 2 2 2" xfId="9614"/>
    <cellStyle name="Normal 2 5 2 2 2 2 2" xfId="39699"/>
    <cellStyle name="Normal 2 5 2 2 2 3" xfId="39700"/>
    <cellStyle name="Normal 2 5 2 2 3" xfId="9615"/>
    <cellStyle name="Normal 2 5 2 2 3 2" xfId="39701"/>
    <cellStyle name="Normal 2 5 2 2 4" xfId="39702"/>
    <cellStyle name="Normal 2 5 2 3" xfId="9616"/>
    <cellStyle name="Normal 2 5 2 3 2" xfId="9617"/>
    <cellStyle name="Normal 2 5 2 3 2 2" xfId="9618"/>
    <cellStyle name="Normal 2 5 2 3 2 2 2" xfId="39703"/>
    <cellStyle name="Normal 2 5 2 3 2 3" xfId="39704"/>
    <cellStyle name="Normal 2 5 2 3 3" xfId="9619"/>
    <cellStyle name="Normal 2 5 2 3 3 2" xfId="39705"/>
    <cellStyle name="Normal 2 5 2 3 4" xfId="39706"/>
    <cellStyle name="Normal 2 5 2 4" xfId="9620"/>
    <cellStyle name="Normal 2 5 2 4 2" xfId="9621"/>
    <cellStyle name="Normal 2 5 2 4 2 2" xfId="9622"/>
    <cellStyle name="Normal 2 5 2 4 2 2 2" xfId="39707"/>
    <cellStyle name="Normal 2 5 2 4 2 3" xfId="39708"/>
    <cellStyle name="Normal 2 5 2 4 3" xfId="9623"/>
    <cellStyle name="Normal 2 5 2 4 3 2" xfId="39709"/>
    <cellStyle name="Normal 2 5 2 4 4" xfId="39710"/>
    <cellStyle name="Normal 2 5 2 5" xfId="9624"/>
    <cellStyle name="Normal 2 5 2 5 2" xfId="9625"/>
    <cellStyle name="Normal 2 5 2 5 2 2" xfId="39711"/>
    <cellStyle name="Normal 2 5 2 5 3" xfId="39712"/>
    <cellStyle name="Normal 2 5 2 6" xfId="9626"/>
    <cellStyle name="Normal 2 5 2 6 2" xfId="39713"/>
    <cellStyle name="Normal 2 5 2 7" xfId="9627"/>
    <cellStyle name="Normal 2 5 2 7 2" xfId="39714"/>
    <cellStyle name="Normal 2 5 2 8" xfId="39715"/>
    <cellStyle name="Normal 2 5 20" xfId="9628"/>
    <cellStyle name="Normal 2 5 20 2" xfId="9629"/>
    <cellStyle name="Normal 2 5 20 2 2" xfId="9630"/>
    <cellStyle name="Normal 2 5 20 2 2 2" xfId="9631"/>
    <cellStyle name="Normal 2 5 20 2 2 2 2" xfId="39716"/>
    <cellStyle name="Normal 2 5 20 2 2 3" xfId="39717"/>
    <cellStyle name="Normal 2 5 20 2 3" xfId="9632"/>
    <cellStyle name="Normal 2 5 20 2 3 2" xfId="39718"/>
    <cellStyle name="Normal 2 5 20 2 4" xfId="39719"/>
    <cellStyle name="Normal 2 5 20 3" xfId="9633"/>
    <cellStyle name="Normal 2 5 20 3 2" xfId="9634"/>
    <cellStyle name="Normal 2 5 20 3 2 2" xfId="9635"/>
    <cellStyle name="Normal 2 5 20 3 2 2 2" xfId="39720"/>
    <cellStyle name="Normal 2 5 20 3 2 3" xfId="39721"/>
    <cellStyle name="Normal 2 5 20 3 3" xfId="9636"/>
    <cellStyle name="Normal 2 5 20 3 3 2" xfId="39722"/>
    <cellStyle name="Normal 2 5 20 3 4" xfId="39723"/>
    <cellStyle name="Normal 2 5 20 4" xfId="9637"/>
    <cellStyle name="Normal 2 5 20 4 2" xfId="9638"/>
    <cellStyle name="Normal 2 5 20 4 2 2" xfId="9639"/>
    <cellStyle name="Normal 2 5 20 4 2 2 2" xfId="39724"/>
    <cellStyle name="Normal 2 5 20 4 2 3" xfId="39725"/>
    <cellStyle name="Normal 2 5 20 4 3" xfId="9640"/>
    <cellStyle name="Normal 2 5 20 4 3 2" xfId="39726"/>
    <cellStyle name="Normal 2 5 20 4 4" xfId="39727"/>
    <cellStyle name="Normal 2 5 20 5" xfId="9641"/>
    <cellStyle name="Normal 2 5 20 5 2" xfId="9642"/>
    <cellStyle name="Normal 2 5 20 5 2 2" xfId="39728"/>
    <cellStyle name="Normal 2 5 20 5 3" xfId="39729"/>
    <cellStyle name="Normal 2 5 20 6" xfId="9643"/>
    <cellStyle name="Normal 2 5 20 6 2" xfId="39730"/>
    <cellStyle name="Normal 2 5 20 7" xfId="9644"/>
    <cellStyle name="Normal 2 5 20 7 2" xfId="39731"/>
    <cellStyle name="Normal 2 5 20 8" xfId="39732"/>
    <cellStyle name="Normal 2 5 21" xfId="9645"/>
    <cellStyle name="Normal 2 5 21 2" xfId="9646"/>
    <cellStyle name="Normal 2 5 21 2 2" xfId="9647"/>
    <cellStyle name="Normal 2 5 21 2 2 2" xfId="9648"/>
    <cellStyle name="Normal 2 5 21 2 2 2 2" xfId="39733"/>
    <cellStyle name="Normal 2 5 21 2 2 3" xfId="39734"/>
    <cellStyle name="Normal 2 5 21 2 3" xfId="9649"/>
    <cellStyle name="Normal 2 5 21 2 3 2" xfId="39735"/>
    <cellStyle name="Normal 2 5 21 2 4" xfId="39736"/>
    <cellStyle name="Normal 2 5 21 3" xfId="9650"/>
    <cellStyle name="Normal 2 5 21 3 2" xfId="9651"/>
    <cellStyle name="Normal 2 5 21 3 2 2" xfId="9652"/>
    <cellStyle name="Normal 2 5 21 3 2 2 2" xfId="39737"/>
    <cellStyle name="Normal 2 5 21 3 2 3" xfId="39738"/>
    <cellStyle name="Normal 2 5 21 3 3" xfId="9653"/>
    <cellStyle name="Normal 2 5 21 3 3 2" xfId="39739"/>
    <cellStyle name="Normal 2 5 21 3 4" xfId="39740"/>
    <cellStyle name="Normal 2 5 21 4" xfId="9654"/>
    <cellStyle name="Normal 2 5 21 4 2" xfId="9655"/>
    <cellStyle name="Normal 2 5 21 4 2 2" xfId="9656"/>
    <cellStyle name="Normal 2 5 21 4 2 2 2" xfId="39741"/>
    <cellStyle name="Normal 2 5 21 4 2 3" xfId="39742"/>
    <cellStyle name="Normal 2 5 21 4 3" xfId="9657"/>
    <cellStyle name="Normal 2 5 21 4 3 2" xfId="39743"/>
    <cellStyle name="Normal 2 5 21 4 4" xfId="39744"/>
    <cellStyle name="Normal 2 5 21 5" xfId="9658"/>
    <cellStyle name="Normal 2 5 21 5 2" xfId="9659"/>
    <cellStyle name="Normal 2 5 21 5 2 2" xfId="39745"/>
    <cellStyle name="Normal 2 5 21 5 3" xfId="39746"/>
    <cellStyle name="Normal 2 5 21 6" xfId="9660"/>
    <cellStyle name="Normal 2 5 21 6 2" xfId="39747"/>
    <cellStyle name="Normal 2 5 21 7" xfId="9661"/>
    <cellStyle name="Normal 2 5 21 7 2" xfId="39748"/>
    <cellStyle name="Normal 2 5 21 8" xfId="39749"/>
    <cellStyle name="Normal 2 5 22" xfId="9662"/>
    <cellStyle name="Normal 2 5 22 2" xfId="9663"/>
    <cellStyle name="Normal 2 5 22 2 2" xfId="9664"/>
    <cellStyle name="Normal 2 5 22 2 2 2" xfId="9665"/>
    <cellStyle name="Normal 2 5 22 2 2 2 2" xfId="39750"/>
    <cellStyle name="Normal 2 5 22 2 2 3" xfId="39751"/>
    <cellStyle name="Normal 2 5 22 2 3" xfId="9666"/>
    <cellStyle name="Normal 2 5 22 2 3 2" xfId="39752"/>
    <cellStyle name="Normal 2 5 22 2 4" xfId="39753"/>
    <cellStyle name="Normal 2 5 22 3" xfId="9667"/>
    <cellStyle name="Normal 2 5 22 3 2" xfId="9668"/>
    <cellStyle name="Normal 2 5 22 3 2 2" xfId="9669"/>
    <cellStyle name="Normal 2 5 22 3 2 2 2" xfId="39754"/>
    <cellStyle name="Normal 2 5 22 3 2 3" xfId="39755"/>
    <cellStyle name="Normal 2 5 22 3 3" xfId="9670"/>
    <cellStyle name="Normal 2 5 22 3 3 2" xfId="39756"/>
    <cellStyle name="Normal 2 5 22 3 4" xfId="39757"/>
    <cellStyle name="Normal 2 5 22 4" xfId="9671"/>
    <cellStyle name="Normal 2 5 22 4 2" xfId="9672"/>
    <cellStyle name="Normal 2 5 22 4 2 2" xfId="9673"/>
    <cellStyle name="Normal 2 5 22 4 2 2 2" xfId="39758"/>
    <cellStyle name="Normal 2 5 22 4 2 3" xfId="39759"/>
    <cellStyle name="Normal 2 5 22 4 3" xfId="9674"/>
    <cellStyle name="Normal 2 5 22 4 3 2" xfId="39760"/>
    <cellStyle name="Normal 2 5 22 4 4" xfId="39761"/>
    <cellStyle name="Normal 2 5 22 5" xfId="9675"/>
    <cellStyle name="Normal 2 5 22 5 2" xfId="9676"/>
    <cellStyle name="Normal 2 5 22 5 2 2" xfId="39762"/>
    <cellStyle name="Normal 2 5 22 5 3" xfId="39763"/>
    <cellStyle name="Normal 2 5 22 6" xfId="9677"/>
    <cellStyle name="Normal 2 5 22 6 2" xfId="39764"/>
    <cellStyle name="Normal 2 5 22 7" xfId="9678"/>
    <cellStyle name="Normal 2 5 22 7 2" xfId="39765"/>
    <cellStyle name="Normal 2 5 22 8" xfId="39766"/>
    <cellStyle name="Normal 2 5 23" xfId="9679"/>
    <cellStyle name="Normal 2 5 23 2" xfId="9680"/>
    <cellStyle name="Normal 2 5 23 2 2" xfId="9681"/>
    <cellStyle name="Normal 2 5 23 2 2 2" xfId="9682"/>
    <cellStyle name="Normal 2 5 23 2 2 2 2" xfId="39767"/>
    <cellStyle name="Normal 2 5 23 2 2 3" xfId="39768"/>
    <cellStyle name="Normal 2 5 23 2 3" xfId="9683"/>
    <cellStyle name="Normal 2 5 23 2 3 2" xfId="39769"/>
    <cellStyle name="Normal 2 5 23 2 4" xfId="39770"/>
    <cellStyle name="Normal 2 5 23 3" xfId="9684"/>
    <cellStyle name="Normal 2 5 23 3 2" xfId="9685"/>
    <cellStyle name="Normal 2 5 23 3 2 2" xfId="9686"/>
    <cellStyle name="Normal 2 5 23 3 2 2 2" xfId="39771"/>
    <cellStyle name="Normal 2 5 23 3 2 3" xfId="39772"/>
    <cellStyle name="Normal 2 5 23 3 3" xfId="9687"/>
    <cellStyle name="Normal 2 5 23 3 3 2" xfId="39773"/>
    <cellStyle name="Normal 2 5 23 3 4" xfId="39774"/>
    <cellStyle name="Normal 2 5 23 4" xfId="9688"/>
    <cellStyle name="Normal 2 5 23 4 2" xfId="9689"/>
    <cellStyle name="Normal 2 5 23 4 2 2" xfId="9690"/>
    <cellStyle name="Normal 2 5 23 4 2 2 2" xfId="39775"/>
    <cellStyle name="Normal 2 5 23 4 2 3" xfId="39776"/>
    <cellStyle name="Normal 2 5 23 4 3" xfId="9691"/>
    <cellStyle name="Normal 2 5 23 4 3 2" xfId="39777"/>
    <cellStyle name="Normal 2 5 23 4 4" xfId="39778"/>
    <cellStyle name="Normal 2 5 23 5" xfId="9692"/>
    <cellStyle name="Normal 2 5 23 5 2" xfId="9693"/>
    <cellStyle name="Normal 2 5 23 5 2 2" xfId="39779"/>
    <cellStyle name="Normal 2 5 23 5 3" xfId="39780"/>
    <cellStyle name="Normal 2 5 23 6" xfId="9694"/>
    <cellStyle name="Normal 2 5 23 6 2" xfId="39781"/>
    <cellStyle name="Normal 2 5 23 7" xfId="9695"/>
    <cellStyle name="Normal 2 5 23 7 2" xfId="39782"/>
    <cellStyle name="Normal 2 5 23 8" xfId="39783"/>
    <cellStyle name="Normal 2 5 24" xfId="9696"/>
    <cellStyle name="Normal 2 5 24 2" xfId="9697"/>
    <cellStyle name="Normal 2 5 24 2 2" xfId="9698"/>
    <cellStyle name="Normal 2 5 24 2 2 2" xfId="9699"/>
    <cellStyle name="Normal 2 5 24 2 2 2 2" xfId="39784"/>
    <cellStyle name="Normal 2 5 24 2 2 3" xfId="39785"/>
    <cellStyle name="Normal 2 5 24 2 3" xfId="9700"/>
    <cellStyle name="Normal 2 5 24 2 3 2" xfId="39786"/>
    <cellStyle name="Normal 2 5 24 2 4" xfId="39787"/>
    <cellStyle name="Normal 2 5 24 3" xfId="9701"/>
    <cellStyle name="Normal 2 5 24 3 2" xfId="9702"/>
    <cellStyle name="Normal 2 5 24 3 2 2" xfId="9703"/>
    <cellStyle name="Normal 2 5 24 3 2 2 2" xfId="39788"/>
    <cellStyle name="Normal 2 5 24 3 2 3" xfId="39789"/>
    <cellStyle name="Normal 2 5 24 3 3" xfId="9704"/>
    <cellStyle name="Normal 2 5 24 3 3 2" xfId="39790"/>
    <cellStyle name="Normal 2 5 24 3 4" xfId="39791"/>
    <cellStyle name="Normal 2 5 24 4" xfId="9705"/>
    <cellStyle name="Normal 2 5 24 4 2" xfId="9706"/>
    <cellStyle name="Normal 2 5 24 4 2 2" xfId="9707"/>
    <cellStyle name="Normal 2 5 24 4 2 2 2" xfId="39792"/>
    <cellStyle name="Normal 2 5 24 4 2 3" xfId="39793"/>
    <cellStyle name="Normal 2 5 24 4 3" xfId="9708"/>
    <cellStyle name="Normal 2 5 24 4 3 2" xfId="39794"/>
    <cellStyle name="Normal 2 5 24 4 4" xfId="39795"/>
    <cellStyle name="Normal 2 5 24 5" xfId="9709"/>
    <cellStyle name="Normal 2 5 24 5 2" xfId="9710"/>
    <cellStyle name="Normal 2 5 24 5 2 2" xfId="39796"/>
    <cellStyle name="Normal 2 5 24 5 3" xfId="39797"/>
    <cellStyle name="Normal 2 5 24 6" xfId="9711"/>
    <cellStyle name="Normal 2 5 24 6 2" xfId="39798"/>
    <cellStyle name="Normal 2 5 24 7" xfId="9712"/>
    <cellStyle name="Normal 2 5 24 7 2" xfId="39799"/>
    <cellStyle name="Normal 2 5 24 8" xfId="39800"/>
    <cellStyle name="Normal 2 5 25" xfId="9713"/>
    <cellStyle name="Normal 2 5 25 2" xfId="9714"/>
    <cellStyle name="Normal 2 5 25 2 2" xfId="9715"/>
    <cellStyle name="Normal 2 5 25 2 2 2" xfId="9716"/>
    <cellStyle name="Normal 2 5 25 2 2 2 2" xfId="39801"/>
    <cellStyle name="Normal 2 5 25 2 2 3" xfId="39802"/>
    <cellStyle name="Normal 2 5 25 2 3" xfId="9717"/>
    <cellStyle name="Normal 2 5 25 2 3 2" xfId="39803"/>
    <cellStyle name="Normal 2 5 25 2 4" xfId="39804"/>
    <cellStyle name="Normal 2 5 25 3" xfId="9718"/>
    <cellStyle name="Normal 2 5 25 3 2" xfId="9719"/>
    <cellStyle name="Normal 2 5 25 3 2 2" xfId="9720"/>
    <cellStyle name="Normal 2 5 25 3 2 2 2" xfId="39805"/>
    <cellStyle name="Normal 2 5 25 3 2 3" xfId="39806"/>
    <cellStyle name="Normal 2 5 25 3 3" xfId="9721"/>
    <cellStyle name="Normal 2 5 25 3 3 2" xfId="39807"/>
    <cellStyle name="Normal 2 5 25 3 4" xfId="39808"/>
    <cellStyle name="Normal 2 5 25 4" xfId="9722"/>
    <cellStyle name="Normal 2 5 25 4 2" xfId="9723"/>
    <cellStyle name="Normal 2 5 25 4 2 2" xfId="9724"/>
    <cellStyle name="Normal 2 5 25 4 2 2 2" xfId="39809"/>
    <cellStyle name="Normal 2 5 25 4 2 3" xfId="39810"/>
    <cellStyle name="Normal 2 5 25 4 3" xfId="9725"/>
    <cellStyle name="Normal 2 5 25 4 3 2" xfId="39811"/>
    <cellStyle name="Normal 2 5 25 4 4" xfId="39812"/>
    <cellStyle name="Normal 2 5 25 5" xfId="9726"/>
    <cellStyle name="Normal 2 5 25 5 2" xfId="9727"/>
    <cellStyle name="Normal 2 5 25 5 2 2" xfId="39813"/>
    <cellStyle name="Normal 2 5 25 5 3" xfId="39814"/>
    <cellStyle name="Normal 2 5 25 6" xfId="9728"/>
    <cellStyle name="Normal 2 5 25 6 2" xfId="39815"/>
    <cellStyle name="Normal 2 5 25 7" xfId="9729"/>
    <cellStyle name="Normal 2 5 25 7 2" xfId="39816"/>
    <cellStyle name="Normal 2 5 25 8" xfId="39817"/>
    <cellStyle name="Normal 2 5 26" xfId="9730"/>
    <cellStyle name="Normal 2 5 26 2" xfId="9731"/>
    <cellStyle name="Normal 2 5 26 2 2" xfId="9732"/>
    <cellStyle name="Normal 2 5 26 2 2 2" xfId="9733"/>
    <cellStyle name="Normal 2 5 26 2 2 2 2" xfId="39818"/>
    <cellStyle name="Normal 2 5 26 2 2 3" xfId="39819"/>
    <cellStyle name="Normal 2 5 26 2 3" xfId="9734"/>
    <cellStyle name="Normal 2 5 26 2 3 2" xfId="39820"/>
    <cellStyle name="Normal 2 5 26 2 4" xfId="39821"/>
    <cellStyle name="Normal 2 5 26 3" xfId="9735"/>
    <cellStyle name="Normal 2 5 26 3 2" xfId="9736"/>
    <cellStyle name="Normal 2 5 26 3 2 2" xfId="9737"/>
    <cellStyle name="Normal 2 5 26 3 2 2 2" xfId="39822"/>
    <cellStyle name="Normal 2 5 26 3 2 3" xfId="39823"/>
    <cellStyle name="Normal 2 5 26 3 3" xfId="9738"/>
    <cellStyle name="Normal 2 5 26 3 3 2" xfId="39824"/>
    <cellStyle name="Normal 2 5 26 3 4" xfId="39825"/>
    <cellStyle name="Normal 2 5 26 4" xfId="9739"/>
    <cellStyle name="Normal 2 5 26 4 2" xfId="9740"/>
    <cellStyle name="Normal 2 5 26 4 2 2" xfId="9741"/>
    <cellStyle name="Normal 2 5 26 4 2 2 2" xfId="39826"/>
    <cellStyle name="Normal 2 5 26 4 2 3" xfId="39827"/>
    <cellStyle name="Normal 2 5 26 4 3" xfId="9742"/>
    <cellStyle name="Normal 2 5 26 4 3 2" xfId="39828"/>
    <cellStyle name="Normal 2 5 26 4 4" xfId="39829"/>
    <cellStyle name="Normal 2 5 26 5" xfId="9743"/>
    <cellStyle name="Normal 2 5 26 5 2" xfId="9744"/>
    <cellStyle name="Normal 2 5 26 5 2 2" xfId="39830"/>
    <cellStyle name="Normal 2 5 26 5 3" xfId="39831"/>
    <cellStyle name="Normal 2 5 26 6" xfId="9745"/>
    <cellStyle name="Normal 2 5 26 6 2" xfId="39832"/>
    <cellStyle name="Normal 2 5 26 7" xfId="9746"/>
    <cellStyle name="Normal 2 5 26 7 2" xfId="39833"/>
    <cellStyle name="Normal 2 5 26 8" xfId="39834"/>
    <cellStyle name="Normal 2 5 27" xfId="9747"/>
    <cellStyle name="Normal 2 5 27 2" xfId="9748"/>
    <cellStyle name="Normal 2 5 27 2 2" xfId="9749"/>
    <cellStyle name="Normal 2 5 27 2 2 2" xfId="9750"/>
    <cellStyle name="Normal 2 5 27 2 2 2 2" xfId="39835"/>
    <cellStyle name="Normal 2 5 27 2 2 3" xfId="39836"/>
    <cellStyle name="Normal 2 5 27 2 3" xfId="9751"/>
    <cellStyle name="Normal 2 5 27 2 3 2" xfId="39837"/>
    <cellStyle name="Normal 2 5 27 2 4" xfId="39838"/>
    <cellStyle name="Normal 2 5 27 3" xfId="9752"/>
    <cellStyle name="Normal 2 5 27 3 2" xfId="9753"/>
    <cellStyle name="Normal 2 5 27 3 2 2" xfId="9754"/>
    <cellStyle name="Normal 2 5 27 3 2 2 2" xfId="39839"/>
    <cellStyle name="Normal 2 5 27 3 2 3" xfId="39840"/>
    <cellStyle name="Normal 2 5 27 3 3" xfId="9755"/>
    <cellStyle name="Normal 2 5 27 3 3 2" xfId="39841"/>
    <cellStyle name="Normal 2 5 27 3 4" xfId="39842"/>
    <cellStyle name="Normal 2 5 27 4" xfId="9756"/>
    <cellStyle name="Normal 2 5 27 4 2" xfId="9757"/>
    <cellStyle name="Normal 2 5 27 4 2 2" xfId="9758"/>
    <cellStyle name="Normal 2 5 27 4 2 2 2" xfId="39843"/>
    <cellStyle name="Normal 2 5 27 4 2 3" xfId="39844"/>
    <cellStyle name="Normal 2 5 27 4 3" xfId="9759"/>
    <cellStyle name="Normal 2 5 27 4 3 2" xfId="39845"/>
    <cellStyle name="Normal 2 5 27 4 4" xfId="39846"/>
    <cellStyle name="Normal 2 5 27 5" xfId="9760"/>
    <cellStyle name="Normal 2 5 27 5 2" xfId="9761"/>
    <cellStyle name="Normal 2 5 27 5 2 2" xfId="39847"/>
    <cellStyle name="Normal 2 5 27 5 3" xfId="39848"/>
    <cellStyle name="Normal 2 5 27 6" xfId="9762"/>
    <cellStyle name="Normal 2 5 27 6 2" xfId="39849"/>
    <cellStyle name="Normal 2 5 27 7" xfId="9763"/>
    <cellStyle name="Normal 2 5 27 7 2" xfId="39850"/>
    <cellStyle name="Normal 2 5 27 8" xfId="39851"/>
    <cellStyle name="Normal 2 5 28" xfId="9764"/>
    <cellStyle name="Normal 2 5 28 2" xfId="9765"/>
    <cellStyle name="Normal 2 5 28 2 2" xfId="9766"/>
    <cellStyle name="Normal 2 5 28 2 2 2" xfId="9767"/>
    <cellStyle name="Normal 2 5 28 2 2 2 2" xfId="39852"/>
    <cellStyle name="Normal 2 5 28 2 2 3" xfId="39853"/>
    <cellStyle name="Normal 2 5 28 2 3" xfId="9768"/>
    <cellStyle name="Normal 2 5 28 2 3 2" xfId="39854"/>
    <cellStyle name="Normal 2 5 28 2 4" xfId="39855"/>
    <cellStyle name="Normal 2 5 28 3" xfId="9769"/>
    <cellStyle name="Normal 2 5 28 3 2" xfId="9770"/>
    <cellStyle name="Normal 2 5 28 3 2 2" xfId="9771"/>
    <cellStyle name="Normal 2 5 28 3 2 2 2" xfId="39856"/>
    <cellStyle name="Normal 2 5 28 3 2 3" xfId="39857"/>
    <cellStyle name="Normal 2 5 28 3 3" xfId="9772"/>
    <cellStyle name="Normal 2 5 28 3 3 2" xfId="39858"/>
    <cellStyle name="Normal 2 5 28 3 4" xfId="39859"/>
    <cellStyle name="Normal 2 5 28 4" xfId="9773"/>
    <cellStyle name="Normal 2 5 28 4 2" xfId="9774"/>
    <cellStyle name="Normal 2 5 28 4 2 2" xfId="9775"/>
    <cellStyle name="Normal 2 5 28 4 2 2 2" xfId="39860"/>
    <cellStyle name="Normal 2 5 28 4 2 3" xfId="39861"/>
    <cellStyle name="Normal 2 5 28 4 3" xfId="9776"/>
    <cellStyle name="Normal 2 5 28 4 3 2" xfId="39862"/>
    <cellStyle name="Normal 2 5 28 4 4" xfId="39863"/>
    <cellStyle name="Normal 2 5 28 5" xfId="9777"/>
    <cellStyle name="Normal 2 5 28 5 2" xfId="9778"/>
    <cellStyle name="Normal 2 5 28 5 2 2" xfId="39864"/>
    <cellStyle name="Normal 2 5 28 5 3" xfId="39865"/>
    <cellStyle name="Normal 2 5 28 6" xfId="9779"/>
    <cellStyle name="Normal 2 5 28 6 2" xfId="39866"/>
    <cellStyle name="Normal 2 5 28 7" xfId="9780"/>
    <cellStyle name="Normal 2 5 28 7 2" xfId="39867"/>
    <cellStyle name="Normal 2 5 28 8" xfId="39868"/>
    <cellStyle name="Normal 2 5 29" xfId="9781"/>
    <cellStyle name="Normal 2 5 29 2" xfId="9782"/>
    <cellStyle name="Normal 2 5 29 2 2" xfId="9783"/>
    <cellStyle name="Normal 2 5 29 2 2 2" xfId="9784"/>
    <cellStyle name="Normal 2 5 29 2 2 2 2" xfId="39869"/>
    <cellStyle name="Normal 2 5 29 2 2 3" xfId="39870"/>
    <cellStyle name="Normal 2 5 29 2 3" xfId="9785"/>
    <cellStyle name="Normal 2 5 29 2 3 2" xfId="39871"/>
    <cellStyle name="Normal 2 5 29 2 4" xfId="39872"/>
    <cellStyle name="Normal 2 5 29 3" xfId="9786"/>
    <cellStyle name="Normal 2 5 29 3 2" xfId="9787"/>
    <cellStyle name="Normal 2 5 29 3 2 2" xfId="9788"/>
    <cellStyle name="Normal 2 5 29 3 2 2 2" xfId="39873"/>
    <cellStyle name="Normal 2 5 29 3 2 3" xfId="39874"/>
    <cellStyle name="Normal 2 5 29 3 3" xfId="9789"/>
    <cellStyle name="Normal 2 5 29 3 3 2" xfId="39875"/>
    <cellStyle name="Normal 2 5 29 3 4" xfId="39876"/>
    <cellStyle name="Normal 2 5 29 4" xfId="9790"/>
    <cellStyle name="Normal 2 5 29 4 2" xfId="9791"/>
    <cellStyle name="Normal 2 5 29 4 2 2" xfId="9792"/>
    <cellStyle name="Normal 2 5 29 4 2 2 2" xfId="39877"/>
    <cellStyle name="Normal 2 5 29 4 2 3" xfId="39878"/>
    <cellStyle name="Normal 2 5 29 4 3" xfId="9793"/>
    <cellStyle name="Normal 2 5 29 4 3 2" xfId="39879"/>
    <cellStyle name="Normal 2 5 29 4 4" xfId="39880"/>
    <cellStyle name="Normal 2 5 29 5" xfId="9794"/>
    <cellStyle name="Normal 2 5 29 5 2" xfId="9795"/>
    <cellStyle name="Normal 2 5 29 5 2 2" xfId="39881"/>
    <cellStyle name="Normal 2 5 29 5 3" xfId="39882"/>
    <cellStyle name="Normal 2 5 29 6" xfId="9796"/>
    <cellStyle name="Normal 2 5 29 6 2" xfId="39883"/>
    <cellStyle name="Normal 2 5 29 7" xfId="9797"/>
    <cellStyle name="Normal 2 5 29 7 2" xfId="39884"/>
    <cellStyle name="Normal 2 5 29 8" xfId="39885"/>
    <cellStyle name="Normal 2 5 3" xfId="9798"/>
    <cellStyle name="Normal 2 5 3 2" xfId="9799"/>
    <cellStyle name="Normal 2 5 3 2 2" xfId="9800"/>
    <cellStyle name="Normal 2 5 3 2 2 2" xfId="9801"/>
    <cellStyle name="Normal 2 5 3 2 2 2 2" xfId="39886"/>
    <cellStyle name="Normal 2 5 3 2 2 3" xfId="39887"/>
    <cellStyle name="Normal 2 5 3 2 3" xfId="9802"/>
    <cellStyle name="Normal 2 5 3 2 3 2" xfId="39888"/>
    <cellStyle name="Normal 2 5 3 2 4" xfId="39889"/>
    <cellStyle name="Normal 2 5 3 3" xfId="9803"/>
    <cellStyle name="Normal 2 5 3 3 2" xfId="9804"/>
    <cellStyle name="Normal 2 5 3 3 2 2" xfId="9805"/>
    <cellStyle name="Normal 2 5 3 3 2 2 2" xfId="39890"/>
    <cellStyle name="Normal 2 5 3 3 2 3" xfId="39891"/>
    <cellStyle name="Normal 2 5 3 3 3" xfId="9806"/>
    <cellStyle name="Normal 2 5 3 3 3 2" xfId="39892"/>
    <cellStyle name="Normal 2 5 3 3 4" xfId="39893"/>
    <cellStyle name="Normal 2 5 3 4" xfId="9807"/>
    <cellStyle name="Normal 2 5 3 4 2" xfId="9808"/>
    <cellStyle name="Normal 2 5 3 4 2 2" xfId="9809"/>
    <cellStyle name="Normal 2 5 3 4 2 2 2" xfId="39894"/>
    <cellStyle name="Normal 2 5 3 4 2 3" xfId="39895"/>
    <cellStyle name="Normal 2 5 3 4 3" xfId="9810"/>
    <cellStyle name="Normal 2 5 3 4 3 2" xfId="39896"/>
    <cellStyle name="Normal 2 5 3 4 4" xfId="39897"/>
    <cellStyle name="Normal 2 5 3 5" xfId="9811"/>
    <cellStyle name="Normal 2 5 3 5 2" xfId="9812"/>
    <cellStyle name="Normal 2 5 3 5 2 2" xfId="39898"/>
    <cellStyle name="Normal 2 5 3 5 3" xfId="39899"/>
    <cellStyle name="Normal 2 5 3 6" xfId="9813"/>
    <cellStyle name="Normal 2 5 3 6 2" xfId="39900"/>
    <cellStyle name="Normal 2 5 3 7" xfId="9814"/>
    <cellStyle name="Normal 2 5 3 7 2" xfId="39901"/>
    <cellStyle name="Normal 2 5 3 8" xfId="39902"/>
    <cellStyle name="Normal 2 5 30" xfId="9815"/>
    <cellStyle name="Normal 2 5 30 2" xfId="9816"/>
    <cellStyle name="Normal 2 5 30 2 2" xfId="9817"/>
    <cellStyle name="Normal 2 5 30 2 2 2" xfId="39903"/>
    <cellStyle name="Normal 2 5 30 2 3" xfId="39904"/>
    <cellStyle name="Normal 2 5 30 3" xfId="9818"/>
    <cellStyle name="Normal 2 5 30 3 2" xfId="39905"/>
    <cellStyle name="Normal 2 5 30 4" xfId="39906"/>
    <cellStyle name="Normal 2 5 31" xfId="9819"/>
    <cellStyle name="Normal 2 5 31 2" xfId="9820"/>
    <cellStyle name="Normal 2 5 31 2 2" xfId="9821"/>
    <cellStyle name="Normal 2 5 31 2 2 2" xfId="39907"/>
    <cellStyle name="Normal 2 5 31 2 3" xfId="39908"/>
    <cellStyle name="Normal 2 5 31 3" xfId="9822"/>
    <cellStyle name="Normal 2 5 31 3 2" xfId="39909"/>
    <cellStyle name="Normal 2 5 31 4" xfId="39910"/>
    <cellStyle name="Normal 2 5 32" xfId="9823"/>
    <cellStyle name="Normal 2 5 32 2" xfId="9824"/>
    <cellStyle name="Normal 2 5 32 2 2" xfId="9825"/>
    <cellStyle name="Normal 2 5 32 2 2 2" xfId="39911"/>
    <cellStyle name="Normal 2 5 32 2 3" xfId="39912"/>
    <cellStyle name="Normal 2 5 32 3" xfId="9826"/>
    <cellStyle name="Normal 2 5 32 3 2" xfId="39913"/>
    <cellStyle name="Normal 2 5 32 4" xfId="39914"/>
    <cellStyle name="Normal 2 5 33" xfId="9827"/>
    <cellStyle name="Normal 2 5 33 2" xfId="9828"/>
    <cellStyle name="Normal 2 5 33 2 2" xfId="39915"/>
    <cellStyle name="Normal 2 5 33 3" xfId="39916"/>
    <cellStyle name="Normal 2 5 34" xfId="9829"/>
    <cellStyle name="Normal 2 5 34 2" xfId="39917"/>
    <cellStyle name="Normal 2 5 35" xfId="9830"/>
    <cellStyle name="Normal 2 5 35 2" xfId="39918"/>
    <cellStyle name="Normal 2 5 36" xfId="39919"/>
    <cellStyle name="Normal 2 5 4" xfId="9831"/>
    <cellStyle name="Normal 2 5 4 2" xfId="9832"/>
    <cellStyle name="Normal 2 5 4 2 2" xfId="9833"/>
    <cellStyle name="Normal 2 5 4 2 2 2" xfId="9834"/>
    <cellStyle name="Normal 2 5 4 2 2 2 2" xfId="39920"/>
    <cellStyle name="Normal 2 5 4 2 2 3" xfId="39921"/>
    <cellStyle name="Normal 2 5 4 2 3" xfId="9835"/>
    <cellStyle name="Normal 2 5 4 2 3 2" xfId="39922"/>
    <cellStyle name="Normal 2 5 4 2 4" xfId="39923"/>
    <cellStyle name="Normal 2 5 4 3" xfId="9836"/>
    <cellStyle name="Normal 2 5 4 3 2" xfId="9837"/>
    <cellStyle name="Normal 2 5 4 3 2 2" xfId="9838"/>
    <cellStyle name="Normal 2 5 4 3 2 2 2" xfId="39924"/>
    <cellStyle name="Normal 2 5 4 3 2 3" xfId="39925"/>
    <cellStyle name="Normal 2 5 4 3 3" xfId="9839"/>
    <cellStyle name="Normal 2 5 4 3 3 2" xfId="39926"/>
    <cellStyle name="Normal 2 5 4 3 4" xfId="39927"/>
    <cellStyle name="Normal 2 5 4 4" xfId="9840"/>
    <cellStyle name="Normal 2 5 4 4 2" xfId="9841"/>
    <cellStyle name="Normal 2 5 4 4 2 2" xfId="9842"/>
    <cellStyle name="Normal 2 5 4 4 2 2 2" xfId="39928"/>
    <cellStyle name="Normal 2 5 4 4 2 3" xfId="39929"/>
    <cellStyle name="Normal 2 5 4 4 3" xfId="9843"/>
    <cellStyle name="Normal 2 5 4 4 3 2" xfId="39930"/>
    <cellStyle name="Normal 2 5 4 4 4" xfId="39931"/>
    <cellStyle name="Normal 2 5 4 5" xfId="9844"/>
    <cellStyle name="Normal 2 5 4 5 2" xfId="9845"/>
    <cellStyle name="Normal 2 5 4 5 2 2" xfId="39932"/>
    <cellStyle name="Normal 2 5 4 5 3" xfId="39933"/>
    <cellStyle name="Normal 2 5 4 6" xfId="9846"/>
    <cellStyle name="Normal 2 5 4 6 2" xfId="39934"/>
    <cellStyle name="Normal 2 5 4 7" xfId="9847"/>
    <cellStyle name="Normal 2 5 4 7 2" xfId="39935"/>
    <cellStyle name="Normal 2 5 4 8" xfId="39936"/>
    <cellStyle name="Normal 2 5 5" xfId="9848"/>
    <cellStyle name="Normal 2 5 5 2" xfId="9849"/>
    <cellStyle name="Normal 2 5 5 2 2" xfId="9850"/>
    <cellStyle name="Normal 2 5 5 2 2 2" xfId="9851"/>
    <cellStyle name="Normal 2 5 5 2 2 2 2" xfId="39937"/>
    <cellStyle name="Normal 2 5 5 2 2 3" xfId="39938"/>
    <cellStyle name="Normal 2 5 5 2 3" xfId="9852"/>
    <cellStyle name="Normal 2 5 5 2 3 2" xfId="39939"/>
    <cellStyle name="Normal 2 5 5 2 4" xfId="39940"/>
    <cellStyle name="Normal 2 5 5 3" xfId="9853"/>
    <cellStyle name="Normal 2 5 5 3 2" xfId="9854"/>
    <cellStyle name="Normal 2 5 5 3 2 2" xfId="9855"/>
    <cellStyle name="Normal 2 5 5 3 2 2 2" xfId="39941"/>
    <cellStyle name="Normal 2 5 5 3 2 3" xfId="39942"/>
    <cellStyle name="Normal 2 5 5 3 3" xfId="9856"/>
    <cellStyle name="Normal 2 5 5 3 3 2" xfId="39943"/>
    <cellStyle name="Normal 2 5 5 3 4" xfId="39944"/>
    <cellStyle name="Normal 2 5 5 4" xfId="9857"/>
    <cellStyle name="Normal 2 5 5 4 2" xfId="9858"/>
    <cellStyle name="Normal 2 5 5 4 2 2" xfId="9859"/>
    <cellStyle name="Normal 2 5 5 4 2 2 2" xfId="39945"/>
    <cellStyle name="Normal 2 5 5 4 2 3" xfId="39946"/>
    <cellStyle name="Normal 2 5 5 4 3" xfId="9860"/>
    <cellStyle name="Normal 2 5 5 4 3 2" xfId="39947"/>
    <cellStyle name="Normal 2 5 5 4 4" xfId="39948"/>
    <cellStyle name="Normal 2 5 5 5" xfId="9861"/>
    <cellStyle name="Normal 2 5 5 5 2" xfId="9862"/>
    <cellStyle name="Normal 2 5 5 5 2 2" xfId="39949"/>
    <cellStyle name="Normal 2 5 5 5 3" xfId="39950"/>
    <cellStyle name="Normal 2 5 5 6" xfId="9863"/>
    <cellStyle name="Normal 2 5 5 6 2" xfId="39951"/>
    <cellStyle name="Normal 2 5 5 7" xfId="9864"/>
    <cellStyle name="Normal 2 5 5 7 2" xfId="39952"/>
    <cellStyle name="Normal 2 5 5 8" xfId="39953"/>
    <cellStyle name="Normal 2 5 6" xfId="9865"/>
    <cellStyle name="Normal 2 5 6 2" xfId="9866"/>
    <cellStyle name="Normal 2 5 6 2 2" xfId="9867"/>
    <cellStyle name="Normal 2 5 6 2 2 2" xfId="9868"/>
    <cellStyle name="Normal 2 5 6 2 2 2 2" xfId="39954"/>
    <cellStyle name="Normal 2 5 6 2 2 3" xfId="39955"/>
    <cellStyle name="Normal 2 5 6 2 3" xfId="9869"/>
    <cellStyle name="Normal 2 5 6 2 3 2" xfId="39956"/>
    <cellStyle name="Normal 2 5 6 2 4" xfId="39957"/>
    <cellStyle name="Normal 2 5 6 3" xfId="9870"/>
    <cellStyle name="Normal 2 5 6 3 2" xfId="9871"/>
    <cellStyle name="Normal 2 5 6 3 2 2" xfId="9872"/>
    <cellStyle name="Normal 2 5 6 3 2 2 2" xfId="39958"/>
    <cellStyle name="Normal 2 5 6 3 2 3" xfId="39959"/>
    <cellStyle name="Normal 2 5 6 3 3" xfId="9873"/>
    <cellStyle name="Normal 2 5 6 3 3 2" xfId="39960"/>
    <cellStyle name="Normal 2 5 6 3 4" xfId="39961"/>
    <cellStyle name="Normal 2 5 6 4" xfId="9874"/>
    <cellStyle name="Normal 2 5 6 4 2" xfId="9875"/>
    <cellStyle name="Normal 2 5 6 4 2 2" xfId="9876"/>
    <cellStyle name="Normal 2 5 6 4 2 2 2" xfId="39962"/>
    <cellStyle name="Normal 2 5 6 4 2 3" xfId="39963"/>
    <cellStyle name="Normal 2 5 6 4 3" xfId="9877"/>
    <cellStyle name="Normal 2 5 6 4 3 2" xfId="39964"/>
    <cellStyle name="Normal 2 5 6 4 4" xfId="39965"/>
    <cellStyle name="Normal 2 5 6 5" xfId="9878"/>
    <cellStyle name="Normal 2 5 6 5 2" xfId="9879"/>
    <cellStyle name="Normal 2 5 6 5 2 2" xfId="39966"/>
    <cellStyle name="Normal 2 5 6 5 3" xfId="39967"/>
    <cellStyle name="Normal 2 5 6 6" xfId="9880"/>
    <cellStyle name="Normal 2 5 6 6 2" xfId="39968"/>
    <cellStyle name="Normal 2 5 6 7" xfId="9881"/>
    <cellStyle name="Normal 2 5 6 7 2" xfId="39969"/>
    <cellStyle name="Normal 2 5 6 8" xfId="39970"/>
    <cellStyle name="Normal 2 5 7" xfId="9882"/>
    <cellStyle name="Normal 2 5 7 2" xfId="9883"/>
    <cellStyle name="Normal 2 5 7 2 2" xfId="9884"/>
    <cellStyle name="Normal 2 5 7 2 2 2" xfId="9885"/>
    <cellStyle name="Normal 2 5 7 2 2 2 2" xfId="39971"/>
    <cellStyle name="Normal 2 5 7 2 2 3" xfId="39972"/>
    <cellStyle name="Normal 2 5 7 2 3" xfId="9886"/>
    <cellStyle name="Normal 2 5 7 2 3 2" xfId="39973"/>
    <cellStyle name="Normal 2 5 7 2 4" xfId="39974"/>
    <cellStyle name="Normal 2 5 7 3" xfId="9887"/>
    <cellStyle name="Normal 2 5 7 3 2" xfId="9888"/>
    <cellStyle name="Normal 2 5 7 3 2 2" xfId="9889"/>
    <cellStyle name="Normal 2 5 7 3 2 2 2" xfId="39975"/>
    <cellStyle name="Normal 2 5 7 3 2 3" xfId="39976"/>
    <cellStyle name="Normal 2 5 7 3 3" xfId="9890"/>
    <cellStyle name="Normal 2 5 7 3 3 2" xfId="39977"/>
    <cellStyle name="Normal 2 5 7 3 4" xfId="39978"/>
    <cellStyle name="Normal 2 5 7 4" xfId="9891"/>
    <cellStyle name="Normal 2 5 7 4 2" xfId="9892"/>
    <cellStyle name="Normal 2 5 7 4 2 2" xfId="9893"/>
    <cellStyle name="Normal 2 5 7 4 2 2 2" xfId="39979"/>
    <cellStyle name="Normal 2 5 7 4 2 3" xfId="39980"/>
    <cellStyle name="Normal 2 5 7 4 3" xfId="9894"/>
    <cellStyle name="Normal 2 5 7 4 3 2" xfId="39981"/>
    <cellStyle name="Normal 2 5 7 4 4" xfId="39982"/>
    <cellStyle name="Normal 2 5 7 5" xfId="9895"/>
    <cellStyle name="Normal 2 5 7 5 2" xfId="9896"/>
    <cellStyle name="Normal 2 5 7 5 2 2" xfId="39983"/>
    <cellStyle name="Normal 2 5 7 5 3" xfId="39984"/>
    <cellStyle name="Normal 2 5 7 6" xfId="9897"/>
    <cellStyle name="Normal 2 5 7 6 2" xfId="39985"/>
    <cellStyle name="Normal 2 5 7 7" xfId="9898"/>
    <cellStyle name="Normal 2 5 7 7 2" xfId="39986"/>
    <cellStyle name="Normal 2 5 7 8" xfId="39987"/>
    <cellStyle name="Normal 2 5 8" xfId="9899"/>
    <cellStyle name="Normal 2 5 8 2" xfId="9900"/>
    <cellStyle name="Normal 2 5 8 2 2" xfId="9901"/>
    <cellStyle name="Normal 2 5 8 2 2 2" xfId="9902"/>
    <cellStyle name="Normal 2 5 8 2 2 2 2" xfId="39988"/>
    <cellStyle name="Normal 2 5 8 2 2 3" xfId="39989"/>
    <cellStyle name="Normal 2 5 8 2 3" xfId="9903"/>
    <cellStyle name="Normal 2 5 8 2 3 2" xfId="39990"/>
    <cellStyle name="Normal 2 5 8 2 4" xfId="39991"/>
    <cellStyle name="Normal 2 5 8 3" xfId="9904"/>
    <cellStyle name="Normal 2 5 8 3 2" xfId="9905"/>
    <cellStyle name="Normal 2 5 8 3 2 2" xfId="9906"/>
    <cellStyle name="Normal 2 5 8 3 2 2 2" xfId="39992"/>
    <cellStyle name="Normal 2 5 8 3 2 3" xfId="39993"/>
    <cellStyle name="Normal 2 5 8 3 3" xfId="9907"/>
    <cellStyle name="Normal 2 5 8 3 3 2" xfId="39994"/>
    <cellStyle name="Normal 2 5 8 3 4" xfId="39995"/>
    <cellStyle name="Normal 2 5 8 4" xfId="9908"/>
    <cellStyle name="Normal 2 5 8 4 2" xfId="9909"/>
    <cellStyle name="Normal 2 5 8 4 2 2" xfId="9910"/>
    <cellStyle name="Normal 2 5 8 4 2 2 2" xfId="39996"/>
    <cellStyle name="Normal 2 5 8 4 2 3" xfId="39997"/>
    <cellStyle name="Normal 2 5 8 4 3" xfId="9911"/>
    <cellStyle name="Normal 2 5 8 4 3 2" xfId="39998"/>
    <cellStyle name="Normal 2 5 8 4 4" xfId="39999"/>
    <cellStyle name="Normal 2 5 8 5" xfId="9912"/>
    <cellStyle name="Normal 2 5 8 5 2" xfId="9913"/>
    <cellStyle name="Normal 2 5 8 5 2 2" xfId="40000"/>
    <cellStyle name="Normal 2 5 8 5 3" xfId="40001"/>
    <cellStyle name="Normal 2 5 8 6" xfId="9914"/>
    <cellStyle name="Normal 2 5 8 6 2" xfId="40002"/>
    <cellStyle name="Normal 2 5 8 7" xfId="9915"/>
    <cellStyle name="Normal 2 5 8 7 2" xfId="40003"/>
    <cellStyle name="Normal 2 5 8 8" xfId="40004"/>
    <cellStyle name="Normal 2 5 9" xfId="9916"/>
    <cellStyle name="Normal 2 5 9 2" xfId="9917"/>
    <cellStyle name="Normal 2 5 9 2 2" xfId="9918"/>
    <cellStyle name="Normal 2 5 9 2 2 2" xfId="9919"/>
    <cellStyle name="Normal 2 5 9 2 2 2 2" xfId="40005"/>
    <cellStyle name="Normal 2 5 9 2 2 3" xfId="40006"/>
    <cellStyle name="Normal 2 5 9 2 3" xfId="9920"/>
    <cellStyle name="Normal 2 5 9 2 3 2" xfId="40007"/>
    <cellStyle name="Normal 2 5 9 2 4" xfId="40008"/>
    <cellStyle name="Normal 2 5 9 3" xfId="9921"/>
    <cellStyle name="Normal 2 5 9 3 2" xfId="9922"/>
    <cellStyle name="Normal 2 5 9 3 2 2" xfId="9923"/>
    <cellStyle name="Normal 2 5 9 3 2 2 2" xfId="40009"/>
    <cellStyle name="Normal 2 5 9 3 2 3" xfId="40010"/>
    <cellStyle name="Normal 2 5 9 3 3" xfId="9924"/>
    <cellStyle name="Normal 2 5 9 3 3 2" xfId="40011"/>
    <cellStyle name="Normal 2 5 9 3 4" xfId="40012"/>
    <cellStyle name="Normal 2 5 9 4" xfId="9925"/>
    <cellStyle name="Normal 2 5 9 4 2" xfId="9926"/>
    <cellStyle name="Normal 2 5 9 4 2 2" xfId="9927"/>
    <cellStyle name="Normal 2 5 9 4 2 2 2" xfId="40013"/>
    <cellStyle name="Normal 2 5 9 4 2 3" xfId="40014"/>
    <cellStyle name="Normal 2 5 9 4 3" xfId="9928"/>
    <cellStyle name="Normal 2 5 9 4 3 2" xfId="40015"/>
    <cellStyle name="Normal 2 5 9 4 4" xfId="40016"/>
    <cellStyle name="Normal 2 5 9 5" xfId="9929"/>
    <cellStyle name="Normal 2 5 9 5 2" xfId="9930"/>
    <cellStyle name="Normal 2 5 9 5 2 2" xfId="40017"/>
    <cellStyle name="Normal 2 5 9 5 3" xfId="40018"/>
    <cellStyle name="Normal 2 5 9 6" xfId="9931"/>
    <cellStyle name="Normal 2 5 9 6 2" xfId="40019"/>
    <cellStyle name="Normal 2 5 9 7" xfId="9932"/>
    <cellStyle name="Normal 2 5 9 7 2" xfId="40020"/>
    <cellStyle name="Normal 2 5 9 8" xfId="40021"/>
    <cellStyle name="Normal 2 6" xfId="9933"/>
    <cellStyle name="Normal 2 6 10" xfId="9934"/>
    <cellStyle name="Normal 2 6 10 2" xfId="9935"/>
    <cellStyle name="Normal 2 6 10 2 2" xfId="9936"/>
    <cellStyle name="Normal 2 6 10 2 2 2" xfId="9937"/>
    <cellStyle name="Normal 2 6 10 2 2 2 2" xfId="40022"/>
    <cellStyle name="Normal 2 6 10 2 2 3" xfId="40023"/>
    <cellStyle name="Normal 2 6 10 2 3" xfId="9938"/>
    <cellStyle name="Normal 2 6 10 2 3 2" xfId="40024"/>
    <cellStyle name="Normal 2 6 10 2 4" xfId="40025"/>
    <cellStyle name="Normal 2 6 10 3" xfId="9939"/>
    <cellStyle name="Normal 2 6 10 3 2" xfId="9940"/>
    <cellStyle name="Normal 2 6 10 3 2 2" xfId="9941"/>
    <cellStyle name="Normal 2 6 10 3 2 2 2" xfId="40026"/>
    <cellStyle name="Normal 2 6 10 3 2 3" xfId="40027"/>
    <cellStyle name="Normal 2 6 10 3 3" xfId="9942"/>
    <cellStyle name="Normal 2 6 10 3 3 2" xfId="40028"/>
    <cellStyle name="Normal 2 6 10 3 4" xfId="40029"/>
    <cellStyle name="Normal 2 6 10 4" xfId="9943"/>
    <cellStyle name="Normal 2 6 10 4 2" xfId="9944"/>
    <cellStyle name="Normal 2 6 10 4 2 2" xfId="9945"/>
    <cellStyle name="Normal 2 6 10 4 2 2 2" xfId="40030"/>
    <cellStyle name="Normal 2 6 10 4 2 3" xfId="40031"/>
    <cellStyle name="Normal 2 6 10 4 3" xfId="9946"/>
    <cellStyle name="Normal 2 6 10 4 3 2" xfId="40032"/>
    <cellStyle name="Normal 2 6 10 4 4" xfId="40033"/>
    <cellStyle name="Normal 2 6 10 5" xfId="9947"/>
    <cellStyle name="Normal 2 6 10 5 2" xfId="9948"/>
    <cellStyle name="Normal 2 6 10 5 2 2" xfId="40034"/>
    <cellStyle name="Normal 2 6 10 5 3" xfId="40035"/>
    <cellStyle name="Normal 2 6 10 6" xfId="9949"/>
    <cellStyle name="Normal 2 6 10 6 2" xfId="40036"/>
    <cellStyle name="Normal 2 6 10 7" xfId="9950"/>
    <cellStyle name="Normal 2 6 10 7 2" xfId="40037"/>
    <cellStyle name="Normal 2 6 10 8" xfId="40038"/>
    <cellStyle name="Normal 2 6 11" xfId="9951"/>
    <cellStyle name="Normal 2 6 11 2" xfId="9952"/>
    <cellStyle name="Normal 2 6 11 2 2" xfId="9953"/>
    <cellStyle name="Normal 2 6 11 2 2 2" xfId="9954"/>
    <cellStyle name="Normal 2 6 11 2 2 2 2" xfId="40039"/>
    <cellStyle name="Normal 2 6 11 2 2 3" xfId="40040"/>
    <cellStyle name="Normal 2 6 11 2 3" xfId="9955"/>
    <cellStyle name="Normal 2 6 11 2 3 2" xfId="40041"/>
    <cellStyle name="Normal 2 6 11 2 4" xfId="40042"/>
    <cellStyle name="Normal 2 6 11 3" xfId="9956"/>
    <cellStyle name="Normal 2 6 11 3 2" xfId="9957"/>
    <cellStyle name="Normal 2 6 11 3 2 2" xfId="9958"/>
    <cellStyle name="Normal 2 6 11 3 2 2 2" xfId="40043"/>
    <cellStyle name="Normal 2 6 11 3 2 3" xfId="40044"/>
    <cellStyle name="Normal 2 6 11 3 3" xfId="9959"/>
    <cellStyle name="Normal 2 6 11 3 3 2" xfId="40045"/>
    <cellStyle name="Normal 2 6 11 3 4" xfId="40046"/>
    <cellStyle name="Normal 2 6 11 4" xfId="9960"/>
    <cellStyle name="Normal 2 6 11 4 2" xfId="9961"/>
    <cellStyle name="Normal 2 6 11 4 2 2" xfId="9962"/>
    <cellStyle name="Normal 2 6 11 4 2 2 2" xfId="40047"/>
    <cellStyle name="Normal 2 6 11 4 2 3" xfId="40048"/>
    <cellStyle name="Normal 2 6 11 4 3" xfId="9963"/>
    <cellStyle name="Normal 2 6 11 4 3 2" xfId="40049"/>
    <cellStyle name="Normal 2 6 11 4 4" xfId="40050"/>
    <cellStyle name="Normal 2 6 11 5" xfId="9964"/>
    <cellStyle name="Normal 2 6 11 5 2" xfId="9965"/>
    <cellStyle name="Normal 2 6 11 5 2 2" xfId="40051"/>
    <cellStyle name="Normal 2 6 11 5 3" xfId="40052"/>
    <cellStyle name="Normal 2 6 11 6" xfId="9966"/>
    <cellStyle name="Normal 2 6 11 6 2" xfId="40053"/>
    <cellStyle name="Normal 2 6 11 7" xfId="9967"/>
    <cellStyle name="Normal 2 6 11 7 2" xfId="40054"/>
    <cellStyle name="Normal 2 6 11 8" xfId="40055"/>
    <cellStyle name="Normal 2 6 12" xfId="9968"/>
    <cellStyle name="Normal 2 6 12 2" xfId="9969"/>
    <cellStyle name="Normal 2 6 12 2 2" xfId="9970"/>
    <cellStyle name="Normal 2 6 12 2 2 2" xfId="9971"/>
    <cellStyle name="Normal 2 6 12 2 2 2 2" xfId="40056"/>
    <cellStyle name="Normal 2 6 12 2 2 3" xfId="40057"/>
    <cellStyle name="Normal 2 6 12 2 3" xfId="9972"/>
    <cellStyle name="Normal 2 6 12 2 3 2" xfId="40058"/>
    <cellStyle name="Normal 2 6 12 2 4" xfId="40059"/>
    <cellStyle name="Normal 2 6 12 3" xfId="9973"/>
    <cellStyle name="Normal 2 6 12 3 2" xfId="9974"/>
    <cellStyle name="Normal 2 6 12 3 2 2" xfId="9975"/>
    <cellStyle name="Normal 2 6 12 3 2 2 2" xfId="40060"/>
    <cellStyle name="Normal 2 6 12 3 2 3" xfId="40061"/>
    <cellStyle name="Normal 2 6 12 3 3" xfId="9976"/>
    <cellStyle name="Normal 2 6 12 3 3 2" xfId="40062"/>
    <cellStyle name="Normal 2 6 12 3 4" xfId="40063"/>
    <cellStyle name="Normal 2 6 12 4" xfId="9977"/>
    <cellStyle name="Normal 2 6 12 4 2" xfId="9978"/>
    <cellStyle name="Normal 2 6 12 4 2 2" xfId="9979"/>
    <cellStyle name="Normal 2 6 12 4 2 2 2" xfId="40064"/>
    <cellStyle name="Normal 2 6 12 4 2 3" xfId="40065"/>
    <cellStyle name="Normal 2 6 12 4 3" xfId="9980"/>
    <cellStyle name="Normal 2 6 12 4 3 2" xfId="40066"/>
    <cellStyle name="Normal 2 6 12 4 4" xfId="40067"/>
    <cellStyle name="Normal 2 6 12 5" xfId="9981"/>
    <cellStyle name="Normal 2 6 12 5 2" xfId="9982"/>
    <cellStyle name="Normal 2 6 12 5 2 2" xfId="40068"/>
    <cellStyle name="Normal 2 6 12 5 3" xfId="40069"/>
    <cellStyle name="Normal 2 6 12 6" xfId="9983"/>
    <cellStyle name="Normal 2 6 12 6 2" xfId="40070"/>
    <cellStyle name="Normal 2 6 12 7" xfId="9984"/>
    <cellStyle name="Normal 2 6 12 7 2" xfId="40071"/>
    <cellStyle name="Normal 2 6 12 8" xfId="40072"/>
    <cellStyle name="Normal 2 6 13" xfId="9985"/>
    <cellStyle name="Normal 2 6 13 2" xfId="9986"/>
    <cellStyle name="Normal 2 6 13 2 2" xfId="9987"/>
    <cellStyle name="Normal 2 6 13 2 2 2" xfId="9988"/>
    <cellStyle name="Normal 2 6 13 2 2 2 2" xfId="40073"/>
    <cellStyle name="Normal 2 6 13 2 2 3" xfId="40074"/>
    <cellStyle name="Normal 2 6 13 2 3" xfId="9989"/>
    <cellStyle name="Normal 2 6 13 2 3 2" xfId="40075"/>
    <cellStyle name="Normal 2 6 13 2 4" xfId="40076"/>
    <cellStyle name="Normal 2 6 13 3" xfId="9990"/>
    <cellStyle name="Normal 2 6 13 3 2" xfId="9991"/>
    <cellStyle name="Normal 2 6 13 3 2 2" xfId="9992"/>
    <cellStyle name="Normal 2 6 13 3 2 2 2" xfId="40077"/>
    <cellStyle name="Normal 2 6 13 3 2 3" xfId="40078"/>
    <cellStyle name="Normal 2 6 13 3 3" xfId="9993"/>
    <cellStyle name="Normal 2 6 13 3 3 2" xfId="40079"/>
    <cellStyle name="Normal 2 6 13 3 4" xfId="40080"/>
    <cellStyle name="Normal 2 6 13 4" xfId="9994"/>
    <cellStyle name="Normal 2 6 13 4 2" xfId="9995"/>
    <cellStyle name="Normal 2 6 13 4 2 2" xfId="9996"/>
    <cellStyle name="Normal 2 6 13 4 2 2 2" xfId="40081"/>
    <cellStyle name="Normal 2 6 13 4 2 3" xfId="40082"/>
    <cellStyle name="Normal 2 6 13 4 3" xfId="9997"/>
    <cellStyle name="Normal 2 6 13 4 3 2" xfId="40083"/>
    <cellStyle name="Normal 2 6 13 4 4" xfId="40084"/>
    <cellStyle name="Normal 2 6 13 5" xfId="9998"/>
    <cellStyle name="Normal 2 6 13 5 2" xfId="9999"/>
    <cellStyle name="Normal 2 6 13 5 2 2" xfId="40085"/>
    <cellStyle name="Normal 2 6 13 5 3" xfId="40086"/>
    <cellStyle name="Normal 2 6 13 6" xfId="10000"/>
    <cellStyle name="Normal 2 6 13 6 2" xfId="40087"/>
    <cellStyle name="Normal 2 6 13 7" xfId="10001"/>
    <cellStyle name="Normal 2 6 13 7 2" xfId="40088"/>
    <cellStyle name="Normal 2 6 13 8" xfId="40089"/>
    <cellStyle name="Normal 2 6 14" xfId="10002"/>
    <cellStyle name="Normal 2 6 14 2" xfId="10003"/>
    <cellStyle name="Normal 2 6 14 2 2" xfId="10004"/>
    <cellStyle name="Normal 2 6 14 2 2 2" xfId="10005"/>
    <cellStyle name="Normal 2 6 14 2 2 2 2" xfId="40090"/>
    <cellStyle name="Normal 2 6 14 2 2 3" xfId="40091"/>
    <cellStyle name="Normal 2 6 14 2 3" xfId="10006"/>
    <cellStyle name="Normal 2 6 14 2 3 2" xfId="40092"/>
    <cellStyle name="Normal 2 6 14 2 4" xfId="40093"/>
    <cellStyle name="Normal 2 6 14 3" xfId="10007"/>
    <cellStyle name="Normal 2 6 14 3 2" xfId="10008"/>
    <cellStyle name="Normal 2 6 14 3 2 2" xfId="10009"/>
    <cellStyle name="Normal 2 6 14 3 2 2 2" xfId="40094"/>
    <cellStyle name="Normal 2 6 14 3 2 3" xfId="40095"/>
    <cellStyle name="Normal 2 6 14 3 3" xfId="10010"/>
    <cellStyle name="Normal 2 6 14 3 3 2" xfId="40096"/>
    <cellStyle name="Normal 2 6 14 3 4" xfId="40097"/>
    <cellStyle name="Normal 2 6 14 4" xfId="10011"/>
    <cellStyle name="Normal 2 6 14 4 2" xfId="10012"/>
    <cellStyle name="Normal 2 6 14 4 2 2" xfId="10013"/>
    <cellStyle name="Normal 2 6 14 4 2 2 2" xfId="40098"/>
    <cellStyle name="Normal 2 6 14 4 2 3" xfId="40099"/>
    <cellStyle name="Normal 2 6 14 4 3" xfId="10014"/>
    <cellStyle name="Normal 2 6 14 4 3 2" xfId="40100"/>
    <cellStyle name="Normal 2 6 14 4 4" xfId="40101"/>
    <cellStyle name="Normal 2 6 14 5" xfId="10015"/>
    <cellStyle name="Normal 2 6 14 5 2" xfId="10016"/>
    <cellStyle name="Normal 2 6 14 5 2 2" xfId="40102"/>
    <cellStyle name="Normal 2 6 14 5 3" xfId="40103"/>
    <cellStyle name="Normal 2 6 14 6" xfId="10017"/>
    <cellStyle name="Normal 2 6 14 6 2" xfId="40104"/>
    <cellStyle name="Normal 2 6 14 7" xfId="10018"/>
    <cellStyle name="Normal 2 6 14 7 2" xfId="40105"/>
    <cellStyle name="Normal 2 6 14 8" xfId="40106"/>
    <cellStyle name="Normal 2 6 15" xfId="10019"/>
    <cellStyle name="Normal 2 6 15 2" xfId="10020"/>
    <cellStyle name="Normal 2 6 15 2 2" xfId="10021"/>
    <cellStyle name="Normal 2 6 15 2 2 2" xfId="10022"/>
    <cellStyle name="Normal 2 6 15 2 2 2 2" xfId="40107"/>
    <cellStyle name="Normal 2 6 15 2 2 3" xfId="40108"/>
    <cellStyle name="Normal 2 6 15 2 3" xfId="10023"/>
    <cellStyle name="Normal 2 6 15 2 3 2" xfId="40109"/>
    <cellStyle name="Normal 2 6 15 2 4" xfId="40110"/>
    <cellStyle name="Normal 2 6 15 3" xfId="10024"/>
    <cellStyle name="Normal 2 6 15 3 2" xfId="10025"/>
    <cellStyle name="Normal 2 6 15 3 2 2" xfId="10026"/>
    <cellStyle name="Normal 2 6 15 3 2 2 2" xfId="40111"/>
    <cellStyle name="Normal 2 6 15 3 2 3" xfId="40112"/>
    <cellStyle name="Normal 2 6 15 3 3" xfId="10027"/>
    <cellStyle name="Normal 2 6 15 3 3 2" xfId="40113"/>
    <cellStyle name="Normal 2 6 15 3 4" xfId="40114"/>
    <cellStyle name="Normal 2 6 15 4" xfId="10028"/>
    <cellStyle name="Normal 2 6 15 4 2" xfId="10029"/>
    <cellStyle name="Normal 2 6 15 4 2 2" xfId="10030"/>
    <cellStyle name="Normal 2 6 15 4 2 2 2" xfId="40115"/>
    <cellStyle name="Normal 2 6 15 4 2 3" xfId="40116"/>
    <cellStyle name="Normal 2 6 15 4 3" xfId="10031"/>
    <cellStyle name="Normal 2 6 15 4 3 2" xfId="40117"/>
    <cellStyle name="Normal 2 6 15 4 4" xfId="40118"/>
    <cellStyle name="Normal 2 6 15 5" xfId="10032"/>
    <cellStyle name="Normal 2 6 15 5 2" xfId="10033"/>
    <cellStyle name="Normal 2 6 15 5 2 2" xfId="40119"/>
    <cellStyle name="Normal 2 6 15 5 3" xfId="40120"/>
    <cellStyle name="Normal 2 6 15 6" xfId="10034"/>
    <cellStyle name="Normal 2 6 15 6 2" xfId="40121"/>
    <cellStyle name="Normal 2 6 15 7" xfId="10035"/>
    <cellStyle name="Normal 2 6 15 7 2" xfId="40122"/>
    <cellStyle name="Normal 2 6 15 8" xfId="40123"/>
    <cellStyle name="Normal 2 6 16" xfId="10036"/>
    <cellStyle name="Normal 2 6 16 2" xfId="10037"/>
    <cellStyle name="Normal 2 6 16 2 2" xfId="10038"/>
    <cellStyle name="Normal 2 6 16 2 2 2" xfId="10039"/>
    <cellStyle name="Normal 2 6 16 2 2 2 2" xfId="40124"/>
    <cellStyle name="Normal 2 6 16 2 2 3" xfId="40125"/>
    <cellStyle name="Normal 2 6 16 2 3" xfId="10040"/>
    <cellStyle name="Normal 2 6 16 2 3 2" xfId="40126"/>
    <cellStyle name="Normal 2 6 16 2 4" xfId="40127"/>
    <cellStyle name="Normal 2 6 16 3" xfId="10041"/>
    <cellStyle name="Normal 2 6 16 3 2" xfId="10042"/>
    <cellStyle name="Normal 2 6 16 3 2 2" xfId="10043"/>
    <cellStyle name="Normal 2 6 16 3 2 2 2" xfId="40128"/>
    <cellStyle name="Normal 2 6 16 3 2 3" xfId="40129"/>
    <cellStyle name="Normal 2 6 16 3 3" xfId="10044"/>
    <cellStyle name="Normal 2 6 16 3 3 2" xfId="40130"/>
    <cellStyle name="Normal 2 6 16 3 4" xfId="40131"/>
    <cellStyle name="Normal 2 6 16 4" xfId="10045"/>
    <cellStyle name="Normal 2 6 16 4 2" xfId="10046"/>
    <cellStyle name="Normal 2 6 16 4 2 2" xfId="10047"/>
    <cellStyle name="Normal 2 6 16 4 2 2 2" xfId="40132"/>
    <cellStyle name="Normal 2 6 16 4 2 3" xfId="40133"/>
    <cellStyle name="Normal 2 6 16 4 3" xfId="10048"/>
    <cellStyle name="Normal 2 6 16 4 3 2" xfId="40134"/>
    <cellStyle name="Normal 2 6 16 4 4" xfId="40135"/>
    <cellStyle name="Normal 2 6 16 5" xfId="10049"/>
    <cellStyle name="Normal 2 6 16 5 2" xfId="10050"/>
    <cellStyle name="Normal 2 6 16 5 2 2" xfId="40136"/>
    <cellStyle name="Normal 2 6 16 5 3" xfId="40137"/>
    <cellStyle name="Normal 2 6 16 6" xfId="10051"/>
    <cellStyle name="Normal 2 6 16 6 2" xfId="40138"/>
    <cellStyle name="Normal 2 6 16 7" xfId="10052"/>
    <cellStyle name="Normal 2 6 16 7 2" xfId="40139"/>
    <cellStyle name="Normal 2 6 16 8" xfId="40140"/>
    <cellStyle name="Normal 2 6 17" xfId="10053"/>
    <cellStyle name="Normal 2 6 17 2" xfId="10054"/>
    <cellStyle name="Normal 2 6 17 2 2" xfId="10055"/>
    <cellStyle name="Normal 2 6 17 2 2 2" xfId="10056"/>
    <cellStyle name="Normal 2 6 17 2 2 2 2" xfId="40141"/>
    <cellStyle name="Normal 2 6 17 2 2 3" xfId="40142"/>
    <cellStyle name="Normal 2 6 17 2 3" xfId="10057"/>
    <cellStyle name="Normal 2 6 17 2 3 2" xfId="40143"/>
    <cellStyle name="Normal 2 6 17 2 4" xfId="40144"/>
    <cellStyle name="Normal 2 6 17 3" xfId="10058"/>
    <cellStyle name="Normal 2 6 17 3 2" xfId="10059"/>
    <cellStyle name="Normal 2 6 17 3 2 2" xfId="10060"/>
    <cellStyle name="Normal 2 6 17 3 2 2 2" xfId="40145"/>
    <cellStyle name="Normal 2 6 17 3 2 3" xfId="40146"/>
    <cellStyle name="Normal 2 6 17 3 3" xfId="10061"/>
    <cellStyle name="Normal 2 6 17 3 3 2" xfId="40147"/>
    <cellStyle name="Normal 2 6 17 3 4" xfId="40148"/>
    <cellStyle name="Normal 2 6 17 4" xfId="10062"/>
    <cellStyle name="Normal 2 6 17 4 2" xfId="10063"/>
    <cellStyle name="Normal 2 6 17 4 2 2" xfId="10064"/>
    <cellStyle name="Normal 2 6 17 4 2 2 2" xfId="40149"/>
    <cellStyle name="Normal 2 6 17 4 2 3" xfId="40150"/>
    <cellStyle name="Normal 2 6 17 4 3" xfId="10065"/>
    <cellStyle name="Normal 2 6 17 4 3 2" xfId="40151"/>
    <cellStyle name="Normal 2 6 17 4 4" xfId="40152"/>
    <cellStyle name="Normal 2 6 17 5" xfId="10066"/>
    <cellStyle name="Normal 2 6 17 5 2" xfId="10067"/>
    <cellStyle name="Normal 2 6 17 5 2 2" xfId="40153"/>
    <cellStyle name="Normal 2 6 17 5 3" xfId="40154"/>
    <cellStyle name="Normal 2 6 17 6" xfId="10068"/>
    <cellStyle name="Normal 2 6 17 6 2" xfId="40155"/>
    <cellStyle name="Normal 2 6 17 7" xfId="10069"/>
    <cellStyle name="Normal 2 6 17 7 2" xfId="40156"/>
    <cellStyle name="Normal 2 6 17 8" xfId="40157"/>
    <cellStyle name="Normal 2 6 18" xfId="10070"/>
    <cellStyle name="Normal 2 6 18 2" xfId="10071"/>
    <cellStyle name="Normal 2 6 18 2 2" xfId="10072"/>
    <cellStyle name="Normal 2 6 18 2 2 2" xfId="10073"/>
    <cellStyle name="Normal 2 6 18 2 2 2 2" xfId="40158"/>
    <cellStyle name="Normal 2 6 18 2 2 3" xfId="40159"/>
    <cellStyle name="Normal 2 6 18 2 3" xfId="10074"/>
    <cellStyle name="Normal 2 6 18 2 3 2" xfId="40160"/>
    <cellStyle name="Normal 2 6 18 2 4" xfId="40161"/>
    <cellStyle name="Normal 2 6 18 3" xfId="10075"/>
    <cellStyle name="Normal 2 6 18 3 2" xfId="10076"/>
    <cellStyle name="Normal 2 6 18 3 2 2" xfId="10077"/>
    <cellStyle name="Normal 2 6 18 3 2 2 2" xfId="40162"/>
    <cellStyle name="Normal 2 6 18 3 2 3" xfId="40163"/>
    <cellStyle name="Normal 2 6 18 3 3" xfId="10078"/>
    <cellStyle name="Normal 2 6 18 3 3 2" xfId="40164"/>
    <cellStyle name="Normal 2 6 18 3 4" xfId="40165"/>
    <cellStyle name="Normal 2 6 18 4" xfId="10079"/>
    <cellStyle name="Normal 2 6 18 4 2" xfId="10080"/>
    <cellStyle name="Normal 2 6 18 4 2 2" xfId="10081"/>
    <cellStyle name="Normal 2 6 18 4 2 2 2" xfId="40166"/>
    <cellStyle name="Normal 2 6 18 4 2 3" xfId="40167"/>
    <cellStyle name="Normal 2 6 18 4 3" xfId="10082"/>
    <cellStyle name="Normal 2 6 18 4 3 2" xfId="40168"/>
    <cellStyle name="Normal 2 6 18 4 4" xfId="40169"/>
    <cellStyle name="Normal 2 6 18 5" xfId="10083"/>
    <cellStyle name="Normal 2 6 18 5 2" xfId="10084"/>
    <cellStyle name="Normal 2 6 18 5 2 2" xfId="40170"/>
    <cellStyle name="Normal 2 6 18 5 3" xfId="40171"/>
    <cellStyle name="Normal 2 6 18 6" xfId="10085"/>
    <cellStyle name="Normal 2 6 18 6 2" xfId="40172"/>
    <cellStyle name="Normal 2 6 18 7" xfId="10086"/>
    <cellStyle name="Normal 2 6 18 7 2" xfId="40173"/>
    <cellStyle name="Normal 2 6 18 8" xfId="40174"/>
    <cellStyle name="Normal 2 6 19" xfId="10087"/>
    <cellStyle name="Normal 2 6 19 2" xfId="10088"/>
    <cellStyle name="Normal 2 6 19 2 2" xfId="10089"/>
    <cellStyle name="Normal 2 6 19 2 2 2" xfId="10090"/>
    <cellStyle name="Normal 2 6 19 2 2 2 2" xfId="40175"/>
    <cellStyle name="Normal 2 6 19 2 2 3" xfId="40176"/>
    <cellStyle name="Normal 2 6 19 2 3" xfId="10091"/>
    <cellStyle name="Normal 2 6 19 2 3 2" xfId="40177"/>
    <cellStyle name="Normal 2 6 19 2 4" xfId="40178"/>
    <cellStyle name="Normal 2 6 19 3" xfId="10092"/>
    <cellStyle name="Normal 2 6 19 3 2" xfId="10093"/>
    <cellStyle name="Normal 2 6 19 3 2 2" xfId="10094"/>
    <cellStyle name="Normal 2 6 19 3 2 2 2" xfId="40179"/>
    <cellStyle name="Normal 2 6 19 3 2 3" xfId="40180"/>
    <cellStyle name="Normal 2 6 19 3 3" xfId="10095"/>
    <cellStyle name="Normal 2 6 19 3 3 2" xfId="40181"/>
    <cellStyle name="Normal 2 6 19 3 4" xfId="40182"/>
    <cellStyle name="Normal 2 6 19 4" xfId="10096"/>
    <cellStyle name="Normal 2 6 19 4 2" xfId="10097"/>
    <cellStyle name="Normal 2 6 19 4 2 2" xfId="10098"/>
    <cellStyle name="Normal 2 6 19 4 2 2 2" xfId="40183"/>
    <cellStyle name="Normal 2 6 19 4 2 3" xfId="40184"/>
    <cellStyle name="Normal 2 6 19 4 3" xfId="10099"/>
    <cellStyle name="Normal 2 6 19 4 3 2" xfId="40185"/>
    <cellStyle name="Normal 2 6 19 4 4" xfId="40186"/>
    <cellStyle name="Normal 2 6 19 5" xfId="10100"/>
    <cellStyle name="Normal 2 6 19 5 2" xfId="10101"/>
    <cellStyle name="Normal 2 6 19 5 2 2" xfId="40187"/>
    <cellStyle name="Normal 2 6 19 5 3" xfId="40188"/>
    <cellStyle name="Normal 2 6 19 6" xfId="10102"/>
    <cellStyle name="Normal 2 6 19 6 2" xfId="40189"/>
    <cellStyle name="Normal 2 6 19 7" xfId="10103"/>
    <cellStyle name="Normal 2 6 19 7 2" xfId="40190"/>
    <cellStyle name="Normal 2 6 19 8" xfId="40191"/>
    <cellStyle name="Normal 2 6 2" xfId="10104"/>
    <cellStyle name="Normal 2 6 2 2" xfId="10105"/>
    <cellStyle name="Normal 2 6 2 2 2" xfId="10106"/>
    <cellStyle name="Normal 2 6 2 2 2 2" xfId="10107"/>
    <cellStyle name="Normal 2 6 2 2 2 2 2" xfId="40192"/>
    <cellStyle name="Normal 2 6 2 2 2 3" xfId="40193"/>
    <cellStyle name="Normal 2 6 2 2 3" xfId="10108"/>
    <cellStyle name="Normal 2 6 2 2 3 2" xfId="40194"/>
    <cellStyle name="Normal 2 6 2 2 4" xfId="40195"/>
    <cellStyle name="Normal 2 6 2 3" xfId="10109"/>
    <cellStyle name="Normal 2 6 2 3 2" xfId="10110"/>
    <cellStyle name="Normal 2 6 2 3 2 2" xfId="10111"/>
    <cellStyle name="Normal 2 6 2 3 2 2 2" xfId="40196"/>
    <cellStyle name="Normal 2 6 2 3 2 3" xfId="40197"/>
    <cellStyle name="Normal 2 6 2 3 3" xfId="10112"/>
    <cellStyle name="Normal 2 6 2 3 3 2" xfId="40198"/>
    <cellStyle name="Normal 2 6 2 3 4" xfId="40199"/>
    <cellStyle name="Normal 2 6 2 4" xfId="10113"/>
    <cellStyle name="Normal 2 6 2 4 2" xfId="10114"/>
    <cellStyle name="Normal 2 6 2 4 2 2" xfId="10115"/>
    <cellStyle name="Normal 2 6 2 4 2 2 2" xfId="40200"/>
    <cellStyle name="Normal 2 6 2 4 2 3" xfId="40201"/>
    <cellStyle name="Normal 2 6 2 4 3" xfId="10116"/>
    <cellStyle name="Normal 2 6 2 4 3 2" xfId="40202"/>
    <cellStyle name="Normal 2 6 2 4 4" xfId="40203"/>
    <cellStyle name="Normal 2 6 2 5" xfId="10117"/>
    <cellStyle name="Normal 2 6 2 5 2" xfId="10118"/>
    <cellStyle name="Normal 2 6 2 5 2 2" xfId="40204"/>
    <cellStyle name="Normal 2 6 2 5 3" xfId="40205"/>
    <cellStyle name="Normal 2 6 2 6" xfId="10119"/>
    <cellStyle name="Normal 2 6 2 6 2" xfId="40206"/>
    <cellStyle name="Normal 2 6 2 7" xfId="10120"/>
    <cellStyle name="Normal 2 6 2 7 2" xfId="40207"/>
    <cellStyle name="Normal 2 6 2 8" xfId="40208"/>
    <cellStyle name="Normal 2 6 20" xfId="10121"/>
    <cellStyle name="Normal 2 6 20 2" xfId="10122"/>
    <cellStyle name="Normal 2 6 20 2 2" xfId="10123"/>
    <cellStyle name="Normal 2 6 20 2 2 2" xfId="10124"/>
    <cellStyle name="Normal 2 6 20 2 2 2 2" xfId="40209"/>
    <cellStyle name="Normal 2 6 20 2 2 3" xfId="40210"/>
    <cellStyle name="Normal 2 6 20 2 3" xfId="10125"/>
    <cellStyle name="Normal 2 6 20 2 3 2" xfId="40211"/>
    <cellStyle name="Normal 2 6 20 2 4" xfId="40212"/>
    <cellStyle name="Normal 2 6 20 3" xfId="10126"/>
    <cellStyle name="Normal 2 6 20 3 2" xfId="10127"/>
    <cellStyle name="Normal 2 6 20 3 2 2" xfId="10128"/>
    <cellStyle name="Normal 2 6 20 3 2 2 2" xfId="40213"/>
    <cellStyle name="Normal 2 6 20 3 2 3" xfId="40214"/>
    <cellStyle name="Normal 2 6 20 3 3" xfId="10129"/>
    <cellStyle name="Normal 2 6 20 3 3 2" xfId="40215"/>
    <cellStyle name="Normal 2 6 20 3 4" xfId="40216"/>
    <cellStyle name="Normal 2 6 20 4" xfId="10130"/>
    <cellStyle name="Normal 2 6 20 4 2" xfId="10131"/>
    <cellStyle name="Normal 2 6 20 4 2 2" xfId="10132"/>
    <cellStyle name="Normal 2 6 20 4 2 2 2" xfId="40217"/>
    <cellStyle name="Normal 2 6 20 4 2 3" xfId="40218"/>
    <cellStyle name="Normal 2 6 20 4 3" xfId="10133"/>
    <cellStyle name="Normal 2 6 20 4 3 2" xfId="40219"/>
    <cellStyle name="Normal 2 6 20 4 4" xfId="40220"/>
    <cellStyle name="Normal 2 6 20 5" xfId="10134"/>
    <cellStyle name="Normal 2 6 20 5 2" xfId="10135"/>
    <cellStyle name="Normal 2 6 20 5 2 2" xfId="40221"/>
    <cellStyle name="Normal 2 6 20 5 3" xfId="40222"/>
    <cellStyle name="Normal 2 6 20 6" xfId="10136"/>
    <cellStyle name="Normal 2 6 20 6 2" xfId="40223"/>
    <cellStyle name="Normal 2 6 20 7" xfId="10137"/>
    <cellStyle name="Normal 2 6 20 7 2" xfId="40224"/>
    <cellStyle name="Normal 2 6 20 8" xfId="40225"/>
    <cellStyle name="Normal 2 6 21" xfId="10138"/>
    <cellStyle name="Normal 2 6 21 2" xfId="10139"/>
    <cellStyle name="Normal 2 6 21 2 2" xfId="10140"/>
    <cellStyle name="Normal 2 6 21 2 2 2" xfId="10141"/>
    <cellStyle name="Normal 2 6 21 2 2 2 2" xfId="40226"/>
    <cellStyle name="Normal 2 6 21 2 2 3" xfId="40227"/>
    <cellStyle name="Normal 2 6 21 2 3" xfId="10142"/>
    <cellStyle name="Normal 2 6 21 2 3 2" xfId="40228"/>
    <cellStyle name="Normal 2 6 21 2 4" xfId="40229"/>
    <cellStyle name="Normal 2 6 21 3" xfId="10143"/>
    <cellStyle name="Normal 2 6 21 3 2" xfId="10144"/>
    <cellStyle name="Normal 2 6 21 3 2 2" xfId="10145"/>
    <cellStyle name="Normal 2 6 21 3 2 2 2" xfId="40230"/>
    <cellStyle name="Normal 2 6 21 3 2 3" xfId="40231"/>
    <cellStyle name="Normal 2 6 21 3 3" xfId="10146"/>
    <cellStyle name="Normal 2 6 21 3 3 2" xfId="40232"/>
    <cellStyle name="Normal 2 6 21 3 4" xfId="40233"/>
    <cellStyle name="Normal 2 6 21 4" xfId="10147"/>
    <cellStyle name="Normal 2 6 21 4 2" xfId="10148"/>
    <cellStyle name="Normal 2 6 21 4 2 2" xfId="10149"/>
    <cellStyle name="Normal 2 6 21 4 2 2 2" xfId="40234"/>
    <cellStyle name="Normal 2 6 21 4 2 3" xfId="40235"/>
    <cellStyle name="Normal 2 6 21 4 3" xfId="10150"/>
    <cellStyle name="Normal 2 6 21 4 3 2" xfId="40236"/>
    <cellStyle name="Normal 2 6 21 4 4" xfId="40237"/>
    <cellStyle name="Normal 2 6 21 5" xfId="10151"/>
    <cellStyle name="Normal 2 6 21 5 2" xfId="10152"/>
    <cellStyle name="Normal 2 6 21 5 2 2" xfId="40238"/>
    <cellStyle name="Normal 2 6 21 5 3" xfId="40239"/>
    <cellStyle name="Normal 2 6 21 6" xfId="10153"/>
    <cellStyle name="Normal 2 6 21 6 2" xfId="40240"/>
    <cellStyle name="Normal 2 6 21 7" xfId="10154"/>
    <cellStyle name="Normal 2 6 21 7 2" xfId="40241"/>
    <cellStyle name="Normal 2 6 21 8" xfId="40242"/>
    <cellStyle name="Normal 2 6 22" xfId="10155"/>
    <cellStyle name="Normal 2 6 22 2" xfId="10156"/>
    <cellStyle name="Normal 2 6 22 2 2" xfId="10157"/>
    <cellStyle name="Normal 2 6 22 2 2 2" xfId="10158"/>
    <cellStyle name="Normal 2 6 22 2 2 2 2" xfId="40243"/>
    <cellStyle name="Normal 2 6 22 2 2 3" xfId="40244"/>
    <cellStyle name="Normal 2 6 22 2 3" xfId="10159"/>
    <cellStyle name="Normal 2 6 22 2 3 2" xfId="40245"/>
    <cellStyle name="Normal 2 6 22 2 4" xfId="40246"/>
    <cellStyle name="Normal 2 6 22 3" xfId="10160"/>
    <cellStyle name="Normal 2 6 22 3 2" xfId="10161"/>
    <cellStyle name="Normal 2 6 22 3 2 2" xfId="10162"/>
    <cellStyle name="Normal 2 6 22 3 2 2 2" xfId="40247"/>
    <cellStyle name="Normal 2 6 22 3 2 3" xfId="40248"/>
    <cellStyle name="Normal 2 6 22 3 3" xfId="10163"/>
    <cellStyle name="Normal 2 6 22 3 3 2" xfId="40249"/>
    <cellStyle name="Normal 2 6 22 3 4" xfId="40250"/>
    <cellStyle name="Normal 2 6 22 4" xfId="10164"/>
    <cellStyle name="Normal 2 6 22 4 2" xfId="10165"/>
    <cellStyle name="Normal 2 6 22 4 2 2" xfId="10166"/>
    <cellStyle name="Normal 2 6 22 4 2 2 2" xfId="40251"/>
    <cellStyle name="Normal 2 6 22 4 2 3" xfId="40252"/>
    <cellStyle name="Normal 2 6 22 4 3" xfId="10167"/>
    <cellStyle name="Normal 2 6 22 4 3 2" xfId="40253"/>
    <cellStyle name="Normal 2 6 22 4 4" xfId="40254"/>
    <cellStyle name="Normal 2 6 22 5" xfId="10168"/>
    <cellStyle name="Normal 2 6 22 5 2" xfId="10169"/>
    <cellStyle name="Normal 2 6 22 5 2 2" xfId="40255"/>
    <cellStyle name="Normal 2 6 22 5 3" xfId="40256"/>
    <cellStyle name="Normal 2 6 22 6" xfId="10170"/>
    <cellStyle name="Normal 2 6 22 6 2" xfId="40257"/>
    <cellStyle name="Normal 2 6 22 7" xfId="10171"/>
    <cellStyle name="Normal 2 6 22 7 2" xfId="40258"/>
    <cellStyle name="Normal 2 6 22 8" xfId="40259"/>
    <cellStyle name="Normal 2 6 23" xfId="10172"/>
    <cellStyle name="Normal 2 6 23 2" xfId="10173"/>
    <cellStyle name="Normal 2 6 23 2 2" xfId="10174"/>
    <cellStyle name="Normal 2 6 23 2 2 2" xfId="10175"/>
    <cellStyle name="Normal 2 6 23 2 2 2 2" xfId="40260"/>
    <cellStyle name="Normal 2 6 23 2 2 3" xfId="40261"/>
    <cellStyle name="Normal 2 6 23 2 3" xfId="10176"/>
    <cellStyle name="Normal 2 6 23 2 3 2" xfId="40262"/>
    <cellStyle name="Normal 2 6 23 2 4" xfId="40263"/>
    <cellStyle name="Normal 2 6 23 3" xfId="10177"/>
    <cellStyle name="Normal 2 6 23 3 2" xfId="10178"/>
    <cellStyle name="Normal 2 6 23 3 2 2" xfId="10179"/>
    <cellStyle name="Normal 2 6 23 3 2 2 2" xfId="40264"/>
    <cellStyle name="Normal 2 6 23 3 2 3" xfId="40265"/>
    <cellStyle name="Normal 2 6 23 3 3" xfId="10180"/>
    <cellStyle name="Normal 2 6 23 3 3 2" xfId="40266"/>
    <cellStyle name="Normal 2 6 23 3 4" xfId="40267"/>
    <cellStyle name="Normal 2 6 23 4" xfId="10181"/>
    <cellStyle name="Normal 2 6 23 4 2" xfId="10182"/>
    <cellStyle name="Normal 2 6 23 4 2 2" xfId="10183"/>
    <cellStyle name="Normal 2 6 23 4 2 2 2" xfId="40268"/>
    <cellStyle name="Normal 2 6 23 4 2 3" xfId="40269"/>
    <cellStyle name="Normal 2 6 23 4 3" xfId="10184"/>
    <cellStyle name="Normal 2 6 23 4 3 2" xfId="40270"/>
    <cellStyle name="Normal 2 6 23 4 4" xfId="40271"/>
    <cellStyle name="Normal 2 6 23 5" xfId="10185"/>
    <cellStyle name="Normal 2 6 23 5 2" xfId="10186"/>
    <cellStyle name="Normal 2 6 23 5 2 2" xfId="40272"/>
    <cellStyle name="Normal 2 6 23 5 3" xfId="40273"/>
    <cellStyle name="Normal 2 6 23 6" xfId="10187"/>
    <cellStyle name="Normal 2 6 23 6 2" xfId="40274"/>
    <cellStyle name="Normal 2 6 23 7" xfId="10188"/>
    <cellStyle name="Normal 2 6 23 7 2" xfId="40275"/>
    <cellStyle name="Normal 2 6 23 8" xfId="40276"/>
    <cellStyle name="Normal 2 6 24" xfId="10189"/>
    <cellStyle name="Normal 2 6 24 2" xfId="10190"/>
    <cellStyle name="Normal 2 6 24 2 2" xfId="10191"/>
    <cellStyle name="Normal 2 6 24 2 2 2" xfId="10192"/>
    <cellStyle name="Normal 2 6 24 2 2 2 2" xfId="40277"/>
    <cellStyle name="Normal 2 6 24 2 2 3" xfId="40278"/>
    <cellStyle name="Normal 2 6 24 2 3" xfId="10193"/>
    <cellStyle name="Normal 2 6 24 2 3 2" xfId="40279"/>
    <cellStyle name="Normal 2 6 24 2 4" xfId="40280"/>
    <cellStyle name="Normal 2 6 24 3" xfId="10194"/>
    <cellStyle name="Normal 2 6 24 3 2" xfId="10195"/>
    <cellStyle name="Normal 2 6 24 3 2 2" xfId="10196"/>
    <cellStyle name="Normal 2 6 24 3 2 2 2" xfId="40281"/>
    <cellStyle name="Normal 2 6 24 3 2 3" xfId="40282"/>
    <cellStyle name="Normal 2 6 24 3 3" xfId="10197"/>
    <cellStyle name="Normal 2 6 24 3 3 2" xfId="40283"/>
    <cellStyle name="Normal 2 6 24 3 4" xfId="40284"/>
    <cellStyle name="Normal 2 6 24 4" xfId="10198"/>
    <cellStyle name="Normal 2 6 24 4 2" xfId="10199"/>
    <cellStyle name="Normal 2 6 24 4 2 2" xfId="10200"/>
    <cellStyle name="Normal 2 6 24 4 2 2 2" xfId="40285"/>
    <cellStyle name="Normal 2 6 24 4 2 3" xfId="40286"/>
    <cellStyle name="Normal 2 6 24 4 3" xfId="10201"/>
    <cellStyle name="Normal 2 6 24 4 3 2" xfId="40287"/>
    <cellStyle name="Normal 2 6 24 4 4" xfId="40288"/>
    <cellStyle name="Normal 2 6 24 5" xfId="10202"/>
    <cellStyle name="Normal 2 6 24 5 2" xfId="10203"/>
    <cellStyle name="Normal 2 6 24 5 2 2" xfId="40289"/>
    <cellStyle name="Normal 2 6 24 5 3" xfId="40290"/>
    <cellStyle name="Normal 2 6 24 6" xfId="10204"/>
    <cellStyle name="Normal 2 6 24 6 2" xfId="40291"/>
    <cellStyle name="Normal 2 6 24 7" xfId="10205"/>
    <cellStyle name="Normal 2 6 24 7 2" xfId="40292"/>
    <cellStyle name="Normal 2 6 24 8" xfId="40293"/>
    <cellStyle name="Normal 2 6 25" xfId="10206"/>
    <cellStyle name="Normal 2 6 25 2" xfId="10207"/>
    <cellStyle name="Normal 2 6 25 2 2" xfId="10208"/>
    <cellStyle name="Normal 2 6 25 2 2 2" xfId="10209"/>
    <cellStyle name="Normal 2 6 25 2 2 2 2" xfId="40294"/>
    <cellStyle name="Normal 2 6 25 2 2 3" xfId="40295"/>
    <cellStyle name="Normal 2 6 25 2 3" xfId="10210"/>
    <cellStyle name="Normal 2 6 25 2 3 2" xfId="40296"/>
    <cellStyle name="Normal 2 6 25 2 4" xfId="40297"/>
    <cellStyle name="Normal 2 6 25 3" xfId="10211"/>
    <cellStyle name="Normal 2 6 25 3 2" xfId="10212"/>
    <cellStyle name="Normal 2 6 25 3 2 2" xfId="10213"/>
    <cellStyle name="Normal 2 6 25 3 2 2 2" xfId="40298"/>
    <cellStyle name="Normal 2 6 25 3 2 3" xfId="40299"/>
    <cellStyle name="Normal 2 6 25 3 3" xfId="10214"/>
    <cellStyle name="Normal 2 6 25 3 3 2" xfId="40300"/>
    <cellStyle name="Normal 2 6 25 3 4" xfId="40301"/>
    <cellStyle name="Normal 2 6 25 4" xfId="10215"/>
    <cellStyle name="Normal 2 6 25 4 2" xfId="10216"/>
    <cellStyle name="Normal 2 6 25 4 2 2" xfId="10217"/>
    <cellStyle name="Normal 2 6 25 4 2 2 2" xfId="40302"/>
    <cellStyle name="Normal 2 6 25 4 2 3" xfId="40303"/>
    <cellStyle name="Normal 2 6 25 4 3" xfId="10218"/>
    <cellStyle name="Normal 2 6 25 4 3 2" xfId="40304"/>
    <cellStyle name="Normal 2 6 25 4 4" xfId="40305"/>
    <cellStyle name="Normal 2 6 25 5" xfId="10219"/>
    <cellStyle name="Normal 2 6 25 5 2" xfId="10220"/>
    <cellStyle name="Normal 2 6 25 5 2 2" xfId="40306"/>
    <cellStyle name="Normal 2 6 25 5 3" xfId="40307"/>
    <cellStyle name="Normal 2 6 25 6" xfId="10221"/>
    <cellStyle name="Normal 2 6 25 6 2" xfId="40308"/>
    <cellStyle name="Normal 2 6 25 7" xfId="10222"/>
    <cellStyle name="Normal 2 6 25 7 2" xfId="40309"/>
    <cellStyle name="Normal 2 6 25 8" xfId="40310"/>
    <cellStyle name="Normal 2 6 26" xfId="10223"/>
    <cellStyle name="Normal 2 6 26 2" xfId="10224"/>
    <cellStyle name="Normal 2 6 26 2 2" xfId="10225"/>
    <cellStyle name="Normal 2 6 26 2 2 2" xfId="10226"/>
    <cellStyle name="Normal 2 6 26 2 2 2 2" xfId="40311"/>
    <cellStyle name="Normal 2 6 26 2 2 3" xfId="40312"/>
    <cellStyle name="Normal 2 6 26 2 3" xfId="10227"/>
    <cellStyle name="Normal 2 6 26 2 3 2" xfId="40313"/>
    <cellStyle name="Normal 2 6 26 2 4" xfId="40314"/>
    <cellStyle name="Normal 2 6 26 3" xfId="10228"/>
    <cellStyle name="Normal 2 6 26 3 2" xfId="10229"/>
    <cellStyle name="Normal 2 6 26 3 2 2" xfId="10230"/>
    <cellStyle name="Normal 2 6 26 3 2 2 2" xfId="40315"/>
    <cellStyle name="Normal 2 6 26 3 2 3" xfId="40316"/>
    <cellStyle name="Normal 2 6 26 3 3" xfId="10231"/>
    <cellStyle name="Normal 2 6 26 3 3 2" xfId="40317"/>
    <cellStyle name="Normal 2 6 26 3 4" xfId="40318"/>
    <cellStyle name="Normal 2 6 26 4" xfId="10232"/>
    <cellStyle name="Normal 2 6 26 4 2" xfId="10233"/>
    <cellStyle name="Normal 2 6 26 4 2 2" xfId="10234"/>
    <cellStyle name="Normal 2 6 26 4 2 2 2" xfId="40319"/>
    <cellStyle name="Normal 2 6 26 4 2 3" xfId="40320"/>
    <cellStyle name="Normal 2 6 26 4 3" xfId="10235"/>
    <cellStyle name="Normal 2 6 26 4 3 2" xfId="40321"/>
    <cellStyle name="Normal 2 6 26 4 4" xfId="40322"/>
    <cellStyle name="Normal 2 6 26 5" xfId="10236"/>
    <cellStyle name="Normal 2 6 26 5 2" xfId="10237"/>
    <cellStyle name="Normal 2 6 26 5 2 2" xfId="40323"/>
    <cellStyle name="Normal 2 6 26 5 3" xfId="40324"/>
    <cellStyle name="Normal 2 6 26 6" xfId="10238"/>
    <cellStyle name="Normal 2 6 26 6 2" xfId="40325"/>
    <cellStyle name="Normal 2 6 26 7" xfId="10239"/>
    <cellStyle name="Normal 2 6 26 7 2" xfId="40326"/>
    <cellStyle name="Normal 2 6 26 8" xfId="40327"/>
    <cellStyle name="Normal 2 6 27" xfId="10240"/>
    <cellStyle name="Normal 2 6 27 2" xfId="10241"/>
    <cellStyle name="Normal 2 6 27 2 2" xfId="10242"/>
    <cellStyle name="Normal 2 6 27 2 2 2" xfId="10243"/>
    <cellStyle name="Normal 2 6 27 2 2 2 2" xfId="40328"/>
    <cellStyle name="Normal 2 6 27 2 2 3" xfId="40329"/>
    <cellStyle name="Normal 2 6 27 2 3" xfId="10244"/>
    <cellStyle name="Normal 2 6 27 2 3 2" xfId="40330"/>
    <cellStyle name="Normal 2 6 27 2 4" xfId="40331"/>
    <cellStyle name="Normal 2 6 27 3" xfId="10245"/>
    <cellStyle name="Normal 2 6 27 3 2" xfId="10246"/>
    <cellStyle name="Normal 2 6 27 3 2 2" xfId="10247"/>
    <cellStyle name="Normal 2 6 27 3 2 2 2" xfId="40332"/>
    <cellStyle name="Normal 2 6 27 3 2 3" xfId="40333"/>
    <cellStyle name="Normal 2 6 27 3 3" xfId="10248"/>
    <cellStyle name="Normal 2 6 27 3 3 2" xfId="40334"/>
    <cellStyle name="Normal 2 6 27 3 4" xfId="40335"/>
    <cellStyle name="Normal 2 6 27 4" xfId="10249"/>
    <cellStyle name="Normal 2 6 27 4 2" xfId="10250"/>
    <cellStyle name="Normal 2 6 27 4 2 2" xfId="10251"/>
    <cellStyle name="Normal 2 6 27 4 2 2 2" xfId="40336"/>
    <cellStyle name="Normal 2 6 27 4 2 3" xfId="40337"/>
    <cellStyle name="Normal 2 6 27 4 3" xfId="10252"/>
    <cellStyle name="Normal 2 6 27 4 3 2" xfId="40338"/>
    <cellStyle name="Normal 2 6 27 4 4" xfId="40339"/>
    <cellStyle name="Normal 2 6 27 5" xfId="10253"/>
    <cellStyle name="Normal 2 6 27 5 2" xfId="10254"/>
    <cellStyle name="Normal 2 6 27 5 2 2" xfId="40340"/>
    <cellStyle name="Normal 2 6 27 5 3" xfId="40341"/>
    <cellStyle name="Normal 2 6 27 6" xfId="10255"/>
    <cellStyle name="Normal 2 6 27 6 2" xfId="40342"/>
    <cellStyle name="Normal 2 6 27 7" xfId="10256"/>
    <cellStyle name="Normal 2 6 27 7 2" xfId="40343"/>
    <cellStyle name="Normal 2 6 27 8" xfId="40344"/>
    <cellStyle name="Normal 2 6 28" xfId="10257"/>
    <cellStyle name="Normal 2 6 28 2" xfId="10258"/>
    <cellStyle name="Normal 2 6 28 2 2" xfId="10259"/>
    <cellStyle name="Normal 2 6 28 2 2 2" xfId="10260"/>
    <cellStyle name="Normal 2 6 28 2 2 2 2" xfId="40345"/>
    <cellStyle name="Normal 2 6 28 2 2 3" xfId="40346"/>
    <cellStyle name="Normal 2 6 28 2 3" xfId="10261"/>
    <cellStyle name="Normal 2 6 28 2 3 2" xfId="40347"/>
    <cellStyle name="Normal 2 6 28 2 4" xfId="40348"/>
    <cellStyle name="Normal 2 6 28 3" xfId="10262"/>
    <cellStyle name="Normal 2 6 28 3 2" xfId="10263"/>
    <cellStyle name="Normal 2 6 28 3 2 2" xfId="10264"/>
    <cellStyle name="Normal 2 6 28 3 2 2 2" xfId="40349"/>
    <cellStyle name="Normal 2 6 28 3 2 3" xfId="40350"/>
    <cellStyle name="Normal 2 6 28 3 3" xfId="10265"/>
    <cellStyle name="Normal 2 6 28 3 3 2" xfId="40351"/>
    <cellStyle name="Normal 2 6 28 3 4" xfId="40352"/>
    <cellStyle name="Normal 2 6 28 4" xfId="10266"/>
    <cellStyle name="Normal 2 6 28 4 2" xfId="10267"/>
    <cellStyle name="Normal 2 6 28 4 2 2" xfId="10268"/>
    <cellStyle name="Normal 2 6 28 4 2 2 2" xfId="40353"/>
    <cellStyle name="Normal 2 6 28 4 2 3" xfId="40354"/>
    <cellStyle name="Normal 2 6 28 4 3" xfId="10269"/>
    <cellStyle name="Normal 2 6 28 4 3 2" xfId="40355"/>
    <cellStyle name="Normal 2 6 28 4 4" xfId="40356"/>
    <cellStyle name="Normal 2 6 28 5" xfId="10270"/>
    <cellStyle name="Normal 2 6 28 5 2" xfId="10271"/>
    <cellStyle name="Normal 2 6 28 5 2 2" xfId="40357"/>
    <cellStyle name="Normal 2 6 28 5 3" xfId="40358"/>
    <cellStyle name="Normal 2 6 28 6" xfId="10272"/>
    <cellStyle name="Normal 2 6 28 6 2" xfId="40359"/>
    <cellStyle name="Normal 2 6 28 7" xfId="10273"/>
    <cellStyle name="Normal 2 6 28 7 2" xfId="40360"/>
    <cellStyle name="Normal 2 6 28 8" xfId="40361"/>
    <cellStyle name="Normal 2 6 29" xfId="10274"/>
    <cellStyle name="Normal 2 6 29 2" xfId="10275"/>
    <cellStyle name="Normal 2 6 29 2 2" xfId="10276"/>
    <cellStyle name="Normal 2 6 29 2 2 2" xfId="10277"/>
    <cellStyle name="Normal 2 6 29 2 2 2 2" xfId="40362"/>
    <cellStyle name="Normal 2 6 29 2 2 3" xfId="40363"/>
    <cellStyle name="Normal 2 6 29 2 3" xfId="10278"/>
    <cellStyle name="Normal 2 6 29 2 3 2" xfId="40364"/>
    <cellStyle name="Normal 2 6 29 2 4" xfId="40365"/>
    <cellStyle name="Normal 2 6 29 3" xfId="10279"/>
    <cellStyle name="Normal 2 6 29 3 2" xfId="10280"/>
    <cellStyle name="Normal 2 6 29 3 2 2" xfId="10281"/>
    <cellStyle name="Normal 2 6 29 3 2 2 2" xfId="40366"/>
    <cellStyle name="Normal 2 6 29 3 2 3" xfId="40367"/>
    <cellStyle name="Normal 2 6 29 3 3" xfId="10282"/>
    <cellStyle name="Normal 2 6 29 3 3 2" xfId="40368"/>
    <cellStyle name="Normal 2 6 29 3 4" xfId="40369"/>
    <cellStyle name="Normal 2 6 29 4" xfId="10283"/>
    <cellStyle name="Normal 2 6 29 4 2" xfId="10284"/>
    <cellStyle name="Normal 2 6 29 4 2 2" xfId="10285"/>
    <cellStyle name="Normal 2 6 29 4 2 2 2" xfId="40370"/>
    <cellStyle name="Normal 2 6 29 4 2 3" xfId="40371"/>
    <cellStyle name="Normal 2 6 29 4 3" xfId="10286"/>
    <cellStyle name="Normal 2 6 29 4 3 2" xfId="40372"/>
    <cellStyle name="Normal 2 6 29 4 4" xfId="40373"/>
    <cellStyle name="Normal 2 6 29 5" xfId="10287"/>
    <cellStyle name="Normal 2 6 29 5 2" xfId="10288"/>
    <cellStyle name="Normal 2 6 29 5 2 2" xfId="40374"/>
    <cellStyle name="Normal 2 6 29 5 3" xfId="40375"/>
    <cellStyle name="Normal 2 6 29 6" xfId="10289"/>
    <cellStyle name="Normal 2 6 29 6 2" xfId="40376"/>
    <cellStyle name="Normal 2 6 29 7" xfId="10290"/>
    <cellStyle name="Normal 2 6 29 7 2" xfId="40377"/>
    <cellStyle name="Normal 2 6 29 8" xfId="40378"/>
    <cellStyle name="Normal 2 6 3" xfId="10291"/>
    <cellStyle name="Normal 2 6 3 2" xfId="10292"/>
    <cellStyle name="Normal 2 6 3 2 2" xfId="10293"/>
    <cellStyle name="Normal 2 6 3 2 2 2" xfId="10294"/>
    <cellStyle name="Normal 2 6 3 2 2 2 2" xfId="40379"/>
    <cellStyle name="Normal 2 6 3 2 2 3" xfId="40380"/>
    <cellStyle name="Normal 2 6 3 2 3" xfId="10295"/>
    <cellStyle name="Normal 2 6 3 2 3 2" xfId="40381"/>
    <cellStyle name="Normal 2 6 3 2 4" xfId="40382"/>
    <cellStyle name="Normal 2 6 3 3" xfId="10296"/>
    <cellStyle name="Normal 2 6 3 3 2" xfId="10297"/>
    <cellStyle name="Normal 2 6 3 3 2 2" xfId="10298"/>
    <cellStyle name="Normal 2 6 3 3 2 2 2" xfId="40383"/>
    <cellStyle name="Normal 2 6 3 3 2 3" xfId="40384"/>
    <cellStyle name="Normal 2 6 3 3 3" xfId="10299"/>
    <cellStyle name="Normal 2 6 3 3 3 2" xfId="40385"/>
    <cellStyle name="Normal 2 6 3 3 4" xfId="40386"/>
    <cellStyle name="Normal 2 6 3 4" xfId="10300"/>
    <cellStyle name="Normal 2 6 3 4 2" xfId="10301"/>
    <cellStyle name="Normal 2 6 3 4 2 2" xfId="10302"/>
    <cellStyle name="Normal 2 6 3 4 2 2 2" xfId="40387"/>
    <cellStyle name="Normal 2 6 3 4 2 3" xfId="40388"/>
    <cellStyle name="Normal 2 6 3 4 3" xfId="10303"/>
    <cellStyle name="Normal 2 6 3 4 3 2" xfId="40389"/>
    <cellStyle name="Normal 2 6 3 4 4" xfId="40390"/>
    <cellStyle name="Normal 2 6 3 5" xfId="10304"/>
    <cellStyle name="Normal 2 6 3 5 2" xfId="10305"/>
    <cellStyle name="Normal 2 6 3 5 2 2" xfId="40391"/>
    <cellStyle name="Normal 2 6 3 5 3" xfId="40392"/>
    <cellStyle name="Normal 2 6 3 6" xfId="10306"/>
    <cellStyle name="Normal 2 6 3 6 2" xfId="40393"/>
    <cellStyle name="Normal 2 6 3 7" xfId="10307"/>
    <cellStyle name="Normal 2 6 3 7 2" xfId="40394"/>
    <cellStyle name="Normal 2 6 3 8" xfId="40395"/>
    <cellStyle name="Normal 2 6 30" xfId="10308"/>
    <cellStyle name="Normal 2 6 30 2" xfId="10309"/>
    <cellStyle name="Normal 2 6 30 2 2" xfId="10310"/>
    <cellStyle name="Normal 2 6 30 2 2 2" xfId="40396"/>
    <cellStyle name="Normal 2 6 30 2 3" xfId="40397"/>
    <cellStyle name="Normal 2 6 30 3" xfId="10311"/>
    <cellStyle name="Normal 2 6 30 3 2" xfId="40398"/>
    <cellStyle name="Normal 2 6 30 4" xfId="40399"/>
    <cellStyle name="Normal 2 6 31" xfId="10312"/>
    <cellStyle name="Normal 2 6 31 2" xfId="10313"/>
    <cellStyle name="Normal 2 6 31 2 2" xfId="10314"/>
    <cellStyle name="Normal 2 6 31 2 2 2" xfId="40400"/>
    <cellStyle name="Normal 2 6 31 2 3" xfId="40401"/>
    <cellStyle name="Normal 2 6 31 3" xfId="10315"/>
    <cellStyle name="Normal 2 6 31 3 2" xfId="40402"/>
    <cellStyle name="Normal 2 6 31 4" xfId="40403"/>
    <cellStyle name="Normal 2 6 32" xfId="10316"/>
    <cellStyle name="Normal 2 6 32 2" xfId="10317"/>
    <cellStyle name="Normal 2 6 32 2 2" xfId="10318"/>
    <cellStyle name="Normal 2 6 32 2 2 2" xfId="40404"/>
    <cellStyle name="Normal 2 6 32 2 3" xfId="40405"/>
    <cellStyle name="Normal 2 6 32 3" xfId="10319"/>
    <cellStyle name="Normal 2 6 32 3 2" xfId="40406"/>
    <cellStyle name="Normal 2 6 32 4" xfId="40407"/>
    <cellStyle name="Normal 2 6 33" xfId="10320"/>
    <cellStyle name="Normal 2 6 33 2" xfId="10321"/>
    <cellStyle name="Normal 2 6 33 2 2" xfId="40408"/>
    <cellStyle name="Normal 2 6 33 3" xfId="40409"/>
    <cellStyle name="Normal 2 6 34" xfId="10322"/>
    <cellStyle name="Normal 2 6 34 2" xfId="40410"/>
    <cellStyle name="Normal 2 6 35" xfId="10323"/>
    <cellStyle name="Normal 2 6 35 2" xfId="40411"/>
    <cellStyle name="Normal 2 6 36" xfId="40412"/>
    <cellStyle name="Normal 2 6 4" xfId="10324"/>
    <cellStyle name="Normal 2 6 4 2" xfId="10325"/>
    <cellStyle name="Normal 2 6 4 2 2" xfId="10326"/>
    <cellStyle name="Normal 2 6 4 2 2 2" xfId="10327"/>
    <cellStyle name="Normal 2 6 4 2 2 2 2" xfId="40413"/>
    <cellStyle name="Normal 2 6 4 2 2 3" xfId="40414"/>
    <cellStyle name="Normal 2 6 4 2 3" xfId="10328"/>
    <cellStyle name="Normal 2 6 4 2 3 2" xfId="40415"/>
    <cellStyle name="Normal 2 6 4 2 4" xfId="40416"/>
    <cellStyle name="Normal 2 6 4 3" xfId="10329"/>
    <cellStyle name="Normal 2 6 4 3 2" xfId="10330"/>
    <cellStyle name="Normal 2 6 4 3 2 2" xfId="10331"/>
    <cellStyle name="Normal 2 6 4 3 2 2 2" xfId="40417"/>
    <cellStyle name="Normal 2 6 4 3 2 3" xfId="40418"/>
    <cellStyle name="Normal 2 6 4 3 3" xfId="10332"/>
    <cellStyle name="Normal 2 6 4 3 3 2" xfId="40419"/>
    <cellStyle name="Normal 2 6 4 3 4" xfId="40420"/>
    <cellStyle name="Normal 2 6 4 4" xfId="10333"/>
    <cellStyle name="Normal 2 6 4 4 2" xfId="10334"/>
    <cellStyle name="Normal 2 6 4 4 2 2" xfId="10335"/>
    <cellStyle name="Normal 2 6 4 4 2 2 2" xfId="40421"/>
    <cellStyle name="Normal 2 6 4 4 2 3" xfId="40422"/>
    <cellStyle name="Normal 2 6 4 4 3" xfId="10336"/>
    <cellStyle name="Normal 2 6 4 4 3 2" xfId="40423"/>
    <cellStyle name="Normal 2 6 4 4 4" xfId="40424"/>
    <cellStyle name="Normal 2 6 4 5" xfId="10337"/>
    <cellStyle name="Normal 2 6 4 5 2" xfId="10338"/>
    <cellStyle name="Normal 2 6 4 5 2 2" xfId="40425"/>
    <cellStyle name="Normal 2 6 4 5 3" xfId="40426"/>
    <cellStyle name="Normal 2 6 4 6" xfId="10339"/>
    <cellStyle name="Normal 2 6 4 6 2" xfId="40427"/>
    <cellStyle name="Normal 2 6 4 7" xfId="10340"/>
    <cellStyle name="Normal 2 6 4 7 2" xfId="40428"/>
    <cellStyle name="Normal 2 6 4 8" xfId="40429"/>
    <cellStyle name="Normal 2 6 5" xfId="10341"/>
    <cellStyle name="Normal 2 6 5 2" xfId="10342"/>
    <cellStyle name="Normal 2 6 5 2 2" xfId="10343"/>
    <cellStyle name="Normal 2 6 5 2 2 2" xfId="10344"/>
    <cellStyle name="Normal 2 6 5 2 2 2 2" xfId="40430"/>
    <cellStyle name="Normal 2 6 5 2 2 3" xfId="40431"/>
    <cellStyle name="Normal 2 6 5 2 3" xfId="10345"/>
    <cellStyle name="Normal 2 6 5 2 3 2" xfId="40432"/>
    <cellStyle name="Normal 2 6 5 2 4" xfId="40433"/>
    <cellStyle name="Normal 2 6 5 3" xfId="10346"/>
    <cellStyle name="Normal 2 6 5 3 2" xfId="10347"/>
    <cellStyle name="Normal 2 6 5 3 2 2" xfId="10348"/>
    <cellStyle name="Normal 2 6 5 3 2 2 2" xfId="40434"/>
    <cellStyle name="Normal 2 6 5 3 2 3" xfId="40435"/>
    <cellStyle name="Normal 2 6 5 3 3" xfId="10349"/>
    <cellStyle name="Normal 2 6 5 3 3 2" xfId="40436"/>
    <cellStyle name="Normal 2 6 5 3 4" xfId="40437"/>
    <cellStyle name="Normal 2 6 5 4" xfId="10350"/>
    <cellStyle name="Normal 2 6 5 4 2" xfId="10351"/>
    <cellStyle name="Normal 2 6 5 4 2 2" xfId="10352"/>
    <cellStyle name="Normal 2 6 5 4 2 2 2" xfId="40438"/>
    <cellStyle name="Normal 2 6 5 4 2 3" xfId="40439"/>
    <cellStyle name="Normal 2 6 5 4 3" xfId="10353"/>
    <cellStyle name="Normal 2 6 5 4 3 2" xfId="40440"/>
    <cellStyle name="Normal 2 6 5 4 4" xfId="40441"/>
    <cellStyle name="Normal 2 6 5 5" xfId="10354"/>
    <cellStyle name="Normal 2 6 5 5 2" xfId="10355"/>
    <cellStyle name="Normal 2 6 5 5 2 2" xfId="40442"/>
    <cellStyle name="Normal 2 6 5 5 3" xfId="40443"/>
    <cellStyle name="Normal 2 6 5 6" xfId="10356"/>
    <cellStyle name="Normal 2 6 5 6 2" xfId="40444"/>
    <cellStyle name="Normal 2 6 5 7" xfId="10357"/>
    <cellStyle name="Normal 2 6 5 7 2" xfId="40445"/>
    <cellStyle name="Normal 2 6 5 8" xfId="40446"/>
    <cellStyle name="Normal 2 6 6" xfId="10358"/>
    <cellStyle name="Normal 2 6 6 2" xfId="10359"/>
    <cellStyle name="Normal 2 6 6 2 2" xfId="10360"/>
    <cellStyle name="Normal 2 6 6 2 2 2" xfId="10361"/>
    <cellStyle name="Normal 2 6 6 2 2 2 2" xfId="40447"/>
    <cellStyle name="Normal 2 6 6 2 2 3" xfId="40448"/>
    <cellStyle name="Normal 2 6 6 2 3" xfId="10362"/>
    <cellStyle name="Normal 2 6 6 2 3 2" xfId="40449"/>
    <cellStyle name="Normal 2 6 6 2 4" xfId="40450"/>
    <cellStyle name="Normal 2 6 6 3" xfId="10363"/>
    <cellStyle name="Normal 2 6 6 3 2" xfId="10364"/>
    <cellStyle name="Normal 2 6 6 3 2 2" xfId="10365"/>
    <cellStyle name="Normal 2 6 6 3 2 2 2" xfId="40451"/>
    <cellStyle name="Normal 2 6 6 3 2 3" xfId="40452"/>
    <cellStyle name="Normal 2 6 6 3 3" xfId="10366"/>
    <cellStyle name="Normal 2 6 6 3 3 2" xfId="40453"/>
    <cellStyle name="Normal 2 6 6 3 4" xfId="40454"/>
    <cellStyle name="Normal 2 6 6 4" xfId="10367"/>
    <cellStyle name="Normal 2 6 6 4 2" xfId="10368"/>
    <cellStyle name="Normal 2 6 6 4 2 2" xfId="10369"/>
    <cellStyle name="Normal 2 6 6 4 2 2 2" xfId="40455"/>
    <cellStyle name="Normal 2 6 6 4 2 3" xfId="40456"/>
    <cellStyle name="Normal 2 6 6 4 3" xfId="10370"/>
    <cellStyle name="Normal 2 6 6 4 3 2" xfId="40457"/>
    <cellStyle name="Normal 2 6 6 4 4" xfId="40458"/>
    <cellStyle name="Normal 2 6 6 5" xfId="10371"/>
    <cellStyle name="Normal 2 6 6 5 2" xfId="10372"/>
    <cellStyle name="Normal 2 6 6 5 2 2" xfId="40459"/>
    <cellStyle name="Normal 2 6 6 5 3" xfId="40460"/>
    <cellStyle name="Normal 2 6 6 6" xfId="10373"/>
    <cellStyle name="Normal 2 6 6 6 2" xfId="40461"/>
    <cellStyle name="Normal 2 6 6 7" xfId="10374"/>
    <cellStyle name="Normal 2 6 6 7 2" xfId="40462"/>
    <cellStyle name="Normal 2 6 6 8" xfId="40463"/>
    <cellStyle name="Normal 2 6 7" xfId="10375"/>
    <cellStyle name="Normal 2 6 7 2" xfId="10376"/>
    <cellStyle name="Normal 2 6 7 2 2" xfId="10377"/>
    <cellStyle name="Normal 2 6 7 2 2 2" xfId="10378"/>
    <cellStyle name="Normal 2 6 7 2 2 2 2" xfId="40464"/>
    <cellStyle name="Normal 2 6 7 2 2 3" xfId="40465"/>
    <cellStyle name="Normal 2 6 7 2 3" xfId="10379"/>
    <cellStyle name="Normal 2 6 7 2 3 2" xfId="40466"/>
    <cellStyle name="Normal 2 6 7 2 4" xfId="40467"/>
    <cellStyle name="Normal 2 6 7 3" xfId="10380"/>
    <cellStyle name="Normal 2 6 7 3 2" xfId="10381"/>
    <cellStyle name="Normal 2 6 7 3 2 2" xfId="10382"/>
    <cellStyle name="Normal 2 6 7 3 2 2 2" xfId="40468"/>
    <cellStyle name="Normal 2 6 7 3 2 3" xfId="40469"/>
    <cellStyle name="Normal 2 6 7 3 3" xfId="10383"/>
    <cellStyle name="Normal 2 6 7 3 3 2" xfId="40470"/>
    <cellStyle name="Normal 2 6 7 3 4" xfId="40471"/>
    <cellStyle name="Normal 2 6 7 4" xfId="10384"/>
    <cellStyle name="Normal 2 6 7 4 2" xfId="10385"/>
    <cellStyle name="Normal 2 6 7 4 2 2" xfId="10386"/>
    <cellStyle name="Normal 2 6 7 4 2 2 2" xfId="40472"/>
    <cellStyle name="Normal 2 6 7 4 2 3" xfId="40473"/>
    <cellStyle name="Normal 2 6 7 4 3" xfId="10387"/>
    <cellStyle name="Normal 2 6 7 4 3 2" xfId="40474"/>
    <cellStyle name="Normal 2 6 7 4 4" xfId="40475"/>
    <cellStyle name="Normal 2 6 7 5" xfId="10388"/>
    <cellStyle name="Normal 2 6 7 5 2" xfId="10389"/>
    <cellStyle name="Normal 2 6 7 5 2 2" xfId="40476"/>
    <cellStyle name="Normal 2 6 7 5 3" xfId="40477"/>
    <cellStyle name="Normal 2 6 7 6" xfId="10390"/>
    <cellStyle name="Normal 2 6 7 6 2" xfId="40478"/>
    <cellStyle name="Normal 2 6 7 7" xfId="10391"/>
    <cellStyle name="Normal 2 6 7 7 2" xfId="40479"/>
    <cellStyle name="Normal 2 6 7 8" xfId="40480"/>
    <cellStyle name="Normal 2 6 8" xfId="10392"/>
    <cellStyle name="Normal 2 6 8 2" xfId="10393"/>
    <cellStyle name="Normal 2 6 8 2 2" xfId="10394"/>
    <cellStyle name="Normal 2 6 8 2 2 2" xfId="10395"/>
    <cellStyle name="Normal 2 6 8 2 2 2 2" xfId="40481"/>
    <cellStyle name="Normal 2 6 8 2 2 3" xfId="40482"/>
    <cellStyle name="Normal 2 6 8 2 3" xfId="10396"/>
    <cellStyle name="Normal 2 6 8 2 3 2" xfId="40483"/>
    <cellStyle name="Normal 2 6 8 2 4" xfId="40484"/>
    <cellStyle name="Normal 2 6 8 3" xfId="10397"/>
    <cellStyle name="Normal 2 6 8 3 2" xfId="10398"/>
    <cellStyle name="Normal 2 6 8 3 2 2" xfId="10399"/>
    <cellStyle name="Normal 2 6 8 3 2 2 2" xfId="40485"/>
    <cellStyle name="Normal 2 6 8 3 2 3" xfId="40486"/>
    <cellStyle name="Normal 2 6 8 3 3" xfId="10400"/>
    <cellStyle name="Normal 2 6 8 3 3 2" xfId="40487"/>
    <cellStyle name="Normal 2 6 8 3 4" xfId="40488"/>
    <cellStyle name="Normal 2 6 8 4" xfId="10401"/>
    <cellStyle name="Normal 2 6 8 4 2" xfId="10402"/>
    <cellStyle name="Normal 2 6 8 4 2 2" xfId="10403"/>
    <cellStyle name="Normal 2 6 8 4 2 2 2" xfId="40489"/>
    <cellStyle name="Normal 2 6 8 4 2 3" xfId="40490"/>
    <cellStyle name="Normal 2 6 8 4 3" xfId="10404"/>
    <cellStyle name="Normal 2 6 8 4 3 2" xfId="40491"/>
    <cellStyle name="Normal 2 6 8 4 4" xfId="40492"/>
    <cellStyle name="Normal 2 6 8 5" xfId="10405"/>
    <cellStyle name="Normal 2 6 8 5 2" xfId="10406"/>
    <cellStyle name="Normal 2 6 8 5 2 2" xfId="40493"/>
    <cellStyle name="Normal 2 6 8 5 3" xfId="40494"/>
    <cellStyle name="Normal 2 6 8 6" xfId="10407"/>
    <cellStyle name="Normal 2 6 8 6 2" xfId="40495"/>
    <cellStyle name="Normal 2 6 8 7" xfId="10408"/>
    <cellStyle name="Normal 2 6 8 7 2" xfId="40496"/>
    <cellStyle name="Normal 2 6 8 8" xfId="40497"/>
    <cellStyle name="Normal 2 6 9" xfId="10409"/>
    <cellStyle name="Normal 2 6 9 2" xfId="10410"/>
    <cellStyle name="Normal 2 6 9 2 2" xfId="10411"/>
    <cellStyle name="Normal 2 6 9 2 2 2" xfId="10412"/>
    <cellStyle name="Normal 2 6 9 2 2 2 2" xfId="40498"/>
    <cellStyle name="Normal 2 6 9 2 2 3" xfId="40499"/>
    <cellStyle name="Normal 2 6 9 2 3" xfId="10413"/>
    <cellStyle name="Normal 2 6 9 2 3 2" xfId="40500"/>
    <cellStyle name="Normal 2 6 9 2 4" xfId="40501"/>
    <cellStyle name="Normal 2 6 9 3" xfId="10414"/>
    <cellStyle name="Normal 2 6 9 3 2" xfId="10415"/>
    <cellStyle name="Normal 2 6 9 3 2 2" xfId="10416"/>
    <cellStyle name="Normal 2 6 9 3 2 2 2" xfId="40502"/>
    <cellStyle name="Normal 2 6 9 3 2 3" xfId="40503"/>
    <cellStyle name="Normal 2 6 9 3 3" xfId="10417"/>
    <cellStyle name="Normal 2 6 9 3 3 2" xfId="40504"/>
    <cellStyle name="Normal 2 6 9 3 4" xfId="40505"/>
    <cellStyle name="Normal 2 6 9 4" xfId="10418"/>
    <cellStyle name="Normal 2 6 9 4 2" xfId="10419"/>
    <cellStyle name="Normal 2 6 9 4 2 2" xfId="10420"/>
    <cellStyle name="Normal 2 6 9 4 2 2 2" xfId="40506"/>
    <cellStyle name="Normal 2 6 9 4 2 3" xfId="40507"/>
    <cellStyle name="Normal 2 6 9 4 3" xfId="10421"/>
    <cellStyle name="Normal 2 6 9 4 3 2" xfId="40508"/>
    <cellStyle name="Normal 2 6 9 4 4" xfId="40509"/>
    <cellStyle name="Normal 2 6 9 5" xfId="10422"/>
    <cellStyle name="Normal 2 6 9 5 2" xfId="10423"/>
    <cellStyle name="Normal 2 6 9 5 2 2" xfId="40510"/>
    <cellStyle name="Normal 2 6 9 5 3" xfId="40511"/>
    <cellStyle name="Normal 2 6 9 6" xfId="10424"/>
    <cellStyle name="Normal 2 6 9 6 2" xfId="40512"/>
    <cellStyle name="Normal 2 6 9 7" xfId="10425"/>
    <cellStyle name="Normal 2 6 9 7 2" xfId="40513"/>
    <cellStyle name="Normal 2 6 9 8" xfId="40514"/>
    <cellStyle name="Normal 2 7" xfId="10426"/>
    <cellStyle name="Normal 2 7 10" xfId="10427"/>
    <cellStyle name="Normal 2 7 10 2" xfId="10428"/>
    <cellStyle name="Normal 2 7 10 2 2" xfId="10429"/>
    <cellStyle name="Normal 2 7 10 2 2 2" xfId="10430"/>
    <cellStyle name="Normal 2 7 10 2 2 2 2" xfId="40515"/>
    <cellStyle name="Normal 2 7 10 2 2 3" xfId="40516"/>
    <cellStyle name="Normal 2 7 10 2 3" xfId="10431"/>
    <cellStyle name="Normal 2 7 10 2 3 2" xfId="40517"/>
    <cellStyle name="Normal 2 7 10 2 4" xfId="40518"/>
    <cellStyle name="Normal 2 7 10 3" xfId="10432"/>
    <cellStyle name="Normal 2 7 10 3 2" xfId="10433"/>
    <cellStyle name="Normal 2 7 10 3 2 2" xfId="10434"/>
    <cellStyle name="Normal 2 7 10 3 2 2 2" xfId="40519"/>
    <cellStyle name="Normal 2 7 10 3 2 3" xfId="40520"/>
    <cellStyle name="Normal 2 7 10 3 3" xfId="10435"/>
    <cellStyle name="Normal 2 7 10 3 3 2" xfId="40521"/>
    <cellStyle name="Normal 2 7 10 3 4" xfId="40522"/>
    <cellStyle name="Normal 2 7 10 4" xfId="10436"/>
    <cellStyle name="Normal 2 7 10 4 2" xfId="10437"/>
    <cellStyle name="Normal 2 7 10 4 2 2" xfId="10438"/>
    <cellStyle name="Normal 2 7 10 4 2 2 2" xfId="40523"/>
    <cellStyle name="Normal 2 7 10 4 2 3" xfId="40524"/>
    <cellStyle name="Normal 2 7 10 4 3" xfId="10439"/>
    <cellStyle name="Normal 2 7 10 4 3 2" xfId="40525"/>
    <cellStyle name="Normal 2 7 10 4 4" xfId="40526"/>
    <cellStyle name="Normal 2 7 10 5" xfId="10440"/>
    <cellStyle name="Normal 2 7 10 5 2" xfId="10441"/>
    <cellStyle name="Normal 2 7 10 5 2 2" xfId="40527"/>
    <cellStyle name="Normal 2 7 10 5 3" xfId="40528"/>
    <cellStyle name="Normal 2 7 10 6" xfId="10442"/>
    <cellStyle name="Normal 2 7 10 6 2" xfId="40529"/>
    <cellStyle name="Normal 2 7 10 7" xfId="10443"/>
    <cellStyle name="Normal 2 7 10 7 2" xfId="40530"/>
    <cellStyle name="Normal 2 7 10 8" xfId="40531"/>
    <cellStyle name="Normal 2 7 11" xfId="10444"/>
    <cellStyle name="Normal 2 7 11 2" xfId="10445"/>
    <cellStyle name="Normal 2 7 11 2 2" xfId="10446"/>
    <cellStyle name="Normal 2 7 11 2 2 2" xfId="10447"/>
    <cellStyle name="Normal 2 7 11 2 2 2 2" xfId="40532"/>
    <cellStyle name="Normal 2 7 11 2 2 3" xfId="40533"/>
    <cellStyle name="Normal 2 7 11 2 3" xfId="10448"/>
    <cellStyle name="Normal 2 7 11 2 3 2" xfId="40534"/>
    <cellStyle name="Normal 2 7 11 2 4" xfId="40535"/>
    <cellStyle name="Normal 2 7 11 3" xfId="10449"/>
    <cellStyle name="Normal 2 7 11 3 2" xfId="10450"/>
    <cellStyle name="Normal 2 7 11 3 2 2" xfId="10451"/>
    <cellStyle name="Normal 2 7 11 3 2 2 2" xfId="40536"/>
    <cellStyle name="Normal 2 7 11 3 2 3" xfId="40537"/>
    <cellStyle name="Normal 2 7 11 3 3" xfId="10452"/>
    <cellStyle name="Normal 2 7 11 3 3 2" xfId="40538"/>
    <cellStyle name="Normal 2 7 11 3 4" xfId="40539"/>
    <cellStyle name="Normal 2 7 11 4" xfId="10453"/>
    <cellStyle name="Normal 2 7 11 4 2" xfId="10454"/>
    <cellStyle name="Normal 2 7 11 4 2 2" xfId="10455"/>
    <cellStyle name="Normal 2 7 11 4 2 2 2" xfId="40540"/>
    <cellStyle name="Normal 2 7 11 4 2 3" xfId="40541"/>
    <cellStyle name="Normal 2 7 11 4 3" xfId="10456"/>
    <cellStyle name="Normal 2 7 11 4 3 2" xfId="40542"/>
    <cellStyle name="Normal 2 7 11 4 4" xfId="40543"/>
    <cellStyle name="Normal 2 7 11 5" xfId="10457"/>
    <cellStyle name="Normal 2 7 11 5 2" xfId="10458"/>
    <cellStyle name="Normal 2 7 11 5 2 2" xfId="40544"/>
    <cellStyle name="Normal 2 7 11 5 3" xfId="40545"/>
    <cellStyle name="Normal 2 7 11 6" xfId="10459"/>
    <cellStyle name="Normal 2 7 11 6 2" xfId="40546"/>
    <cellStyle name="Normal 2 7 11 7" xfId="10460"/>
    <cellStyle name="Normal 2 7 11 7 2" xfId="40547"/>
    <cellStyle name="Normal 2 7 11 8" xfId="40548"/>
    <cellStyle name="Normal 2 7 12" xfId="10461"/>
    <cellStyle name="Normal 2 7 12 2" xfId="10462"/>
    <cellStyle name="Normal 2 7 12 2 2" xfId="10463"/>
    <cellStyle name="Normal 2 7 12 2 2 2" xfId="10464"/>
    <cellStyle name="Normal 2 7 12 2 2 2 2" xfId="40549"/>
    <cellStyle name="Normal 2 7 12 2 2 3" xfId="40550"/>
    <cellStyle name="Normal 2 7 12 2 3" xfId="10465"/>
    <cellStyle name="Normal 2 7 12 2 3 2" xfId="40551"/>
    <cellStyle name="Normal 2 7 12 2 4" xfId="40552"/>
    <cellStyle name="Normal 2 7 12 3" xfId="10466"/>
    <cellStyle name="Normal 2 7 12 3 2" xfId="10467"/>
    <cellStyle name="Normal 2 7 12 3 2 2" xfId="10468"/>
    <cellStyle name="Normal 2 7 12 3 2 2 2" xfId="40553"/>
    <cellStyle name="Normal 2 7 12 3 2 3" xfId="40554"/>
    <cellStyle name="Normal 2 7 12 3 3" xfId="10469"/>
    <cellStyle name="Normal 2 7 12 3 3 2" xfId="40555"/>
    <cellStyle name="Normal 2 7 12 3 4" xfId="40556"/>
    <cellStyle name="Normal 2 7 12 4" xfId="10470"/>
    <cellStyle name="Normal 2 7 12 4 2" xfId="10471"/>
    <cellStyle name="Normal 2 7 12 4 2 2" xfId="10472"/>
    <cellStyle name="Normal 2 7 12 4 2 2 2" xfId="40557"/>
    <cellStyle name="Normal 2 7 12 4 2 3" xfId="40558"/>
    <cellStyle name="Normal 2 7 12 4 3" xfId="10473"/>
    <cellStyle name="Normal 2 7 12 4 3 2" xfId="40559"/>
    <cellStyle name="Normal 2 7 12 4 4" xfId="40560"/>
    <cellStyle name="Normal 2 7 12 5" xfId="10474"/>
    <cellStyle name="Normal 2 7 12 5 2" xfId="10475"/>
    <cellStyle name="Normal 2 7 12 5 2 2" xfId="40561"/>
    <cellStyle name="Normal 2 7 12 5 3" xfId="40562"/>
    <cellStyle name="Normal 2 7 12 6" xfId="10476"/>
    <cellStyle name="Normal 2 7 12 6 2" xfId="40563"/>
    <cellStyle name="Normal 2 7 12 7" xfId="10477"/>
    <cellStyle name="Normal 2 7 12 7 2" xfId="40564"/>
    <cellStyle name="Normal 2 7 12 8" xfId="40565"/>
    <cellStyle name="Normal 2 7 13" xfId="10478"/>
    <cellStyle name="Normal 2 7 13 2" xfId="10479"/>
    <cellStyle name="Normal 2 7 13 2 2" xfId="10480"/>
    <cellStyle name="Normal 2 7 13 2 2 2" xfId="10481"/>
    <cellStyle name="Normal 2 7 13 2 2 2 2" xfId="40566"/>
    <cellStyle name="Normal 2 7 13 2 2 3" xfId="40567"/>
    <cellStyle name="Normal 2 7 13 2 3" xfId="10482"/>
    <cellStyle name="Normal 2 7 13 2 3 2" xfId="40568"/>
    <cellStyle name="Normal 2 7 13 2 4" xfId="40569"/>
    <cellStyle name="Normal 2 7 13 3" xfId="10483"/>
    <cellStyle name="Normal 2 7 13 3 2" xfId="10484"/>
    <cellStyle name="Normal 2 7 13 3 2 2" xfId="10485"/>
    <cellStyle name="Normal 2 7 13 3 2 2 2" xfId="40570"/>
    <cellStyle name="Normal 2 7 13 3 2 3" xfId="40571"/>
    <cellStyle name="Normal 2 7 13 3 3" xfId="10486"/>
    <cellStyle name="Normal 2 7 13 3 3 2" xfId="40572"/>
    <cellStyle name="Normal 2 7 13 3 4" xfId="40573"/>
    <cellStyle name="Normal 2 7 13 4" xfId="10487"/>
    <cellStyle name="Normal 2 7 13 4 2" xfId="10488"/>
    <cellStyle name="Normal 2 7 13 4 2 2" xfId="10489"/>
    <cellStyle name="Normal 2 7 13 4 2 2 2" xfId="40574"/>
    <cellStyle name="Normal 2 7 13 4 2 3" xfId="40575"/>
    <cellStyle name="Normal 2 7 13 4 3" xfId="10490"/>
    <cellStyle name="Normal 2 7 13 4 3 2" xfId="40576"/>
    <cellStyle name="Normal 2 7 13 4 4" xfId="40577"/>
    <cellStyle name="Normal 2 7 13 5" xfId="10491"/>
    <cellStyle name="Normal 2 7 13 5 2" xfId="10492"/>
    <cellStyle name="Normal 2 7 13 5 2 2" xfId="40578"/>
    <cellStyle name="Normal 2 7 13 5 3" xfId="40579"/>
    <cellStyle name="Normal 2 7 13 6" xfId="10493"/>
    <cellStyle name="Normal 2 7 13 6 2" xfId="40580"/>
    <cellStyle name="Normal 2 7 13 7" xfId="10494"/>
    <cellStyle name="Normal 2 7 13 7 2" xfId="40581"/>
    <cellStyle name="Normal 2 7 13 8" xfId="40582"/>
    <cellStyle name="Normal 2 7 14" xfId="10495"/>
    <cellStyle name="Normal 2 7 14 2" xfId="10496"/>
    <cellStyle name="Normal 2 7 14 2 2" xfId="10497"/>
    <cellStyle name="Normal 2 7 14 2 2 2" xfId="10498"/>
    <cellStyle name="Normal 2 7 14 2 2 2 2" xfId="40583"/>
    <cellStyle name="Normal 2 7 14 2 2 3" xfId="40584"/>
    <cellStyle name="Normal 2 7 14 2 3" xfId="10499"/>
    <cellStyle name="Normal 2 7 14 2 3 2" xfId="40585"/>
    <cellStyle name="Normal 2 7 14 2 4" xfId="40586"/>
    <cellStyle name="Normal 2 7 14 3" xfId="10500"/>
    <cellStyle name="Normal 2 7 14 3 2" xfId="10501"/>
    <cellStyle name="Normal 2 7 14 3 2 2" xfId="10502"/>
    <cellStyle name="Normal 2 7 14 3 2 2 2" xfId="40587"/>
    <cellStyle name="Normal 2 7 14 3 2 3" xfId="40588"/>
    <cellStyle name="Normal 2 7 14 3 3" xfId="10503"/>
    <cellStyle name="Normal 2 7 14 3 3 2" xfId="40589"/>
    <cellStyle name="Normal 2 7 14 3 4" xfId="40590"/>
    <cellStyle name="Normal 2 7 14 4" xfId="10504"/>
    <cellStyle name="Normal 2 7 14 4 2" xfId="10505"/>
    <cellStyle name="Normal 2 7 14 4 2 2" xfId="10506"/>
    <cellStyle name="Normal 2 7 14 4 2 2 2" xfId="40591"/>
    <cellStyle name="Normal 2 7 14 4 2 3" xfId="40592"/>
    <cellStyle name="Normal 2 7 14 4 3" xfId="10507"/>
    <cellStyle name="Normal 2 7 14 4 3 2" xfId="40593"/>
    <cellStyle name="Normal 2 7 14 4 4" xfId="40594"/>
    <cellStyle name="Normal 2 7 14 5" xfId="10508"/>
    <cellStyle name="Normal 2 7 14 5 2" xfId="10509"/>
    <cellStyle name="Normal 2 7 14 5 2 2" xfId="40595"/>
    <cellStyle name="Normal 2 7 14 5 3" xfId="40596"/>
    <cellStyle name="Normal 2 7 14 6" xfId="10510"/>
    <cellStyle name="Normal 2 7 14 6 2" xfId="40597"/>
    <cellStyle name="Normal 2 7 14 7" xfId="10511"/>
    <cellStyle name="Normal 2 7 14 7 2" xfId="40598"/>
    <cellStyle name="Normal 2 7 14 8" xfId="40599"/>
    <cellStyle name="Normal 2 7 15" xfId="10512"/>
    <cellStyle name="Normal 2 7 15 2" xfId="10513"/>
    <cellStyle name="Normal 2 7 15 2 2" xfId="10514"/>
    <cellStyle name="Normal 2 7 15 2 2 2" xfId="10515"/>
    <cellStyle name="Normal 2 7 15 2 2 2 2" xfId="40600"/>
    <cellStyle name="Normal 2 7 15 2 2 3" xfId="40601"/>
    <cellStyle name="Normal 2 7 15 2 3" xfId="10516"/>
    <cellStyle name="Normal 2 7 15 2 3 2" xfId="40602"/>
    <cellStyle name="Normal 2 7 15 2 4" xfId="40603"/>
    <cellStyle name="Normal 2 7 15 3" xfId="10517"/>
    <cellStyle name="Normal 2 7 15 3 2" xfId="10518"/>
    <cellStyle name="Normal 2 7 15 3 2 2" xfId="10519"/>
    <cellStyle name="Normal 2 7 15 3 2 2 2" xfId="40604"/>
    <cellStyle name="Normal 2 7 15 3 2 3" xfId="40605"/>
    <cellStyle name="Normal 2 7 15 3 3" xfId="10520"/>
    <cellStyle name="Normal 2 7 15 3 3 2" xfId="40606"/>
    <cellStyle name="Normal 2 7 15 3 4" xfId="40607"/>
    <cellStyle name="Normal 2 7 15 4" xfId="10521"/>
    <cellStyle name="Normal 2 7 15 4 2" xfId="10522"/>
    <cellStyle name="Normal 2 7 15 4 2 2" xfId="10523"/>
    <cellStyle name="Normal 2 7 15 4 2 2 2" xfId="40608"/>
    <cellStyle name="Normal 2 7 15 4 2 3" xfId="40609"/>
    <cellStyle name="Normal 2 7 15 4 3" xfId="10524"/>
    <cellStyle name="Normal 2 7 15 4 3 2" xfId="40610"/>
    <cellStyle name="Normal 2 7 15 4 4" xfId="40611"/>
    <cellStyle name="Normal 2 7 15 5" xfId="10525"/>
    <cellStyle name="Normal 2 7 15 5 2" xfId="10526"/>
    <cellStyle name="Normal 2 7 15 5 2 2" xfId="40612"/>
    <cellStyle name="Normal 2 7 15 5 3" xfId="40613"/>
    <cellStyle name="Normal 2 7 15 6" xfId="10527"/>
    <cellStyle name="Normal 2 7 15 6 2" xfId="40614"/>
    <cellStyle name="Normal 2 7 15 7" xfId="10528"/>
    <cellStyle name="Normal 2 7 15 7 2" xfId="40615"/>
    <cellStyle name="Normal 2 7 15 8" xfId="40616"/>
    <cellStyle name="Normal 2 7 16" xfId="10529"/>
    <cellStyle name="Normal 2 7 16 2" xfId="10530"/>
    <cellStyle name="Normal 2 7 16 2 2" xfId="10531"/>
    <cellStyle name="Normal 2 7 16 2 2 2" xfId="10532"/>
    <cellStyle name="Normal 2 7 16 2 2 2 2" xfId="40617"/>
    <cellStyle name="Normal 2 7 16 2 2 3" xfId="40618"/>
    <cellStyle name="Normal 2 7 16 2 3" xfId="10533"/>
    <cellStyle name="Normal 2 7 16 2 3 2" xfId="40619"/>
    <cellStyle name="Normal 2 7 16 2 4" xfId="40620"/>
    <cellStyle name="Normal 2 7 16 3" xfId="10534"/>
    <cellStyle name="Normal 2 7 16 3 2" xfId="10535"/>
    <cellStyle name="Normal 2 7 16 3 2 2" xfId="10536"/>
    <cellStyle name="Normal 2 7 16 3 2 2 2" xfId="40621"/>
    <cellStyle name="Normal 2 7 16 3 2 3" xfId="40622"/>
    <cellStyle name="Normal 2 7 16 3 3" xfId="10537"/>
    <cellStyle name="Normal 2 7 16 3 3 2" xfId="40623"/>
    <cellStyle name="Normal 2 7 16 3 4" xfId="40624"/>
    <cellStyle name="Normal 2 7 16 4" xfId="10538"/>
    <cellStyle name="Normal 2 7 16 4 2" xfId="10539"/>
    <cellStyle name="Normal 2 7 16 4 2 2" xfId="10540"/>
    <cellStyle name="Normal 2 7 16 4 2 2 2" xfId="40625"/>
    <cellStyle name="Normal 2 7 16 4 2 3" xfId="40626"/>
    <cellStyle name="Normal 2 7 16 4 3" xfId="10541"/>
    <cellStyle name="Normal 2 7 16 4 3 2" xfId="40627"/>
    <cellStyle name="Normal 2 7 16 4 4" xfId="40628"/>
    <cellStyle name="Normal 2 7 16 5" xfId="10542"/>
    <cellStyle name="Normal 2 7 16 5 2" xfId="10543"/>
    <cellStyle name="Normal 2 7 16 5 2 2" xfId="40629"/>
    <cellStyle name="Normal 2 7 16 5 3" xfId="40630"/>
    <cellStyle name="Normal 2 7 16 6" xfId="10544"/>
    <cellStyle name="Normal 2 7 16 6 2" xfId="40631"/>
    <cellStyle name="Normal 2 7 16 7" xfId="10545"/>
    <cellStyle name="Normal 2 7 16 7 2" xfId="40632"/>
    <cellStyle name="Normal 2 7 16 8" xfId="40633"/>
    <cellStyle name="Normal 2 7 17" xfId="10546"/>
    <cellStyle name="Normal 2 7 17 2" xfId="10547"/>
    <cellStyle name="Normal 2 7 17 2 2" xfId="10548"/>
    <cellStyle name="Normal 2 7 17 2 2 2" xfId="10549"/>
    <cellStyle name="Normal 2 7 17 2 2 2 2" xfId="40634"/>
    <cellStyle name="Normal 2 7 17 2 2 3" xfId="40635"/>
    <cellStyle name="Normal 2 7 17 2 3" xfId="10550"/>
    <cellStyle name="Normal 2 7 17 2 3 2" xfId="40636"/>
    <cellStyle name="Normal 2 7 17 2 4" xfId="40637"/>
    <cellStyle name="Normal 2 7 17 3" xfId="10551"/>
    <cellStyle name="Normal 2 7 17 3 2" xfId="10552"/>
    <cellStyle name="Normal 2 7 17 3 2 2" xfId="10553"/>
    <cellStyle name="Normal 2 7 17 3 2 2 2" xfId="40638"/>
    <cellStyle name="Normal 2 7 17 3 2 3" xfId="40639"/>
    <cellStyle name="Normal 2 7 17 3 3" xfId="10554"/>
    <cellStyle name="Normal 2 7 17 3 3 2" xfId="40640"/>
    <cellStyle name="Normal 2 7 17 3 4" xfId="40641"/>
    <cellStyle name="Normal 2 7 17 4" xfId="10555"/>
    <cellStyle name="Normal 2 7 17 4 2" xfId="10556"/>
    <cellStyle name="Normal 2 7 17 4 2 2" xfId="10557"/>
    <cellStyle name="Normal 2 7 17 4 2 2 2" xfId="40642"/>
    <cellStyle name="Normal 2 7 17 4 2 3" xfId="40643"/>
    <cellStyle name="Normal 2 7 17 4 3" xfId="10558"/>
    <cellStyle name="Normal 2 7 17 4 3 2" xfId="40644"/>
    <cellStyle name="Normal 2 7 17 4 4" xfId="40645"/>
    <cellStyle name="Normal 2 7 17 5" xfId="10559"/>
    <cellStyle name="Normal 2 7 17 5 2" xfId="10560"/>
    <cellStyle name="Normal 2 7 17 5 2 2" xfId="40646"/>
    <cellStyle name="Normal 2 7 17 5 3" xfId="40647"/>
    <cellStyle name="Normal 2 7 17 6" xfId="10561"/>
    <cellStyle name="Normal 2 7 17 6 2" xfId="40648"/>
    <cellStyle name="Normal 2 7 17 7" xfId="10562"/>
    <cellStyle name="Normal 2 7 17 7 2" xfId="40649"/>
    <cellStyle name="Normal 2 7 17 8" xfId="40650"/>
    <cellStyle name="Normal 2 7 18" xfId="10563"/>
    <cellStyle name="Normal 2 7 18 2" xfId="10564"/>
    <cellStyle name="Normal 2 7 18 2 2" xfId="10565"/>
    <cellStyle name="Normal 2 7 18 2 2 2" xfId="10566"/>
    <cellStyle name="Normal 2 7 18 2 2 2 2" xfId="40651"/>
    <cellStyle name="Normal 2 7 18 2 2 3" xfId="40652"/>
    <cellStyle name="Normal 2 7 18 2 3" xfId="10567"/>
    <cellStyle name="Normal 2 7 18 2 3 2" xfId="40653"/>
    <cellStyle name="Normal 2 7 18 2 4" xfId="40654"/>
    <cellStyle name="Normal 2 7 18 3" xfId="10568"/>
    <cellStyle name="Normal 2 7 18 3 2" xfId="10569"/>
    <cellStyle name="Normal 2 7 18 3 2 2" xfId="10570"/>
    <cellStyle name="Normal 2 7 18 3 2 2 2" xfId="40655"/>
    <cellStyle name="Normal 2 7 18 3 2 3" xfId="40656"/>
    <cellStyle name="Normal 2 7 18 3 3" xfId="10571"/>
    <cellStyle name="Normal 2 7 18 3 3 2" xfId="40657"/>
    <cellStyle name="Normal 2 7 18 3 4" xfId="40658"/>
    <cellStyle name="Normal 2 7 18 4" xfId="10572"/>
    <cellStyle name="Normal 2 7 18 4 2" xfId="10573"/>
    <cellStyle name="Normal 2 7 18 4 2 2" xfId="10574"/>
    <cellStyle name="Normal 2 7 18 4 2 2 2" xfId="40659"/>
    <cellStyle name="Normal 2 7 18 4 2 3" xfId="40660"/>
    <cellStyle name="Normal 2 7 18 4 3" xfId="10575"/>
    <cellStyle name="Normal 2 7 18 4 3 2" xfId="40661"/>
    <cellStyle name="Normal 2 7 18 4 4" xfId="40662"/>
    <cellStyle name="Normal 2 7 18 5" xfId="10576"/>
    <cellStyle name="Normal 2 7 18 5 2" xfId="10577"/>
    <cellStyle name="Normal 2 7 18 5 2 2" xfId="40663"/>
    <cellStyle name="Normal 2 7 18 5 3" xfId="40664"/>
    <cellStyle name="Normal 2 7 18 6" xfId="10578"/>
    <cellStyle name="Normal 2 7 18 6 2" xfId="40665"/>
    <cellStyle name="Normal 2 7 18 7" xfId="10579"/>
    <cellStyle name="Normal 2 7 18 7 2" xfId="40666"/>
    <cellStyle name="Normal 2 7 18 8" xfId="40667"/>
    <cellStyle name="Normal 2 7 19" xfId="10580"/>
    <cellStyle name="Normal 2 7 19 2" xfId="10581"/>
    <cellStyle name="Normal 2 7 19 2 2" xfId="10582"/>
    <cellStyle name="Normal 2 7 19 2 2 2" xfId="10583"/>
    <cellStyle name="Normal 2 7 19 2 2 2 2" xfId="40668"/>
    <cellStyle name="Normal 2 7 19 2 2 3" xfId="40669"/>
    <cellStyle name="Normal 2 7 19 2 3" xfId="10584"/>
    <cellStyle name="Normal 2 7 19 2 3 2" xfId="40670"/>
    <cellStyle name="Normal 2 7 19 2 4" xfId="40671"/>
    <cellStyle name="Normal 2 7 19 3" xfId="10585"/>
    <cellStyle name="Normal 2 7 19 3 2" xfId="10586"/>
    <cellStyle name="Normal 2 7 19 3 2 2" xfId="10587"/>
    <cellStyle name="Normal 2 7 19 3 2 2 2" xfId="40672"/>
    <cellStyle name="Normal 2 7 19 3 2 3" xfId="40673"/>
    <cellStyle name="Normal 2 7 19 3 3" xfId="10588"/>
    <cellStyle name="Normal 2 7 19 3 3 2" xfId="40674"/>
    <cellStyle name="Normal 2 7 19 3 4" xfId="40675"/>
    <cellStyle name="Normal 2 7 19 4" xfId="10589"/>
    <cellStyle name="Normal 2 7 19 4 2" xfId="10590"/>
    <cellStyle name="Normal 2 7 19 4 2 2" xfId="10591"/>
    <cellStyle name="Normal 2 7 19 4 2 2 2" xfId="40676"/>
    <cellStyle name="Normal 2 7 19 4 2 3" xfId="40677"/>
    <cellStyle name="Normal 2 7 19 4 3" xfId="10592"/>
    <cellStyle name="Normal 2 7 19 4 3 2" xfId="40678"/>
    <cellStyle name="Normal 2 7 19 4 4" xfId="40679"/>
    <cellStyle name="Normal 2 7 19 5" xfId="10593"/>
    <cellStyle name="Normal 2 7 19 5 2" xfId="10594"/>
    <cellStyle name="Normal 2 7 19 5 2 2" xfId="40680"/>
    <cellStyle name="Normal 2 7 19 5 3" xfId="40681"/>
    <cellStyle name="Normal 2 7 19 6" xfId="10595"/>
    <cellStyle name="Normal 2 7 19 6 2" xfId="40682"/>
    <cellStyle name="Normal 2 7 19 7" xfId="10596"/>
    <cellStyle name="Normal 2 7 19 7 2" xfId="40683"/>
    <cellStyle name="Normal 2 7 19 8" xfId="40684"/>
    <cellStyle name="Normal 2 7 2" xfId="10597"/>
    <cellStyle name="Normal 2 7 2 2" xfId="10598"/>
    <cellStyle name="Normal 2 7 2 2 2" xfId="10599"/>
    <cellStyle name="Normal 2 7 2 2 2 2" xfId="10600"/>
    <cellStyle name="Normal 2 7 2 2 2 2 2" xfId="40685"/>
    <cellStyle name="Normal 2 7 2 2 2 3" xfId="40686"/>
    <cellStyle name="Normal 2 7 2 2 3" xfId="10601"/>
    <cellStyle name="Normal 2 7 2 2 3 2" xfId="40687"/>
    <cellStyle name="Normal 2 7 2 2 4" xfId="40688"/>
    <cellStyle name="Normal 2 7 2 3" xfId="10602"/>
    <cellStyle name="Normal 2 7 2 3 2" xfId="10603"/>
    <cellStyle name="Normal 2 7 2 3 2 2" xfId="10604"/>
    <cellStyle name="Normal 2 7 2 3 2 2 2" xfId="40689"/>
    <cellStyle name="Normal 2 7 2 3 2 3" xfId="40690"/>
    <cellStyle name="Normal 2 7 2 3 3" xfId="10605"/>
    <cellStyle name="Normal 2 7 2 3 3 2" xfId="40691"/>
    <cellStyle name="Normal 2 7 2 3 4" xfId="40692"/>
    <cellStyle name="Normal 2 7 2 4" xfId="10606"/>
    <cellStyle name="Normal 2 7 2 4 2" xfId="10607"/>
    <cellStyle name="Normal 2 7 2 4 2 2" xfId="10608"/>
    <cellStyle name="Normal 2 7 2 4 2 2 2" xfId="40693"/>
    <cellStyle name="Normal 2 7 2 4 2 3" xfId="40694"/>
    <cellStyle name="Normal 2 7 2 4 3" xfId="10609"/>
    <cellStyle name="Normal 2 7 2 4 3 2" xfId="40695"/>
    <cellStyle name="Normal 2 7 2 4 4" xfId="40696"/>
    <cellStyle name="Normal 2 7 2 5" xfId="10610"/>
    <cellStyle name="Normal 2 7 2 5 2" xfId="10611"/>
    <cellStyle name="Normal 2 7 2 5 2 2" xfId="40697"/>
    <cellStyle name="Normal 2 7 2 5 3" xfId="40698"/>
    <cellStyle name="Normal 2 7 2 6" xfId="10612"/>
    <cellStyle name="Normal 2 7 2 6 2" xfId="40699"/>
    <cellStyle name="Normal 2 7 2 7" xfId="10613"/>
    <cellStyle name="Normal 2 7 2 7 2" xfId="40700"/>
    <cellStyle name="Normal 2 7 2 8" xfId="40701"/>
    <cellStyle name="Normal 2 7 20" xfId="10614"/>
    <cellStyle name="Normal 2 7 20 2" xfId="10615"/>
    <cellStyle name="Normal 2 7 20 2 2" xfId="10616"/>
    <cellStyle name="Normal 2 7 20 2 2 2" xfId="10617"/>
    <cellStyle name="Normal 2 7 20 2 2 2 2" xfId="40702"/>
    <cellStyle name="Normal 2 7 20 2 2 3" xfId="40703"/>
    <cellStyle name="Normal 2 7 20 2 3" xfId="10618"/>
    <cellStyle name="Normal 2 7 20 2 3 2" xfId="40704"/>
    <cellStyle name="Normal 2 7 20 2 4" xfId="40705"/>
    <cellStyle name="Normal 2 7 20 3" xfId="10619"/>
    <cellStyle name="Normal 2 7 20 3 2" xfId="10620"/>
    <cellStyle name="Normal 2 7 20 3 2 2" xfId="10621"/>
    <cellStyle name="Normal 2 7 20 3 2 2 2" xfId="40706"/>
    <cellStyle name="Normal 2 7 20 3 2 3" xfId="40707"/>
    <cellStyle name="Normal 2 7 20 3 3" xfId="10622"/>
    <cellStyle name="Normal 2 7 20 3 3 2" xfId="40708"/>
    <cellStyle name="Normal 2 7 20 3 4" xfId="40709"/>
    <cellStyle name="Normal 2 7 20 4" xfId="10623"/>
    <cellStyle name="Normal 2 7 20 4 2" xfId="10624"/>
    <cellStyle name="Normal 2 7 20 4 2 2" xfId="10625"/>
    <cellStyle name="Normal 2 7 20 4 2 2 2" xfId="40710"/>
    <cellStyle name="Normal 2 7 20 4 2 3" xfId="40711"/>
    <cellStyle name="Normal 2 7 20 4 3" xfId="10626"/>
    <cellStyle name="Normal 2 7 20 4 3 2" xfId="40712"/>
    <cellStyle name="Normal 2 7 20 4 4" xfId="40713"/>
    <cellStyle name="Normal 2 7 20 5" xfId="10627"/>
    <cellStyle name="Normal 2 7 20 5 2" xfId="10628"/>
    <cellStyle name="Normal 2 7 20 5 2 2" xfId="40714"/>
    <cellStyle name="Normal 2 7 20 5 3" xfId="40715"/>
    <cellStyle name="Normal 2 7 20 6" xfId="10629"/>
    <cellStyle name="Normal 2 7 20 6 2" xfId="40716"/>
    <cellStyle name="Normal 2 7 20 7" xfId="10630"/>
    <cellStyle name="Normal 2 7 20 7 2" xfId="40717"/>
    <cellStyle name="Normal 2 7 20 8" xfId="40718"/>
    <cellStyle name="Normal 2 7 21" xfId="10631"/>
    <cellStyle name="Normal 2 7 21 2" xfId="10632"/>
    <cellStyle name="Normal 2 7 21 2 2" xfId="10633"/>
    <cellStyle name="Normal 2 7 21 2 2 2" xfId="10634"/>
    <cellStyle name="Normal 2 7 21 2 2 2 2" xfId="40719"/>
    <cellStyle name="Normal 2 7 21 2 2 3" xfId="40720"/>
    <cellStyle name="Normal 2 7 21 2 3" xfId="10635"/>
    <cellStyle name="Normal 2 7 21 2 3 2" xfId="40721"/>
    <cellStyle name="Normal 2 7 21 2 4" xfId="40722"/>
    <cellStyle name="Normal 2 7 21 3" xfId="10636"/>
    <cellStyle name="Normal 2 7 21 3 2" xfId="10637"/>
    <cellStyle name="Normal 2 7 21 3 2 2" xfId="10638"/>
    <cellStyle name="Normal 2 7 21 3 2 2 2" xfId="40723"/>
    <cellStyle name="Normal 2 7 21 3 2 3" xfId="40724"/>
    <cellStyle name="Normal 2 7 21 3 3" xfId="10639"/>
    <cellStyle name="Normal 2 7 21 3 3 2" xfId="40725"/>
    <cellStyle name="Normal 2 7 21 3 4" xfId="40726"/>
    <cellStyle name="Normal 2 7 21 4" xfId="10640"/>
    <cellStyle name="Normal 2 7 21 4 2" xfId="10641"/>
    <cellStyle name="Normal 2 7 21 4 2 2" xfId="10642"/>
    <cellStyle name="Normal 2 7 21 4 2 2 2" xfId="40727"/>
    <cellStyle name="Normal 2 7 21 4 2 3" xfId="40728"/>
    <cellStyle name="Normal 2 7 21 4 3" xfId="10643"/>
    <cellStyle name="Normal 2 7 21 4 3 2" xfId="40729"/>
    <cellStyle name="Normal 2 7 21 4 4" xfId="40730"/>
    <cellStyle name="Normal 2 7 21 5" xfId="10644"/>
    <cellStyle name="Normal 2 7 21 5 2" xfId="10645"/>
    <cellStyle name="Normal 2 7 21 5 2 2" xfId="40731"/>
    <cellStyle name="Normal 2 7 21 5 3" xfId="40732"/>
    <cellStyle name="Normal 2 7 21 6" xfId="10646"/>
    <cellStyle name="Normal 2 7 21 6 2" xfId="40733"/>
    <cellStyle name="Normal 2 7 21 7" xfId="10647"/>
    <cellStyle name="Normal 2 7 21 7 2" xfId="40734"/>
    <cellStyle name="Normal 2 7 21 8" xfId="40735"/>
    <cellStyle name="Normal 2 7 22" xfId="10648"/>
    <cellStyle name="Normal 2 7 22 2" xfId="10649"/>
    <cellStyle name="Normal 2 7 22 2 2" xfId="10650"/>
    <cellStyle name="Normal 2 7 22 2 2 2" xfId="10651"/>
    <cellStyle name="Normal 2 7 22 2 2 2 2" xfId="40736"/>
    <cellStyle name="Normal 2 7 22 2 2 3" xfId="40737"/>
    <cellStyle name="Normal 2 7 22 2 3" xfId="10652"/>
    <cellStyle name="Normal 2 7 22 2 3 2" xfId="40738"/>
    <cellStyle name="Normal 2 7 22 2 4" xfId="40739"/>
    <cellStyle name="Normal 2 7 22 3" xfId="10653"/>
    <cellStyle name="Normal 2 7 22 3 2" xfId="10654"/>
    <cellStyle name="Normal 2 7 22 3 2 2" xfId="10655"/>
    <cellStyle name="Normal 2 7 22 3 2 2 2" xfId="40740"/>
    <cellStyle name="Normal 2 7 22 3 2 3" xfId="40741"/>
    <cellStyle name="Normal 2 7 22 3 3" xfId="10656"/>
    <cellStyle name="Normal 2 7 22 3 3 2" xfId="40742"/>
    <cellStyle name="Normal 2 7 22 3 4" xfId="40743"/>
    <cellStyle name="Normal 2 7 22 4" xfId="10657"/>
    <cellStyle name="Normal 2 7 22 4 2" xfId="10658"/>
    <cellStyle name="Normal 2 7 22 4 2 2" xfId="10659"/>
    <cellStyle name="Normal 2 7 22 4 2 2 2" xfId="40744"/>
    <cellStyle name="Normal 2 7 22 4 2 3" xfId="40745"/>
    <cellStyle name="Normal 2 7 22 4 3" xfId="10660"/>
    <cellStyle name="Normal 2 7 22 4 3 2" xfId="40746"/>
    <cellStyle name="Normal 2 7 22 4 4" xfId="40747"/>
    <cellStyle name="Normal 2 7 22 5" xfId="10661"/>
    <cellStyle name="Normal 2 7 22 5 2" xfId="10662"/>
    <cellStyle name="Normal 2 7 22 5 2 2" xfId="40748"/>
    <cellStyle name="Normal 2 7 22 5 3" xfId="40749"/>
    <cellStyle name="Normal 2 7 22 6" xfId="10663"/>
    <cellStyle name="Normal 2 7 22 6 2" xfId="40750"/>
    <cellStyle name="Normal 2 7 22 7" xfId="10664"/>
    <cellStyle name="Normal 2 7 22 7 2" xfId="40751"/>
    <cellStyle name="Normal 2 7 22 8" xfId="40752"/>
    <cellStyle name="Normal 2 7 23" xfId="10665"/>
    <cellStyle name="Normal 2 7 23 2" xfId="10666"/>
    <cellStyle name="Normal 2 7 23 2 2" xfId="10667"/>
    <cellStyle name="Normal 2 7 23 2 2 2" xfId="10668"/>
    <cellStyle name="Normal 2 7 23 2 2 2 2" xfId="40753"/>
    <cellStyle name="Normal 2 7 23 2 2 3" xfId="40754"/>
    <cellStyle name="Normal 2 7 23 2 3" xfId="10669"/>
    <cellStyle name="Normal 2 7 23 2 3 2" xfId="40755"/>
    <cellStyle name="Normal 2 7 23 2 4" xfId="40756"/>
    <cellStyle name="Normal 2 7 23 3" xfId="10670"/>
    <cellStyle name="Normal 2 7 23 3 2" xfId="10671"/>
    <cellStyle name="Normal 2 7 23 3 2 2" xfId="10672"/>
    <cellStyle name="Normal 2 7 23 3 2 2 2" xfId="40757"/>
    <cellStyle name="Normal 2 7 23 3 2 3" xfId="40758"/>
    <cellStyle name="Normal 2 7 23 3 3" xfId="10673"/>
    <cellStyle name="Normal 2 7 23 3 3 2" xfId="40759"/>
    <cellStyle name="Normal 2 7 23 3 4" xfId="40760"/>
    <cellStyle name="Normal 2 7 23 4" xfId="10674"/>
    <cellStyle name="Normal 2 7 23 4 2" xfId="10675"/>
    <cellStyle name="Normal 2 7 23 4 2 2" xfId="10676"/>
    <cellStyle name="Normal 2 7 23 4 2 2 2" xfId="40761"/>
    <cellStyle name="Normal 2 7 23 4 2 3" xfId="40762"/>
    <cellStyle name="Normal 2 7 23 4 3" xfId="10677"/>
    <cellStyle name="Normal 2 7 23 4 3 2" xfId="40763"/>
    <cellStyle name="Normal 2 7 23 4 4" xfId="40764"/>
    <cellStyle name="Normal 2 7 23 5" xfId="10678"/>
    <cellStyle name="Normal 2 7 23 5 2" xfId="10679"/>
    <cellStyle name="Normal 2 7 23 5 2 2" xfId="40765"/>
    <cellStyle name="Normal 2 7 23 5 3" xfId="40766"/>
    <cellStyle name="Normal 2 7 23 6" xfId="10680"/>
    <cellStyle name="Normal 2 7 23 6 2" xfId="40767"/>
    <cellStyle name="Normal 2 7 23 7" xfId="10681"/>
    <cellStyle name="Normal 2 7 23 7 2" xfId="40768"/>
    <cellStyle name="Normal 2 7 23 8" xfId="40769"/>
    <cellStyle name="Normal 2 7 24" xfId="10682"/>
    <cellStyle name="Normal 2 7 24 2" xfId="10683"/>
    <cellStyle name="Normal 2 7 24 2 2" xfId="10684"/>
    <cellStyle name="Normal 2 7 24 2 2 2" xfId="10685"/>
    <cellStyle name="Normal 2 7 24 2 2 2 2" xfId="40770"/>
    <cellStyle name="Normal 2 7 24 2 2 3" xfId="40771"/>
    <cellStyle name="Normal 2 7 24 2 3" xfId="10686"/>
    <cellStyle name="Normal 2 7 24 2 3 2" xfId="40772"/>
    <cellStyle name="Normal 2 7 24 2 4" xfId="40773"/>
    <cellStyle name="Normal 2 7 24 3" xfId="10687"/>
    <cellStyle name="Normal 2 7 24 3 2" xfId="10688"/>
    <cellStyle name="Normal 2 7 24 3 2 2" xfId="10689"/>
    <cellStyle name="Normal 2 7 24 3 2 2 2" xfId="40774"/>
    <cellStyle name="Normal 2 7 24 3 2 3" xfId="40775"/>
    <cellStyle name="Normal 2 7 24 3 3" xfId="10690"/>
    <cellStyle name="Normal 2 7 24 3 3 2" xfId="40776"/>
    <cellStyle name="Normal 2 7 24 3 4" xfId="40777"/>
    <cellStyle name="Normal 2 7 24 4" xfId="10691"/>
    <cellStyle name="Normal 2 7 24 4 2" xfId="10692"/>
    <cellStyle name="Normal 2 7 24 4 2 2" xfId="10693"/>
    <cellStyle name="Normal 2 7 24 4 2 2 2" xfId="40778"/>
    <cellStyle name="Normal 2 7 24 4 2 3" xfId="40779"/>
    <cellStyle name="Normal 2 7 24 4 3" xfId="10694"/>
    <cellStyle name="Normal 2 7 24 4 3 2" xfId="40780"/>
    <cellStyle name="Normal 2 7 24 4 4" xfId="40781"/>
    <cellStyle name="Normal 2 7 24 5" xfId="10695"/>
    <cellStyle name="Normal 2 7 24 5 2" xfId="10696"/>
    <cellStyle name="Normal 2 7 24 5 2 2" xfId="40782"/>
    <cellStyle name="Normal 2 7 24 5 3" xfId="40783"/>
    <cellStyle name="Normal 2 7 24 6" xfId="10697"/>
    <cellStyle name="Normal 2 7 24 6 2" xfId="40784"/>
    <cellStyle name="Normal 2 7 24 7" xfId="10698"/>
    <cellStyle name="Normal 2 7 24 7 2" xfId="40785"/>
    <cellStyle name="Normal 2 7 24 8" xfId="40786"/>
    <cellStyle name="Normal 2 7 25" xfId="10699"/>
    <cellStyle name="Normal 2 7 25 2" xfId="10700"/>
    <cellStyle name="Normal 2 7 25 2 2" xfId="10701"/>
    <cellStyle name="Normal 2 7 25 2 2 2" xfId="10702"/>
    <cellStyle name="Normal 2 7 25 2 2 2 2" xfId="40787"/>
    <cellStyle name="Normal 2 7 25 2 2 3" xfId="40788"/>
    <cellStyle name="Normal 2 7 25 2 3" xfId="10703"/>
    <cellStyle name="Normal 2 7 25 2 3 2" xfId="40789"/>
    <cellStyle name="Normal 2 7 25 2 4" xfId="40790"/>
    <cellStyle name="Normal 2 7 25 3" xfId="10704"/>
    <cellStyle name="Normal 2 7 25 3 2" xfId="10705"/>
    <cellStyle name="Normal 2 7 25 3 2 2" xfId="10706"/>
    <cellStyle name="Normal 2 7 25 3 2 2 2" xfId="40791"/>
    <cellStyle name="Normal 2 7 25 3 2 3" xfId="40792"/>
    <cellStyle name="Normal 2 7 25 3 3" xfId="10707"/>
    <cellStyle name="Normal 2 7 25 3 3 2" xfId="40793"/>
    <cellStyle name="Normal 2 7 25 3 4" xfId="40794"/>
    <cellStyle name="Normal 2 7 25 4" xfId="10708"/>
    <cellStyle name="Normal 2 7 25 4 2" xfId="10709"/>
    <cellStyle name="Normal 2 7 25 4 2 2" xfId="10710"/>
    <cellStyle name="Normal 2 7 25 4 2 2 2" xfId="40795"/>
    <cellStyle name="Normal 2 7 25 4 2 3" xfId="40796"/>
    <cellStyle name="Normal 2 7 25 4 3" xfId="10711"/>
    <cellStyle name="Normal 2 7 25 4 3 2" xfId="40797"/>
    <cellStyle name="Normal 2 7 25 4 4" xfId="40798"/>
    <cellStyle name="Normal 2 7 25 5" xfId="10712"/>
    <cellStyle name="Normal 2 7 25 5 2" xfId="10713"/>
    <cellStyle name="Normal 2 7 25 5 2 2" xfId="40799"/>
    <cellStyle name="Normal 2 7 25 5 3" xfId="40800"/>
    <cellStyle name="Normal 2 7 25 6" xfId="10714"/>
    <cellStyle name="Normal 2 7 25 6 2" xfId="40801"/>
    <cellStyle name="Normal 2 7 25 7" xfId="10715"/>
    <cellStyle name="Normal 2 7 25 7 2" xfId="40802"/>
    <cellStyle name="Normal 2 7 25 8" xfId="40803"/>
    <cellStyle name="Normal 2 7 26" xfId="10716"/>
    <cellStyle name="Normal 2 7 26 2" xfId="10717"/>
    <cellStyle name="Normal 2 7 26 2 2" xfId="10718"/>
    <cellStyle name="Normal 2 7 26 2 2 2" xfId="10719"/>
    <cellStyle name="Normal 2 7 26 2 2 2 2" xfId="40804"/>
    <cellStyle name="Normal 2 7 26 2 2 3" xfId="40805"/>
    <cellStyle name="Normal 2 7 26 2 3" xfId="10720"/>
    <cellStyle name="Normal 2 7 26 2 3 2" xfId="40806"/>
    <cellStyle name="Normal 2 7 26 2 4" xfId="40807"/>
    <cellStyle name="Normal 2 7 26 3" xfId="10721"/>
    <cellStyle name="Normal 2 7 26 3 2" xfId="10722"/>
    <cellStyle name="Normal 2 7 26 3 2 2" xfId="10723"/>
    <cellStyle name="Normal 2 7 26 3 2 2 2" xfId="40808"/>
    <cellStyle name="Normal 2 7 26 3 2 3" xfId="40809"/>
    <cellStyle name="Normal 2 7 26 3 3" xfId="10724"/>
    <cellStyle name="Normal 2 7 26 3 3 2" xfId="40810"/>
    <cellStyle name="Normal 2 7 26 3 4" xfId="40811"/>
    <cellStyle name="Normal 2 7 26 4" xfId="10725"/>
    <cellStyle name="Normal 2 7 26 4 2" xfId="10726"/>
    <cellStyle name="Normal 2 7 26 4 2 2" xfId="10727"/>
    <cellStyle name="Normal 2 7 26 4 2 2 2" xfId="40812"/>
    <cellStyle name="Normal 2 7 26 4 2 3" xfId="40813"/>
    <cellStyle name="Normal 2 7 26 4 3" xfId="10728"/>
    <cellStyle name="Normal 2 7 26 4 3 2" xfId="40814"/>
    <cellStyle name="Normal 2 7 26 4 4" xfId="40815"/>
    <cellStyle name="Normal 2 7 26 5" xfId="10729"/>
    <cellStyle name="Normal 2 7 26 5 2" xfId="10730"/>
    <cellStyle name="Normal 2 7 26 5 2 2" xfId="40816"/>
    <cellStyle name="Normal 2 7 26 5 3" xfId="40817"/>
    <cellStyle name="Normal 2 7 26 6" xfId="10731"/>
    <cellStyle name="Normal 2 7 26 6 2" xfId="40818"/>
    <cellStyle name="Normal 2 7 26 7" xfId="10732"/>
    <cellStyle name="Normal 2 7 26 7 2" xfId="40819"/>
    <cellStyle name="Normal 2 7 26 8" xfId="40820"/>
    <cellStyle name="Normal 2 7 27" xfId="10733"/>
    <cellStyle name="Normal 2 7 27 2" xfId="10734"/>
    <cellStyle name="Normal 2 7 27 2 2" xfId="10735"/>
    <cellStyle name="Normal 2 7 27 2 2 2" xfId="10736"/>
    <cellStyle name="Normal 2 7 27 2 2 2 2" xfId="40821"/>
    <cellStyle name="Normal 2 7 27 2 2 3" xfId="40822"/>
    <cellStyle name="Normal 2 7 27 2 3" xfId="10737"/>
    <cellStyle name="Normal 2 7 27 2 3 2" xfId="40823"/>
    <cellStyle name="Normal 2 7 27 2 4" xfId="40824"/>
    <cellStyle name="Normal 2 7 27 3" xfId="10738"/>
    <cellStyle name="Normal 2 7 27 3 2" xfId="10739"/>
    <cellStyle name="Normal 2 7 27 3 2 2" xfId="10740"/>
    <cellStyle name="Normal 2 7 27 3 2 2 2" xfId="40825"/>
    <cellStyle name="Normal 2 7 27 3 2 3" xfId="40826"/>
    <cellStyle name="Normal 2 7 27 3 3" xfId="10741"/>
    <cellStyle name="Normal 2 7 27 3 3 2" xfId="40827"/>
    <cellStyle name="Normal 2 7 27 3 4" xfId="40828"/>
    <cellStyle name="Normal 2 7 27 4" xfId="10742"/>
    <cellStyle name="Normal 2 7 27 4 2" xfId="10743"/>
    <cellStyle name="Normal 2 7 27 4 2 2" xfId="10744"/>
    <cellStyle name="Normal 2 7 27 4 2 2 2" xfId="40829"/>
    <cellStyle name="Normal 2 7 27 4 2 3" xfId="40830"/>
    <cellStyle name="Normal 2 7 27 4 3" xfId="10745"/>
    <cellStyle name="Normal 2 7 27 4 3 2" xfId="40831"/>
    <cellStyle name="Normal 2 7 27 4 4" xfId="40832"/>
    <cellStyle name="Normal 2 7 27 5" xfId="10746"/>
    <cellStyle name="Normal 2 7 27 5 2" xfId="10747"/>
    <cellStyle name="Normal 2 7 27 5 2 2" xfId="40833"/>
    <cellStyle name="Normal 2 7 27 5 3" xfId="40834"/>
    <cellStyle name="Normal 2 7 27 6" xfId="10748"/>
    <cellStyle name="Normal 2 7 27 6 2" xfId="40835"/>
    <cellStyle name="Normal 2 7 27 7" xfId="10749"/>
    <cellStyle name="Normal 2 7 27 7 2" xfId="40836"/>
    <cellStyle name="Normal 2 7 27 8" xfId="40837"/>
    <cellStyle name="Normal 2 7 28" xfId="10750"/>
    <cellStyle name="Normal 2 7 28 2" xfId="10751"/>
    <cellStyle name="Normal 2 7 28 2 2" xfId="10752"/>
    <cellStyle name="Normal 2 7 28 2 2 2" xfId="10753"/>
    <cellStyle name="Normal 2 7 28 2 2 2 2" xfId="40838"/>
    <cellStyle name="Normal 2 7 28 2 2 3" xfId="40839"/>
    <cellStyle name="Normal 2 7 28 2 3" xfId="10754"/>
    <cellStyle name="Normal 2 7 28 2 3 2" xfId="40840"/>
    <cellStyle name="Normal 2 7 28 2 4" xfId="40841"/>
    <cellStyle name="Normal 2 7 28 3" xfId="10755"/>
    <cellStyle name="Normal 2 7 28 3 2" xfId="10756"/>
    <cellStyle name="Normal 2 7 28 3 2 2" xfId="10757"/>
    <cellStyle name="Normal 2 7 28 3 2 2 2" xfId="40842"/>
    <cellStyle name="Normal 2 7 28 3 2 3" xfId="40843"/>
    <cellStyle name="Normal 2 7 28 3 3" xfId="10758"/>
    <cellStyle name="Normal 2 7 28 3 3 2" xfId="40844"/>
    <cellStyle name="Normal 2 7 28 3 4" xfId="40845"/>
    <cellStyle name="Normal 2 7 28 4" xfId="10759"/>
    <cellStyle name="Normal 2 7 28 4 2" xfId="10760"/>
    <cellStyle name="Normal 2 7 28 4 2 2" xfId="10761"/>
    <cellStyle name="Normal 2 7 28 4 2 2 2" xfId="40846"/>
    <cellStyle name="Normal 2 7 28 4 2 3" xfId="40847"/>
    <cellStyle name="Normal 2 7 28 4 3" xfId="10762"/>
    <cellStyle name="Normal 2 7 28 4 3 2" xfId="40848"/>
    <cellStyle name="Normal 2 7 28 4 4" xfId="40849"/>
    <cellStyle name="Normal 2 7 28 5" xfId="10763"/>
    <cellStyle name="Normal 2 7 28 5 2" xfId="10764"/>
    <cellStyle name="Normal 2 7 28 5 2 2" xfId="40850"/>
    <cellStyle name="Normal 2 7 28 5 3" xfId="40851"/>
    <cellStyle name="Normal 2 7 28 6" xfId="10765"/>
    <cellStyle name="Normal 2 7 28 6 2" xfId="40852"/>
    <cellStyle name="Normal 2 7 28 7" xfId="10766"/>
    <cellStyle name="Normal 2 7 28 7 2" xfId="40853"/>
    <cellStyle name="Normal 2 7 28 8" xfId="40854"/>
    <cellStyle name="Normal 2 7 29" xfId="10767"/>
    <cellStyle name="Normal 2 7 29 2" xfId="10768"/>
    <cellStyle name="Normal 2 7 29 2 2" xfId="10769"/>
    <cellStyle name="Normal 2 7 29 2 2 2" xfId="10770"/>
    <cellStyle name="Normal 2 7 29 2 2 2 2" xfId="40855"/>
    <cellStyle name="Normal 2 7 29 2 2 3" xfId="40856"/>
    <cellStyle name="Normal 2 7 29 2 3" xfId="10771"/>
    <cellStyle name="Normal 2 7 29 2 3 2" xfId="40857"/>
    <cellStyle name="Normal 2 7 29 2 4" xfId="40858"/>
    <cellStyle name="Normal 2 7 29 3" xfId="10772"/>
    <cellStyle name="Normal 2 7 29 3 2" xfId="10773"/>
    <cellStyle name="Normal 2 7 29 3 2 2" xfId="10774"/>
    <cellStyle name="Normal 2 7 29 3 2 2 2" xfId="40859"/>
    <cellStyle name="Normal 2 7 29 3 2 3" xfId="40860"/>
    <cellStyle name="Normal 2 7 29 3 3" xfId="10775"/>
    <cellStyle name="Normal 2 7 29 3 3 2" xfId="40861"/>
    <cellStyle name="Normal 2 7 29 3 4" xfId="40862"/>
    <cellStyle name="Normal 2 7 29 4" xfId="10776"/>
    <cellStyle name="Normal 2 7 29 4 2" xfId="10777"/>
    <cellStyle name="Normal 2 7 29 4 2 2" xfId="10778"/>
    <cellStyle name="Normal 2 7 29 4 2 2 2" xfId="40863"/>
    <cellStyle name="Normal 2 7 29 4 2 3" xfId="40864"/>
    <cellStyle name="Normal 2 7 29 4 3" xfId="10779"/>
    <cellStyle name="Normal 2 7 29 4 3 2" xfId="40865"/>
    <cellStyle name="Normal 2 7 29 4 4" xfId="40866"/>
    <cellStyle name="Normal 2 7 29 5" xfId="10780"/>
    <cellStyle name="Normal 2 7 29 5 2" xfId="10781"/>
    <cellStyle name="Normal 2 7 29 5 2 2" xfId="40867"/>
    <cellStyle name="Normal 2 7 29 5 3" xfId="40868"/>
    <cellStyle name="Normal 2 7 29 6" xfId="10782"/>
    <cellStyle name="Normal 2 7 29 6 2" xfId="40869"/>
    <cellStyle name="Normal 2 7 29 7" xfId="10783"/>
    <cellStyle name="Normal 2 7 29 7 2" xfId="40870"/>
    <cellStyle name="Normal 2 7 29 8" xfId="40871"/>
    <cellStyle name="Normal 2 7 3" xfId="10784"/>
    <cellStyle name="Normal 2 7 3 2" xfId="10785"/>
    <cellStyle name="Normal 2 7 3 2 2" xfId="10786"/>
    <cellStyle name="Normal 2 7 3 2 2 2" xfId="10787"/>
    <cellStyle name="Normal 2 7 3 2 2 2 2" xfId="40872"/>
    <cellStyle name="Normal 2 7 3 2 2 3" xfId="40873"/>
    <cellStyle name="Normal 2 7 3 2 3" xfId="10788"/>
    <cellStyle name="Normal 2 7 3 2 3 2" xfId="40874"/>
    <cellStyle name="Normal 2 7 3 2 4" xfId="40875"/>
    <cellStyle name="Normal 2 7 3 3" xfId="10789"/>
    <cellStyle name="Normal 2 7 3 3 2" xfId="10790"/>
    <cellStyle name="Normal 2 7 3 3 2 2" xfId="10791"/>
    <cellStyle name="Normal 2 7 3 3 2 2 2" xfId="40876"/>
    <cellStyle name="Normal 2 7 3 3 2 3" xfId="40877"/>
    <cellStyle name="Normal 2 7 3 3 3" xfId="10792"/>
    <cellStyle name="Normal 2 7 3 3 3 2" xfId="40878"/>
    <cellStyle name="Normal 2 7 3 3 4" xfId="40879"/>
    <cellStyle name="Normal 2 7 3 4" xfId="10793"/>
    <cellStyle name="Normal 2 7 3 4 2" xfId="10794"/>
    <cellStyle name="Normal 2 7 3 4 2 2" xfId="10795"/>
    <cellStyle name="Normal 2 7 3 4 2 2 2" xfId="40880"/>
    <cellStyle name="Normal 2 7 3 4 2 3" xfId="40881"/>
    <cellStyle name="Normal 2 7 3 4 3" xfId="10796"/>
    <cellStyle name="Normal 2 7 3 4 3 2" xfId="40882"/>
    <cellStyle name="Normal 2 7 3 4 4" xfId="40883"/>
    <cellStyle name="Normal 2 7 3 5" xfId="10797"/>
    <cellStyle name="Normal 2 7 3 5 2" xfId="10798"/>
    <cellStyle name="Normal 2 7 3 5 2 2" xfId="40884"/>
    <cellStyle name="Normal 2 7 3 5 3" xfId="40885"/>
    <cellStyle name="Normal 2 7 3 6" xfId="10799"/>
    <cellStyle name="Normal 2 7 3 6 2" xfId="40886"/>
    <cellStyle name="Normal 2 7 3 7" xfId="10800"/>
    <cellStyle name="Normal 2 7 3 7 2" xfId="40887"/>
    <cellStyle name="Normal 2 7 3 8" xfId="40888"/>
    <cellStyle name="Normal 2 7 30" xfId="10801"/>
    <cellStyle name="Normal 2 7 30 2" xfId="10802"/>
    <cellStyle name="Normal 2 7 30 2 2" xfId="10803"/>
    <cellStyle name="Normal 2 7 30 2 2 2" xfId="40889"/>
    <cellStyle name="Normal 2 7 30 2 3" xfId="40890"/>
    <cellStyle name="Normal 2 7 30 3" xfId="10804"/>
    <cellStyle name="Normal 2 7 30 3 2" xfId="40891"/>
    <cellStyle name="Normal 2 7 30 4" xfId="40892"/>
    <cellStyle name="Normal 2 7 31" xfId="10805"/>
    <cellStyle name="Normal 2 7 31 2" xfId="10806"/>
    <cellStyle name="Normal 2 7 31 2 2" xfId="10807"/>
    <cellStyle name="Normal 2 7 31 2 2 2" xfId="40893"/>
    <cellStyle name="Normal 2 7 31 2 3" xfId="40894"/>
    <cellStyle name="Normal 2 7 31 3" xfId="10808"/>
    <cellStyle name="Normal 2 7 31 3 2" xfId="40895"/>
    <cellStyle name="Normal 2 7 31 4" xfId="40896"/>
    <cellStyle name="Normal 2 7 32" xfId="10809"/>
    <cellStyle name="Normal 2 7 32 2" xfId="10810"/>
    <cellStyle name="Normal 2 7 32 2 2" xfId="10811"/>
    <cellStyle name="Normal 2 7 32 2 2 2" xfId="40897"/>
    <cellStyle name="Normal 2 7 32 2 3" xfId="40898"/>
    <cellStyle name="Normal 2 7 32 3" xfId="10812"/>
    <cellStyle name="Normal 2 7 32 3 2" xfId="40899"/>
    <cellStyle name="Normal 2 7 32 4" xfId="40900"/>
    <cellStyle name="Normal 2 7 33" xfId="10813"/>
    <cellStyle name="Normal 2 7 33 2" xfId="10814"/>
    <cellStyle name="Normal 2 7 33 2 2" xfId="40901"/>
    <cellStyle name="Normal 2 7 33 3" xfId="40902"/>
    <cellStyle name="Normal 2 7 34" xfId="10815"/>
    <cellStyle name="Normal 2 7 34 2" xfId="40903"/>
    <cellStyle name="Normal 2 7 35" xfId="10816"/>
    <cellStyle name="Normal 2 7 35 2" xfId="40904"/>
    <cellStyle name="Normal 2 7 36" xfId="40905"/>
    <cellStyle name="Normal 2 7 4" xfId="10817"/>
    <cellStyle name="Normal 2 7 4 2" xfId="10818"/>
    <cellStyle name="Normal 2 7 4 2 2" xfId="10819"/>
    <cellStyle name="Normal 2 7 4 2 2 2" xfId="10820"/>
    <cellStyle name="Normal 2 7 4 2 2 2 2" xfId="40906"/>
    <cellStyle name="Normal 2 7 4 2 2 3" xfId="40907"/>
    <cellStyle name="Normal 2 7 4 2 3" xfId="10821"/>
    <cellStyle name="Normal 2 7 4 2 3 2" xfId="40908"/>
    <cellStyle name="Normal 2 7 4 2 4" xfId="40909"/>
    <cellStyle name="Normal 2 7 4 3" xfId="10822"/>
    <cellStyle name="Normal 2 7 4 3 2" xfId="10823"/>
    <cellStyle name="Normal 2 7 4 3 2 2" xfId="10824"/>
    <cellStyle name="Normal 2 7 4 3 2 2 2" xfId="40910"/>
    <cellStyle name="Normal 2 7 4 3 2 3" xfId="40911"/>
    <cellStyle name="Normal 2 7 4 3 3" xfId="10825"/>
    <cellStyle name="Normal 2 7 4 3 3 2" xfId="40912"/>
    <cellStyle name="Normal 2 7 4 3 4" xfId="40913"/>
    <cellStyle name="Normal 2 7 4 4" xfId="10826"/>
    <cellStyle name="Normal 2 7 4 4 2" xfId="10827"/>
    <cellStyle name="Normal 2 7 4 4 2 2" xfId="10828"/>
    <cellStyle name="Normal 2 7 4 4 2 2 2" xfId="40914"/>
    <cellStyle name="Normal 2 7 4 4 2 3" xfId="40915"/>
    <cellStyle name="Normal 2 7 4 4 3" xfId="10829"/>
    <cellStyle name="Normal 2 7 4 4 3 2" xfId="40916"/>
    <cellStyle name="Normal 2 7 4 4 4" xfId="40917"/>
    <cellStyle name="Normal 2 7 4 5" xfId="10830"/>
    <cellStyle name="Normal 2 7 4 5 2" xfId="10831"/>
    <cellStyle name="Normal 2 7 4 5 2 2" xfId="40918"/>
    <cellStyle name="Normal 2 7 4 5 3" xfId="40919"/>
    <cellStyle name="Normal 2 7 4 6" xfId="10832"/>
    <cellStyle name="Normal 2 7 4 6 2" xfId="40920"/>
    <cellStyle name="Normal 2 7 4 7" xfId="10833"/>
    <cellStyle name="Normal 2 7 4 7 2" xfId="40921"/>
    <cellStyle name="Normal 2 7 4 8" xfId="40922"/>
    <cellStyle name="Normal 2 7 5" xfId="10834"/>
    <cellStyle name="Normal 2 7 5 2" xfId="10835"/>
    <cellStyle name="Normal 2 7 5 2 2" xfId="10836"/>
    <cellStyle name="Normal 2 7 5 2 2 2" xfId="10837"/>
    <cellStyle name="Normal 2 7 5 2 2 2 2" xfId="40923"/>
    <cellStyle name="Normal 2 7 5 2 2 3" xfId="40924"/>
    <cellStyle name="Normal 2 7 5 2 3" xfId="10838"/>
    <cellStyle name="Normal 2 7 5 2 3 2" xfId="40925"/>
    <cellStyle name="Normal 2 7 5 2 4" xfId="40926"/>
    <cellStyle name="Normal 2 7 5 3" xfId="10839"/>
    <cellStyle name="Normal 2 7 5 3 2" xfId="10840"/>
    <cellStyle name="Normal 2 7 5 3 2 2" xfId="10841"/>
    <cellStyle name="Normal 2 7 5 3 2 2 2" xfId="40927"/>
    <cellStyle name="Normal 2 7 5 3 2 3" xfId="40928"/>
    <cellStyle name="Normal 2 7 5 3 3" xfId="10842"/>
    <cellStyle name="Normal 2 7 5 3 3 2" xfId="40929"/>
    <cellStyle name="Normal 2 7 5 3 4" xfId="40930"/>
    <cellStyle name="Normal 2 7 5 4" xfId="10843"/>
    <cellStyle name="Normal 2 7 5 4 2" xfId="10844"/>
    <cellStyle name="Normal 2 7 5 4 2 2" xfId="10845"/>
    <cellStyle name="Normal 2 7 5 4 2 2 2" xfId="40931"/>
    <cellStyle name="Normal 2 7 5 4 2 3" xfId="40932"/>
    <cellStyle name="Normal 2 7 5 4 3" xfId="10846"/>
    <cellStyle name="Normal 2 7 5 4 3 2" xfId="40933"/>
    <cellStyle name="Normal 2 7 5 4 4" xfId="40934"/>
    <cellStyle name="Normal 2 7 5 5" xfId="10847"/>
    <cellStyle name="Normal 2 7 5 5 2" xfId="10848"/>
    <cellStyle name="Normal 2 7 5 5 2 2" xfId="40935"/>
    <cellStyle name="Normal 2 7 5 5 3" xfId="40936"/>
    <cellStyle name="Normal 2 7 5 6" xfId="10849"/>
    <cellStyle name="Normal 2 7 5 6 2" xfId="40937"/>
    <cellStyle name="Normal 2 7 5 7" xfId="10850"/>
    <cellStyle name="Normal 2 7 5 7 2" xfId="40938"/>
    <cellStyle name="Normal 2 7 5 8" xfId="40939"/>
    <cellStyle name="Normal 2 7 6" xfId="10851"/>
    <cellStyle name="Normal 2 7 6 2" xfId="10852"/>
    <cellStyle name="Normal 2 7 6 2 2" xfId="10853"/>
    <cellStyle name="Normal 2 7 6 2 2 2" xfId="10854"/>
    <cellStyle name="Normal 2 7 6 2 2 2 2" xfId="40940"/>
    <cellStyle name="Normal 2 7 6 2 2 3" xfId="40941"/>
    <cellStyle name="Normal 2 7 6 2 3" xfId="10855"/>
    <cellStyle name="Normal 2 7 6 2 3 2" xfId="40942"/>
    <cellStyle name="Normal 2 7 6 2 4" xfId="40943"/>
    <cellStyle name="Normal 2 7 6 3" xfId="10856"/>
    <cellStyle name="Normal 2 7 6 3 2" xfId="10857"/>
    <cellStyle name="Normal 2 7 6 3 2 2" xfId="10858"/>
    <cellStyle name="Normal 2 7 6 3 2 2 2" xfId="40944"/>
    <cellStyle name="Normal 2 7 6 3 2 3" xfId="40945"/>
    <cellStyle name="Normal 2 7 6 3 3" xfId="10859"/>
    <cellStyle name="Normal 2 7 6 3 3 2" xfId="40946"/>
    <cellStyle name="Normal 2 7 6 3 4" xfId="40947"/>
    <cellStyle name="Normal 2 7 6 4" xfId="10860"/>
    <cellStyle name="Normal 2 7 6 4 2" xfId="10861"/>
    <cellStyle name="Normal 2 7 6 4 2 2" xfId="10862"/>
    <cellStyle name="Normal 2 7 6 4 2 2 2" xfId="40948"/>
    <cellStyle name="Normal 2 7 6 4 2 3" xfId="40949"/>
    <cellStyle name="Normal 2 7 6 4 3" xfId="10863"/>
    <cellStyle name="Normal 2 7 6 4 3 2" xfId="40950"/>
    <cellStyle name="Normal 2 7 6 4 4" xfId="40951"/>
    <cellStyle name="Normal 2 7 6 5" xfId="10864"/>
    <cellStyle name="Normal 2 7 6 5 2" xfId="10865"/>
    <cellStyle name="Normal 2 7 6 5 2 2" xfId="40952"/>
    <cellStyle name="Normal 2 7 6 5 3" xfId="40953"/>
    <cellStyle name="Normal 2 7 6 6" xfId="10866"/>
    <cellStyle name="Normal 2 7 6 6 2" xfId="40954"/>
    <cellStyle name="Normal 2 7 6 7" xfId="10867"/>
    <cellStyle name="Normal 2 7 6 7 2" xfId="40955"/>
    <cellStyle name="Normal 2 7 6 8" xfId="40956"/>
    <cellStyle name="Normal 2 7 7" xfId="10868"/>
    <cellStyle name="Normal 2 7 7 2" xfId="10869"/>
    <cellStyle name="Normal 2 7 7 2 2" xfId="10870"/>
    <cellStyle name="Normal 2 7 7 2 2 2" xfId="10871"/>
    <cellStyle name="Normal 2 7 7 2 2 2 2" xfId="40957"/>
    <cellStyle name="Normal 2 7 7 2 2 3" xfId="40958"/>
    <cellStyle name="Normal 2 7 7 2 3" xfId="10872"/>
    <cellStyle name="Normal 2 7 7 2 3 2" xfId="40959"/>
    <cellStyle name="Normal 2 7 7 2 4" xfId="40960"/>
    <cellStyle name="Normal 2 7 7 3" xfId="10873"/>
    <cellStyle name="Normal 2 7 7 3 2" xfId="10874"/>
    <cellStyle name="Normal 2 7 7 3 2 2" xfId="10875"/>
    <cellStyle name="Normal 2 7 7 3 2 2 2" xfId="40961"/>
    <cellStyle name="Normal 2 7 7 3 2 3" xfId="40962"/>
    <cellStyle name="Normal 2 7 7 3 3" xfId="10876"/>
    <cellStyle name="Normal 2 7 7 3 3 2" xfId="40963"/>
    <cellStyle name="Normal 2 7 7 3 4" xfId="40964"/>
    <cellStyle name="Normal 2 7 7 4" xfId="10877"/>
    <cellStyle name="Normal 2 7 7 4 2" xfId="10878"/>
    <cellStyle name="Normal 2 7 7 4 2 2" xfId="10879"/>
    <cellStyle name="Normal 2 7 7 4 2 2 2" xfId="40965"/>
    <cellStyle name="Normal 2 7 7 4 2 3" xfId="40966"/>
    <cellStyle name="Normal 2 7 7 4 3" xfId="10880"/>
    <cellStyle name="Normal 2 7 7 4 3 2" xfId="40967"/>
    <cellStyle name="Normal 2 7 7 4 4" xfId="40968"/>
    <cellStyle name="Normal 2 7 7 5" xfId="10881"/>
    <cellStyle name="Normal 2 7 7 5 2" xfId="10882"/>
    <cellStyle name="Normal 2 7 7 5 2 2" xfId="40969"/>
    <cellStyle name="Normal 2 7 7 5 3" xfId="40970"/>
    <cellStyle name="Normal 2 7 7 6" xfId="10883"/>
    <cellStyle name="Normal 2 7 7 6 2" xfId="40971"/>
    <cellStyle name="Normal 2 7 7 7" xfId="10884"/>
    <cellStyle name="Normal 2 7 7 7 2" xfId="40972"/>
    <cellStyle name="Normal 2 7 7 8" xfId="40973"/>
    <cellStyle name="Normal 2 7 8" xfId="10885"/>
    <cellStyle name="Normal 2 7 8 2" xfId="10886"/>
    <cellStyle name="Normal 2 7 8 2 2" xfId="10887"/>
    <cellStyle name="Normal 2 7 8 2 2 2" xfId="10888"/>
    <cellStyle name="Normal 2 7 8 2 2 2 2" xfId="40974"/>
    <cellStyle name="Normal 2 7 8 2 2 3" xfId="40975"/>
    <cellStyle name="Normal 2 7 8 2 3" xfId="10889"/>
    <cellStyle name="Normal 2 7 8 2 3 2" xfId="40976"/>
    <cellStyle name="Normal 2 7 8 2 4" xfId="40977"/>
    <cellStyle name="Normal 2 7 8 3" xfId="10890"/>
    <cellStyle name="Normal 2 7 8 3 2" xfId="10891"/>
    <cellStyle name="Normal 2 7 8 3 2 2" xfId="10892"/>
    <cellStyle name="Normal 2 7 8 3 2 2 2" xfId="40978"/>
    <cellStyle name="Normal 2 7 8 3 2 3" xfId="40979"/>
    <cellStyle name="Normal 2 7 8 3 3" xfId="10893"/>
    <cellStyle name="Normal 2 7 8 3 3 2" xfId="40980"/>
    <cellStyle name="Normal 2 7 8 3 4" xfId="40981"/>
    <cellStyle name="Normal 2 7 8 4" xfId="10894"/>
    <cellStyle name="Normal 2 7 8 4 2" xfId="10895"/>
    <cellStyle name="Normal 2 7 8 4 2 2" xfId="10896"/>
    <cellStyle name="Normal 2 7 8 4 2 2 2" xfId="40982"/>
    <cellStyle name="Normal 2 7 8 4 2 3" xfId="40983"/>
    <cellStyle name="Normal 2 7 8 4 3" xfId="10897"/>
    <cellStyle name="Normal 2 7 8 4 3 2" xfId="40984"/>
    <cellStyle name="Normal 2 7 8 4 4" xfId="40985"/>
    <cellStyle name="Normal 2 7 8 5" xfId="10898"/>
    <cellStyle name="Normal 2 7 8 5 2" xfId="10899"/>
    <cellStyle name="Normal 2 7 8 5 2 2" xfId="40986"/>
    <cellStyle name="Normal 2 7 8 5 3" xfId="40987"/>
    <cellStyle name="Normal 2 7 8 6" xfId="10900"/>
    <cellStyle name="Normal 2 7 8 6 2" xfId="40988"/>
    <cellStyle name="Normal 2 7 8 7" xfId="10901"/>
    <cellStyle name="Normal 2 7 8 7 2" xfId="40989"/>
    <cellStyle name="Normal 2 7 8 8" xfId="40990"/>
    <cellStyle name="Normal 2 7 9" xfId="10902"/>
    <cellStyle name="Normal 2 7 9 2" xfId="10903"/>
    <cellStyle name="Normal 2 7 9 2 2" xfId="10904"/>
    <cellStyle name="Normal 2 7 9 2 2 2" xfId="10905"/>
    <cellStyle name="Normal 2 7 9 2 2 2 2" xfId="40991"/>
    <cellStyle name="Normal 2 7 9 2 2 3" xfId="40992"/>
    <cellStyle name="Normal 2 7 9 2 3" xfId="10906"/>
    <cellStyle name="Normal 2 7 9 2 3 2" xfId="40993"/>
    <cellStyle name="Normal 2 7 9 2 4" xfId="40994"/>
    <cellStyle name="Normal 2 7 9 3" xfId="10907"/>
    <cellStyle name="Normal 2 7 9 3 2" xfId="10908"/>
    <cellStyle name="Normal 2 7 9 3 2 2" xfId="10909"/>
    <cellStyle name="Normal 2 7 9 3 2 2 2" xfId="40995"/>
    <cellStyle name="Normal 2 7 9 3 2 3" xfId="40996"/>
    <cellStyle name="Normal 2 7 9 3 3" xfId="10910"/>
    <cellStyle name="Normal 2 7 9 3 3 2" xfId="40997"/>
    <cellStyle name="Normal 2 7 9 3 4" xfId="40998"/>
    <cellStyle name="Normal 2 7 9 4" xfId="10911"/>
    <cellStyle name="Normal 2 7 9 4 2" xfId="10912"/>
    <cellStyle name="Normal 2 7 9 4 2 2" xfId="10913"/>
    <cellStyle name="Normal 2 7 9 4 2 2 2" xfId="40999"/>
    <cellStyle name="Normal 2 7 9 4 2 3" xfId="41000"/>
    <cellStyle name="Normal 2 7 9 4 3" xfId="10914"/>
    <cellStyle name="Normal 2 7 9 4 3 2" xfId="41001"/>
    <cellStyle name="Normal 2 7 9 4 4" xfId="41002"/>
    <cellStyle name="Normal 2 7 9 5" xfId="10915"/>
    <cellStyle name="Normal 2 7 9 5 2" xfId="10916"/>
    <cellStyle name="Normal 2 7 9 5 2 2" xfId="41003"/>
    <cellStyle name="Normal 2 7 9 5 3" xfId="41004"/>
    <cellStyle name="Normal 2 7 9 6" xfId="10917"/>
    <cellStyle name="Normal 2 7 9 6 2" xfId="41005"/>
    <cellStyle name="Normal 2 7 9 7" xfId="10918"/>
    <cellStyle name="Normal 2 7 9 7 2" xfId="41006"/>
    <cellStyle name="Normal 2 7 9 8" xfId="41007"/>
    <cellStyle name="Normal 2 8" xfId="10919"/>
    <cellStyle name="Normal 2 8 10" xfId="10920"/>
    <cellStyle name="Normal 2 8 10 2" xfId="10921"/>
    <cellStyle name="Normal 2 8 10 2 2" xfId="10922"/>
    <cellStyle name="Normal 2 8 10 2 2 2" xfId="10923"/>
    <cellStyle name="Normal 2 8 10 2 2 2 2" xfId="41008"/>
    <cellStyle name="Normal 2 8 10 2 2 3" xfId="41009"/>
    <cellStyle name="Normal 2 8 10 2 3" xfId="10924"/>
    <cellStyle name="Normal 2 8 10 2 3 2" xfId="41010"/>
    <cellStyle name="Normal 2 8 10 2 4" xfId="41011"/>
    <cellStyle name="Normal 2 8 10 3" xfId="10925"/>
    <cellStyle name="Normal 2 8 10 3 2" xfId="10926"/>
    <cellStyle name="Normal 2 8 10 3 2 2" xfId="10927"/>
    <cellStyle name="Normal 2 8 10 3 2 2 2" xfId="41012"/>
    <cellStyle name="Normal 2 8 10 3 2 3" xfId="41013"/>
    <cellStyle name="Normal 2 8 10 3 3" xfId="10928"/>
    <cellStyle name="Normal 2 8 10 3 3 2" xfId="41014"/>
    <cellStyle name="Normal 2 8 10 3 4" xfId="41015"/>
    <cellStyle name="Normal 2 8 10 4" xfId="10929"/>
    <cellStyle name="Normal 2 8 10 4 2" xfId="10930"/>
    <cellStyle name="Normal 2 8 10 4 2 2" xfId="10931"/>
    <cellStyle name="Normal 2 8 10 4 2 2 2" xfId="41016"/>
    <cellStyle name="Normal 2 8 10 4 2 3" xfId="41017"/>
    <cellStyle name="Normal 2 8 10 4 3" xfId="10932"/>
    <cellStyle name="Normal 2 8 10 4 3 2" xfId="41018"/>
    <cellStyle name="Normal 2 8 10 4 4" xfId="41019"/>
    <cellStyle name="Normal 2 8 10 5" xfId="10933"/>
    <cellStyle name="Normal 2 8 10 5 2" xfId="10934"/>
    <cellStyle name="Normal 2 8 10 5 2 2" xfId="41020"/>
    <cellStyle name="Normal 2 8 10 5 3" xfId="41021"/>
    <cellStyle name="Normal 2 8 10 6" xfId="10935"/>
    <cellStyle name="Normal 2 8 10 6 2" xfId="41022"/>
    <cellStyle name="Normal 2 8 10 7" xfId="10936"/>
    <cellStyle name="Normal 2 8 10 7 2" xfId="41023"/>
    <cellStyle name="Normal 2 8 10 8" xfId="41024"/>
    <cellStyle name="Normal 2 8 11" xfId="10937"/>
    <cellStyle name="Normal 2 8 11 2" xfId="10938"/>
    <cellStyle name="Normal 2 8 11 2 2" xfId="10939"/>
    <cellStyle name="Normal 2 8 11 2 2 2" xfId="10940"/>
    <cellStyle name="Normal 2 8 11 2 2 2 2" xfId="41025"/>
    <cellStyle name="Normal 2 8 11 2 2 3" xfId="41026"/>
    <cellStyle name="Normal 2 8 11 2 3" xfId="10941"/>
    <cellStyle name="Normal 2 8 11 2 3 2" xfId="41027"/>
    <cellStyle name="Normal 2 8 11 2 4" xfId="41028"/>
    <cellStyle name="Normal 2 8 11 3" xfId="10942"/>
    <cellStyle name="Normal 2 8 11 3 2" xfId="10943"/>
    <cellStyle name="Normal 2 8 11 3 2 2" xfId="10944"/>
    <cellStyle name="Normal 2 8 11 3 2 2 2" xfId="41029"/>
    <cellStyle name="Normal 2 8 11 3 2 3" xfId="41030"/>
    <cellStyle name="Normal 2 8 11 3 3" xfId="10945"/>
    <cellStyle name="Normal 2 8 11 3 3 2" xfId="41031"/>
    <cellStyle name="Normal 2 8 11 3 4" xfId="41032"/>
    <cellStyle name="Normal 2 8 11 4" xfId="10946"/>
    <cellStyle name="Normal 2 8 11 4 2" xfId="10947"/>
    <cellStyle name="Normal 2 8 11 4 2 2" xfId="10948"/>
    <cellStyle name="Normal 2 8 11 4 2 2 2" xfId="41033"/>
    <cellStyle name="Normal 2 8 11 4 2 3" xfId="41034"/>
    <cellStyle name="Normal 2 8 11 4 3" xfId="10949"/>
    <cellStyle name="Normal 2 8 11 4 3 2" xfId="41035"/>
    <cellStyle name="Normal 2 8 11 4 4" xfId="41036"/>
    <cellStyle name="Normal 2 8 11 5" xfId="10950"/>
    <cellStyle name="Normal 2 8 11 5 2" xfId="10951"/>
    <cellStyle name="Normal 2 8 11 5 2 2" xfId="41037"/>
    <cellStyle name="Normal 2 8 11 5 3" xfId="41038"/>
    <cellStyle name="Normal 2 8 11 6" xfId="10952"/>
    <cellStyle name="Normal 2 8 11 6 2" xfId="41039"/>
    <cellStyle name="Normal 2 8 11 7" xfId="10953"/>
    <cellStyle name="Normal 2 8 11 7 2" xfId="41040"/>
    <cellStyle name="Normal 2 8 11 8" xfId="41041"/>
    <cellStyle name="Normal 2 8 12" xfId="10954"/>
    <cellStyle name="Normal 2 8 12 2" xfId="10955"/>
    <cellStyle name="Normal 2 8 12 2 2" xfId="10956"/>
    <cellStyle name="Normal 2 8 12 2 2 2" xfId="10957"/>
    <cellStyle name="Normal 2 8 12 2 2 2 2" xfId="41042"/>
    <cellStyle name="Normal 2 8 12 2 2 3" xfId="41043"/>
    <cellStyle name="Normal 2 8 12 2 3" xfId="10958"/>
    <cellStyle name="Normal 2 8 12 2 3 2" xfId="41044"/>
    <cellStyle name="Normal 2 8 12 2 4" xfId="41045"/>
    <cellStyle name="Normal 2 8 12 3" xfId="10959"/>
    <cellStyle name="Normal 2 8 12 3 2" xfId="10960"/>
    <cellStyle name="Normal 2 8 12 3 2 2" xfId="10961"/>
    <cellStyle name="Normal 2 8 12 3 2 2 2" xfId="41046"/>
    <cellStyle name="Normal 2 8 12 3 2 3" xfId="41047"/>
    <cellStyle name="Normal 2 8 12 3 3" xfId="10962"/>
    <cellStyle name="Normal 2 8 12 3 3 2" xfId="41048"/>
    <cellStyle name="Normal 2 8 12 3 4" xfId="41049"/>
    <cellStyle name="Normal 2 8 12 4" xfId="10963"/>
    <cellStyle name="Normal 2 8 12 4 2" xfId="10964"/>
    <cellStyle name="Normal 2 8 12 4 2 2" xfId="10965"/>
    <cellStyle name="Normal 2 8 12 4 2 2 2" xfId="41050"/>
    <cellStyle name="Normal 2 8 12 4 2 3" xfId="41051"/>
    <cellStyle name="Normal 2 8 12 4 3" xfId="10966"/>
    <cellStyle name="Normal 2 8 12 4 3 2" xfId="41052"/>
    <cellStyle name="Normal 2 8 12 4 4" xfId="41053"/>
    <cellStyle name="Normal 2 8 12 5" xfId="10967"/>
    <cellStyle name="Normal 2 8 12 5 2" xfId="10968"/>
    <cellStyle name="Normal 2 8 12 5 2 2" xfId="41054"/>
    <cellStyle name="Normal 2 8 12 5 3" xfId="41055"/>
    <cellStyle name="Normal 2 8 12 6" xfId="10969"/>
    <cellStyle name="Normal 2 8 12 6 2" xfId="41056"/>
    <cellStyle name="Normal 2 8 12 7" xfId="10970"/>
    <cellStyle name="Normal 2 8 12 7 2" xfId="41057"/>
    <cellStyle name="Normal 2 8 12 8" xfId="41058"/>
    <cellStyle name="Normal 2 8 13" xfId="10971"/>
    <cellStyle name="Normal 2 8 13 2" xfId="10972"/>
    <cellStyle name="Normal 2 8 13 2 2" xfId="10973"/>
    <cellStyle name="Normal 2 8 13 2 2 2" xfId="10974"/>
    <cellStyle name="Normal 2 8 13 2 2 2 2" xfId="41059"/>
    <cellStyle name="Normal 2 8 13 2 2 3" xfId="41060"/>
    <cellStyle name="Normal 2 8 13 2 3" xfId="10975"/>
    <cellStyle name="Normal 2 8 13 2 3 2" xfId="41061"/>
    <cellStyle name="Normal 2 8 13 2 4" xfId="41062"/>
    <cellStyle name="Normal 2 8 13 3" xfId="10976"/>
    <cellStyle name="Normal 2 8 13 3 2" xfId="10977"/>
    <cellStyle name="Normal 2 8 13 3 2 2" xfId="10978"/>
    <cellStyle name="Normal 2 8 13 3 2 2 2" xfId="41063"/>
    <cellStyle name="Normal 2 8 13 3 2 3" xfId="41064"/>
    <cellStyle name="Normal 2 8 13 3 3" xfId="10979"/>
    <cellStyle name="Normal 2 8 13 3 3 2" xfId="41065"/>
    <cellStyle name="Normal 2 8 13 3 4" xfId="41066"/>
    <cellStyle name="Normal 2 8 13 4" xfId="10980"/>
    <cellStyle name="Normal 2 8 13 4 2" xfId="10981"/>
    <cellStyle name="Normal 2 8 13 4 2 2" xfId="10982"/>
    <cellStyle name="Normal 2 8 13 4 2 2 2" xfId="41067"/>
    <cellStyle name="Normal 2 8 13 4 2 3" xfId="41068"/>
    <cellStyle name="Normal 2 8 13 4 3" xfId="10983"/>
    <cellStyle name="Normal 2 8 13 4 3 2" xfId="41069"/>
    <cellStyle name="Normal 2 8 13 4 4" xfId="41070"/>
    <cellStyle name="Normal 2 8 13 5" xfId="10984"/>
    <cellStyle name="Normal 2 8 13 5 2" xfId="10985"/>
    <cellStyle name="Normal 2 8 13 5 2 2" xfId="41071"/>
    <cellStyle name="Normal 2 8 13 5 3" xfId="41072"/>
    <cellStyle name="Normal 2 8 13 6" xfId="10986"/>
    <cellStyle name="Normal 2 8 13 6 2" xfId="41073"/>
    <cellStyle name="Normal 2 8 13 7" xfId="10987"/>
    <cellStyle name="Normal 2 8 13 7 2" xfId="41074"/>
    <cellStyle name="Normal 2 8 13 8" xfId="41075"/>
    <cellStyle name="Normal 2 8 14" xfId="10988"/>
    <cellStyle name="Normal 2 8 14 2" xfId="10989"/>
    <cellStyle name="Normal 2 8 14 2 2" xfId="10990"/>
    <cellStyle name="Normal 2 8 14 2 2 2" xfId="10991"/>
    <cellStyle name="Normal 2 8 14 2 2 2 2" xfId="41076"/>
    <cellStyle name="Normal 2 8 14 2 2 3" xfId="41077"/>
    <cellStyle name="Normal 2 8 14 2 3" xfId="10992"/>
    <cellStyle name="Normal 2 8 14 2 3 2" xfId="41078"/>
    <cellStyle name="Normal 2 8 14 2 4" xfId="41079"/>
    <cellStyle name="Normal 2 8 14 3" xfId="10993"/>
    <cellStyle name="Normal 2 8 14 3 2" xfId="10994"/>
    <cellStyle name="Normal 2 8 14 3 2 2" xfId="10995"/>
    <cellStyle name="Normal 2 8 14 3 2 2 2" xfId="41080"/>
    <cellStyle name="Normal 2 8 14 3 2 3" xfId="41081"/>
    <cellStyle name="Normal 2 8 14 3 3" xfId="10996"/>
    <cellStyle name="Normal 2 8 14 3 3 2" xfId="41082"/>
    <cellStyle name="Normal 2 8 14 3 4" xfId="41083"/>
    <cellStyle name="Normal 2 8 14 4" xfId="10997"/>
    <cellStyle name="Normal 2 8 14 4 2" xfId="10998"/>
    <cellStyle name="Normal 2 8 14 4 2 2" xfId="10999"/>
    <cellStyle name="Normal 2 8 14 4 2 2 2" xfId="41084"/>
    <cellStyle name="Normal 2 8 14 4 2 3" xfId="41085"/>
    <cellStyle name="Normal 2 8 14 4 3" xfId="11000"/>
    <cellStyle name="Normal 2 8 14 4 3 2" xfId="41086"/>
    <cellStyle name="Normal 2 8 14 4 4" xfId="41087"/>
    <cellStyle name="Normal 2 8 14 5" xfId="11001"/>
    <cellStyle name="Normal 2 8 14 5 2" xfId="11002"/>
    <cellStyle name="Normal 2 8 14 5 2 2" xfId="41088"/>
    <cellStyle name="Normal 2 8 14 5 3" xfId="41089"/>
    <cellStyle name="Normal 2 8 14 6" xfId="11003"/>
    <cellStyle name="Normal 2 8 14 6 2" xfId="41090"/>
    <cellStyle name="Normal 2 8 14 7" xfId="11004"/>
    <cellStyle name="Normal 2 8 14 7 2" xfId="41091"/>
    <cellStyle name="Normal 2 8 14 8" xfId="41092"/>
    <cellStyle name="Normal 2 8 15" xfId="11005"/>
    <cellStyle name="Normal 2 8 15 2" xfId="11006"/>
    <cellStyle name="Normal 2 8 15 2 2" xfId="11007"/>
    <cellStyle name="Normal 2 8 15 2 2 2" xfId="11008"/>
    <cellStyle name="Normal 2 8 15 2 2 2 2" xfId="41093"/>
    <cellStyle name="Normal 2 8 15 2 2 3" xfId="41094"/>
    <cellStyle name="Normal 2 8 15 2 3" xfId="11009"/>
    <cellStyle name="Normal 2 8 15 2 3 2" xfId="41095"/>
    <cellStyle name="Normal 2 8 15 2 4" xfId="41096"/>
    <cellStyle name="Normal 2 8 15 3" xfId="11010"/>
    <cellStyle name="Normal 2 8 15 3 2" xfId="11011"/>
    <cellStyle name="Normal 2 8 15 3 2 2" xfId="11012"/>
    <cellStyle name="Normal 2 8 15 3 2 2 2" xfId="41097"/>
    <cellStyle name="Normal 2 8 15 3 2 3" xfId="41098"/>
    <cellStyle name="Normal 2 8 15 3 3" xfId="11013"/>
    <cellStyle name="Normal 2 8 15 3 3 2" xfId="41099"/>
    <cellStyle name="Normal 2 8 15 3 4" xfId="41100"/>
    <cellStyle name="Normal 2 8 15 4" xfId="11014"/>
    <cellStyle name="Normal 2 8 15 4 2" xfId="11015"/>
    <cellStyle name="Normal 2 8 15 4 2 2" xfId="11016"/>
    <cellStyle name="Normal 2 8 15 4 2 2 2" xfId="41101"/>
    <cellStyle name="Normal 2 8 15 4 2 3" xfId="41102"/>
    <cellStyle name="Normal 2 8 15 4 3" xfId="11017"/>
    <cellStyle name="Normal 2 8 15 4 3 2" xfId="41103"/>
    <cellStyle name="Normal 2 8 15 4 4" xfId="41104"/>
    <cellStyle name="Normal 2 8 15 5" xfId="11018"/>
    <cellStyle name="Normal 2 8 15 5 2" xfId="11019"/>
    <cellStyle name="Normal 2 8 15 5 2 2" xfId="41105"/>
    <cellStyle name="Normal 2 8 15 5 3" xfId="41106"/>
    <cellStyle name="Normal 2 8 15 6" xfId="11020"/>
    <cellStyle name="Normal 2 8 15 6 2" xfId="41107"/>
    <cellStyle name="Normal 2 8 15 7" xfId="11021"/>
    <cellStyle name="Normal 2 8 15 7 2" xfId="41108"/>
    <cellStyle name="Normal 2 8 15 8" xfId="41109"/>
    <cellStyle name="Normal 2 8 16" xfId="11022"/>
    <cellStyle name="Normal 2 8 16 2" xfId="11023"/>
    <cellStyle name="Normal 2 8 16 2 2" xfId="11024"/>
    <cellStyle name="Normal 2 8 16 2 2 2" xfId="11025"/>
    <cellStyle name="Normal 2 8 16 2 2 2 2" xfId="41110"/>
    <cellStyle name="Normal 2 8 16 2 2 3" xfId="41111"/>
    <cellStyle name="Normal 2 8 16 2 3" xfId="11026"/>
    <cellStyle name="Normal 2 8 16 2 3 2" xfId="41112"/>
    <cellStyle name="Normal 2 8 16 2 4" xfId="41113"/>
    <cellStyle name="Normal 2 8 16 3" xfId="11027"/>
    <cellStyle name="Normal 2 8 16 3 2" xfId="11028"/>
    <cellStyle name="Normal 2 8 16 3 2 2" xfId="11029"/>
    <cellStyle name="Normal 2 8 16 3 2 2 2" xfId="41114"/>
    <cellStyle name="Normal 2 8 16 3 2 3" xfId="41115"/>
    <cellStyle name="Normal 2 8 16 3 3" xfId="11030"/>
    <cellStyle name="Normal 2 8 16 3 3 2" xfId="41116"/>
    <cellStyle name="Normal 2 8 16 3 4" xfId="41117"/>
    <cellStyle name="Normal 2 8 16 4" xfId="11031"/>
    <cellStyle name="Normal 2 8 16 4 2" xfId="11032"/>
    <cellStyle name="Normal 2 8 16 4 2 2" xfId="11033"/>
    <cellStyle name="Normal 2 8 16 4 2 2 2" xfId="41118"/>
    <cellStyle name="Normal 2 8 16 4 2 3" xfId="41119"/>
    <cellStyle name="Normal 2 8 16 4 3" xfId="11034"/>
    <cellStyle name="Normal 2 8 16 4 3 2" xfId="41120"/>
    <cellStyle name="Normal 2 8 16 4 4" xfId="41121"/>
    <cellStyle name="Normal 2 8 16 5" xfId="11035"/>
    <cellStyle name="Normal 2 8 16 5 2" xfId="11036"/>
    <cellStyle name="Normal 2 8 16 5 2 2" xfId="41122"/>
    <cellStyle name="Normal 2 8 16 5 3" xfId="41123"/>
    <cellStyle name="Normal 2 8 16 6" xfId="11037"/>
    <cellStyle name="Normal 2 8 16 6 2" xfId="41124"/>
    <cellStyle name="Normal 2 8 16 7" xfId="11038"/>
    <cellStyle name="Normal 2 8 16 7 2" xfId="41125"/>
    <cellStyle name="Normal 2 8 16 8" xfId="41126"/>
    <cellStyle name="Normal 2 8 17" xfId="11039"/>
    <cellStyle name="Normal 2 8 17 2" xfId="11040"/>
    <cellStyle name="Normal 2 8 17 2 2" xfId="11041"/>
    <cellStyle name="Normal 2 8 17 2 2 2" xfId="11042"/>
    <cellStyle name="Normal 2 8 17 2 2 2 2" xfId="41127"/>
    <cellStyle name="Normal 2 8 17 2 2 3" xfId="41128"/>
    <cellStyle name="Normal 2 8 17 2 3" xfId="11043"/>
    <cellStyle name="Normal 2 8 17 2 3 2" xfId="41129"/>
    <cellStyle name="Normal 2 8 17 2 4" xfId="41130"/>
    <cellStyle name="Normal 2 8 17 3" xfId="11044"/>
    <cellStyle name="Normal 2 8 17 3 2" xfId="11045"/>
    <cellStyle name="Normal 2 8 17 3 2 2" xfId="11046"/>
    <cellStyle name="Normal 2 8 17 3 2 2 2" xfId="41131"/>
    <cellStyle name="Normal 2 8 17 3 2 3" xfId="41132"/>
    <cellStyle name="Normal 2 8 17 3 3" xfId="11047"/>
    <cellStyle name="Normal 2 8 17 3 3 2" xfId="41133"/>
    <cellStyle name="Normal 2 8 17 3 4" xfId="41134"/>
    <cellStyle name="Normal 2 8 17 4" xfId="11048"/>
    <cellStyle name="Normal 2 8 17 4 2" xfId="11049"/>
    <cellStyle name="Normal 2 8 17 4 2 2" xfId="11050"/>
    <cellStyle name="Normal 2 8 17 4 2 2 2" xfId="41135"/>
    <cellStyle name="Normal 2 8 17 4 2 3" xfId="41136"/>
    <cellStyle name="Normal 2 8 17 4 3" xfId="11051"/>
    <cellStyle name="Normal 2 8 17 4 3 2" xfId="41137"/>
    <cellStyle name="Normal 2 8 17 4 4" xfId="41138"/>
    <cellStyle name="Normal 2 8 17 5" xfId="11052"/>
    <cellStyle name="Normal 2 8 17 5 2" xfId="11053"/>
    <cellStyle name="Normal 2 8 17 5 2 2" xfId="41139"/>
    <cellStyle name="Normal 2 8 17 5 3" xfId="41140"/>
    <cellStyle name="Normal 2 8 17 6" xfId="11054"/>
    <cellStyle name="Normal 2 8 17 6 2" xfId="41141"/>
    <cellStyle name="Normal 2 8 17 7" xfId="11055"/>
    <cellStyle name="Normal 2 8 17 7 2" xfId="41142"/>
    <cellStyle name="Normal 2 8 17 8" xfId="41143"/>
    <cellStyle name="Normal 2 8 18" xfId="11056"/>
    <cellStyle name="Normal 2 8 18 2" xfId="11057"/>
    <cellStyle name="Normal 2 8 18 2 2" xfId="11058"/>
    <cellStyle name="Normal 2 8 18 2 2 2" xfId="11059"/>
    <cellStyle name="Normal 2 8 18 2 2 2 2" xfId="41144"/>
    <cellStyle name="Normal 2 8 18 2 2 3" xfId="41145"/>
    <cellStyle name="Normal 2 8 18 2 3" xfId="11060"/>
    <cellStyle name="Normal 2 8 18 2 3 2" xfId="41146"/>
    <cellStyle name="Normal 2 8 18 2 4" xfId="41147"/>
    <cellStyle name="Normal 2 8 18 3" xfId="11061"/>
    <cellStyle name="Normal 2 8 18 3 2" xfId="11062"/>
    <cellStyle name="Normal 2 8 18 3 2 2" xfId="11063"/>
    <cellStyle name="Normal 2 8 18 3 2 2 2" xfId="41148"/>
    <cellStyle name="Normal 2 8 18 3 2 3" xfId="41149"/>
    <cellStyle name="Normal 2 8 18 3 3" xfId="11064"/>
    <cellStyle name="Normal 2 8 18 3 3 2" xfId="41150"/>
    <cellStyle name="Normal 2 8 18 3 4" xfId="41151"/>
    <cellStyle name="Normal 2 8 18 4" xfId="11065"/>
    <cellStyle name="Normal 2 8 18 4 2" xfId="11066"/>
    <cellStyle name="Normal 2 8 18 4 2 2" xfId="11067"/>
    <cellStyle name="Normal 2 8 18 4 2 2 2" xfId="41152"/>
    <cellStyle name="Normal 2 8 18 4 2 3" xfId="41153"/>
    <cellStyle name="Normal 2 8 18 4 3" xfId="11068"/>
    <cellStyle name="Normal 2 8 18 4 3 2" xfId="41154"/>
    <cellStyle name="Normal 2 8 18 4 4" xfId="41155"/>
    <cellStyle name="Normal 2 8 18 5" xfId="11069"/>
    <cellStyle name="Normal 2 8 18 5 2" xfId="11070"/>
    <cellStyle name="Normal 2 8 18 5 2 2" xfId="41156"/>
    <cellStyle name="Normal 2 8 18 5 3" xfId="41157"/>
    <cellStyle name="Normal 2 8 18 6" xfId="11071"/>
    <cellStyle name="Normal 2 8 18 6 2" xfId="41158"/>
    <cellStyle name="Normal 2 8 18 7" xfId="11072"/>
    <cellStyle name="Normal 2 8 18 7 2" xfId="41159"/>
    <cellStyle name="Normal 2 8 18 8" xfId="41160"/>
    <cellStyle name="Normal 2 8 19" xfId="11073"/>
    <cellStyle name="Normal 2 8 19 2" xfId="11074"/>
    <cellStyle name="Normal 2 8 19 2 2" xfId="11075"/>
    <cellStyle name="Normal 2 8 19 2 2 2" xfId="11076"/>
    <cellStyle name="Normal 2 8 19 2 2 2 2" xfId="41161"/>
    <cellStyle name="Normal 2 8 19 2 2 3" xfId="41162"/>
    <cellStyle name="Normal 2 8 19 2 3" xfId="11077"/>
    <cellStyle name="Normal 2 8 19 2 3 2" xfId="41163"/>
    <cellStyle name="Normal 2 8 19 2 4" xfId="41164"/>
    <cellStyle name="Normal 2 8 19 3" xfId="11078"/>
    <cellStyle name="Normal 2 8 19 3 2" xfId="11079"/>
    <cellStyle name="Normal 2 8 19 3 2 2" xfId="11080"/>
    <cellStyle name="Normal 2 8 19 3 2 2 2" xfId="41165"/>
    <cellStyle name="Normal 2 8 19 3 2 3" xfId="41166"/>
    <cellStyle name="Normal 2 8 19 3 3" xfId="11081"/>
    <cellStyle name="Normal 2 8 19 3 3 2" xfId="41167"/>
    <cellStyle name="Normal 2 8 19 3 4" xfId="41168"/>
    <cellStyle name="Normal 2 8 19 4" xfId="11082"/>
    <cellStyle name="Normal 2 8 19 4 2" xfId="11083"/>
    <cellStyle name="Normal 2 8 19 4 2 2" xfId="11084"/>
    <cellStyle name="Normal 2 8 19 4 2 2 2" xfId="41169"/>
    <cellStyle name="Normal 2 8 19 4 2 3" xfId="41170"/>
    <cellStyle name="Normal 2 8 19 4 3" xfId="11085"/>
    <cellStyle name="Normal 2 8 19 4 3 2" xfId="41171"/>
    <cellStyle name="Normal 2 8 19 4 4" xfId="41172"/>
    <cellStyle name="Normal 2 8 19 5" xfId="11086"/>
    <cellStyle name="Normal 2 8 19 5 2" xfId="11087"/>
    <cellStyle name="Normal 2 8 19 5 2 2" xfId="41173"/>
    <cellStyle name="Normal 2 8 19 5 3" xfId="41174"/>
    <cellStyle name="Normal 2 8 19 6" xfId="11088"/>
    <cellStyle name="Normal 2 8 19 6 2" xfId="41175"/>
    <cellStyle name="Normal 2 8 19 7" xfId="11089"/>
    <cellStyle name="Normal 2 8 19 7 2" xfId="41176"/>
    <cellStyle name="Normal 2 8 19 8" xfId="41177"/>
    <cellStyle name="Normal 2 8 2" xfId="11090"/>
    <cellStyle name="Normal 2 8 2 2" xfId="11091"/>
    <cellStyle name="Normal 2 8 2 2 2" xfId="11092"/>
    <cellStyle name="Normal 2 8 2 2 2 2" xfId="11093"/>
    <cellStyle name="Normal 2 8 2 2 2 2 2" xfId="41178"/>
    <cellStyle name="Normal 2 8 2 2 2 3" xfId="41179"/>
    <cellStyle name="Normal 2 8 2 2 3" xfId="11094"/>
    <cellStyle name="Normal 2 8 2 2 3 2" xfId="41180"/>
    <cellStyle name="Normal 2 8 2 2 4" xfId="41181"/>
    <cellStyle name="Normal 2 8 2 3" xfId="11095"/>
    <cellStyle name="Normal 2 8 2 3 2" xfId="11096"/>
    <cellStyle name="Normal 2 8 2 3 2 2" xfId="11097"/>
    <cellStyle name="Normal 2 8 2 3 2 2 2" xfId="41182"/>
    <cellStyle name="Normal 2 8 2 3 2 3" xfId="41183"/>
    <cellStyle name="Normal 2 8 2 3 3" xfId="11098"/>
    <cellStyle name="Normal 2 8 2 3 3 2" xfId="41184"/>
    <cellStyle name="Normal 2 8 2 3 4" xfId="41185"/>
    <cellStyle name="Normal 2 8 2 4" xfId="11099"/>
    <cellStyle name="Normal 2 8 2 4 2" xfId="11100"/>
    <cellStyle name="Normal 2 8 2 4 2 2" xfId="11101"/>
    <cellStyle name="Normal 2 8 2 4 2 2 2" xfId="41186"/>
    <cellStyle name="Normal 2 8 2 4 2 3" xfId="41187"/>
    <cellStyle name="Normal 2 8 2 4 3" xfId="11102"/>
    <cellStyle name="Normal 2 8 2 4 3 2" xfId="41188"/>
    <cellStyle name="Normal 2 8 2 4 4" xfId="41189"/>
    <cellStyle name="Normal 2 8 2 5" xfId="11103"/>
    <cellStyle name="Normal 2 8 2 5 2" xfId="11104"/>
    <cellStyle name="Normal 2 8 2 5 2 2" xfId="41190"/>
    <cellStyle name="Normal 2 8 2 5 3" xfId="41191"/>
    <cellStyle name="Normal 2 8 2 6" xfId="11105"/>
    <cellStyle name="Normal 2 8 2 6 2" xfId="41192"/>
    <cellStyle name="Normal 2 8 2 7" xfId="11106"/>
    <cellStyle name="Normal 2 8 2 7 2" xfId="41193"/>
    <cellStyle name="Normal 2 8 2 8" xfId="41194"/>
    <cellStyle name="Normal 2 8 20" xfId="11107"/>
    <cellStyle name="Normal 2 8 20 2" xfId="11108"/>
    <cellStyle name="Normal 2 8 20 2 2" xfId="11109"/>
    <cellStyle name="Normal 2 8 20 2 2 2" xfId="11110"/>
    <cellStyle name="Normal 2 8 20 2 2 2 2" xfId="41195"/>
    <cellStyle name="Normal 2 8 20 2 2 3" xfId="41196"/>
    <cellStyle name="Normal 2 8 20 2 3" xfId="11111"/>
    <cellStyle name="Normal 2 8 20 2 3 2" xfId="41197"/>
    <cellStyle name="Normal 2 8 20 2 4" xfId="41198"/>
    <cellStyle name="Normal 2 8 20 3" xfId="11112"/>
    <cellStyle name="Normal 2 8 20 3 2" xfId="11113"/>
    <cellStyle name="Normal 2 8 20 3 2 2" xfId="11114"/>
    <cellStyle name="Normal 2 8 20 3 2 2 2" xfId="41199"/>
    <cellStyle name="Normal 2 8 20 3 2 3" xfId="41200"/>
    <cellStyle name="Normal 2 8 20 3 3" xfId="11115"/>
    <cellStyle name="Normal 2 8 20 3 3 2" xfId="41201"/>
    <cellStyle name="Normal 2 8 20 3 4" xfId="41202"/>
    <cellStyle name="Normal 2 8 20 4" xfId="11116"/>
    <cellStyle name="Normal 2 8 20 4 2" xfId="11117"/>
    <cellStyle name="Normal 2 8 20 4 2 2" xfId="11118"/>
    <cellStyle name="Normal 2 8 20 4 2 2 2" xfId="41203"/>
    <cellStyle name="Normal 2 8 20 4 2 3" xfId="41204"/>
    <cellStyle name="Normal 2 8 20 4 3" xfId="11119"/>
    <cellStyle name="Normal 2 8 20 4 3 2" xfId="41205"/>
    <cellStyle name="Normal 2 8 20 4 4" xfId="41206"/>
    <cellStyle name="Normal 2 8 20 5" xfId="11120"/>
    <cellStyle name="Normal 2 8 20 5 2" xfId="11121"/>
    <cellStyle name="Normal 2 8 20 5 2 2" xfId="41207"/>
    <cellStyle name="Normal 2 8 20 5 3" xfId="41208"/>
    <cellStyle name="Normal 2 8 20 6" xfId="11122"/>
    <cellStyle name="Normal 2 8 20 6 2" xfId="41209"/>
    <cellStyle name="Normal 2 8 20 7" xfId="11123"/>
    <cellStyle name="Normal 2 8 20 7 2" xfId="41210"/>
    <cellStyle name="Normal 2 8 20 8" xfId="41211"/>
    <cellStyle name="Normal 2 8 21" xfId="11124"/>
    <cellStyle name="Normal 2 8 21 2" xfId="11125"/>
    <cellStyle name="Normal 2 8 21 2 2" xfId="11126"/>
    <cellStyle name="Normal 2 8 21 2 2 2" xfId="11127"/>
    <cellStyle name="Normal 2 8 21 2 2 2 2" xfId="41212"/>
    <cellStyle name="Normal 2 8 21 2 2 3" xfId="41213"/>
    <cellStyle name="Normal 2 8 21 2 3" xfId="11128"/>
    <cellStyle name="Normal 2 8 21 2 3 2" xfId="41214"/>
    <cellStyle name="Normal 2 8 21 2 4" xfId="41215"/>
    <cellStyle name="Normal 2 8 21 3" xfId="11129"/>
    <cellStyle name="Normal 2 8 21 3 2" xfId="11130"/>
    <cellStyle name="Normal 2 8 21 3 2 2" xfId="11131"/>
    <cellStyle name="Normal 2 8 21 3 2 2 2" xfId="41216"/>
    <cellStyle name="Normal 2 8 21 3 2 3" xfId="41217"/>
    <cellStyle name="Normal 2 8 21 3 3" xfId="11132"/>
    <cellStyle name="Normal 2 8 21 3 3 2" xfId="41218"/>
    <cellStyle name="Normal 2 8 21 3 4" xfId="41219"/>
    <cellStyle name="Normal 2 8 21 4" xfId="11133"/>
    <cellStyle name="Normal 2 8 21 4 2" xfId="11134"/>
    <cellStyle name="Normal 2 8 21 4 2 2" xfId="11135"/>
    <cellStyle name="Normal 2 8 21 4 2 2 2" xfId="41220"/>
    <cellStyle name="Normal 2 8 21 4 2 3" xfId="41221"/>
    <cellStyle name="Normal 2 8 21 4 3" xfId="11136"/>
    <cellStyle name="Normal 2 8 21 4 3 2" xfId="41222"/>
    <cellStyle name="Normal 2 8 21 4 4" xfId="41223"/>
    <cellStyle name="Normal 2 8 21 5" xfId="11137"/>
    <cellStyle name="Normal 2 8 21 5 2" xfId="11138"/>
    <cellStyle name="Normal 2 8 21 5 2 2" xfId="41224"/>
    <cellStyle name="Normal 2 8 21 5 3" xfId="41225"/>
    <cellStyle name="Normal 2 8 21 6" xfId="11139"/>
    <cellStyle name="Normal 2 8 21 6 2" xfId="41226"/>
    <cellStyle name="Normal 2 8 21 7" xfId="11140"/>
    <cellStyle name="Normal 2 8 21 7 2" xfId="41227"/>
    <cellStyle name="Normal 2 8 21 8" xfId="41228"/>
    <cellStyle name="Normal 2 8 22" xfId="11141"/>
    <cellStyle name="Normal 2 8 22 2" xfId="11142"/>
    <cellStyle name="Normal 2 8 22 2 2" xfId="11143"/>
    <cellStyle name="Normal 2 8 22 2 2 2" xfId="11144"/>
    <cellStyle name="Normal 2 8 22 2 2 2 2" xfId="41229"/>
    <cellStyle name="Normal 2 8 22 2 2 3" xfId="41230"/>
    <cellStyle name="Normal 2 8 22 2 3" xfId="11145"/>
    <cellStyle name="Normal 2 8 22 2 3 2" xfId="41231"/>
    <cellStyle name="Normal 2 8 22 2 4" xfId="41232"/>
    <cellStyle name="Normal 2 8 22 3" xfId="11146"/>
    <cellStyle name="Normal 2 8 22 3 2" xfId="11147"/>
    <cellStyle name="Normal 2 8 22 3 2 2" xfId="11148"/>
    <cellStyle name="Normal 2 8 22 3 2 2 2" xfId="41233"/>
    <cellStyle name="Normal 2 8 22 3 2 3" xfId="41234"/>
    <cellStyle name="Normal 2 8 22 3 3" xfId="11149"/>
    <cellStyle name="Normal 2 8 22 3 3 2" xfId="41235"/>
    <cellStyle name="Normal 2 8 22 3 4" xfId="41236"/>
    <cellStyle name="Normal 2 8 22 4" xfId="11150"/>
    <cellStyle name="Normal 2 8 22 4 2" xfId="11151"/>
    <cellStyle name="Normal 2 8 22 4 2 2" xfId="11152"/>
    <cellStyle name="Normal 2 8 22 4 2 2 2" xfId="41237"/>
    <cellStyle name="Normal 2 8 22 4 2 3" xfId="41238"/>
    <cellStyle name="Normal 2 8 22 4 3" xfId="11153"/>
    <cellStyle name="Normal 2 8 22 4 3 2" xfId="41239"/>
    <cellStyle name="Normal 2 8 22 4 4" xfId="41240"/>
    <cellStyle name="Normal 2 8 22 5" xfId="11154"/>
    <cellStyle name="Normal 2 8 22 5 2" xfId="11155"/>
    <cellStyle name="Normal 2 8 22 5 2 2" xfId="41241"/>
    <cellStyle name="Normal 2 8 22 5 3" xfId="41242"/>
    <cellStyle name="Normal 2 8 22 6" xfId="11156"/>
    <cellStyle name="Normal 2 8 22 6 2" xfId="41243"/>
    <cellStyle name="Normal 2 8 22 7" xfId="11157"/>
    <cellStyle name="Normal 2 8 22 7 2" xfId="41244"/>
    <cellStyle name="Normal 2 8 22 8" xfId="41245"/>
    <cellStyle name="Normal 2 8 23" xfId="11158"/>
    <cellStyle name="Normal 2 8 23 2" xfId="11159"/>
    <cellStyle name="Normal 2 8 23 2 2" xfId="11160"/>
    <cellStyle name="Normal 2 8 23 2 2 2" xfId="11161"/>
    <cellStyle name="Normal 2 8 23 2 2 2 2" xfId="41246"/>
    <cellStyle name="Normal 2 8 23 2 2 3" xfId="41247"/>
    <cellStyle name="Normal 2 8 23 2 3" xfId="11162"/>
    <cellStyle name="Normal 2 8 23 2 3 2" xfId="41248"/>
    <cellStyle name="Normal 2 8 23 2 4" xfId="41249"/>
    <cellStyle name="Normal 2 8 23 3" xfId="11163"/>
    <cellStyle name="Normal 2 8 23 3 2" xfId="11164"/>
    <cellStyle name="Normal 2 8 23 3 2 2" xfId="11165"/>
    <cellStyle name="Normal 2 8 23 3 2 2 2" xfId="41250"/>
    <cellStyle name="Normal 2 8 23 3 2 3" xfId="41251"/>
    <cellStyle name="Normal 2 8 23 3 3" xfId="11166"/>
    <cellStyle name="Normal 2 8 23 3 3 2" xfId="41252"/>
    <cellStyle name="Normal 2 8 23 3 4" xfId="41253"/>
    <cellStyle name="Normal 2 8 23 4" xfId="11167"/>
    <cellStyle name="Normal 2 8 23 4 2" xfId="11168"/>
    <cellStyle name="Normal 2 8 23 4 2 2" xfId="11169"/>
    <cellStyle name="Normal 2 8 23 4 2 2 2" xfId="41254"/>
    <cellStyle name="Normal 2 8 23 4 2 3" xfId="41255"/>
    <cellStyle name="Normal 2 8 23 4 3" xfId="11170"/>
    <cellStyle name="Normal 2 8 23 4 3 2" xfId="41256"/>
    <cellStyle name="Normal 2 8 23 4 4" xfId="41257"/>
    <cellStyle name="Normal 2 8 23 5" xfId="11171"/>
    <cellStyle name="Normal 2 8 23 5 2" xfId="11172"/>
    <cellStyle name="Normal 2 8 23 5 2 2" xfId="41258"/>
    <cellStyle name="Normal 2 8 23 5 3" xfId="41259"/>
    <cellStyle name="Normal 2 8 23 6" xfId="11173"/>
    <cellStyle name="Normal 2 8 23 6 2" xfId="41260"/>
    <cellStyle name="Normal 2 8 23 7" xfId="11174"/>
    <cellStyle name="Normal 2 8 23 7 2" xfId="41261"/>
    <cellStyle name="Normal 2 8 23 8" xfId="41262"/>
    <cellStyle name="Normal 2 8 24" xfId="11175"/>
    <cellStyle name="Normal 2 8 24 2" xfId="11176"/>
    <cellStyle name="Normal 2 8 24 2 2" xfId="11177"/>
    <cellStyle name="Normal 2 8 24 2 2 2" xfId="11178"/>
    <cellStyle name="Normal 2 8 24 2 2 2 2" xfId="41263"/>
    <cellStyle name="Normal 2 8 24 2 2 3" xfId="41264"/>
    <cellStyle name="Normal 2 8 24 2 3" xfId="11179"/>
    <cellStyle name="Normal 2 8 24 2 3 2" xfId="41265"/>
    <cellStyle name="Normal 2 8 24 2 4" xfId="41266"/>
    <cellStyle name="Normal 2 8 24 3" xfId="11180"/>
    <cellStyle name="Normal 2 8 24 3 2" xfId="11181"/>
    <cellStyle name="Normal 2 8 24 3 2 2" xfId="11182"/>
    <cellStyle name="Normal 2 8 24 3 2 2 2" xfId="41267"/>
    <cellStyle name="Normal 2 8 24 3 2 3" xfId="41268"/>
    <cellStyle name="Normal 2 8 24 3 3" xfId="11183"/>
    <cellStyle name="Normal 2 8 24 3 3 2" xfId="41269"/>
    <cellStyle name="Normal 2 8 24 3 4" xfId="41270"/>
    <cellStyle name="Normal 2 8 24 4" xfId="11184"/>
    <cellStyle name="Normal 2 8 24 4 2" xfId="11185"/>
    <cellStyle name="Normal 2 8 24 4 2 2" xfId="11186"/>
    <cellStyle name="Normal 2 8 24 4 2 2 2" xfId="41271"/>
    <cellStyle name="Normal 2 8 24 4 2 3" xfId="41272"/>
    <cellStyle name="Normal 2 8 24 4 3" xfId="11187"/>
    <cellStyle name="Normal 2 8 24 4 3 2" xfId="41273"/>
    <cellStyle name="Normal 2 8 24 4 4" xfId="41274"/>
    <cellStyle name="Normal 2 8 24 5" xfId="11188"/>
    <cellStyle name="Normal 2 8 24 5 2" xfId="11189"/>
    <cellStyle name="Normal 2 8 24 5 2 2" xfId="41275"/>
    <cellStyle name="Normal 2 8 24 5 3" xfId="41276"/>
    <cellStyle name="Normal 2 8 24 6" xfId="11190"/>
    <cellStyle name="Normal 2 8 24 6 2" xfId="41277"/>
    <cellStyle name="Normal 2 8 24 7" xfId="11191"/>
    <cellStyle name="Normal 2 8 24 7 2" xfId="41278"/>
    <cellStyle name="Normal 2 8 24 8" xfId="41279"/>
    <cellStyle name="Normal 2 8 25" xfId="11192"/>
    <cellStyle name="Normal 2 8 25 2" xfId="11193"/>
    <cellStyle name="Normal 2 8 25 2 2" xfId="11194"/>
    <cellStyle name="Normal 2 8 25 2 2 2" xfId="11195"/>
    <cellStyle name="Normal 2 8 25 2 2 2 2" xfId="41280"/>
    <cellStyle name="Normal 2 8 25 2 2 3" xfId="41281"/>
    <cellStyle name="Normal 2 8 25 2 3" xfId="11196"/>
    <cellStyle name="Normal 2 8 25 2 3 2" xfId="41282"/>
    <cellStyle name="Normal 2 8 25 2 4" xfId="41283"/>
    <cellStyle name="Normal 2 8 25 3" xfId="11197"/>
    <cellStyle name="Normal 2 8 25 3 2" xfId="11198"/>
    <cellStyle name="Normal 2 8 25 3 2 2" xfId="11199"/>
    <cellStyle name="Normal 2 8 25 3 2 2 2" xfId="41284"/>
    <cellStyle name="Normal 2 8 25 3 2 3" xfId="41285"/>
    <cellStyle name="Normal 2 8 25 3 3" xfId="11200"/>
    <cellStyle name="Normal 2 8 25 3 3 2" xfId="41286"/>
    <cellStyle name="Normal 2 8 25 3 4" xfId="41287"/>
    <cellStyle name="Normal 2 8 25 4" xfId="11201"/>
    <cellStyle name="Normal 2 8 25 4 2" xfId="11202"/>
    <cellStyle name="Normal 2 8 25 4 2 2" xfId="11203"/>
    <cellStyle name="Normal 2 8 25 4 2 2 2" xfId="41288"/>
    <cellStyle name="Normal 2 8 25 4 2 3" xfId="41289"/>
    <cellStyle name="Normal 2 8 25 4 3" xfId="11204"/>
    <cellStyle name="Normal 2 8 25 4 3 2" xfId="41290"/>
    <cellStyle name="Normal 2 8 25 4 4" xfId="41291"/>
    <cellStyle name="Normal 2 8 25 5" xfId="11205"/>
    <cellStyle name="Normal 2 8 25 5 2" xfId="11206"/>
    <cellStyle name="Normal 2 8 25 5 2 2" xfId="41292"/>
    <cellStyle name="Normal 2 8 25 5 3" xfId="41293"/>
    <cellStyle name="Normal 2 8 25 6" xfId="11207"/>
    <cellStyle name="Normal 2 8 25 6 2" xfId="41294"/>
    <cellStyle name="Normal 2 8 25 7" xfId="11208"/>
    <cellStyle name="Normal 2 8 25 7 2" xfId="41295"/>
    <cellStyle name="Normal 2 8 25 8" xfId="41296"/>
    <cellStyle name="Normal 2 8 26" xfId="11209"/>
    <cellStyle name="Normal 2 8 26 2" xfId="11210"/>
    <cellStyle name="Normal 2 8 26 2 2" xfId="11211"/>
    <cellStyle name="Normal 2 8 26 2 2 2" xfId="11212"/>
    <cellStyle name="Normal 2 8 26 2 2 2 2" xfId="41297"/>
    <cellStyle name="Normal 2 8 26 2 2 3" xfId="41298"/>
    <cellStyle name="Normal 2 8 26 2 3" xfId="11213"/>
    <cellStyle name="Normal 2 8 26 2 3 2" xfId="41299"/>
    <cellStyle name="Normal 2 8 26 2 4" xfId="41300"/>
    <cellStyle name="Normal 2 8 26 3" xfId="11214"/>
    <cellStyle name="Normal 2 8 26 3 2" xfId="11215"/>
    <cellStyle name="Normal 2 8 26 3 2 2" xfId="11216"/>
    <cellStyle name="Normal 2 8 26 3 2 2 2" xfId="41301"/>
    <cellStyle name="Normal 2 8 26 3 2 3" xfId="41302"/>
    <cellStyle name="Normal 2 8 26 3 3" xfId="11217"/>
    <cellStyle name="Normal 2 8 26 3 3 2" xfId="41303"/>
    <cellStyle name="Normal 2 8 26 3 4" xfId="41304"/>
    <cellStyle name="Normal 2 8 26 4" xfId="11218"/>
    <cellStyle name="Normal 2 8 26 4 2" xfId="11219"/>
    <cellStyle name="Normal 2 8 26 4 2 2" xfId="11220"/>
    <cellStyle name="Normal 2 8 26 4 2 2 2" xfId="41305"/>
    <cellStyle name="Normal 2 8 26 4 2 3" xfId="41306"/>
    <cellStyle name="Normal 2 8 26 4 3" xfId="11221"/>
    <cellStyle name="Normal 2 8 26 4 3 2" xfId="41307"/>
    <cellStyle name="Normal 2 8 26 4 4" xfId="41308"/>
    <cellStyle name="Normal 2 8 26 5" xfId="11222"/>
    <cellStyle name="Normal 2 8 26 5 2" xfId="11223"/>
    <cellStyle name="Normal 2 8 26 5 2 2" xfId="41309"/>
    <cellStyle name="Normal 2 8 26 5 3" xfId="41310"/>
    <cellStyle name="Normal 2 8 26 6" xfId="11224"/>
    <cellStyle name="Normal 2 8 26 6 2" xfId="41311"/>
    <cellStyle name="Normal 2 8 26 7" xfId="11225"/>
    <cellStyle name="Normal 2 8 26 7 2" xfId="41312"/>
    <cellStyle name="Normal 2 8 26 8" xfId="41313"/>
    <cellStyle name="Normal 2 8 27" xfId="11226"/>
    <cellStyle name="Normal 2 8 27 2" xfId="11227"/>
    <cellStyle name="Normal 2 8 27 2 2" xfId="11228"/>
    <cellStyle name="Normal 2 8 27 2 2 2" xfId="11229"/>
    <cellStyle name="Normal 2 8 27 2 2 2 2" xfId="41314"/>
    <cellStyle name="Normal 2 8 27 2 2 3" xfId="41315"/>
    <cellStyle name="Normal 2 8 27 2 3" xfId="11230"/>
    <cellStyle name="Normal 2 8 27 2 3 2" xfId="41316"/>
    <cellStyle name="Normal 2 8 27 2 4" xfId="41317"/>
    <cellStyle name="Normal 2 8 27 3" xfId="11231"/>
    <cellStyle name="Normal 2 8 27 3 2" xfId="11232"/>
    <cellStyle name="Normal 2 8 27 3 2 2" xfId="11233"/>
    <cellStyle name="Normal 2 8 27 3 2 2 2" xfId="41318"/>
    <cellStyle name="Normal 2 8 27 3 2 3" xfId="41319"/>
    <cellStyle name="Normal 2 8 27 3 3" xfId="11234"/>
    <cellStyle name="Normal 2 8 27 3 3 2" xfId="41320"/>
    <cellStyle name="Normal 2 8 27 3 4" xfId="41321"/>
    <cellStyle name="Normal 2 8 27 4" xfId="11235"/>
    <cellStyle name="Normal 2 8 27 4 2" xfId="11236"/>
    <cellStyle name="Normal 2 8 27 4 2 2" xfId="11237"/>
    <cellStyle name="Normal 2 8 27 4 2 2 2" xfId="41322"/>
    <cellStyle name="Normal 2 8 27 4 2 3" xfId="41323"/>
    <cellStyle name="Normal 2 8 27 4 3" xfId="11238"/>
    <cellStyle name="Normal 2 8 27 4 3 2" xfId="41324"/>
    <cellStyle name="Normal 2 8 27 4 4" xfId="41325"/>
    <cellStyle name="Normal 2 8 27 5" xfId="11239"/>
    <cellStyle name="Normal 2 8 27 5 2" xfId="11240"/>
    <cellStyle name="Normal 2 8 27 5 2 2" xfId="41326"/>
    <cellStyle name="Normal 2 8 27 5 3" xfId="41327"/>
    <cellStyle name="Normal 2 8 27 6" xfId="11241"/>
    <cellStyle name="Normal 2 8 27 6 2" xfId="41328"/>
    <cellStyle name="Normal 2 8 27 7" xfId="11242"/>
    <cellStyle name="Normal 2 8 27 7 2" xfId="41329"/>
    <cellStyle name="Normal 2 8 27 8" xfId="41330"/>
    <cellStyle name="Normal 2 8 28" xfId="11243"/>
    <cellStyle name="Normal 2 8 28 2" xfId="11244"/>
    <cellStyle name="Normal 2 8 28 2 2" xfId="11245"/>
    <cellStyle name="Normal 2 8 28 2 2 2" xfId="11246"/>
    <cellStyle name="Normal 2 8 28 2 2 2 2" xfId="41331"/>
    <cellStyle name="Normal 2 8 28 2 2 3" xfId="41332"/>
    <cellStyle name="Normal 2 8 28 2 3" xfId="11247"/>
    <cellStyle name="Normal 2 8 28 2 3 2" xfId="41333"/>
    <cellStyle name="Normal 2 8 28 2 4" xfId="41334"/>
    <cellStyle name="Normal 2 8 28 3" xfId="11248"/>
    <cellStyle name="Normal 2 8 28 3 2" xfId="11249"/>
    <cellStyle name="Normal 2 8 28 3 2 2" xfId="11250"/>
    <cellStyle name="Normal 2 8 28 3 2 2 2" xfId="41335"/>
    <cellStyle name="Normal 2 8 28 3 2 3" xfId="41336"/>
    <cellStyle name="Normal 2 8 28 3 3" xfId="11251"/>
    <cellStyle name="Normal 2 8 28 3 3 2" xfId="41337"/>
    <cellStyle name="Normal 2 8 28 3 4" xfId="41338"/>
    <cellStyle name="Normal 2 8 28 4" xfId="11252"/>
    <cellStyle name="Normal 2 8 28 4 2" xfId="11253"/>
    <cellStyle name="Normal 2 8 28 4 2 2" xfId="11254"/>
    <cellStyle name="Normal 2 8 28 4 2 2 2" xfId="41339"/>
    <cellStyle name="Normal 2 8 28 4 2 3" xfId="41340"/>
    <cellStyle name="Normal 2 8 28 4 3" xfId="11255"/>
    <cellStyle name="Normal 2 8 28 4 3 2" xfId="41341"/>
    <cellStyle name="Normal 2 8 28 4 4" xfId="41342"/>
    <cellStyle name="Normal 2 8 28 5" xfId="11256"/>
    <cellStyle name="Normal 2 8 28 5 2" xfId="11257"/>
    <cellStyle name="Normal 2 8 28 5 2 2" xfId="41343"/>
    <cellStyle name="Normal 2 8 28 5 3" xfId="41344"/>
    <cellStyle name="Normal 2 8 28 6" xfId="11258"/>
    <cellStyle name="Normal 2 8 28 6 2" xfId="41345"/>
    <cellStyle name="Normal 2 8 28 7" xfId="11259"/>
    <cellStyle name="Normal 2 8 28 7 2" xfId="41346"/>
    <cellStyle name="Normal 2 8 28 8" xfId="41347"/>
    <cellStyle name="Normal 2 8 29" xfId="11260"/>
    <cellStyle name="Normal 2 8 29 2" xfId="11261"/>
    <cellStyle name="Normal 2 8 29 2 2" xfId="11262"/>
    <cellStyle name="Normal 2 8 29 2 2 2" xfId="11263"/>
    <cellStyle name="Normal 2 8 29 2 2 2 2" xfId="41348"/>
    <cellStyle name="Normal 2 8 29 2 2 3" xfId="41349"/>
    <cellStyle name="Normal 2 8 29 2 3" xfId="11264"/>
    <cellStyle name="Normal 2 8 29 2 3 2" xfId="41350"/>
    <cellStyle name="Normal 2 8 29 2 4" xfId="41351"/>
    <cellStyle name="Normal 2 8 29 3" xfId="11265"/>
    <cellStyle name="Normal 2 8 29 3 2" xfId="11266"/>
    <cellStyle name="Normal 2 8 29 3 2 2" xfId="11267"/>
    <cellStyle name="Normal 2 8 29 3 2 2 2" xfId="41352"/>
    <cellStyle name="Normal 2 8 29 3 2 3" xfId="41353"/>
    <cellStyle name="Normal 2 8 29 3 3" xfId="11268"/>
    <cellStyle name="Normal 2 8 29 3 3 2" xfId="41354"/>
    <cellStyle name="Normal 2 8 29 3 4" xfId="41355"/>
    <cellStyle name="Normal 2 8 29 4" xfId="11269"/>
    <cellStyle name="Normal 2 8 29 4 2" xfId="11270"/>
    <cellStyle name="Normal 2 8 29 4 2 2" xfId="11271"/>
    <cellStyle name="Normal 2 8 29 4 2 2 2" xfId="41356"/>
    <cellStyle name="Normal 2 8 29 4 2 3" xfId="41357"/>
    <cellStyle name="Normal 2 8 29 4 3" xfId="11272"/>
    <cellStyle name="Normal 2 8 29 4 3 2" xfId="41358"/>
    <cellStyle name="Normal 2 8 29 4 4" xfId="41359"/>
    <cellStyle name="Normal 2 8 29 5" xfId="11273"/>
    <cellStyle name="Normal 2 8 29 5 2" xfId="11274"/>
    <cellStyle name="Normal 2 8 29 5 2 2" xfId="41360"/>
    <cellStyle name="Normal 2 8 29 5 3" xfId="41361"/>
    <cellStyle name="Normal 2 8 29 6" xfId="11275"/>
    <cellStyle name="Normal 2 8 29 6 2" xfId="41362"/>
    <cellStyle name="Normal 2 8 29 7" xfId="11276"/>
    <cellStyle name="Normal 2 8 29 7 2" xfId="41363"/>
    <cellStyle name="Normal 2 8 29 8" xfId="41364"/>
    <cellStyle name="Normal 2 8 3" xfId="11277"/>
    <cellStyle name="Normal 2 8 3 2" xfId="11278"/>
    <cellStyle name="Normal 2 8 3 2 2" xfId="11279"/>
    <cellStyle name="Normal 2 8 3 2 2 2" xfId="11280"/>
    <cellStyle name="Normal 2 8 3 2 2 2 2" xfId="41365"/>
    <cellStyle name="Normal 2 8 3 2 2 3" xfId="41366"/>
    <cellStyle name="Normal 2 8 3 2 3" xfId="11281"/>
    <cellStyle name="Normal 2 8 3 2 3 2" xfId="41367"/>
    <cellStyle name="Normal 2 8 3 2 4" xfId="41368"/>
    <cellStyle name="Normal 2 8 3 3" xfId="11282"/>
    <cellStyle name="Normal 2 8 3 3 2" xfId="11283"/>
    <cellStyle name="Normal 2 8 3 3 2 2" xfId="11284"/>
    <cellStyle name="Normal 2 8 3 3 2 2 2" xfId="41369"/>
    <cellStyle name="Normal 2 8 3 3 2 3" xfId="41370"/>
    <cellStyle name="Normal 2 8 3 3 3" xfId="11285"/>
    <cellStyle name="Normal 2 8 3 3 3 2" xfId="41371"/>
    <cellStyle name="Normal 2 8 3 3 4" xfId="41372"/>
    <cellStyle name="Normal 2 8 3 4" xfId="11286"/>
    <cellStyle name="Normal 2 8 3 4 2" xfId="11287"/>
    <cellStyle name="Normal 2 8 3 4 2 2" xfId="11288"/>
    <cellStyle name="Normal 2 8 3 4 2 2 2" xfId="41373"/>
    <cellStyle name="Normal 2 8 3 4 2 3" xfId="41374"/>
    <cellStyle name="Normal 2 8 3 4 3" xfId="11289"/>
    <cellStyle name="Normal 2 8 3 4 3 2" xfId="41375"/>
    <cellStyle name="Normal 2 8 3 4 4" xfId="41376"/>
    <cellStyle name="Normal 2 8 3 5" xfId="11290"/>
    <cellStyle name="Normal 2 8 3 5 2" xfId="11291"/>
    <cellStyle name="Normal 2 8 3 5 2 2" xfId="41377"/>
    <cellStyle name="Normal 2 8 3 5 3" xfId="41378"/>
    <cellStyle name="Normal 2 8 3 6" xfId="11292"/>
    <cellStyle name="Normal 2 8 3 6 2" xfId="41379"/>
    <cellStyle name="Normal 2 8 3 7" xfId="11293"/>
    <cellStyle name="Normal 2 8 3 7 2" xfId="41380"/>
    <cellStyle name="Normal 2 8 3 8" xfId="41381"/>
    <cellStyle name="Normal 2 8 30" xfId="11294"/>
    <cellStyle name="Normal 2 8 30 2" xfId="11295"/>
    <cellStyle name="Normal 2 8 30 2 2" xfId="11296"/>
    <cellStyle name="Normal 2 8 30 2 2 2" xfId="41382"/>
    <cellStyle name="Normal 2 8 30 2 3" xfId="41383"/>
    <cellStyle name="Normal 2 8 30 3" xfId="11297"/>
    <cellStyle name="Normal 2 8 30 3 2" xfId="41384"/>
    <cellStyle name="Normal 2 8 30 4" xfId="41385"/>
    <cellStyle name="Normal 2 8 31" xfId="11298"/>
    <cellStyle name="Normal 2 8 31 2" xfId="11299"/>
    <cellStyle name="Normal 2 8 31 2 2" xfId="11300"/>
    <cellStyle name="Normal 2 8 31 2 2 2" xfId="41386"/>
    <cellStyle name="Normal 2 8 31 2 3" xfId="41387"/>
    <cellStyle name="Normal 2 8 31 3" xfId="11301"/>
    <cellStyle name="Normal 2 8 31 3 2" xfId="41388"/>
    <cellStyle name="Normal 2 8 31 4" xfId="41389"/>
    <cellStyle name="Normal 2 8 32" xfId="11302"/>
    <cellStyle name="Normal 2 8 32 2" xfId="11303"/>
    <cellStyle name="Normal 2 8 32 2 2" xfId="11304"/>
    <cellStyle name="Normal 2 8 32 2 2 2" xfId="41390"/>
    <cellStyle name="Normal 2 8 32 2 3" xfId="41391"/>
    <cellStyle name="Normal 2 8 32 3" xfId="11305"/>
    <cellStyle name="Normal 2 8 32 3 2" xfId="41392"/>
    <cellStyle name="Normal 2 8 32 4" xfId="41393"/>
    <cellStyle name="Normal 2 8 33" xfId="11306"/>
    <cellStyle name="Normal 2 8 33 2" xfId="11307"/>
    <cellStyle name="Normal 2 8 33 2 2" xfId="41394"/>
    <cellStyle name="Normal 2 8 33 3" xfId="41395"/>
    <cellStyle name="Normal 2 8 34" xfId="11308"/>
    <cellStyle name="Normal 2 8 34 2" xfId="41396"/>
    <cellStyle name="Normal 2 8 35" xfId="11309"/>
    <cellStyle name="Normal 2 8 35 2" xfId="41397"/>
    <cellStyle name="Normal 2 8 36" xfId="41398"/>
    <cellStyle name="Normal 2 8 4" xfId="11310"/>
    <cellStyle name="Normal 2 8 4 2" xfId="11311"/>
    <cellStyle name="Normal 2 8 4 2 2" xfId="11312"/>
    <cellStyle name="Normal 2 8 4 2 2 2" xfId="11313"/>
    <cellStyle name="Normal 2 8 4 2 2 2 2" xfId="41399"/>
    <cellStyle name="Normal 2 8 4 2 2 3" xfId="41400"/>
    <cellStyle name="Normal 2 8 4 2 3" xfId="11314"/>
    <cellStyle name="Normal 2 8 4 2 3 2" xfId="41401"/>
    <cellStyle name="Normal 2 8 4 2 4" xfId="41402"/>
    <cellStyle name="Normal 2 8 4 3" xfId="11315"/>
    <cellStyle name="Normal 2 8 4 3 2" xfId="11316"/>
    <cellStyle name="Normal 2 8 4 3 2 2" xfId="11317"/>
    <cellStyle name="Normal 2 8 4 3 2 2 2" xfId="41403"/>
    <cellStyle name="Normal 2 8 4 3 2 3" xfId="41404"/>
    <cellStyle name="Normal 2 8 4 3 3" xfId="11318"/>
    <cellStyle name="Normal 2 8 4 3 3 2" xfId="41405"/>
    <cellStyle name="Normal 2 8 4 3 4" xfId="41406"/>
    <cellStyle name="Normal 2 8 4 4" xfId="11319"/>
    <cellStyle name="Normal 2 8 4 4 2" xfId="11320"/>
    <cellStyle name="Normal 2 8 4 4 2 2" xfId="11321"/>
    <cellStyle name="Normal 2 8 4 4 2 2 2" xfId="41407"/>
    <cellStyle name="Normal 2 8 4 4 2 3" xfId="41408"/>
    <cellStyle name="Normal 2 8 4 4 3" xfId="11322"/>
    <cellStyle name="Normal 2 8 4 4 3 2" xfId="41409"/>
    <cellStyle name="Normal 2 8 4 4 4" xfId="41410"/>
    <cellStyle name="Normal 2 8 4 5" xfId="11323"/>
    <cellStyle name="Normal 2 8 4 5 2" xfId="11324"/>
    <cellStyle name="Normal 2 8 4 5 2 2" xfId="41411"/>
    <cellStyle name="Normal 2 8 4 5 3" xfId="41412"/>
    <cellStyle name="Normal 2 8 4 6" xfId="11325"/>
    <cellStyle name="Normal 2 8 4 6 2" xfId="41413"/>
    <cellStyle name="Normal 2 8 4 7" xfId="11326"/>
    <cellStyle name="Normal 2 8 4 7 2" xfId="41414"/>
    <cellStyle name="Normal 2 8 4 8" xfId="41415"/>
    <cellStyle name="Normal 2 8 5" xfId="11327"/>
    <cellStyle name="Normal 2 8 5 2" xfId="11328"/>
    <cellStyle name="Normal 2 8 5 2 2" xfId="11329"/>
    <cellStyle name="Normal 2 8 5 2 2 2" xfId="11330"/>
    <cellStyle name="Normal 2 8 5 2 2 2 2" xfId="41416"/>
    <cellStyle name="Normal 2 8 5 2 2 3" xfId="41417"/>
    <cellStyle name="Normal 2 8 5 2 3" xfId="11331"/>
    <cellStyle name="Normal 2 8 5 2 3 2" xfId="41418"/>
    <cellStyle name="Normal 2 8 5 2 4" xfId="41419"/>
    <cellStyle name="Normal 2 8 5 3" xfId="11332"/>
    <cellStyle name="Normal 2 8 5 3 2" xfId="11333"/>
    <cellStyle name="Normal 2 8 5 3 2 2" xfId="11334"/>
    <cellStyle name="Normal 2 8 5 3 2 2 2" xfId="41420"/>
    <cellStyle name="Normal 2 8 5 3 2 3" xfId="41421"/>
    <cellStyle name="Normal 2 8 5 3 3" xfId="11335"/>
    <cellStyle name="Normal 2 8 5 3 3 2" xfId="41422"/>
    <cellStyle name="Normal 2 8 5 3 4" xfId="41423"/>
    <cellStyle name="Normal 2 8 5 4" xfId="11336"/>
    <cellStyle name="Normal 2 8 5 4 2" xfId="11337"/>
    <cellStyle name="Normal 2 8 5 4 2 2" xfId="11338"/>
    <cellStyle name="Normal 2 8 5 4 2 2 2" xfId="41424"/>
    <cellStyle name="Normal 2 8 5 4 2 3" xfId="41425"/>
    <cellStyle name="Normal 2 8 5 4 3" xfId="11339"/>
    <cellStyle name="Normal 2 8 5 4 3 2" xfId="41426"/>
    <cellStyle name="Normal 2 8 5 4 4" xfId="41427"/>
    <cellStyle name="Normal 2 8 5 5" xfId="11340"/>
    <cellStyle name="Normal 2 8 5 5 2" xfId="11341"/>
    <cellStyle name="Normal 2 8 5 5 2 2" xfId="41428"/>
    <cellStyle name="Normal 2 8 5 5 3" xfId="41429"/>
    <cellStyle name="Normal 2 8 5 6" xfId="11342"/>
    <cellStyle name="Normal 2 8 5 6 2" xfId="41430"/>
    <cellStyle name="Normal 2 8 5 7" xfId="11343"/>
    <cellStyle name="Normal 2 8 5 7 2" xfId="41431"/>
    <cellStyle name="Normal 2 8 5 8" xfId="41432"/>
    <cellStyle name="Normal 2 8 6" xfId="11344"/>
    <cellStyle name="Normal 2 8 6 2" xfId="11345"/>
    <cellStyle name="Normal 2 8 6 2 2" xfId="11346"/>
    <cellStyle name="Normal 2 8 6 2 2 2" xfId="11347"/>
    <cellStyle name="Normal 2 8 6 2 2 2 2" xfId="41433"/>
    <cellStyle name="Normal 2 8 6 2 2 3" xfId="41434"/>
    <cellStyle name="Normal 2 8 6 2 3" xfId="11348"/>
    <cellStyle name="Normal 2 8 6 2 3 2" xfId="41435"/>
    <cellStyle name="Normal 2 8 6 2 4" xfId="41436"/>
    <cellStyle name="Normal 2 8 6 3" xfId="11349"/>
    <cellStyle name="Normal 2 8 6 3 2" xfId="11350"/>
    <cellStyle name="Normal 2 8 6 3 2 2" xfId="11351"/>
    <cellStyle name="Normal 2 8 6 3 2 2 2" xfId="41437"/>
    <cellStyle name="Normal 2 8 6 3 2 3" xfId="41438"/>
    <cellStyle name="Normal 2 8 6 3 3" xfId="11352"/>
    <cellStyle name="Normal 2 8 6 3 3 2" xfId="41439"/>
    <cellStyle name="Normal 2 8 6 3 4" xfId="41440"/>
    <cellStyle name="Normal 2 8 6 4" xfId="11353"/>
    <cellStyle name="Normal 2 8 6 4 2" xfId="11354"/>
    <cellStyle name="Normal 2 8 6 4 2 2" xfId="11355"/>
    <cellStyle name="Normal 2 8 6 4 2 2 2" xfId="41441"/>
    <cellStyle name="Normal 2 8 6 4 2 3" xfId="41442"/>
    <cellStyle name="Normal 2 8 6 4 3" xfId="11356"/>
    <cellStyle name="Normal 2 8 6 4 3 2" xfId="41443"/>
    <cellStyle name="Normal 2 8 6 4 4" xfId="41444"/>
    <cellStyle name="Normal 2 8 6 5" xfId="11357"/>
    <cellStyle name="Normal 2 8 6 5 2" xfId="11358"/>
    <cellStyle name="Normal 2 8 6 5 2 2" xfId="41445"/>
    <cellStyle name="Normal 2 8 6 5 3" xfId="41446"/>
    <cellStyle name="Normal 2 8 6 6" xfId="11359"/>
    <cellStyle name="Normal 2 8 6 6 2" xfId="41447"/>
    <cellStyle name="Normal 2 8 6 7" xfId="11360"/>
    <cellStyle name="Normal 2 8 6 7 2" xfId="41448"/>
    <cellStyle name="Normal 2 8 6 8" xfId="41449"/>
    <cellStyle name="Normal 2 8 7" xfId="11361"/>
    <cellStyle name="Normal 2 8 7 2" xfId="11362"/>
    <cellStyle name="Normal 2 8 7 2 2" xfId="11363"/>
    <cellStyle name="Normal 2 8 7 2 2 2" xfId="11364"/>
    <cellStyle name="Normal 2 8 7 2 2 2 2" xfId="41450"/>
    <cellStyle name="Normal 2 8 7 2 2 3" xfId="41451"/>
    <cellStyle name="Normal 2 8 7 2 3" xfId="11365"/>
    <cellStyle name="Normal 2 8 7 2 3 2" xfId="41452"/>
    <cellStyle name="Normal 2 8 7 2 4" xfId="41453"/>
    <cellStyle name="Normal 2 8 7 3" xfId="11366"/>
    <cellStyle name="Normal 2 8 7 3 2" xfId="11367"/>
    <cellStyle name="Normal 2 8 7 3 2 2" xfId="11368"/>
    <cellStyle name="Normal 2 8 7 3 2 2 2" xfId="41454"/>
    <cellStyle name="Normal 2 8 7 3 2 3" xfId="41455"/>
    <cellStyle name="Normal 2 8 7 3 3" xfId="11369"/>
    <cellStyle name="Normal 2 8 7 3 3 2" xfId="41456"/>
    <cellStyle name="Normal 2 8 7 3 4" xfId="41457"/>
    <cellStyle name="Normal 2 8 7 4" xfId="11370"/>
    <cellStyle name="Normal 2 8 7 4 2" xfId="11371"/>
    <cellStyle name="Normal 2 8 7 4 2 2" xfId="11372"/>
    <cellStyle name="Normal 2 8 7 4 2 2 2" xfId="41458"/>
    <cellStyle name="Normal 2 8 7 4 2 3" xfId="41459"/>
    <cellStyle name="Normal 2 8 7 4 3" xfId="11373"/>
    <cellStyle name="Normal 2 8 7 4 3 2" xfId="41460"/>
    <cellStyle name="Normal 2 8 7 4 4" xfId="41461"/>
    <cellStyle name="Normal 2 8 7 5" xfId="11374"/>
    <cellStyle name="Normal 2 8 7 5 2" xfId="11375"/>
    <cellStyle name="Normal 2 8 7 5 2 2" xfId="41462"/>
    <cellStyle name="Normal 2 8 7 5 3" xfId="41463"/>
    <cellStyle name="Normal 2 8 7 6" xfId="11376"/>
    <cellStyle name="Normal 2 8 7 6 2" xfId="41464"/>
    <cellStyle name="Normal 2 8 7 7" xfId="11377"/>
    <cellStyle name="Normal 2 8 7 7 2" xfId="41465"/>
    <cellStyle name="Normal 2 8 7 8" xfId="41466"/>
    <cellStyle name="Normal 2 8 8" xfId="11378"/>
    <cellStyle name="Normal 2 8 8 2" xfId="11379"/>
    <cellStyle name="Normal 2 8 8 2 2" xfId="11380"/>
    <cellStyle name="Normal 2 8 8 2 2 2" xfId="11381"/>
    <cellStyle name="Normal 2 8 8 2 2 2 2" xfId="41467"/>
    <cellStyle name="Normal 2 8 8 2 2 3" xfId="41468"/>
    <cellStyle name="Normal 2 8 8 2 3" xfId="11382"/>
    <cellStyle name="Normal 2 8 8 2 3 2" xfId="41469"/>
    <cellStyle name="Normal 2 8 8 2 4" xfId="41470"/>
    <cellStyle name="Normal 2 8 8 3" xfId="11383"/>
    <cellStyle name="Normal 2 8 8 3 2" xfId="11384"/>
    <cellStyle name="Normal 2 8 8 3 2 2" xfId="11385"/>
    <cellStyle name="Normal 2 8 8 3 2 2 2" xfId="41471"/>
    <cellStyle name="Normal 2 8 8 3 2 3" xfId="41472"/>
    <cellStyle name="Normal 2 8 8 3 3" xfId="11386"/>
    <cellStyle name="Normal 2 8 8 3 3 2" xfId="41473"/>
    <cellStyle name="Normal 2 8 8 3 4" xfId="41474"/>
    <cellStyle name="Normal 2 8 8 4" xfId="11387"/>
    <cellStyle name="Normal 2 8 8 4 2" xfId="11388"/>
    <cellStyle name="Normal 2 8 8 4 2 2" xfId="11389"/>
    <cellStyle name="Normal 2 8 8 4 2 2 2" xfId="41475"/>
    <cellStyle name="Normal 2 8 8 4 2 3" xfId="41476"/>
    <cellStyle name="Normal 2 8 8 4 3" xfId="11390"/>
    <cellStyle name="Normal 2 8 8 4 3 2" xfId="41477"/>
    <cellStyle name="Normal 2 8 8 4 4" xfId="41478"/>
    <cellStyle name="Normal 2 8 8 5" xfId="11391"/>
    <cellStyle name="Normal 2 8 8 5 2" xfId="11392"/>
    <cellStyle name="Normal 2 8 8 5 2 2" xfId="41479"/>
    <cellStyle name="Normal 2 8 8 5 3" xfId="41480"/>
    <cellStyle name="Normal 2 8 8 6" xfId="11393"/>
    <cellStyle name="Normal 2 8 8 6 2" xfId="41481"/>
    <cellStyle name="Normal 2 8 8 7" xfId="11394"/>
    <cellStyle name="Normal 2 8 8 7 2" xfId="41482"/>
    <cellStyle name="Normal 2 8 8 8" xfId="41483"/>
    <cellStyle name="Normal 2 8 9" xfId="11395"/>
    <cellStyle name="Normal 2 8 9 2" xfId="11396"/>
    <cellStyle name="Normal 2 8 9 2 2" xfId="11397"/>
    <cellStyle name="Normal 2 8 9 2 2 2" xfId="11398"/>
    <cellStyle name="Normal 2 8 9 2 2 2 2" xfId="41484"/>
    <cellStyle name="Normal 2 8 9 2 2 3" xfId="41485"/>
    <cellStyle name="Normal 2 8 9 2 3" xfId="11399"/>
    <cellStyle name="Normal 2 8 9 2 3 2" xfId="41486"/>
    <cellStyle name="Normal 2 8 9 2 4" xfId="41487"/>
    <cellStyle name="Normal 2 8 9 3" xfId="11400"/>
    <cellStyle name="Normal 2 8 9 3 2" xfId="11401"/>
    <cellStyle name="Normal 2 8 9 3 2 2" xfId="11402"/>
    <cellStyle name="Normal 2 8 9 3 2 2 2" xfId="41488"/>
    <cellStyle name="Normal 2 8 9 3 2 3" xfId="41489"/>
    <cellStyle name="Normal 2 8 9 3 3" xfId="11403"/>
    <cellStyle name="Normal 2 8 9 3 3 2" xfId="41490"/>
    <cellStyle name="Normal 2 8 9 3 4" xfId="41491"/>
    <cellStyle name="Normal 2 8 9 4" xfId="11404"/>
    <cellStyle name="Normal 2 8 9 4 2" xfId="11405"/>
    <cellStyle name="Normal 2 8 9 4 2 2" xfId="11406"/>
    <cellStyle name="Normal 2 8 9 4 2 2 2" xfId="41492"/>
    <cellStyle name="Normal 2 8 9 4 2 3" xfId="41493"/>
    <cellStyle name="Normal 2 8 9 4 3" xfId="11407"/>
    <cellStyle name="Normal 2 8 9 4 3 2" xfId="41494"/>
    <cellStyle name="Normal 2 8 9 4 4" xfId="41495"/>
    <cellStyle name="Normal 2 8 9 5" xfId="11408"/>
    <cellStyle name="Normal 2 8 9 5 2" xfId="11409"/>
    <cellStyle name="Normal 2 8 9 5 2 2" xfId="41496"/>
    <cellStyle name="Normal 2 8 9 5 3" xfId="41497"/>
    <cellStyle name="Normal 2 8 9 6" xfId="11410"/>
    <cellStyle name="Normal 2 8 9 6 2" xfId="41498"/>
    <cellStyle name="Normal 2 8 9 7" xfId="11411"/>
    <cellStyle name="Normal 2 8 9 7 2" xfId="41499"/>
    <cellStyle name="Normal 2 8 9 8" xfId="41500"/>
    <cellStyle name="Normal 2 9" xfId="11412"/>
    <cellStyle name="Normal 2 9 2" xfId="11413"/>
    <cellStyle name="Normal 2 9 2 2" xfId="11414"/>
    <cellStyle name="Normal 2 9 2 2 2" xfId="11415"/>
    <cellStyle name="Normal 2 9 2 2 2 2" xfId="41501"/>
    <cellStyle name="Normal 2 9 2 2 3" xfId="41502"/>
    <cellStyle name="Normal 2 9 2 3" xfId="11416"/>
    <cellStyle name="Normal 2 9 2 3 2" xfId="41503"/>
    <cellStyle name="Normal 2 9 2 4" xfId="41504"/>
    <cellStyle name="Normal 2 9 3" xfId="11417"/>
    <cellStyle name="Normal 2 9 3 2" xfId="11418"/>
    <cellStyle name="Normal 2 9 3 2 2" xfId="11419"/>
    <cellStyle name="Normal 2 9 3 2 2 2" xfId="41505"/>
    <cellStyle name="Normal 2 9 3 2 3" xfId="41506"/>
    <cellStyle name="Normal 2 9 3 3" xfId="11420"/>
    <cellStyle name="Normal 2 9 3 3 2" xfId="41507"/>
    <cellStyle name="Normal 2 9 3 4" xfId="41508"/>
    <cellStyle name="Normal 2 9 4" xfId="11421"/>
    <cellStyle name="Normal 2 9 4 2" xfId="11422"/>
    <cellStyle name="Normal 2 9 4 2 2" xfId="11423"/>
    <cellStyle name="Normal 2 9 4 2 2 2" xfId="41509"/>
    <cellStyle name="Normal 2 9 4 2 3" xfId="41510"/>
    <cellStyle name="Normal 2 9 4 3" xfId="11424"/>
    <cellStyle name="Normal 2 9 4 3 2" xfId="41511"/>
    <cellStyle name="Normal 2 9 4 4" xfId="41512"/>
    <cellStyle name="Normal 2 9 5" xfId="11425"/>
    <cellStyle name="Normal 2 9 5 2" xfId="11426"/>
    <cellStyle name="Normal 2 9 5 2 2" xfId="41513"/>
    <cellStyle name="Normal 2 9 5 3" xfId="41514"/>
    <cellStyle name="Normal 2 9 6" xfId="11427"/>
    <cellStyle name="Normal 2 9 6 2" xfId="41515"/>
    <cellStyle name="Normal 2 9 7" xfId="11428"/>
    <cellStyle name="Normal 2 9 7 2" xfId="41516"/>
    <cellStyle name="Normal 2 9 8" xfId="41517"/>
    <cellStyle name="Normal_ASUS" xfId="11429"/>
    <cellStyle name="Normal1" xfId="11430"/>
    <cellStyle name="Normal1 2" xfId="41518"/>
    <cellStyle name="normбlnм_laroux" xfId="11431"/>
    <cellStyle name="Note 10" xfId="11432"/>
    <cellStyle name="Note 10 2" xfId="41519"/>
    <cellStyle name="Note 11" xfId="11433"/>
    <cellStyle name="Note 11 2" xfId="41520"/>
    <cellStyle name="Note 12" xfId="11434"/>
    <cellStyle name="Note 12 2" xfId="41521"/>
    <cellStyle name="Note 13" xfId="11435"/>
    <cellStyle name="Note 13 2" xfId="41522"/>
    <cellStyle name="Note 2" xfId="11436"/>
    <cellStyle name="Note 2 2" xfId="41523"/>
    <cellStyle name="Note 3" xfId="11437"/>
    <cellStyle name="Note 3 2" xfId="41524"/>
    <cellStyle name="Note 4" xfId="11438"/>
    <cellStyle name="Note 4 2" xfId="41525"/>
    <cellStyle name="Note 5" xfId="11439"/>
    <cellStyle name="Note 5 2" xfId="41526"/>
    <cellStyle name="Note 6" xfId="11440"/>
    <cellStyle name="Note 6 2" xfId="41527"/>
    <cellStyle name="Note 7" xfId="11441"/>
    <cellStyle name="Note 7 2" xfId="41528"/>
    <cellStyle name="Note 8" xfId="11442"/>
    <cellStyle name="Note 8 2" xfId="41529"/>
    <cellStyle name="Note 9" xfId="11443"/>
    <cellStyle name="Note 9 2" xfId="41530"/>
    <cellStyle name="Output 10" xfId="11444"/>
    <cellStyle name="Output 10 2" xfId="41531"/>
    <cellStyle name="Output 11" xfId="11445"/>
    <cellStyle name="Output 11 2" xfId="41532"/>
    <cellStyle name="Output 12" xfId="11446"/>
    <cellStyle name="Output 12 2" xfId="41533"/>
    <cellStyle name="Output 13" xfId="11447"/>
    <cellStyle name="Output 13 2" xfId="41534"/>
    <cellStyle name="Output 2" xfId="11448"/>
    <cellStyle name="Output 2 2" xfId="41535"/>
    <cellStyle name="Output 3" xfId="11449"/>
    <cellStyle name="Output 3 2" xfId="41536"/>
    <cellStyle name="Output 4" xfId="11450"/>
    <cellStyle name="Output 4 2" xfId="41537"/>
    <cellStyle name="Output 5" xfId="11451"/>
    <cellStyle name="Output 5 2" xfId="41538"/>
    <cellStyle name="Output 6" xfId="11452"/>
    <cellStyle name="Output 6 2" xfId="41539"/>
    <cellStyle name="Output 7" xfId="11453"/>
    <cellStyle name="Output 7 2" xfId="41540"/>
    <cellStyle name="Output 8" xfId="11454"/>
    <cellStyle name="Output 8 2" xfId="41541"/>
    <cellStyle name="Output 9" xfId="11455"/>
    <cellStyle name="Output 9 2" xfId="41542"/>
    <cellStyle name="Price_Body" xfId="11456"/>
    <cellStyle name="Rubles" xfId="11457"/>
    <cellStyle name="SAPBEXaggData" xfId="11458"/>
    <cellStyle name="SAPBEXaggDataEmph" xfId="11459"/>
    <cellStyle name="SAPBEXaggItem" xfId="11460"/>
    <cellStyle name="SAPBEXaggItemX" xfId="11461"/>
    <cellStyle name="SAPBEXaggItemX 2" xfId="41543"/>
    <cellStyle name="SAPBEXchaText" xfId="11462"/>
    <cellStyle name="SAPBEXexcBad7" xfId="11463"/>
    <cellStyle name="SAPBEXexcBad8" xfId="11464"/>
    <cellStyle name="SAPBEXexcBad9" xfId="11465"/>
    <cellStyle name="SAPBEXexcCritical4" xfId="11466"/>
    <cellStyle name="SAPBEXexcCritical5" xfId="11467"/>
    <cellStyle name="SAPBEXexcCritical6" xfId="11468"/>
    <cellStyle name="SAPBEXexcGood1" xfId="11469"/>
    <cellStyle name="SAPBEXexcGood2" xfId="11470"/>
    <cellStyle name="SAPBEXexcGood3" xfId="11471"/>
    <cellStyle name="SAPBEXfilterDrill" xfId="11472"/>
    <cellStyle name="SAPBEXfilterItem" xfId="11473"/>
    <cellStyle name="SAPBEXfilterText" xfId="11474"/>
    <cellStyle name="SAPBEXformats" xfId="11475"/>
    <cellStyle name="SAPBEXheaderItem" xfId="11476"/>
    <cellStyle name="SAPBEXheaderItem 2" xfId="59052"/>
    <cellStyle name="SAPBEXheaderText" xfId="11477"/>
    <cellStyle name="SAPBEXheaderText 2" xfId="59053"/>
    <cellStyle name="SAPBEXHLevel0" xfId="11478"/>
    <cellStyle name="SAPBEXHLevel0 2" xfId="41544"/>
    <cellStyle name="SAPBEXHLevel0X" xfId="11479"/>
    <cellStyle name="SAPBEXHLevel0X 2" xfId="41545"/>
    <cellStyle name="SAPBEXHLevel1" xfId="11480"/>
    <cellStyle name="SAPBEXHLevel1 2" xfId="41546"/>
    <cellStyle name="SAPBEXHLevel1X" xfId="11481"/>
    <cellStyle name="SAPBEXHLevel1X 2" xfId="41547"/>
    <cellStyle name="SAPBEXHLevel2" xfId="11482"/>
    <cellStyle name="SAPBEXHLevel2 2" xfId="41548"/>
    <cellStyle name="SAPBEXHLevel2X" xfId="11483"/>
    <cellStyle name="SAPBEXHLevel2X 2" xfId="41549"/>
    <cellStyle name="SAPBEXHLevel3" xfId="11484"/>
    <cellStyle name="SAPBEXHLevel3 2" xfId="41550"/>
    <cellStyle name="SAPBEXHLevel3X" xfId="11485"/>
    <cellStyle name="SAPBEXHLevel3X 2" xfId="41551"/>
    <cellStyle name="SAPBEXinputData" xfId="11486"/>
    <cellStyle name="SAPBEXinputData 2" xfId="41552"/>
    <cellStyle name="SAPBEXresData" xfId="11487"/>
    <cellStyle name="SAPBEXresDataEmph" xfId="11488"/>
    <cellStyle name="SAPBEXresItem" xfId="11489"/>
    <cellStyle name="SAPBEXresItemX" xfId="11490"/>
    <cellStyle name="SAPBEXresItemX 2" xfId="41553"/>
    <cellStyle name="SAPBEXstdData" xfId="11491"/>
    <cellStyle name="SAPBEXstdDataEmph" xfId="11492"/>
    <cellStyle name="SAPBEXstdItem" xfId="38"/>
    <cellStyle name="SAPBEXstdItemX" xfId="11493"/>
    <cellStyle name="SAPBEXstdItemX 2" xfId="41554"/>
    <cellStyle name="SAPBEXtitle" xfId="11494"/>
    <cellStyle name="SAPBEXundefined" xfId="11495"/>
    <cellStyle name="SEM-BPS-data" xfId="11496"/>
    <cellStyle name="SEM-BPS-data 2" xfId="41555"/>
    <cellStyle name="SEM-BPS-head" xfId="11497"/>
    <cellStyle name="SEM-BPS-headdata" xfId="11498"/>
    <cellStyle name="SEM-BPS-headkey" xfId="11499"/>
    <cellStyle name="SEM-BPS-input-on" xfId="11500"/>
    <cellStyle name="SEM-BPS-input-on 2" xfId="41556"/>
    <cellStyle name="SEM-BPS-key" xfId="11501"/>
    <cellStyle name="SEM-BPS-key 2" xfId="41557"/>
    <cellStyle name="SEM-BPS-sub1" xfId="11502"/>
    <cellStyle name="SEM-BPS-sub1 2" xfId="41558"/>
    <cellStyle name="SEM-BPS-sub2" xfId="11503"/>
    <cellStyle name="SEM-BPS-sub2 2" xfId="41559"/>
    <cellStyle name="SEM-BPS-total" xfId="11504"/>
    <cellStyle name="SEM-BPS-total 2" xfId="41560"/>
    <cellStyle name="Title 10" xfId="11505"/>
    <cellStyle name="Title 10 2" xfId="41561"/>
    <cellStyle name="Title 11" xfId="11506"/>
    <cellStyle name="Title 11 2" xfId="41562"/>
    <cellStyle name="Title 12" xfId="11507"/>
    <cellStyle name="Title 12 2" xfId="41563"/>
    <cellStyle name="Title 13" xfId="11508"/>
    <cellStyle name="Title 13 2" xfId="41564"/>
    <cellStyle name="Title 2" xfId="11509"/>
    <cellStyle name="Title 2 2" xfId="41565"/>
    <cellStyle name="Title 3" xfId="11510"/>
    <cellStyle name="Title 3 2" xfId="41566"/>
    <cellStyle name="Title 4" xfId="11511"/>
    <cellStyle name="Title 4 2" xfId="41567"/>
    <cellStyle name="Title 5" xfId="11512"/>
    <cellStyle name="Title 5 2" xfId="41568"/>
    <cellStyle name="Title 6" xfId="11513"/>
    <cellStyle name="Title 6 2" xfId="41569"/>
    <cellStyle name="Title 7" xfId="11514"/>
    <cellStyle name="Title 7 2" xfId="41570"/>
    <cellStyle name="Title 8" xfId="11515"/>
    <cellStyle name="Title 8 2" xfId="41571"/>
    <cellStyle name="Title 9" xfId="11516"/>
    <cellStyle name="Title 9 2" xfId="41572"/>
    <cellStyle name="Total 10" xfId="11517"/>
    <cellStyle name="Total 10 2" xfId="41573"/>
    <cellStyle name="Total 11" xfId="11518"/>
    <cellStyle name="Total 11 2" xfId="41574"/>
    <cellStyle name="Total 12" xfId="11519"/>
    <cellStyle name="Total 12 2" xfId="41575"/>
    <cellStyle name="Total 13" xfId="11520"/>
    <cellStyle name="Total 13 2" xfId="41576"/>
    <cellStyle name="Total 2" xfId="11521"/>
    <cellStyle name="Total 2 2" xfId="41577"/>
    <cellStyle name="Total 3" xfId="11522"/>
    <cellStyle name="Total 3 2" xfId="41578"/>
    <cellStyle name="Total 4" xfId="11523"/>
    <cellStyle name="Total 4 2" xfId="41579"/>
    <cellStyle name="Total 5" xfId="11524"/>
    <cellStyle name="Total 5 2" xfId="41580"/>
    <cellStyle name="Total 6" xfId="11525"/>
    <cellStyle name="Total 6 2" xfId="41581"/>
    <cellStyle name="Total 7" xfId="11526"/>
    <cellStyle name="Total 7 2" xfId="41582"/>
    <cellStyle name="Total 8" xfId="11527"/>
    <cellStyle name="Total 8 2" xfId="41583"/>
    <cellStyle name="Total 9" xfId="11528"/>
    <cellStyle name="Total 9 2" xfId="41584"/>
    <cellStyle name="Warning Text 10" xfId="11529"/>
    <cellStyle name="Warning Text 10 2" xfId="41585"/>
    <cellStyle name="Warning Text 11" xfId="11530"/>
    <cellStyle name="Warning Text 11 2" xfId="41586"/>
    <cellStyle name="Warning Text 12" xfId="11531"/>
    <cellStyle name="Warning Text 12 2" xfId="41587"/>
    <cellStyle name="Warning Text 13" xfId="11532"/>
    <cellStyle name="Warning Text 13 2" xfId="41588"/>
    <cellStyle name="Warning Text 2" xfId="11533"/>
    <cellStyle name="Warning Text 2 2" xfId="41589"/>
    <cellStyle name="Warning Text 3" xfId="11534"/>
    <cellStyle name="Warning Text 3 2" xfId="41590"/>
    <cellStyle name="Warning Text 4" xfId="11535"/>
    <cellStyle name="Warning Text 4 2" xfId="41591"/>
    <cellStyle name="Warning Text 5" xfId="11536"/>
    <cellStyle name="Warning Text 5 2" xfId="41592"/>
    <cellStyle name="Warning Text 6" xfId="11537"/>
    <cellStyle name="Warning Text 6 2" xfId="41593"/>
    <cellStyle name="Warning Text 7" xfId="11538"/>
    <cellStyle name="Warning Text 7 2" xfId="41594"/>
    <cellStyle name="Warning Text 8" xfId="11539"/>
    <cellStyle name="Warning Text 8 2" xfId="41595"/>
    <cellStyle name="Warning Text 9" xfId="11540"/>
    <cellStyle name="Warning Text 9 2" xfId="41596"/>
    <cellStyle name="Акцент1 2" xfId="11541"/>
    <cellStyle name="Акцент1 2 10" xfId="11542"/>
    <cellStyle name="Акцент1 2 10 2" xfId="41597"/>
    <cellStyle name="Акцент1 2 11" xfId="11543"/>
    <cellStyle name="Акцент1 2 11 2" xfId="41598"/>
    <cellStyle name="Акцент1 2 12" xfId="11544"/>
    <cellStyle name="Акцент1 2 12 2" xfId="41599"/>
    <cellStyle name="Акцент1 2 13" xfId="11545"/>
    <cellStyle name="Акцент1 2 13 2" xfId="41600"/>
    <cellStyle name="Акцент1 2 14" xfId="11546"/>
    <cellStyle name="Акцент1 2 14 2" xfId="41601"/>
    <cellStyle name="Акцент1 2 15" xfId="11547"/>
    <cellStyle name="Акцент1 2 15 2" xfId="41602"/>
    <cellStyle name="Акцент1 2 16" xfId="11548"/>
    <cellStyle name="Акцент1 2 16 2" xfId="41603"/>
    <cellStyle name="Акцент1 2 17" xfId="11549"/>
    <cellStyle name="Акцент1 2 17 2" xfId="41604"/>
    <cellStyle name="Акцент1 2 18" xfId="11550"/>
    <cellStyle name="Акцент1 2 18 2" xfId="41605"/>
    <cellStyle name="Акцент1 2 19" xfId="11551"/>
    <cellStyle name="Акцент1 2 19 2" xfId="41606"/>
    <cellStyle name="Акцент1 2 2" xfId="11552"/>
    <cellStyle name="Акцент1 2 2 2" xfId="41607"/>
    <cellStyle name="Акцент1 2 20" xfId="11553"/>
    <cellStyle name="Акцент1 2 20 2" xfId="41608"/>
    <cellStyle name="Акцент1 2 21" xfId="11554"/>
    <cellStyle name="Акцент1 2 21 2" xfId="41609"/>
    <cellStyle name="Акцент1 2 22" xfId="11555"/>
    <cellStyle name="Акцент1 2 22 2" xfId="41610"/>
    <cellStyle name="Акцент1 2 23" xfId="11556"/>
    <cellStyle name="Акцент1 2 23 2" xfId="41611"/>
    <cellStyle name="Акцент1 2 24" xfId="41612"/>
    <cellStyle name="Акцент1 2 3" xfId="11557"/>
    <cellStyle name="Акцент1 2 3 2" xfId="41613"/>
    <cellStyle name="Акцент1 2 4" xfId="11558"/>
    <cellStyle name="Акцент1 2 4 2" xfId="41614"/>
    <cellStyle name="Акцент1 2 5" xfId="11559"/>
    <cellStyle name="Акцент1 2 5 2" xfId="41615"/>
    <cellStyle name="Акцент1 2 6" xfId="11560"/>
    <cellStyle name="Акцент1 2 6 2" xfId="41616"/>
    <cellStyle name="Акцент1 2 7" xfId="11561"/>
    <cellStyle name="Акцент1 2 7 2" xfId="41617"/>
    <cellStyle name="Акцент1 2 8" xfId="11562"/>
    <cellStyle name="Акцент1 2 8 2" xfId="41618"/>
    <cellStyle name="Акцент1 2 9" xfId="11563"/>
    <cellStyle name="Акцент1 2 9 2" xfId="41619"/>
    <cellStyle name="Акцент1 3" xfId="11564"/>
    <cellStyle name="Акцент1 3 10" xfId="11565"/>
    <cellStyle name="Акцент1 3 10 2" xfId="41620"/>
    <cellStyle name="Акцент1 3 11" xfId="11566"/>
    <cellStyle name="Акцент1 3 11 2" xfId="41621"/>
    <cellStyle name="Акцент1 3 12" xfId="11567"/>
    <cellStyle name="Акцент1 3 12 2" xfId="41622"/>
    <cellStyle name="Акцент1 3 13" xfId="11568"/>
    <cellStyle name="Акцент1 3 13 2" xfId="41623"/>
    <cellStyle name="Акцент1 3 14" xfId="11569"/>
    <cellStyle name="Акцент1 3 14 2" xfId="41624"/>
    <cellStyle name="Акцент1 3 15" xfId="11570"/>
    <cellStyle name="Акцент1 3 15 2" xfId="41625"/>
    <cellStyle name="Акцент1 3 16" xfId="11571"/>
    <cellStyle name="Акцент1 3 16 2" xfId="41626"/>
    <cellStyle name="Акцент1 3 17" xfId="11572"/>
    <cellStyle name="Акцент1 3 17 2" xfId="41627"/>
    <cellStyle name="Акцент1 3 18" xfId="11573"/>
    <cellStyle name="Акцент1 3 18 2" xfId="41628"/>
    <cellStyle name="Акцент1 3 19" xfId="11574"/>
    <cellStyle name="Акцент1 3 19 2" xfId="41629"/>
    <cellStyle name="Акцент1 3 2" xfId="11575"/>
    <cellStyle name="Акцент1 3 2 2" xfId="41630"/>
    <cellStyle name="Акцент1 3 20" xfId="11576"/>
    <cellStyle name="Акцент1 3 20 2" xfId="41631"/>
    <cellStyle name="Акцент1 3 21" xfId="11577"/>
    <cellStyle name="Акцент1 3 21 2" xfId="41632"/>
    <cellStyle name="Акцент1 3 22" xfId="11578"/>
    <cellStyle name="Акцент1 3 22 2" xfId="41633"/>
    <cellStyle name="Акцент1 3 23" xfId="11579"/>
    <cellStyle name="Акцент1 3 23 2" xfId="41634"/>
    <cellStyle name="Акцент1 3 24" xfId="41635"/>
    <cellStyle name="Акцент1 3 3" xfId="11580"/>
    <cellStyle name="Акцент1 3 3 2" xfId="41636"/>
    <cellStyle name="Акцент1 3 4" xfId="11581"/>
    <cellStyle name="Акцент1 3 4 2" xfId="41637"/>
    <cellStyle name="Акцент1 3 5" xfId="11582"/>
    <cellStyle name="Акцент1 3 5 2" xfId="41638"/>
    <cellStyle name="Акцент1 3 6" xfId="11583"/>
    <cellStyle name="Акцент1 3 6 2" xfId="41639"/>
    <cellStyle name="Акцент1 3 7" xfId="11584"/>
    <cellStyle name="Акцент1 3 7 2" xfId="41640"/>
    <cellStyle name="Акцент1 3 8" xfId="11585"/>
    <cellStyle name="Акцент1 3 8 2" xfId="41641"/>
    <cellStyle name="Акцент1 3 9" xfId="11586"/>
    <cellStyle name="Акцент1 3 9 2" xfId="41642"/>
    <cellStyle name="Акцент1 4" xfId="11587"/>
    <cellStyle name="Акцент1 4 2" xfId="41643"/>
    <cellStyle name="Акцент1 5" xfId="11588"/>
    <cellStyle name="Акцент1 5 2" xfId="41644"/>
    <cellStyle name="Акцент1 6" xfId="11589"/>
    <cellStyle name="Акцент1 6 2" xfId="41645"/>
    <cellStyle name="Акцент1 7" xfId="11590"/>
    <cellStyle name="Акцент2 2" xfId="11591"/>
    <cellStyle name="Акцент2 2 10" xfId="11592"/>
    <cellStyle name="Акцент2 2 10 2" xfId="41646"/>
    <cellStyle name="Акцент2 2 11" xfId="11593"/>
    <cellStyle name="Акцент2 2 11 2" xfId="41647"/>
    <cellStyle name="Акцент2 2 12" xfId="11594"/>
    <cellStyle name="Акцент2 2 12 2" xfId="41648"/>
    <cellStyle name="Акцент2 2 13" xfId="11595"/>
    <cellStyle name="Акцент2 2 13 2" xfId="41649"/>
    <cellStyle name="Акцент2 2 14" xfId="11596"/>
    <cellStyle name="Акцент2 2 14 2" xfId="41650"/>
    <cellStyle name="Акцент2 2 15" xfId="11597"/>
    <cellStyle name="Акцент2 2 15 2" xfId="41651"/>
    <cellStyle name="Акцент2 2 16" xfId="11598"/>
    <cellStyle name="Акцент2 2 16 2" xfId="41652"/>
    <cellStyle name="Акцент2 2 17" xfId="11599"/>
    <cellStyle name="Акцент2 2 17 2" xfId="41653"/>
    <cellStyle name="Акцент2 2 18" xfId="11600"/>
    <cellStyle name="Акцент2 2 18 2" xfId="41654"/>
    <cellStyle name="Акцент2 2 19" xfId="11601"/>
    <cellStyle name="Акцент2 2 19 2" xfId="41655"/>
    <cellStyle name="Акцент2 2 2" xfId="11602"/>
    <cellStyle name="Акцент2 2 2 2" xfId="41656"/>
    <cellStyle name="Акцент2 2 20" xfId="11603"/>
    <cellStyle name="Акцент2 2 20 2" xfId="41657"/>
    <cellStyle name="Акцент2 2 21" xfId="11604"/>
    <cellStyle name="Акцент2 2 21 2" xfId="41658"/>
    <cellStyle name="Акцент2 2 22" xfId="11605"/>
    <cellStyle name="Акцент2 2 22 2" xfId="41659"/>
    <cellStyle name="Акцент2 2 23" xfId="11606"/>
    <cellStyle name="Акцент2 2 23 2" xfId="41660"/>
    <cellStyle name="Акцент2 2 24" xfId="41661"/>
    <cellStyle name="Акцент2 2 3" xfId="11607"/>
    <cellStyle name="Акцент2 2 3 2" xfId="41662"/>
    <cellStyle name="Акцент2 2 4" xfId="11608"/>
    <cellStyle name="Акцент2 2 4 2" xfId="41663"/>
    <cellStyle name="Акцент2 2 5" xfId="11609"/>
    <cellStyle name="Акцент2 2 5 2" xfId="41664"/>
    <cellStyle name="Акцент2 2 6" xfId="11610"/>
    <cellStyle name="Акцент2 2 6 2" xfId="41665"/>
    <cellStyle name="Акцент2 2 7" xfId="11611"/>
    <cellStyle name="Акцент2 2 7 2" xfId="41666"/>
    <cellStyle name="Акцент2 2 8" xfId="11612"/>
    <cellStyle name="Акцент2 2 8 2" xfId="41667"/>
    <cellStyle name="Акцент2 2 9" xfId="11613"/>
    <cellStyle name="Акцент2 2 9 2" xfId="41668"/>
    <cellStyle name="Акцент2 3" xfId="11614"/>
    <cellStyle name="Акцент2 3 10" xfId="11615"/>
    <cellStyle name="Акцент2 3 10 2" xfId="41669"/>
    <cellStyle name="Акцент2 3 11" xfId="11616"/>
    <cellStyle name="Акцент2 3 11 2" xfId="41670"/>
    <cellStyle name="Акцент2 3 12" xfId="11617"/>
    <cellStyle name="Акцент2 3 12 2" xfId="41671"/>
    <cellStyle name="Акцент2 3 13" xfId="11618"/>
    <cellStyle name="Акцент2 3 13 2" xfId="41672"/>
    <cellStyle name="Акцент2 3 14" xfId="11619"/>
    <cellStyle name="Акцент2 3 14 2" xfId="41673"/>
    <cellStyle name="Акцент2 3 15" xfId="11620"/>
    <cellStyle name="Акцент2 3 15 2" xfId="41674"/>
    <cellStyle name="Акцент2 3 16" xfId="11621"/>
    <cellStyle name="Акцент2 3 16 2" xfId="41675"/>
    <cellStyle name="Акцент2 3 17" xfId="11622"/>
    <cellStyle name="Акцент2 3 17 2" xfId="41676"/>
    <cellStyle name="Акцент2 3 18" xfId="11623"/>
    <cellStyle name="Акцент2 3 18 2" xfId="41677"/>
    <cellStyle name="Акцент2 3 19" xfId="11624"/>
    <cellStyle name="Акцент2 3 19 2" xfId="41678"/>
    <cellStyle name="Акцент2 3 2" xfId="11625"/>
    <cellStyle name="Акцент2 3 2 2" xfId="41679"/>
    <cellStyle name="Акцент2 3 20" xfId="11626"/>
    <cellStyle name="Акцент2 3 20 2" xfId="41680"/>
    <cellStyle name="Акцент2 3 21" xfId="11627"/>
    <cellStyle name="Акцент2 3 21 2" xfId="41681"/>
    <cellStyle name="Акцент2 3 22" xfId="11628"/>
    <cellStyle name="Акцент2 3 22 2" xfId="41682"/>
    <cellStyle name="Акцент2 3 23" xfId="11629"/>
    <cellStyle name="Акцент2 3 23 2" xfId="41683"/>
    <cellStyle name="Акцент2 3 24" xfId="41684"/>
    <cellStyle name="Акцент2 3 3" xfId="11630"/>
    <cellStyle name="Акцент2 3 3 2" xfId="41685"/>
    <cellStyle name="Акцент2 3 4" xfId="11631"/>
    <cellStyle name="Акцент2 3 4 2" xfId="41686"/>
    <cellStyle name="Акцент2 3 5" xfId="11632"/>
    <cellStyle name="Акцент2 3 5 2" xfId="41687"/>
    <cellStyle name="Акцент2 3 6" xfId="11633"/>
    <cellStyle name="Акцент2 3 6 2" xfId="41688"/>
    <cellStyle name="Акцент2 3 7" xfId="11634"/>
    <cellStyle name="Акцент2 3 7 2" xfId="41689"/>
    <cellStyle name="Акцент2 3 8" xfId="11635"/>
    <cellStyle name="Акцент2 3 8 2" xfId="41690"/>
    <cellStyle name="Акцент2 3 9" xfId="11636"/>
    <cellStyle name="Акцент2 3 9 2" xfId="41691"/>
    <cellStyle name="Акцент2 4" xfId="11637"/>
    <cellStyle name="Акцент2 4 2" xfId="41692"/>
    <cellStyle name="Акцент2 5" xfId="11638"/>
    <cellStyle name="Акцент2 5 2" xfId="41693"/>
    <cellStyle name="Акцент2 6" xfId="11639"/>
    <cellStyle name="Акцент2 6 2" xfId="41694"/>
    <cellStyle name="Акцент2 7" xfId="11640"/>
    <cellStyle name="Акцент3 2" xfId="11641"/>
    <cellStyle name="Акцент3 2 10" xfId="11642"/>
    <cellStyle name="Акцент3 2 10 2" xfId="41695"/>
    <cellStyle name="Акцент3 2 11" xfId="11643"/>
    <cellStyle name="Акцент3 2 11 2" xfId="41696"/>
    <cellStyle name="Акцент3 2 12" xfId="11644"/>
    <cellStyle name="Акцент3 2 12 2" xfId="41697"/>
    <cellStyle name="Акцент3 2 13" xfId="11645"/>
    <cellStyle name="Акцент3 2 13 2" xfId="41698"/>
    <cellStyle name="Акцент3 2 14" xfId="11646"/>
    <cellStyle name="Акцент3 2 14 2" xfId="41699"/>
    <cellStyle name="Акцент3 2 15" xfId="11647"/>
    <cellStyle name="Акцент3 2 15 2" xfId="41700"/>
    <cellStyle name="Акцент3 2 16" xfId="11648"/>
    <cellStyle name="Акцент3 2 16 2" xfId="41701"/>
    <cellStyle name="Акцент3 2 17" xfId="11649"/>
    <cellStyle name="Акцент3 2 17 2" xfId="41702"/>
    <cellStyle name="Акцент3 2 18" xfId="11650"/>
    <cellStyle name="Акцент3 2 18 2" xfId="41703"/>
    <cellStyle name="Акцент3 2 19" xfId="11651"/>
    <cellStyle name="Акцент3 2 19 2" xfId="41704"/>
    <cellStyle name="Акцент3 2 2" xfId="11652"/>
    <cellStyle name="Акцент3 2 2 2" xfId="41705"/>
    <cellStyle name="Акцент3 2 20" xfId="11653"/>
    <cellStyle name="Акцент3 2 20 2" xfId="41706"/>
    <cellStyle name="Акцент3 2 21" xfId="11654"/>
    <cellStyle name="Акцент3 2 21 2" xfId="41707"/>
    <cellStyle name="Акцент3 2 22" xfId="11655"/>
    <cellStyle name="Акцент3 2 22 2" xfId="41708"/>
    <cellStyle name="Акцент3 2 23" xfId="11656"/>
    <cellStyle name="Акцент3 2 23 2" xfId="41709"/>
    <cellStyle name="Акцент3 2 24" xfId="41710"/>
    <cellStyle name="Акцент3 2 3" xfId="11657"/>
    <cellStyle name="Акцент3 2 3 2" xfId="41711"/>
    <cellStyle name="Акцент3 2 4" xfId="11658"/>
    <cellStyle name="Акцент3 2 4 2" xfId="41712"/>
    <cellStyle name="Акцент3 2 5" xfId="11659"/>
    <cellStyle name="Акцент3 2 5 2" xfId="41713"/>
    <cellStyle name="Акцент3 2 6" xfId="11660"/>
    <cellStyle name="Акцент3 2 6 2" xfId="41714"/>
    <cellStyle name="Акцент3 2 7" xfId="11661"/>
    <cellStyle name="Акцент3 2 7 2" xfId="41715"/>
    <cellStyle name="Акцент3 2 8" xfId="11662"/>
    <cellStyle name="Акцент3 2 8 2" xfId="41716"/>
    <cellStyle name="Акцент3 2 9" xfId="11663"/>
    <cellStyle name="Акцент3 2 9 2" xfId="41717"/>
    <cellStyle name="Акцент3 3" xfId="11664"/>
    <cellStyle name="Акцент3 3 10" xfId="11665"/>
    <cellStyle name="Акцент3 3 10 2" xfId="41718"/>
    <cellStyle name="Акцент3 3 11" xfId="11666"/>
    <cellStyle name="Акцент3 3 11 2" xfId="41719"/>
    <cellStyle name="Акцент3 3 12" xfId="11667"/>
    <cellStyle name="Акцент3 3 12 2" xfId="41720"/>
    <cellStyle name="Акцент3 3 13" xfId="11668"/>
    <cellStyle name="Акцент3 3 13 2" xfId="41721"/>
    <cellStyle name="Акцент3 3 14" xfId="11669"/>
    <cellStyle name="Акцент3 3 14 2" xfId="41722"/>
    <cellStyle name="Акцент3 3 15" xfId="11670"/>
    <cellStyle name="Акцент3 3 15 2" xfId="41723"/>
    <cellStyle name="Акцент3 3 16" xfId="11671"/>
    <cellStyle name="Акцент3 3 16 2" xfId="41724"/>
    <cellStyle name="Акцент3 3 17" xfId="11672"/>
    <cellStyle name="Акцент3 3 17 2" xfId="41725"/>
    <cellStyle name="Акцент3 3 18" xfId="11673"/>
    <cellStyle name="Акцент3 3 18 2" xfId="41726"/>
    <cellStyle name="Акцент3 3 19" xfId="11674"/>
    <cellStyle name="Акцент3 3 19 2" xfId="41727"/>
    <cellStyle name="Акцент3 3 2" xfId="11675"/>
    <cellStyle name="Акцент3 3 2 2" xfId="41728"/>
    <cellStyle name="Акцент3 3 20" xfId="11676"/>
    <cellStyle name="Акцент3 3 20 2" xfId="41729"/>
    <cellStyle name="Акцент3 3 21" xfId="11677"/>
    <cellStyle name="Акцент3 3 21 2" xfId="41730"/>
    <cellStyle name="Акцент3 3 22" xfId="11678"/>
    <cellStyle name="Акцент3 3 22 2" xfId="41731"/>
    <cellStyle name="Акцент3 3 23" xfId="11679"/>
    <cellStyle name="Акцент3 3 23 2" xfId="41732"/>
    <cellStyle name="Акцент3 3 24" xfId="41733"/>
    <cellStyle name="Акцент3 3 3" xfId="11680"/>
    <cellStyle name="Акцент3 3 3 2" xfId="41734"/>
    <cellStyle name="Акцент3 3 4" xfId="11681"/>
    <cellStyle name="Акцент3 3 4 2" xfId="41735"/>
    <cellStyle name="Акцент3 3 5" xfId="11682"/>
    <cellStyle name="Акцент3 3 5 2" xfId="41736"/>
    <cellStyle name="Акцент3 3 6" xfId="11683"/>
    <cellStyle name="Акцент3 3 6 2" xfId="41737"/>
    <cellStyle name="Акцент3 3 7" xfId="11684"/>
    <cellStyle name="Акцент3 3 7 2" xfId="41738"/>
    <cellStyle name="Акцент3 3 8" xfId="11685"/>
    <cellStyle name="Акцент3 3 8 2" xfId="41739"/>
    <cellStyle name="Акцент3 3 9" xfId="11686"/>
    <cellStyle name="Акцент3 3 9 2" xfId="41740"/>
    <cellStyle name="Акцент3 4" xfId="11687"/>
    <cellStyle name="Акцент3 4 2" xfId="41741"/>
    <cellStyle name="Акцент3 5" xfId="11688"/>
    <cellStyle name="Акцент3 5 2" xfId="41742"/>
    <cellStyle name="Акцент3 6" xfId="11689"/>
    <cellStyle name="Акцент3 6 2" xfId="41743"/>
    <cellStyle name="Акцент3 7" xfId="11690"/>
    <cellStyle name="Акцент4 2" xfId="11691"/>
    <cellStyle name="Акцент4 2 10" xfId="11692"/>
    <cellStyle name="Акцент4 2 10 2" xfId="41744"/>
    <cellStyle name="Акцент4 2 11" xfId="11693"/>
    <cellStyle name="Акцент4 2 11 2" xfId="41745"/>
    <cellStyle name="Акцент4 2 12" xfId="11694"/>
    <cellStyle name="Акцент4 2 12 2" xfId="41746"/>
    <cellStyle name="Акцент4 2 13" xfId="11695"/>
    <cellStyle name="Акцент4 2 13 2" xfId="41747"/>
    <cellStyle name="Акцент4 2 14" xfId="11696"/>
    <cellStyle name="Акцент4 2 14 2" xfId="41748"/>
    <cellStyle name="Акцент4 2 15" xfId="11697"/>
    <cellStyle name="Акцент4 2 15 2" xfId="41749"/>
    <cellStyle name="Акцент4 2 16" xfId="11698"/>
    <cellStyle name="Акцент4 2 16 2" xfId="41750"/>
    <cellStyle name="Акцент4 2 17" xfId="11699"/>
    <cellStyle name="Акцент4 2 17 2" xfId="41751"/>
    <cellStyle name="Акцент4 2 18" xfId="11700"/>
    <cellStyle name="Акцент4 2 18 2" xfId="41752"/>
    <cellStyle name="Акцент4 2 19" xfId="11701"/>
    <cellStyle name="Акцент4 2 19 2" xfId="41753"/>
    <cellStyle name="Акцент4 2 2" xfId="11702"/>
    <cellStyle name="Акцент4 2 2 2" xfId="41754"/>
    <cellStyle name="Акцент4 2 20" xfId="11703"/>
    <cellStyle name="Акцент4 2 20 2" xfId="41755"/>
    <cellStyle name="Акцент4 2 21" xfId="11704"/>
    <cellStyle name="Акцент4 2 21 2" xfId="41756"/>
    <cellStyle name="Акцент4 2 22" xfId="11705"/>
    <cellStyle name="Акцент4 2 22 2" xfId="41757"/>
    <cellStyle name="Акцент4 2 23" xfId="11706"/>
    <cellStyle name="Акцент4 2 23 2" xfId="41758"/>
    <cellStyle name="Акцент4 2 24" xfId="41759"/>
    <cellStyle name="Акцент4 2 3" xfId="11707"/>
    <cellStyle name="Акцент4 2 3 2" xfId="41760"/>
    <cellStyle name="Акцент4 2 4" xfId="11708"/>
    <cellStyle name="Акцент4 2 4 2" xfId="41761"/>
    <cellStyle name="Акцент4 2 5" xfId="11709"/>
    <cellStyle name="Акцент4 2 5 2" xfId="41762"/>
    <cellStyle name="Акцент4 2 6" xfId="11710"/>
    <cellStyle name="Акцент4 2 6 2" xfId="41763"/>
    <cellStyle name="Акцент4 2 7" xfId="11711"/>
    <cellStyle name="Акцент4 2 7 2" xfId="41764"/>
    <cellStyle name="Акцент4 2 8" xfId="11712"/>
    <cellStyle name="Акцент4 2 8 2" xfId="41765"/>
    <cellStyle name="Акцент4 2 9" xfId="11713"/>
    <cellStyle name="Акцент4 2 9 2" xfId="41766"/>
    <cellStyle name="Акцент4 3" xfId="11714"/>
    <cellStyle name="Акцент4 3 10" xfId="11715"/>
    <cellStyle name="Акцент4 3 10 2" xfId="41767"/>
    <cellStyle name="Акцент4 3 11" xfId="11716"/>
    <cellStyle name="Акцент4 3 11 2" xfId="41768"/>
    <cellStyle name="Акцент4 3 12" xfId="11717"/>
    <cellStyle name="Акцент4 3 12 2" xfId="41769"/>
    <cellStyle name="Акцент4 3 13" xfId="11718"/>
    <cellStyle name="Акцент4 3 13 2" xfId="41770"/>
    <cellStyle name="Акцент4 3 14" xfId="11719"/>
    <cellStyle name="Акцент4 3 14 2" xfId="41771"/>
    <cellStyle name="Акцент4 3 15" xfId="11720"/>
    <cellStyle name="Акцент4 3 15 2" xfId="41772"/>
    <cellStyle name="Акцент4 3 16" xfId="11721"/>
    <cellStyle name="Акцент4 3 16 2" xfId="41773"/>
    <cellStyle name="Акцент4 3 17" xfId="11722"/>
    <cellStyle name="Акцент4 3 17 2" xfId="41774"/>
    <cellStyle name="Акцент4 3 18" xfId="11723"/>
    <cellStyle name="Акцент4 3 18 2" xfId="41775"/>
    <cellStyle name="Акцент4 3 19" xfId="11724"/>
    <cellStyle name="Акцент4 3 19 2" xfId="41776"/>
    <cellStyle name="Акцент4 3 2" xfId="11725"/>
    <cellStyle name="Акцент4 3 2 2" xfId="41777"/>
    <cellStyle name="Акцент4 3 20" xfId="11726"/>
    <cellStyle name="Акцент4 3 20 2" xfId="41778"/>
    <cellStyle name="Акцент4 3 21" xfId="11727"/>
    <cellStyle name="Акцент4 3 21 2" xfId="41779"/>
    <cellStyle name="Акцент4 3 22" xfId="11728"/>
    <cellStyle name="Акцент4 3 22 2" xfId="41780"/>
    <cellStyle name="Акцент4 3 23" xfId="11729"/>
    <cellStyle name="Акцент4 3 23 2" xfId="41781"/>
    <cellStyle name="Акцент4 3 24" xfId="41782"/>
    <cellStyle name="Акцент4 3 3" xfId="11730"/>
    <cellStyle name="Акцент4 3 3 2" xfId="41783"/>
    <cellStyle name="Акцент4 3 4" xfId="11731"/>
    <cellStyle name="Акцент4 3 4 2" xfId="41784"/>
    <cellStyle name="Акцент4 3 5" xfId="11732"/>
    <cellStyle name="Акцент4 3 5 2" xfId="41785"/>
    <cellStyle name="Акцент4 3 6" xfId="11733"/>
    <cellStyle name="Акцент4 3 6 2" xfId="41786"/>
    <cellStyle name="Акцент4 3 7" xfId="11734"/>
    <cellStyle name="Акцент4 3 7 2" xfId="41787"/>
    <cellStyle name="Акцент4 3 8" xfId="11735"/>
    <cellStyle name="Акцент4 3 8 2" xfId="41788"/>
    <cellStyle name="Акцент4 3 9" xfId="11736"/>
    <cellStyle name="Акцент4 3 9 2" xfId="41789"/>
    <cellStyle name="Акцент4 4" xfId="11737"/>
    <cellStyle name="Акцент4 4 2" xfId="41790"/>
    <cellStyle name="Акцент4 5" xfId="11738"/>
    <cellStyle name="Акцент4 5 2" xfId="41791"/>
    <cellStyle name="Акцент4 6" xfId="11739"/>
    <cellStyle name="Акцент4 6 2" xfId="41792"/>
    <cellStyle name="Акцент4 7" xfId="11740"/>
    <cellStyle name="Акцент5 2" xfId="11741"/>
    <cellStyle name="Акцент5 2 10" xfId="11742"/>
    <cellStyle name="Акцент5 2 10 2" xfId="41793"/>
    <cellStyle name="Акцент5 2 11" xfId="11743"/>
    <cellStyle name="Акцент5 2 11 2" xfId="41794"/>
    <cellStyle name="Акцент5 2 12" xfId="11744"/>
    <cellStyle name="Акцент5 2 12 2" xfId="41795"/>
    <cellStyle name="Акцент5 2 13" xfId="11745"/>
    <cellStyle name="Акцент5 2 13 2" xfId="41796"/>
    <cellStyle name="Акцент5 2 14" xfId="11746"/>
    <cellStyle name="Акцент5 2 14 2" xfId="41797"/>
    <cellStyle name="Акцент5 2 15" xfId="11747"/>
    <cellStyle name="Акцент5 2 15 2" xfId="41798"/>
    <cellStyle name="Акцент5 2 16" xfId="11748"/>
    <cellStyle name="Акцент5 2 16 2" xfId="41799"/>
    <cellStyle name="Акцент5 2 17" xfId="11749"/>
    <cellStyle name="Акцент5 2 17 2" xfId="41800"/>
    <cellStyle name="Акцент5 2 18" xfId="11750"/>
    <cellStyle name="Акцент5 2 18 2" xfId="41801"/>
    <cellStyle name="Акцент5 2 19" xfId="11751"/>
    <cellStyle name="Акцент5 2 19 2" xfId="41802"/>
    <cellStyle name="Акцент5 2 2" xfId="11752"/>
    <cellStyle name="Акцент5 2 2 2" xfId="41803"/>
    <cellStyle name="Акцент5 2 20" xfId="11753"/>
    <cellStyle name="Акцент5 2 20 2" xfId="41804"/>
    <cellStyle name="Акцент5 2 21" xfId="11754"/>
    <cellStyle name="Акцент5 2 21 2" xfId="41805"/>
    <cellStyle name="Акцент5 2 22" xfId="11755"/>
    <cellStyle name="Акцент5 2 22 2" xfId="41806"/>
    <cellStyle name="Акцент5 2 23" xfId="11756"/>
    <cellStyle name="Акцент5 2 23 2" xfId="41807"/>
    <cellStyle name="Акцент5 2 24" xfId="41808"/>
    <cellStyle name="Акцент5 2 3" xfId="11757"/>
    <cellStyle name="Акцент5 2 3 2" xfId="41809"/>
    <cellStyle name="Акцент5 2 4" xfId="11758"/>
    <cellStyle name="Акцент5 2 4 2" xfId="41810"/>
    <cellStyle name="Акцент5 2 5" xfId="11759"/>
    <cellStyle name="Акцент5 2 5 2" xfId="41811"/>
    <cellStyle name="Акцент5 2 6" xfId="11760"/>
    <cellStyle name="Акцент5 2 6 2" xfId="41812"/>
    <cellStyle name="Акцент5 2 7" xfId="11761"/>
    <cellStyle name="Акцент5 2 7 2" xfId="41813"/>
    <cellStyle name="Акцент5 2 8" xfId="11762"/>
    <cellStyle name="Акцент5 2 8 2" xfId="41814"/>
    <cellStyle name="Акцент5 2 9" xfId="11763"/>
    <cellStyle name="Акцент5 2 9 2" xfId="41815"/>
    <cellStyle name="Акцент5 3" xfId="11764"/>
    <cellStyle name="Акцент5 3 10" xfId="11765"/>
    <cellStyle name="Акцент5 3 10 2" xfId="41816"/>
    <cellStyle name="Акцент5 3 11" xfId="11766"/>
    <cellStyle name="Акцент5 3 11 2" xfId="41817"/>
    <cellStyle name="Акцент5 3 12" xfId="11767"/>
    <cellStyle name="Акцент5 3 12 2" xfId="41818"/>
    <cellStyle name="Акцент5 3 13" xfId="11768"/>
    <cellStyle name="Акцент5 3 13 2" xfId="41819"/>
    <cellStyle name="Акцент5 3 14" xfId="11769"/>
    <cellStyle name="Акцент5 3 14 2" xfId="41820"/>
    <cellStyle name="Акцент5 3 15" xfId="11770"/>
    <cellStyle name="Акцент5 3 15 2" xfId="41821"/>
    <cellStyle name="Акцент5 3 16" xfId="11771"/>
    <cellStyle name="Акцент5 3 16 2" xfId="41822"/>
    <cellStyle name="Акцент5 3 17" xfId="11772"/>
    <cellStyle name="Акцент5 3 17 2" xfId="41823"/>
    <cellStyle name="Акцент5 3 18" xfId="11773"/>
    <cellStyle name="Акцент5 3 18 2" xfId="41824"/>
    <cellStyle name="Акцент5 3 19" xfId="11774"/>
    <cellStyle name="Акцент5 3 19 2" xfId="41825"/>
    <cellStyle name="Акцент5 3 2" xfId="11775"/>
    <cellStyle name="Акцент5 3 2 2" xfId="41826"/>
    <cellStyle name="Акцент5 3 20" xfId="11776"/>
    <cellStyle name="Акцент5 3 20 2" xfId="41827"/>
    <cellStyle name="Акцент5 3 21" xfId="11777"/>
    <cellStyle name="Акцент5 3 21 2" xfId="41828"/>
    <cellStyle name="Акцент5 3 22" xfId="11778"/>
    <cellStyle name="Акцент5 3 22 2" xfId="41829"/>
    <cellStyle name="Акцент5 3 23" xfId="11779"/>
    <cellStyle name="Акцент5 3 23 2" xfId="41830"/>
    <cellStyle name="Акцент5 3 24" xfId="41831"/>
    <cellStyle name="Акцент5 3 3" xfId="11780"/>
    <cellStyle name="Акцент5 3 3 2" xfId="41832"/>
    <cellStyle name="Акцент5 3 4" xfId="11781"/>
    <cellStyle name="Акцент5 3 4 2" xfId="41833"/>
    <cellStyle name="Акцент5 3 5" xfId="11782"/>
    <cellStyle name="Акцент5 3 5 2" xfId="41834"/>
    <cellStyle name="Акцент5 3 6" xfId="11783"/>
    <cellStyle name="Акцент5 3 6 2" xfId="41835"/>
    <cellStyle name="Акцент5 3 7" xfId="11784"/>
    <cellStyle name="Акцент5 3 7 2" xfId="41836"/>
    <cellStyle name="Акцент5 3 8" xfId="11785"/>
    <cellStyle name="Акцент5 3 8 2" xfId="41837"/>
    <cellStyle name="Акцент5 3 9" xfId="11786"/>
    <cellStyle name="Акцент5 3 9 2" xfId="41838"/>
    <cellStyle name="Акцент5 4" xfId="11787"/>
    <cellStyle name="Акцент5 4 2" xfId="41839"/>
    <cellStyle name="Акцент5 5" xfId="11788"/>
    <cellStyle name="Акцент5 5 2" xfId="41840"/>
    <cellStyle name="Акцент5 6" xfId="11789"/>
    <cellStyle name="Акцент5 6 2" xfId="41841"/>
    <cellStyle name="Акцент5 7" xfId="11790"/>
    <cellStyle name="Акцент6 2" xfId="11791"/>
    <cellStyle name="Акцент6 2 10" xfId="11792"/>
    <cellStyle name="Акцент6 2 10 2" xfId="41842"/>
    <cellStyle name="Акцент6 2 11" xfId="11793"/>
    <cellStyle name="Акцент6 2 11 2" xfId="41843"/>
    <cellStyle name="Акцент6 2 12" xfId="11794"/>
    <cellStyle name="Акцент6 2 12 2" xfId="41844"/>
    <cellStyle name="Акцент6 2 13" xfId="11795"/>
    <cellStyle name="Акцент6 2 13 2" xfId="41845"/>
    <cellStyle name="Акцент6 2 14" xfId="11796"/>
    <cellStyle name="Акцент6 2 14 2" xfId="41846"/>
    <cellStyle name="Акцент6 2 15" xfId="11797"/>
    <cellStyle name="Акцент6 2 15 2" xfId="41847"/>
    <cellStyle name="Акцент6 2 16" xfId="11798"/>
    <cellStyle name="Акцент6 2 16 2" xfId="41848"/>
    <cellStyle name="Акцент6 2 17" xfId="11799"/>
    <cellStyle name="Акцент6 2 17 2" xfId="41849"/>
    <cellStyle name="Акцент6 2 18" xfId="11800"/>
    <cellStyle name="Акцент6 2 18 2" xfId="41850"/>
    <cellStyle name="Акцент6 2 19" xfId="11801"/>
    <cellStyle name="Акцент6 2 19 2" xfId="41851"/>
    <cellStyle name="Акцент6 2 2" xfId="11802"/>
    <cellStyle name="Акцент6 2 2 2" xfId="41852"/>
    <cellStyle name="Акцент6 2 20" xfId="11803"/>
    <cellStyle name="Акцент6 2 20 2" xfId="41853"/>
    <cellStyle name="Акцент6 2 21" xfId="11804"/>
    <cellStyle name="Акцент6 2 21 2" xfId="41854"/>
    <cellStyle name="Акцент6 2 22" xfId="11805"/>
    <cellStyle name="Акцент6 2 22 2" xfId="41855"/>
    <cellStyle name="Акцент6 2 23" xfId="11806"/>
    <cellStyle name="Акцент6 2 23 2" xfId="41856"/>
    <cellStyle name="Акцент6 2 24" xfId="41857"/>
    <cellStyle name="Акцент6 2 3" xfId="11807"/>
    <cellStyle name="Акцент6 2 3 2" xfId="41858"/>
    <cellStyle name="Акцент6 2 4" xfId="11808"/>
    <cellStyle name="Акцент6 2 4 2" xfId="41859"/>
    <cellStyle name="Акцент6 2 5" xfId="11809"/>
    <cellStyle name="Акцент6 2 5 2" xfId="41860"/>
    <cellStyle name="Акцент6 2 6" xfId="11810"/>
    <cellStyle name="Акцент6 2 6 2" xfId="41861"/>
    <cellStyle name="Акцент6 2 7" xfId="11811"/>
    <cellStyle name="Акцент6 2 7 2" xfId="41862"/>
    <cellStyle name="Акцент6 2 8" xfId="11812"/>
    <cellStyle name="Акцент6 2 8 2" xfId="41863"/>
    <cellStyle name="Акцент6 2 9" xfId="11813"/>
    <cellStyle name="Акцент6 2 9 2" xfId="41864"/>
    <cellStyle name="Акцент6 3" xfId="11814"/>
    <cellStyle name="Акцент6 3 10" xfId="11815"/>
    <cellStyle name="Акцент6 3 10 2" xfId="41865"/>
    <cellStyle name="Акцент6 3 11" xfId="11816"/>
    <cellStyle name="Акцент6 3 11 2" xfId="41866"/>
    <cellStyle name="Акцент6 3 12" xfId="11817"/>
    <cellStyle name="Акцент6 3 12 2" xfId="41867"/>
    <cellStyle name="Акцент6 3 13" xfId="11818"/>
    <cellStyle name="Акцент6 3 13 2" xfId="41868"/>
    <cellStyle name="Акцент6 3 14" xfId="11819"/>
    <cellStyle name="Акцент6 3 14 2" xfId="41869"/>
    <cellStyle name="Акцент6 3 15" xfId="11820"/>
    <cellStyle name="Акцент6 3 15 2" xfId="41870"/>
    <cellStyle name="Акцент6 3 16" xfId="11821"/>
    <cellStyle name="Акцент6 3 16 2" xfId="41871"/>
    <cellStyle name="Акцент6 3 17" xfId="11822"/>
    <cellStyle name="Акцент6 3 17 2" xfId="41872"/>
    <cellStyle name="Акцент6 3 18" xfId="11823"/>
    <cellStyle name="Акцент6 3 18 2" xfId="41873"/>
    <cellStyle name="Акцент6 3 19" xfId="11824"/>
    <cellStyle name="Акцент6 3 19 2" xfId="41874"/>
    <cellStyle name="Акцент6 3 2" xfId="11825"/>
    <cellStyle name="Акцент6 3 2 2" xfId="41875"/>
    <cellStyle name="Акцент6 3 20" xfId="11826"/>
    <cellStyle name="Акцент6 3 20 2" xfId="41876"/>
    <cellStyle name="Акцент6 3 21" xfId="11827"/>
    <cellStyle name="Акцент6 3 21 2" xfId="41877"/>
    <cellStyle name="Акцент6 3 22" xfId="11828"/>
    <cellStyle name="Акцент6 3 22 2" xfId="41878"/>
    <cellStyle name="Акцент6 3 23" xfId="11829"/>
    <cellStyle name="Акцент6 3 23 2" xfId="41879"/>
    <cellStyle name="Акцент6 3 24" xfId="41880"/>
    <cellStyle name="Акцент6 3 3" xfId="11830"/>
    <cellStyle name="Акцент6 3 3 2" xfId="41881"/>
    <cellStyle name="Акцент6 3 4" xfId="11831"/>
    <cellStyle name="Акцент6 3 4 2" xfId="41882"/>
    <cellStyle name="Акцент6 3 5" xfId="11832"/>
    <cellStyle name="Акцент6 3 5 2" xfId="41883"/>
    <cellStyle name="Акцент6 3 6" xfId="11833"/>
    <cellStyle name="Акцент6 3 6 2" xfId="41884"/>
    <cellStyle name="Акцент6 3 7" xfId="11834"/>
    <cellStyle name="Акцент6 3 7 2" xfId="41885"/>
    <cellStyle name="Акцент6 3 8" xfId="11835"/>
    <cellStyle name="Акцент6 3 8 2" xfId="41886"/>
    <cellStyle name="Акцент6 3 9" xfId="11836"/>
    <cellStyle name="Акцент6 3 9 2" xfId="41887"/>
    <cellStyle name="Акцент6 4" xfId="11837"/>
    <cellStyle name="Акцент6 4 2" xfId="41888"/>
    <cellStyle name="Акцент6 5" xfId="11838"/>
    <cellStyle name="Акцент6 5 2" xfId="41889"/>
    <cellStyle name="Акцент6 6" xfId="11839"/>
    <cellStyle name="Акцент6 6 2" xfId="41890"/>
    <cellStyle name="Акцент6 7" xfId="11840"/>
    <cellStyle name="Беззащитный" xfId="11841"/>
    <cellStyle name="Беззащитный 2" xfId="11842"/>
    <cellStyle name="Ввод  2" xfId="11843"/>
    <cellStyle name="Ввод  2 10" xfId="11844"/>
    <cellStyle name="Ввод  2 10 2" xfId="41891"/>
    <cellStyle name="Ввод  2 11" xfId="11845"/>
    <cellStyle name="Ввод  2 11 2" xfId="41892"/>
    <cellStyle name="Ввод  2 12" xfId="11846"/>
    <cellStyle name="Ввод  2 12 2" xfId="41893"/>
    <cellStyle name="Ввод  2 13" xfId="11847"/>
    <cellStyle name="Ввод  2 13 2" xfId="41894"/>
    <cellStyle name="Ввод  2 14" xfId="11848"/>
    <cellStyle name="Ввод  2 14 2" xfId="41895"/>
    <cellStyle name="Ввод  2 15" xfId="11849"/>
    <cellStyle name="Ввод  2 15 2" xfId="41896"/>
    <cellStyle name="Ввод  2 16" xfId="11850"/>
    <cellStyle name="Ввод  2 16 2" xfId="41897"/>
    <cellStyle name="Ввод  2 17" xfId="11851"/>
    <cellStyle name="Ввод  2 17 2" xfId="41898"/>
    <cellStyle name="Ввод  2 18" xfId="11852"/>
    <cellStyle name="Ввод  2 18 2" xfId="41899"/>
    <cellStyle name="Ввод  2 19" xfId="11853"/>
    <cellStyle name="Ввод  2 19 2" xfId="41900"/>
    <cellStyle name="Ввод  2 2" xfId="11854"/>
    <cellStyle name="Ввод  2 2 2" xfId="41901"/>
    <cellStyle name="Ввод  2 20" xfId="11855"/>
    <cellStyle name="Ввод  2 20 2" xfId="41902"/>
    <cellStyle name="Ввод  2 21" xfId="11856"/>
    <cellStyle name="Ввод  2 21 2" xfId="41903"/>
    <cellStyle name="Ввод  2 22" xfId="11857"/>
    <cellStyle name="Ввод  2 22 2" xfId="41904"/>
    <cellStyle name="Ввод  2 23" xfId="11858"/>
    <cellStyle name="Ввод  2 23 2" xfId="41905"/>
    <cellStyle name="Ввод  2 24" xfId="41906"/>
    <cellStyle name="Ввод  2 3" xfId="11859"/>
    <cellStyle name="Ввод  2 3 2" xfId="41907"/>
    <cellStyle name="Ввод  2 4" xfId="11860"/>
    <cellStyle name="Ввод  2 4 2" xfId="41908"/>
    <cellStyle name="Ввод  2 5" xfId="11861"/>
    <cellStyle name="Ввод  2 5 2" xfId="41909"/>
    <cellStyle name="Ввод  2 6" xfId="11862"/>
    <cellStyle name="Ввод  2 6 2" xfId="41910"/>
    <cellStyle name="Ввод  2 7" xfId="11863"/>
    <cellStyle name="Ввод  2 7 2" xfId="41911"/>
    <cellStyle name="Ввод  2 8" xfId="11864"/>
    <cellStyle name="Ввод  2 8 2" xfId="41912"/>
    <cellStyle name="Ввод  2 9" xfId="11865"/>
    <cellStyle name="Ввод  2 9 2" xfId="41913"/>
    <cellStyle name="Ввод  3" xfId="11866"/>
    <cellStyle name="Ввод  3 10" xfId="11867"/>
    <cellStyle name="Ввод  3 10 2" xfId="41914"/>
    <cellStyle name="Ввод  3 11" xfId="11868"/>
    <cellStyle name="Ввод  3 11 2" xfId="41915"/>
    <cellStyle name="Ввод  3 12" xfId="11869"/>
    <cellStyle name="Ввод  3 12 2" xfId="41916"/>
    <cellStyle name="Ввод  3 13" xfId="11870"/>
    <cellStyle name="Ввод  3 13 2" xfId="41917"/>
    <cellStyle name="Ввод  3 14" xfId="11871"/>
    <cellStyle name="Ввод  3 14 2" xfId="41918"/>
    <cellStyle name="Ввод  3 15" xfId="11872"/>
    <cellStyle name="Ввод  3 15 2" xfId="41919"/>
    <cellStyle name="Ввод  3 16" xfId="11873"/>
    <cellStyle name="Ввод  3 16 2" xfId="41920"/>
    <cellStyle name="Ввод  3 17" xfId="11874"/>
    <cellStyle name="Ввод  3 17 2" xfId="41921"/>
    <cellStyle name="Ввод  3 18" xfId="11875"/>
    <cellStyle name="Ввод  3 18 2" xfId="41922"/>
    <cellStyle name="Ввод  3 19" xfId="11876"/>
    <cellStyle name="Ввод  3 19 2" xfId="41923"/>
    <cellStyle name="Ввод  3 2" xfId="11877"/>
    <cellStyle name="Ввод  3 2 2" xfId="41924"/>
    <cellStyle name="Ввод  3 20" xfId="11878"/>
    <cellStyle name="Ввод  3 20 2" xfId="41925"/>
    <cellStyle name="Ввод  3 21" xfId="11879"/>
    <cellStyle name="Ввод  3 21 2" xfId="41926"/>
    <cellStyle name="Ввод  3 22" xfId="11880"/>
    <cellStyle name="Ввод  3 22 2" xfId="41927"/>
    <cellStyle name="Ввод  3 23" xfId="11881"/>
    <cellStyle name="Ввод  3 23 2" xfId="41928"/>
    <cellStyle name="Ввод  3 24" xfId="41929"/>
    <cellStyle name="Ввод  3 3" xfId="11882"/>
    <cellStyle name="Ввод  3 3 2" xfId="41930"/>
    <cellStyle name="Ввод  3 4" xfId="11883"/>
    <cellStyle name="Ввод  3 4 2" xfId="41931"/>
    <cellStyle name="Ввод  3 5" xfId="11884"/>
    <cellStyle name="Ввод  3 5 2" xfId="41932"/>
    <cellStyle name="Ввод  3 6" xfId="11885"/>
    <cellStyle name="Ввод  3 6 2" xfId="41933"/>
    <cellStyle name="Ввод  3 7" xfId="11886"/>
    <cellStyle name="Ввод  3 7 2" xfId="41934"/>
    <cellStyle name="Ввод  3 8" xfId="11887"/>
    <cellStyle name="Ввод  3 8 2" xfId="41935"/>
    <cellStyle name="Ввод  3 9" xfId="11888"/>
    <cellStyle name="Ввод  3 9 2" xfId="41936"/>
    <cellStyle name="Ввод  4" xfId="11889"/>
    <cellStyle name="Ввод  4 2" xfId="41937"/>
    <cellStyle name="Ввод  5" xfId="11890"/>
    <cellStyle name="Ввод  5 2" xfId="41938"/>
    <cellStyle name="Ввод  6" xfId="11891"/>
    <cellStyle name="Ввод  6 2" xfId="41939"/>
    <cellStyle name="Ввод  7" xfId="11892"/>
    <cellStyle name="Вывод 2" xfId="11893"/>
    <cellStyle name="Вывод 2 10" xfId="11894"/>
    <cellStyle name="Вывод 2 10 2" xfId="41940"/>
    <cellStyle name="Вывод 2 11" xfId="11895"/>
    <cellStyle name="Вывод 2 11 2" xfId="41941"/>
    <cellStyle name="Вывод 2 12" xfId="11896"/>
    <cellStyle name="Вывод 2 12 2" xfId="41942"/>
    <cellStyle name="Вывод 2 13" xfId="11897"/>
    <cellStyle name="Вывод 2 13 2" xfId="41943"/>
    <cellStyle name="Вывод 2 14" xfId="11898"/>
    <cellStyle name="Вывод 2 14 2" xfId="41944"/>
    <cellStyle name="Вывод 2 15" xfId="11899"/>
    <cellStyle name="Вывод 2 15 2" xfId="41945"/>
    <cellStyle name="Вывод 2 16" xfId="11900"/>
    <cellStyle name="Вывод 2 16 2" xfId="41946"/>
    <cellStyle name="Вывод 2 17" xfId="11901"/>
    <cellStyle name="Вывод 2 17 2" xfId="41947"/>
    <cellStyle name="Вывод 2 18" xfId="11902"/>
    <cellStyle name="Вывод 2 18 2" xfId="41948"/>
    <cellStyle name="Вывод 2 19" xfId="11903"/>
    <cellStyle name="Вывод 2 19 2" xfId="41949"/>
    <cellStyle name="Вывод 2 2" xfId="11904"/>
    <cellStyle name="Вывод 2 2 2" xfId="41950"/>
    <cellStyle name="Вывод 2 20" xfId="11905"/>
    <cellStyle name="Вывод 2 20 2" xfId="41951"/>
    <cellStyle name="Вывод 2 21" xfId="11906"/>
    <cellStyle name="Вывод 2 21 2" xfId="41952"/>
    <cellStyle name="Вывод 2 22" xfId="11907"/>
    <cellStyle name="Вывод 2 22 2" xfId="41953"/>
    <cellStyle name="Вывод 2 23" xfId="11908"/>
    <cellStyle name="Вывод 2 23 2" xfId="41954"/>
    <cellStyle name="Вывод 2 24" xfId="41955"/>
    <cellStyle name="Вывод 2 3" xfId="11909"/>
    <cellStyle name="Вывод 2 3 2" xfId="41956"/>
    <cellStyle name="Вывод 2 4" xfId="11910"/>
    <cellStyle name="Вывод 2 4 2" xfId="41957"/>
    <cellStyle name="Вывод 2 5" xfId="11911"/>
    <cellStyle name="Вывод 2 5 2" xfId="41958"/>
    <cellStyle name="Вывод 2 6" xfId="11912"/>
    <cellStyle name="Вывод 2 6 2" xfId="41959"/>
    <cellStyle name="Вывод 2 7" xfId="11913"/>
    <cellStyle name="Вывод 2 7 2" xfId="41960"/>
    <cellStyle name="Вывод 2 8" xfId="11914"/>
    <cellStyle name="Вывод 2 8 2" xfId="41961"/>
    <cellStyle name="Вывод 2 9" xfId="11915"/>
    <cellStyle name="Вывод 2 9 2" xfId="41962"/>
    <cellStyle name="Вывод 3" xfId="11916"/>
    <cellStyle name="Вывод 3 10" xfId="11917"/>
    <cellStyle name="Вывод 3 10 2" xfId="41963"/>
    <cellStyle name="Вывод 3 11" xfId="11918"/>
    <cellStyle name="Вывод 3 11 2" xfId="41964"/>
    <cellStyle name="Вывод 3 12" xfId="11919"/>
    <cellStyle name="Вывод 3 12 2" xfId="41965"/>
    <cellStyle name="Вывод 3 13" xfId="11920"/>
    <cellStyle name="Вывод 3 13 2" xfId="41966"/>
    <cellStyle name="Вывод 3 14" xfId="11921"/>
    <cellStyle name="Вывод 3 14 2" xfId="41967"/>
    <cellStyle name="Вывод 3 15" xfId="11922"/>
    <cellStyle name="Вывод 3 15 2" xfId="41968"/>
    <cellStyle name="Вывод 3 16" xfId="11923"/>
    <cellStyle name="Вывод 3 16 2" xfId="41969"/>
    <cellStyle name="Вывод 3 17" xfId="11924"/>
    <cellStyle name="Вывод 3 17 2" xfId="41970"/>
    <cellStyle name="Вывод 3 18" xfId="11925"/>
    <cellStyle name="Вывод 3 18 2" xfId="41971"/>
    <cellStyle name="Вывод 3 19" xfId="11926"/>
    <cellStyle name="Вывод 3 19 2" xfId="41972"/>
    <cellStyle name="Вывод 3 2" xfId="11927"/>
    <cellStyle name="Вывод 3 2 2" xfId="41973"/>
    <cellStyle name="Вывод 3 20" xfId="11928"/>
    <cellStyle name="Вывод 3 20 2" xfId="41974"/>
    <cellStyle name="Вывод 3 21" xfId="11929"/>
    <cellStyle name="Вывод 3 21 2" xfId="41975"/>
    <cellStyle name="Вывод 3 22" xfId="11930"/>
    <cellStyle name="Вывод 3 22 2" xfId="41976"/>
    <cellStyle name="Вывод 3 23" xfId="11931"/>
    <cellStyle name="Вывод 3 23 2" xfId="41977"/>
    <cellStyle name="Вывод 3 24" xfId="41978"/>
    <cellStyle name="Вывод 3 3" xfId="11932"/>
    <cellStyle name="Вывод 3 3 2" xfId="41979"/>
    <cellStyle name="Вывод 3 4" xfId="11933"/>
    <cellStyle name="Вывод 3 4 2" xfId="41980"/>
    <cellStyle name="Вывод 3 5" xfId="11934"/>
    <cellStyle name="Вывод 3 5 2" xfId="41981"/>
    <cellStyle name="Вывод 3 6" xfId="11935"/>
    <cellStyle name="Вывод 3 6 2" xfId="41982"/>
    <cellStyle name="Вывод 3 7" xfId="11936"/>
    <cellStyle name="Вывод 3 7 2" xfId="41983"/>
    <cellStyle name="Вывод 3 8" xfId="11937"/>
    <cellStyle name="Вывод 3 8 2" xfId="41984"/>
    <cellStyle name="Вывод 3 9" xfId="11938"/>
    <cellStyle name="Вывод 3 9 2" xfId="41985"/>
    <cellStyle name="Вывод 4" xfId="11939"/>
    <cellStyle name="Вывод 4 2" xfId="41986"/>
    <cellStyle name="Вывод 5" xfId="11940"/>
    <cellStyle name="Вывод 5 2" xfId="41987"/>
    <cellStyle name="Вывод 6" xfId="11941"/>
    <cellStyle name="Вывод 6 2" xfId="41988"/>
    <cellStyle name="Вывод 7" xfId="11942"/>
    <cellStyle name="Вычисление 2" xfId="11943"/>
    <cellStyle name="Вычисление 2 10" xfId="11944"/>
    <cellStyle name="Вычисление 2 10 2" xfId="41989"/>
    <cellStyle name="Вычисление 2 11" xfId="11945"/>
    <cellStyle name="Вычисление 2 11 2" xfId="41990"/>
    <cellStyle name="Вычисление 2 12" xfId="11946"/>
    <cellStyle name="Вычисление 2 12 2" xfId="41991"/>
    <cellStyle name="Вычисление 2 13" xfId="11947"/>
    <cellStyle name="Вычисление 2 13 2" xfId="41992"/>
    <cellStyle name="Вычисление 2 14" xfId="11948"/>
    <cellStyle name="Вычисление 2 14 2" xfId="41993"/>
    <cellStyle name="Вычисление 2 15" xfId="11949"/>
    <cellStyle name="Вычисление 2 15 2" xfId="41994"/>
    <cellStyle name="Вычисление 2 16" xfId="11950"/>
    <cellStyle name="Вычисление 2 16 2" xfId="41995"/>
    <cellStyle name="Вычисление 2 17" xfId="11951"/>
    <cellStyle name="Вычисление 2 17 2" xfId="41996"/>
    <cellStyle name="Вычисление 2 18" xfId="11952"/>
    <cellStyle name="Вычисление 2 18 2" xfId="41997"/>
    <cellStyle name="Вычисление 2 19" xfId="11953"/>
    <cellStyle name="Вычисление 2 19 2" xfId="41998"/>
    <cellStyle name="Вычисление 2 2" xfId="11954"/>
    <cellStyle name="Вычисление 2 2 2" xfId="41999"/>
    <cellStyle name="Вычисление 2 20" xfId="11955"/>
    <cellStyle name="Вычисление 2 20 2" xfId="42000"/>
    <cellStyle name="Вычисление 2 21" xfId="11956"/>
    <cellStyle name="Вычисление 2 21 2" xfId="42001"/>
    <cellStyle name="Вычисление 2 22" xfId="11957"/>
    <cellStyle name="Вычисление 2 22 2" xfId="42002"/>
    <cellStyle name="Вычисление 2 23" xfId="11958"/>
    <cellStyle name="Вычисление 2 23 2" xfId="42003"/>
    <cellStyle name="Вычисление 2 24" xfId="42004"/>
    <cellStyle name="Вычисление 2 3" xfId="11959"/>
    <cellStyle name="Вычисление 2 3 2" xfId="42005"/>
    <cellStyle name="Вычисление 2 4" xfId="11960"/>
    <cellStyle name="Вычисление 2 4 2" xfId="42006"/>
    <cellStyle name="Вычисление 2 5" xfId="11961"/>
    <cellStyle name="Вычисление 2 5 2" xfId="42007"/>
    <cellStyle name="Вычисление 2 6" xfId="11962"/>
    <cellStyle name="Вычисление 2 6 2" xfId="42008"/>
    <cellStyle name="Вычисление 2 7" xfId="11963"/>
    <cellStyle name="Вычисление 2 7 2" xfId="42009"/>
    <cellStyle name="Вычисление 2 8" xfId="11964"/>
    <cellStyle name="Вычисление 2 8 2" xfId="42010"/>
    <cellStyle name="Вычисление 2 9" xfId="11965"/>
    <cellStyle name="Вычисление 2 9 2" xfId="42011"/>
    <cellStyle name="Вычисление 3" xfId="11966"/>
    <cellStyle name="Вычисление 3 10" xfId="11967"/>
    <cellStyle name="Вычисление 3 10 2" xfId="42012"/>
    <cellStyle name="Вычисление 3 11" xfId="11968"/>
    <cellStyle name="Вычисление 3 11 2" xfId="42013"/>
    <cellStyle name="Вычисление 3 12" xfId="11969"/>
    <cellStyle name="Вычисление 3 12 2" xfId="42014"/>
    <cellStyle name="Вычисление 3 13" xfId="11970"/>
    <cellStyle name="Вычисление 3 13 2" xfId="42015"/>
    <cellStyle name="Вычисление 3 14" xfId="11971"/>
    <cellStyle name="Вычисление 3 14 2" xfId="42016"/>
    <cellStyle name="Вычисление 3 15" xfId="11972"/>
    <cellStyle name="Вычисление 3 15 2" xfId="42017"/>
    <cellStyle name="Вычисление 3 16" xfId="11973"/>
    <cellStyle name="Вычисление 3 16 2" xfId="42018"/>
    <cellStyle name="Вычисление 3 17" xfId="11974"/>
    <cellStyle name="Вычисление 3 17 2" xfId="42019"/>
    <cellStyle name="Вычисление 3 18" xfId="11975"/>
    <cellStyle name="Вычисление 3 18 2" xfId="42020"/>
    <cellStyle name="Вычисление 3 19" xfId="11976"/>
    <cellStyle name="Вычисление 3 19 2" xfId="42021"/>
    <cellStyle name="Вычисление 3 2" xfId="11977"/>
    <cellStyle name="Вычисление 3 2 2" xfId="42022"/>
    <cellStyle name="Вычисление 3 20" xfId="11978"/>
    <cellStyle name="Вычисление 3 20 2" xfId="42023"/>
    <cellStyle name="Вычисление 3 21" xfId="11979"/>
    <cellStyle name="Вычисление 3 21 2" xfId="42024"/>
    <cellStyle name="Вычисление 3 22" xfId="11980"/>
    <cellStyle name="Вычисление 3 22 2" xfId="42025"/>
    <cellStyle name="Вычисление 3 23" xfId="11981"/>
    <cellStyle name="Вычисление 3 23 2" xfId="42026"/>
    <cellStyle name="Вычисление 3 24" xfId="42027"/>
    <cellStyle name="Вычисление 3 3" xfId="11982"/>
    <cellStyle name="Вычисление 3 3 2" xfId="42028"/>
    <cellStyle name="Вычисление 3 4" xfId="11983"/>
    <cellStyle name="Вычисление 3 4 2" xfId="42029"/>
    <cellStyle name="Вычисление 3 5" xfId="11984"/>
    <cellStyle name="Вычисление 3 5 2" xfId="42030"/>
    <cellStyle name="Вычисление 3 6" xfId="11985"/>
    <cellStyle name="Вычисление 3 6 2" xfId="42031"/>
    <cellStyle name="Вычисление 3 7" xfId="11986"/>
    <cellStyle name="Вычисление 3 7 2" xfId="42032"/>
    <cellStyle name="Вычисление 3 8" xfId="11987"/>
    <cellStyle name="Вычисление 3 8 2" xfId="42033"/>
    <cellStyle name="Вычисление 3 9" xfId="11988"/>
    <cellStyle name="Вычисление 3 9 2" xfId="42034"/>
    <cellStyle name="Вычисление 4" xfId="11989"/>
    <cellStyle name="Вычисление 4 2" xfId="42035"/>
    <cellStyle name="Вычисление 5" xfId="11990"/>
    <cellStyle name="Вычисление 5 2" xfId="42036"/>
    <cellStyle name="Вычисление 6" xfId="11991"/>
    <cellStyle name="Вычисление 6 2" xfId="42037"/>
    <cellStyle name="Вычисление 7" xfId="11992"/>
    <cellStyle name="_x0004_Ґ" xfId="11995"/>
    <cellStyle name="_x0004_Ґ 10" xfId="11996"/>
    <cellStyle name="_x0004_Ґ 10 2" xfId="42040"/>
    <cellStyle name="_x0004_Ґ 100" xfId="11997"/>
    <cellStyle name="_x0004_Ґ 100 2" xfId="42041"/>
    <cellStyle name="_x0004_Ґ 101" xfId="11998"/>
    <cellStyle name="_x0004_Ґ 101 2" xfId="42042"/>
    <cellStyle name="_x0004_Ґ 102" xfId="11999"/>
    <cellStyle name="_x0004_Ґ 102 2" xfId="42043"/>
    <cellStyle name="_x0004_Ґ 103" xfId="12000"/>
    <cellStyle name="_x0004_Ґ 103 2" xfId="42044"/>
    <cellStyle name="_x0004_Ґ 104" xfId="12001"/>
    <cellStyle name="_x0004_Ґ 104 2" xfId="42045"/>
    <cellStyle name="_x0004_Ґ 105" xfId="12002"/>
    <cellStyle name="_x0004_Ґ 105 2" xfId="42046"/>
    <cellStyle name="_x0004_Ґ 106" xfId="12003"/>
    <cellStyle name="_x0004_Ґ 106 2" xfId="42047"/>
    <cellStyle name="_x0004_Ґ 107" xfId="12004"/>
    <cellStyle name="_x0004_Ґ 107 2" xfId="42048"/>
    <cellStyle name="_x0004_Ґ 108" xfId="12005"/>
    <cellStyle name="_x0004_Ґ 108 2" xfId="42049"/>
    <cellStyle name="_x0004_Ґ 109" xfId="12006"/>
    <cellStyle name="_x0004_Ґ 109 2" xfId="42050"/>
    <cellStyle name="_x0004_Ґ 11" xfId="12007"/>
    <cellStyle name="_x0004_Ґ 11 2" xfId="42051"/>
    <cellStyle name="_x0004_Ґ 110" xfId="12008"/>
    <cellStyle name="_x0004_Ґ 110 2" xfId="42052"/>
    <cellStyle name="_x0004_Ґ 111" xfId="12009"/>
    <cellStyle name="_x0004_Ґ 111 2" xfId="42053"/>
    <cellStyle name="_x0004_Ґ 112" xfId="12010"/>
    <cellStyle name="_x0004_Ґ 112 2" xfId="42054"/>
    <cellStyle name="_x0004_Ґ 113" xfId="12011"/>
    <cellStyle name="_x0004_Ґ 113 2" xfId="42055"/>
    <cellStyle name="_x0004_Ґ 114" xfId="12012"/>
    <cellStyle name="_x0004_Ґ 114 2" xfId="42056"/>
    <cellStyle name="_x0004_Ґ 115" xfId="12013"/>
    <cellStyle name="_x0004_Ґ 115 2" xfId="42057"/>
    <cellStyle name="_x0004_Ґ 116" xfId="12014"/>
    <cellStyle name="_x0004_Ґ 116 2" xfId="42058"/>
    <cellStyle name="_x0004_Ґ 117" xfId="12015"/>
    <cellStyle name="_x0004_Ґ 117 2" xfId="42059"/>
    <cellStyle name="_x0004_Ґ 118" xfId="12016"/>
    <cellStyle name="_x0004_Ґ 118 2" xfId="42060"/>
    <cellStyle name="_x0004_Ґ 119" xfId="12017"/>
    <cellStyle name="_x0004_Ґ 119 2" xfId="42061"/>
    <cellStyle name="_x0004_Ґ 12" xfId="12018"/>
    <cellStyle name="_x0004_Ґ 12 2" xfId="42062"/>
    <cellStyle name="_x0004_Ґ 120" xfId="12019"/>
    <cellStyle name="_x0004_Ґ 120 2" xfId="42063"/>
    <cellStyle name="_x0004_Ґ 121" xfId="12020"/>
    <cellStyle name="_x0004_Ґ 121 2" xfId="42064"/>
    <cellStyle name="_x0004_Ґ 122" xfId="12021"/>
    <cellStyle name="_x0004_Ґ 122 2" xfId="42065"/>
    <cellStyle name="_x0004_Ґ 123" xfId="12022"/>
    <cellStyle name="_x0004_Ґ 123 2" xfId="42066"/>
    <cellStyle name="_x0004_Ґ 124" xfId="12023"/>
    <cellStyle name="_x0004_Ґ 124 2" xfId="42067"/>
    <cellStyle name="_x0004_Ґ 125" xfId="12024"/>
    <cellStyle name="_x0004_Ґ 125 2" xfId="42068"/>
    <cellStyle name="_x0004_Ґ 126" xfId="12025"/>
    <cellStyle name="_x0004_Ґ 126 2" xfId="42069"/>
    <cellStyle name="_x0004_Ґ 127" xfId="12026"/>
    <cellStyle name="_x0004_Ґ 127 2" xfId="42070"/>
    <cellStyle name="_x0004_Ґ 128" xfId="12027"/>
    <cellStyle name="_x0004_Ґ 128 2" xfId="42071"/>
    <cellStyle name="_x0004_Ґ 129" xfId="12028"/>
    <cellStyle name="_x0004_Ґ 129 2" xfId="42072"/>
    <cellStyle name="_x0004_Ґ 13" xfId="12029"/>
    <cellStyle name="_x0004_Ґ 13 2" xfId="42073"/>
    <cellStyle name="_x0004_Ґ 130" xfId="12030"/>
    <cellStyle name="_x0004_Ґ 130 2" xfId="42074"/>
    <cellStyle name="_x0004_Ґ 131" xfId="12031"/>
    <cellStyle name="_x0004_Ґ 131 2" xfId="42075"/>
    <cellStyle name="_x0004_Ґ 132" xfId="12032"/>
    <cellStyle name="_x0004_Ґ 132 2" xfId="42076"/>
    <cellStyle name="_x0004_Ґ 133" xfId="12033"/>
    <cellStyle name="_x0004_Ґ 133 2" xfId="42077"/>
    <cellStyle name="_x0004_Ґ 134" xfId="12034"/>
    <cellStyle name="_x0004_Ґ 134 2" xfId="42078"/>
    <cellStyle name="_x0004_Ґ 135" xfId="12035"/>
    <cellStyle name="_x0004_Ґ 135 2" xfId="42079"/>
    <cellStyle name="_x0004_Ґ 136" xfId="12036"/>
    <cellStyle name="_x0004_Ґ 136 2" xfId="42080"/>
    <cellStyle name="_x0004_Ґ 137" xfId="12037"/>
    <cellStyle name="_x0004_Ґ 137 2" xfId="42081"/>
    <cellStyle name="_x0004_Ґ 138" xfId="12038"/>
    <cellStyle name="_x0004_Ґ 138 2" xfId="42082"/>
    <cellStyle name="_x0004_Ґ 139" xfId="12039"/>
    <cellStyle name="_x0004_Ґ 139 2" xfId="42083"/>
    <cellStyle name="_x0004_Ґ 14" xfId="12040"/>
    <cellStyle name="_x0004_Ґ 14 2" xfId="42084"/>
    <cellStyle name="_x0004_Ґ 140" xfId="12041"/>
    <cellStyle name="_x0004_Ґ 140 2" xfId="42085"/>
    <cellStyle name="_x0004_Ґ 141" xfId="12042"/>
    <cellStyle name="_x0004_Ґ 141 2" xfId="42086"/>
    <cellStyle name="_x0004_Ґ 142" xfId="12043"/>
    <cellStyle name="_x0004_Ґ 142 2" xfId="42087"/>
    <cellStyle name="_x0004_Ґ 143" xfId="12044"/>
    <cellStyle name="_x0004_Ґ 143 2" xfId="42088"/>
    <cellStyle name="_x0004_Ґ 144" xfId="12045"/>
    <cellStyle name="_x0004_Ґ 144 2" xfId="42089"/>
    <cellStyle name="_x0004_Ґ 145" xfId="12046"/>
    <cellStyle name="_x0004_Ґ 145 2" xfId="42090"/>
    <cellStyle name="_x0004_Ґ 146" xfId="12047"/>
    <cellStyle name="_x0004_Ґ 146 2" xfId="42091"/>
    <cellStyle name="_x0004_Ґ 147" xfId="12048"/>
    <cellStyle name="_x0004_Ґ 147 2" xfId="42092"/>
    <cellStyle name="_x0004_Ґ 148" xfId="12049"/>
    <cellStyle name="_x0004_Ґ 148 2" xfId="42093"/>
    <cellStyle name="_x0004_Ґ 149" xfId="12050"/>
    <cellStyle name="_x0004_Ґ 149 2" xfId="42094"/>
    <cellStyle name="_x0004_Ґ 15" xfId="12051"/>
    <cellStyle name="_x0004_Ґ 15 2" xfId="42095"/>
    <cellStyle name="_x0004_Ґ 150" xfId="12052"/>
    <cellStyle name="_x0004_Ґ 150 2" xfId="42096"/>
    <cellStyle name="_x0004_Ґ 151" xfId="12053"/>
    <cellStyle name="_x0004_Ґ 151 2" xfId="42097"/>
    <cellStyle name="_x0004_Ґ 152" xfId="12054"/>
    <cellStyle name="_x0004_Ґ 152 2" xfId="42098"/>
    <cellStyle name="_x0004_Ґ 153" xfId="12055"/>
    <cellStyle name="_x0004_Ґ 153 2" xfId="42099"/>
    <cellStyle name="_x0004_Ґ 154" xfId="12056"/>
    <cellStyle name="_x0004_Ґ 154 2" xfId="42100"/>
    <cellStyle name="_x0004_Ґ 155" xfId="12057"/>
    <cellStyle name="_x0004_Ґ 155 2" xfId="42101"/>
    <cellStyle name="_x0004_Ґ 156" xfId="12058"/>
    <cellStyle name="_x0004_Ґ 156 2" xfId="42102"/>
    <cellStyle name="_x0004_Ґ 157" xfId="12059"/>
    <cellStyle name="_x0004_Ґ 157 2" xfId="42103"/>
    <cellStyle name="_x0004_Ґ 158" xfId="12060"/>
    <cellStyle name="_x0004_Ґ 158 2" xfId="42104"/>
    <cellStyle name="_x0004_Ґ 159" xfId="12061"/>
    <cellStyle name="_x0004_Ґ 159 2" xfId="42105"/>
    <cellStyle name="_x0004_Ґ 16" xfId="12062"/>
    <cellStyle name="_x0004_Ґ 16 2" xfId="42106"/>
    <cellStyle name="_x0004_Ґ 160" xfId="12063"/>
    <cellStyle name="_x0004_Ґ 160 2" xfId="42107"/>
    <cellStyle name="_x0004_Ґ 161" xfId="12064"/>
    <cellStyle name="_x0004_Ґ 161 2" xfId="42108"/>
    <cellStyle name="_x0004_Ґ 162" xfId="12065"/>
    <cellStyle name="_x0004_Ґ 162 2" xfId="42109"/>
    <cellStyle name="_x0004_Ґ 163" xfId="12066"/>
    <cellStyle name="_x0004_Ґ 163 2" xfId="42110"/>
    <cellStyle name="_x0004_Ґ 164" xfId="12067"/>
    <cellStyle name="_x0004_Ґ 164 2" xfId="42111"/>
    <cellStyle name="_x0004_Ґ 165" xfId="12068"/>
    <cellStyle name="_x0004_Ґ 165 2" xfId="42112"/>
    <cellStyle name="_x0004_Ґ 166" xfId="12069"/>
    <cellStyle name="_x0004_Ґ 166 2" xfId="42113"/>
    <cellStyle name="_x0004_Ґ 167" xfId="12070"/>
    <cellStyle name="_x0004_Ґ 167 2" xfId="42114"/>
    <cellStyle name="_x0004_Ґ 168" xfId="12071"/>
    <cellStyle name="_x0004_Ґ 168 2" xfId="42115"/>
    <cellStyle name="_x0004_Ґ 169" xfId="12072"/>
    <cellStyle name="_x0004_Ґ 169 2" xfId="42116"/>
    <cellStyle name="_x0004_Ґ 17" xfId="12073"/>
    <cellStyle name="_x0004_Ґ 17 2" xfId="42117"/>
    <cellStyle name="_x0004_Ґ 170" xfId="12074"/>
    <cellStyle name="_x0004_Ґ 170 2" xfId="42118"/>
    <cellStyle name="_x0004_Ґ 171" xfId="12075"/>
    <cellStyle name="_x0004_Ґ 171 2" xfId="42119"/>
    <cellStyle name="_x0004_Ґ 172" xfId="12076"/>
    <cellStyle name="_x0004_Ґ 172 2" xfId="42120"/>
    <cellStyle name="_x0004_Ґ 173" xfId="12077"/>
    <cellStyle name="_x0004_Ґ 173 2" xfId="42121"/>
    <cellStyle name="_x0004_Ґ 174" xfId="12078"/>
    <cellStyle name="_x0004_Ґ 174 2" xfId="42122"/>
    <cellStyle name="_x0004_Ґ 175" xfId="12079"/>
    <cellStyle name="_x0004_Ґ 175 2" xfId="42123"/>
    <cellStyle name="_x0004_Ґ 176" xfId="12080"/>
    <cellStyle name="_x0004_Ґ 176 2" xfId="42124"/>
    <cellStyle name="_x0004_Ґ 177" xfId="12081"/>
    <cellStyle name="_x0004_Ґ 177 2" xfId="42125"/>
    <cellStyle name="_x0004_Ґ 178" xfId="42126"/>
    <cellStyle name="_x0004_Ґ 18" xfId="12082"/>
    <cellStyle name="_x0004_Ґ 18 2" xfId="42127"/>
    <cellStyle name="_x0004_Ґ 19" xfId="12083"/>
    <cellStyle name="_x0004_Ґ 19 2" xfId="42128"/>
    <cellStyle name="_x0004_Ґ 2" xfId="12084"/>
    <cellStyle name="_x0004_Ґ 2 10" xfId="12085"/>
    <cellStyle name="_x0004_Ґ 2 10 2" xfId="42129"/>
    <cellStyle name="_x0004_Ґ 2 11" xfId="12086"/>
    <cellStyle name="_x0004_Ґ 2 11 2" xfId="42130"/>
    <cellStyle name="_x0004_Ґ 2 12" xfId="12087"/>
    <cellStyle name="_x0004_Ґ 2 12 2" xfId="42131"/>
    <cellStyle name="_x0004_Ґ 2 13" xfId="12088"/>
    <cellStyle name="_x0004_Ґ 2 13 2" xfId="42132"/>
    <cellStyle name="_x0004_Ґ 2 14" xfId="12089"/>
    <cellStyle name="_x0004_Ґ 2 14 2" xfId="42133"/>
    <cellStyle name="_x0004_Ґ 2 15" xfId="12090"/>
    <cellStyle name="_x0004_Ґ 2 15 2" xfId="42134"/>
    <cellStyle name="_x0004_Ґ 2 16" xfId="12091"/>
    <cellStyle name="_x0004_Ґ 2 16 2" xfId="42135"/>
    <cellStyle name="_x0004_Ґ 2 17" xfId="12092"/>
    <cellStyle name="_x0004_Ґ 2 17 2" xfId="42136"/>
    <cellStyle name="_x0004_Ґ 2 18" xfId="12093"/>
    <cellStyle name="_x0004_Ґ 2 18 2" xfId="42137"/>
    <cellStyle name="_x0004_Ґ 2 19" xfId="12094"/>
    <cellStyle name="_x0004_Ґ 2 19 2" xfId="42138"/>
    <cellStyle name="_x0004_Ґ 2 2" xfId="12095"/>
    <cellStyle name="_x0004_Ґ 2 2 10" xfId="12096"/>
    <cellStyle name="_x0004_Ґ 2 2 10 2" xfId="42139"/>
    <cellStyle name="_x0004_Ґ 2 2 11" xfId="12097"/>
    <cellStyle name="_x0004_Ґ 2 2 11 2" xfId="42140"/>
    <cellStyle name="_x0004_Ґ 2 2 12" xfId="12098"/>
    <cellStyle name="_x0004_Ґ 2 2 12 2" xfId="42141"/>
    <cellStyle name="_x0004_Ґ 2 2 13" xfId="12099"/>
    <cellStyle name="_x0004_Ґ 2 2 13 2" xfId="42142"/>
    <cellStyle name="_x0004_Ґ 2 2 14" xfId="12100"/>
    <cellStyle name="_x0004_Ґ 2 2 14 2" xfId="42143"/>
    <cellStyle name="_x0004_Ґ 2 2 15" xfId="12101"/>
    <cellStyle name="_x0004_Ґ 2 2 15 2" xfId="42144"/>
    <cellStyle name="_x0004_Ґ 2 2 16" xfId="12102"/>
    <cellStyle name="_x0004_Ґ 2 2 16 2" xfId="42145"/>
    <cellStyle name="_x0004_Ґ 2 2 17" xfId="12103"/>
    <cellStyle name="_x0004_Ґ 2 2 17 2" xfId="42146"/>
    <cellStyle name="_x0004_Ґ 2 2 18" xfId="12104"/>
    <cellStyle name="_x0004_Ґ 2 2 18 2" xfId="42147"/>
    <cellStyle name="_x0004_Ґ 2 2 19" xfId="12105"/>
    <cellStyle name="_x0004_Ґ 2 2 19 2" xfId="42148"/>
    <cellStyle name="_x0004_Ґ 2 2 2" xfId="12106"/>
    <cellStyle name="_x0004_Ґ 2 2 2 2" xfId="42149"/>
    <cellStyle name="_x0004_Ґ 2 2 20" xfId="12107"/>
    <cellStyle name="_x0004_Ґ 2 2 20 2" xfId="42150"/>
    <cellStyle name="_x0004_Ґ 2 2 21" xfId="12108"/>
    <cellStyle name="_x0004_Ґ 2 2 21 2" xfId="42151"/>
    <cellStyle name="_x0004_Ґ 2 2 22" xfId="12109"/>
    <cellStyle name="_x0004_Ґ 2 2 22 2" xfId="42152"/>
    <cellStyle name="_x0004_Ґ 2 2 23" xfId="12110"/>
    <cellStyle name="_x0004_Ґ 2 2 23 2" xfId="42153"/>
    <cellStyle name="_x0004_Ґ 2 2 24" xfId="12111"/>
    <cellStyle name="_x0004_Ґ 2 2 24 2" xfId="42154"/>
    <cellStyle name="_x0004_Ґ 2 2 25" xfId="12112"/>
    <cellStyle name="_x0004_Ґ 2 2 25 2" xfId="42155"/>
    <cellStyle name="_x0004_Ґ 2 2 26" xfId="12113"/>
    <cellStyle name="_x0004_Ґ 2 2 26 2" xfId="42156"/>
    <cellStyle name="_x0004_Ґ 2 2 27" xfId="12114"/>
    <cellStyle name="_x0004_Ґ 2 2 27 2" xfId="42157"/>
    <cellStyle name="_x0004_Ґ 2 2 28" xfId="12115"/>
    <cellStyle name="_x0004_Ґ 2 2 28 2" xfId="42158"/>
    <cellStyle name="_x0004_Ґ 2 2 29" xfId="12116"/>
    <cellStyle name="_x0004_Ґ 2 2 29 2" xfId="42159"/>
    <cellStyle name="_x0004_Ґ 2 2 3" xfId="12117"/>
    <cellStyle name="_x0004_Ґ 2 2 3 2" xfId="42160"/>
    <cellStyle name="_x0004_Ґ 2 2 30" xfId="12118"/>
    <cellStyle name="_x0004_Ґ 2 2 30 2" xfId="42161"/>
    <cellStyle name="_x0004_Ґ 2 2 31" xfId="12119"/>
    <cellStyle name="_x0004_Ґ 2 2 31 2" xfId="42162"/>
    <cellStyle name="_x0004_Ґ 2 2 32" xfId="12120"/>
    <cellStyle name="_x0004_Ґ 2 2 32 2" xfId="42163"/>
    <cellStyle name="_x0004_Ґ 2 2 33" xfId="12121"/>
    <cellStyle name="_x0004_Ґ 2 2 33 2" xfId="42164"/>
    <cellStyle name="_x0004_Ґ 2 2 34" xfId="12122"/>
    <cellStyle name="_x0004_Ґ 2 2 34 2" xfId="42165"/>
    <cellStyle name="_x0004_Ґ 2 2 35" xfId="12123"/>
    <cellStyle name="_x0004_Ґ 2 2 35 2" xfId="42166"/>
    <cellStyle name="_x0004_Ґ 2 2 36" xfId="12124"/>
    <cellStyle name="_x0004_Ґ 2 2 36 2" xfId="42167"/>
    <cellStyle name="_x0004_Ґ 2 2 37" xfId="12125"/>
    <cellStyle name="_x0004_Ґ 2 2 37 2" xfId="42168"/>
    <cellStyle name="_x0004_Ґ 2 2 38" xfId="12126"/>
    <cellStyle name="_x0004_Ґ 2 2 38 2" xfId="42169"/>
    <cellStyle name="_x0004_Ґ 2 2 39" xfId="12127"/>
    <cellStyle name="_x0004_Ґ 2 2 39 2" xfId="42170"/>
    <cellStyle name="_x0004_Ґ 2 2 4" xfId="12128"/>
    <cellStyle name="_x0004_Ґ 2 2 4 2" xfId="42171"/>
    <cellStyle name="_x0004_Ґ 2 2 40" xfId="12129"/>
    <cellStyle name="_x0004_Ґ 2 2 40 2" xfId="42172"/>
    <cellStyle name="_x0004_Ґ 2 2 41" xfId="12130"/>
    <cellStyle name="_x0004_Ґ 2 2 41 2" xfId="42173"/>
    <cellStyle name="_x0004_Ґ 2 2 42" xfId="12131"/>
    <cellStyle name="_x0004_Ґ 2 2 42 2" xfId="42174"/>
    <cellStyle name="_x0004_Ґ 2 2 43" xfId="12132"/>
    <cellStyle name="_x0004_Ґ 2 2 43 2" xfId="42175"/>
    <cellStyle name="_x0004_Ґ 2 2 44" xfId="12133"/>
    <cellStyle name="_x0004_Ґ 2 2 44 2" xfId="42176"/>
    <cellStyle name="_x0004_Ґ 2 2 45" xfId="12134"/>
    <cellStyle name="_x0004_Ґ 2 2 45 2" xfId="42177"/>
    <cellStyle name="_x0004_Ґ 2 2 46" xfId="12135"/>
    <cellStyle name="_x0004_Ґ 2 2 46 2" xfId="42178"/>
    <cellStyle name="_x0004_Ґ 2 2 47" xfId="12136"/>
    <cellStyle name="_x0004_Ґ 2 2 47 2" xfId="42179"/>
    <cellStyle name="_x0004_Ґ 2 2 48" xfId="12137"/>
    <cellStyle name="_x0004_Ґ 2 2 48 2" xfId="42180"/>
    <cellStyle name="_x0004_Ґ 2 2 49" xfId="12138"/>
    <cellStyle name="_x0004_Ґ 2 2 49 2" xfId="42181"/>
    <cellStyle name="_x0004_Ґ 2 2 5" xfId="12139"/>
    <cellStyle name="_x0004_Ґ 2 2 5 2" xfId="42182"/>
    <cellStyle name="_x0004_Ґ 2 2 50" xfId="12140"/>
    <cellStyle name="_x0004_Ґ 2 2 50 2" xfId="42183"/>
    <cellStyle name="_x0004_Ґ 2 2 51" xfId="12141"/>
    <cellStyle name="_x0004_Ґ 2 2 51 2" xfId="42184"/>
    <cellStyle name="_x0004_Ґ 2 2 52" xfId="42185"/>
    <cellStyle name="_x0004_Ґ 2 2 6" xfId="12142"/>
    <cellStyle name="_x0004_Ґ 2 2 6 2" xfId="42186"/>
    <cellStyle name="_x0004_Ґ 2 2 7" xfId="12143"/>
    <cellStyle name="_x0004_Ґ 2 2 7 2" xfId="42187"/>
    <cellStyle name="_x0004_Ґ 2 2 8" xfId="12144"/>
    <cellStyle name="_x0004_Ґ 2 2 8 2" xfId="42188"/>
    <cellStyle name="_x0004_Ґ 2 2 9" xfId="12145"/>
    <cellStyle name="_x0004_Ґ 2 2 9 2" xfId="42189"/>
    <cellStyle name="_x0004_Ґ 2 20" xfId="12146"/>
    <cellStyle name="_x0004_Ґ 2 20 2" xfId="42190"/>
    <cellStyle name="_x0004_Ґ 2 21" xfId="12147"/>
    <cellStyle name="_x0004_Ґ 2 21 2" xfId="42191"/>
    <cellStyle name="_x0004_Ґ 2 22" xfId="12148"/>
    <cellStyle name="_x0004_Ґ 2 22 2" xfId="42192"/>
    <cellStyle name="_x0004_Ґ 2 23" xfId="12149"/>
    <cellStyle name="_x0004_Ґ 2 23 2" xfId="42193"/>
    <cellStyle name="_x0004_Ґ 2 24" xfId="12150"/>
    <cellStyle name="_x0004_Ґ 2 24 2" xfId="42194"/>
    <cellStyle name="_x0004_Ґ 2 25" xfId="12151"/>
    <cellStyle name="_x0004_Ґ 2 25 2" xfId="42195"/>
    <cellStyle name="_x0004_Ґ 2 26" xfId="12152"/>
    <cellStyle name="_x0004_Ґ 2 26 2" xfId="42196"/>
    <cellStyle name="_x0004_Ґ 2 27" xfId="12153"/>
    <cellStyle name="_x0004_Ґ 2 27 2" xfId="42197"/>
    <cellStyle name="_x0004_Ґ 2 28" xfId="12154"/>
    <cellStyle name="_x0004_Ґ 2 28 2" xfId="42198"/>
    <cellStyle name="_x0004_Ґ 2 29" xfId="12155"/>
    <cellStyle name="_x0004_Ґ 2 29 2" xfId="42199"/>
    <cellStyle name="_x0004_Ґ 2 3" xfId="12156"/>
    <cellStyle name="_x0004_Ґ 2 3 2" xfId="42200"/>
    <cellStyle name="_x0004_Ґ 2 30" xfId="12157"/>
    <cellStyle name="_x0004_Ґ 2 30 2" xfId="42201"/>
    <cellStyle name="_x0004_Ґ 2 31" xfId="12158"/>
    <cellStyle name="_x0004_Ґ 2 31 2" xfId="42202"/>
    <cellStyle name="_x0004_Ґ 2 32" xfId="12159"/>
    <cellStyle name="_x0004_Ґ 2 32 2" xfId="42203"/>
    <cellStyle name="_x0004_Ґ 2 33" xfId="12160"/>
    <cellStyle name="_x0004_Ґ 2 33 2" xfId="42204"/>
    <cellStyle name="_x0004_Ґ 2 34" xfId="12161"/>
    <cellStyle name="_x0004_Ґ 2 34 2" xfId="42205"/>
    <cellStyle name="_x0004_Ґ 2 35" xfId="12162"/>
    <cellStyle name="_x0004_Ґ 2 35 2" xfId="42206"/>
    <cellStyle name="_x0004_Ґ 2 36" xfId="12163"/>
    <cellStyle name="_x0004_Ґ 2 36 2" xfId="42207"/>
    <cellStyle name="_x0004_Ґ 2 37" xfId="12164"/>
    <cellStyle name="_x0004_Ґ 2 37 2" xfId="42208"/>
    <cellStyle name="_x0004_Ґ 2 38" xfId="12165"/>
    <cellStyle name="_x0004_Ґ 2 38 2" xfId="42209"/>
    <cellStyle name="_x0004_Ґ 2 39" xfId="12166"/>
    <cellStyle name="_x0004_Ґ 2 39 2" xfId="42210"/>
    <cellStyle name="_x0004_Ґ 2 4" xfId="12167"/>
    <cellStyle name="_x0004_Ґ 2 4 2" xfId="42211"/>
    <cellStyle name="_x0004_Ґ 2 40" xfId="12168"/>
    <cellStyle name="_x0004_Ґ 2 40 2" xfId="42212"/>
    <cellStyle name="_x0004_Ґ 2 41" xfId="12169"/>
    <cellStyle name="_x0004_Ґ 2 41 2" xfId="42213"/>
    <cellStyle name="_x0004_Ґ 2 42" xfId="12170"/>
    <cellStyle name="_x0004_Ґ 2 42 2" xfId="42214"/>
    <cellStyle name="_x0004_Ґ 2 43" xfId="12171"/>
    <cellStyle name="_x0004_Ґ 2 43 2" xfId="42215"/>
    <cellStyle name="_x0004_Ґ 2 44" xfId="12172"/>
    <cellStyle name="_x0004_Ґ 2 44 2" xfId="42216"/>
    <cellStyle name="_x0004_Ґ 2 45" xfId="12173"/>
    <cellStyle name="_x0004_Ґ 2 45 2" xfId="42217"/>
    <cellStyle name="_x0004_Ґ 2 46" xfId="12174"/>
    <cellStyle name="_x0004_Ґ 2 46 2" xfId="42218"/>
    <cellStyle name="_x0004_Ґ 2 47" xfId="12175"/>
    <cellStyle name="_x0004_Ґ 2 47 2" xfId="42219"/>
    <cellStyle name="_x0004_Ґ 2 48" xfId="12176"/>
    <cellStyle name="_x0004_Ґ 2 48 2" xfId="42220"/>
    <cellStyle name="_x0004_Ґ 2 49" xfId="12177"/>
    <cellStyle name="_x0004_Ґ 2 49 2" xfId="42221"/>
    <cellStyle name="_x0004_Ґ 2 5" xfId="12178"/>
    <cellStyle name="_x0004_Ґ 2 5 2" xfId="42222"/>
    <cellStyle name="_x0004_Ґ 2 50" xfId="12179"/>
    <cellStyle name="_x0004_Ґ 2 50 2" xfId="42223"/>
    <cellStyle name="_x0004_Ґ 2 51" xfId="12180"/>
    <cellStyle name="_x0004_Ґ 2 51 2" xfId="42224"/>
    <cellStyle name="_x0004_Ґ 2 52" xfId="12181"/>
    <cellStyle name="_x0004_Ґ 2 52 2" xfId="42225"/>
    <cellStyle name="_x0004_Ґ 2 53" xfId="12182"/>
    <cellStyle name="_x0004_Ґ 2 53 2" xfId="42226"/>
    <cellStyle name="_x0004_Ґ 2 54" xfId="12183"/>
    <cellStyle name="_x0004_Ґ 2 54 2" xfId="42227"/>
    <cellStyle name="_x0004_Ґ 2 55" xfId="12184"/>
    <cellStyle name="_x0004_Ґ 2 55 2" xfId="42228"/>
    <cellStyle name="_x0004_Ґ 2 56" xfId="12185"/>
    <cellStyle name="_x0004_Ґ 2 56 2" xfId="42229"/>
    <cellStyle name="_x0004_Ґ 2 57" xfId="12186"/>
    <cellStyle name="_x0004_Ґ 2 57 2" xfId="42230"/>
    <cellStyle name="_x0004_Ґ 2 58" xfId="12187"/>
    <cellStyle name="_x0004_Ґ 2 58 2" xfId="42231"/>
    <cellStyle name="_x0004_Ґ 2 59" xfId="12188"/>
    <cellStyle name="_x0004_Ґ 2 59 2" xfId="42232"/>
    <cellStyle name="_x0004_Ґ 2 6" xfId="12189"/>
    <cellStyle name="_x0004_Ґ 2 6 2" xfId="42233"/>
    <cellStyle name="_x0004_Ґ 2 60" xfId="12190"/>
    <cellStyle name="_x0004_Ґ 2 60 2" xfId="42234"/>
    <cellStyle name="_x0004_Ґ 2 61" xfId="12191"/>
    <cellStyle name="_x0004_Ґ 2 61 2" xfId="42235"/>
    <cellStyle name="_x0004_Ґ 2 62" xfId="12192"/>
    <cellStyle name="_x0004_Ґ 2 62 2" xfId="42236"/>
    <cellStyle name="_x0004_Ґ 2 63" xfId="12193"/>
    <cellStyle name="_x0004_Ґ 2 63 2" xfId="42237"/>
    <cellStyle name="_x0004_Ґ 2 64" xfId="12194"/>
    <cellStyle name="_x0004_Ґ 2 64 2" xfId="42238"/>
    <cellStyle name="_x0004_Ґ 2 65" xfId="12195"/>
    <cellStyle name="_x0004_Ґ 2 65 2" xfId="42239"/>
    <cellStyle name="_x0004_Ґ 2 66" xfId="12196"/>
    <cellStyle name="_x0004_Ґ 2 66 2" xfId="42240"/>
    <cellStyle name="_x0004_Ґ 2 67" xfId="12197"/>
    <cellStyle name="_x0004_Ґ 2 67 2" xfId="42241"/>
    <cellStyle name="_x0004_Ґ 2 68" xfId="12198"/>
    <cellStyle name="_x0004_Ґ 2 68 2" xfId="42242"/>
    <cellStyle name="_x0004_Ґ 2 69" xfId="12199"/>
    <cellStyle name="_x0004_Ґ 2 69 2" xfId="42243"/>
    <cellStyle name="_x0004_Ґ 2 7" xfId="12200"/>
    <cellStyle name="_x0004_Ґ 2 7 2" xfId="42244"/>
    <cellStyle name="_x0004_Ґ 2 70" xfId="12201"/>
    <cellStyle name="_x0004_Ґ 2 70 2" xfId="42245"/>
    <cellStyle name="_x0004_Ґ 2 71" xfId="12202"/>
    <cellStyle name="_x0004_Ґ 2 71 2" xfId="42246"/>
    <cellStyle name="_x0004_Ґ 2 72" xfId="12203"/>
    <cellStyle name="_x0004_Ґ 2 72 2" xfId="42247"/>
    <cellStyle name="_x0004_Ґ 2 73" xfId="12204"/>
    <cellStyle name="_x0004_Ґ 2 73 2" xfId="42248"/>
    <cellStyle name="_x0004_Ґ 2 74" xfId="12205"/>
    <cellStyle name="_x0004_Ґ 2 74 2" xfId="42249"/>
    <cellStyle name="_x0004_Ґ 2 75" xfId="12206"/>
    <cellStyle name="_x0004_Ґ 2 75 2" xfId="42250"/>
    <cellStyle name="_x0004_Ґ 2 76" xfId="12207"/>
    <cellStyle name="_x0004_Ґ 2 76 2" xfId="42251"/>
    <cellStyle name="_x0004_Ґ 2 77" xfId="12208"/>
    <cellStyle name="_x0004_Ґ 2 77 2" xfId="42252"/>
    <cellStyle name="_x0004_Ґ 2 78" xfId="12209"/>
    <cellStyle name="_x0004_Ґ 2 78 2" xfId="42253"/>
    <cellStyle name="_x0004_Ґ 2 79" xfId="12210"/>
    <cellStyle name="_x0004_Ґ 2 79 2" xfId="42254"/>
    <cellStyle name="_x0004_Ґ 2 8" xfId="12211"/>
    <cellStyle name="_x0004_Ґ 2 8 2" xfId="42255"/>
    <cellStyle name="_x0004_Ґ 2 80" xfId="42256"/>
    <cellStyle name="_x0004_Ґ 2 9" xfId="12212"/>
    <cellStyle name="_x0004_Ґ 2 9 2" xfId="42257"/>
    <cellStyle name="_x0004_Ґ 20" xfId="12213"/>
    <cellStyle name="_x0004_Ґ 20 2" xfId="42258"/>
    <cellStyle name="_x0004_Ґ 21" xfId="12214"/>
    <cellStyle name="_x0004_Ґ 21 2" xfId="42259"/>
    <cellStyle name="_x0004_Ґ 22" xfId="12215"/>
    <cellStyle name="_x0004_Ґ 22 2" xfId="42260"/>
    <cellStyle name="_x0004_Ґ 23" xfId="12216"/>
    <cellStyle name="_x0004_Ґ 23 2" xfId="42261"/>
    <cellStyle name="_x0004_Ґ 24" xfId="12217"/>
    <cellStyle name="_x0004_Ґ 24 2" xfId="42262"/>
    <cellStyle name="_x0004_Ґ 25" xfId="12218"/>
    <cellStyle name="_x0004_Ґ 25 2" xfId="42263"/>
    <cellStyle name="_x0004_Ґ 26" xfId="12219"/>
    <cellStyle name="_x0004_Ґ 26 2" xfId="42264"/>
    <cellStyle name="_x0004_Ґ 27" xfId="12220"/>
    <cellStyle name="_x0004_Ґ 27 2" xfId="42265"/>
    <cellStyle name="_x0004_Ґ 28" xfId="12221"/>
    <cellStyle name="_x0004_Ґ 28 2" xfId="42266"/>
    <cellStyle name="_x0004_Ґ 29" xfId="12222"/>
    <cellStyle name="_x0004_Ґ 29 2" xfId="42267"/>
    <cellStyle name="_x0004_Ґ 3" xfId="12223"/>
    <cellStyle name="_x0004_Ґ 3 2" xfId="12224"/>
    <cellStyle name="_x0004_Ґ 3 2 2" xfId="42268"/>
    <cellStyle name="_x0004_Ґ 3 3" xfId="12225"/>
    <cellStyle name="_x0004_Ґ 3 3 2" xfId="42269"/>
    <cellStyle name="_x0004_Ґ 3 4" xfId="12226"/>
    <cellStyle name="_x0004_Ґ 3 4 2" xfId="42270"/>
    <cellStyle name="_x0004_Ґ 3 5" xfId="12227"/>
    <cellStyle name="_x0004_Ґ 3 5 2" xfId="42271"/>
    <cellStyle name="_x0004_Ґ 3 6" xfId="12228"/>
    <cellStyle name="_x0004_Ґ 3 6 2" xfId="42272"/>
    <cellStyle name="_x0004_Ґ 3 7" xfId="12229"/>
    <cellStyle name="_x0004_Ґ 3 7 2" xfId="42273"/>
    <cellStyle name="_x0004_Ґ 3 8" xfId="42274"/>
    <cellStyle name="_x0004_Ґ 30" xfId="12230"/>
    <cellStyle name="_x0004_Ґ 30 2" xfId="42275"/>
    <cellStyle name="_x0004_Ґ 31" xfId="12231"/>
    <cellStyle name="_x0004_Ґ 31 2" xfId="42276"/>
    <cellStyle name="_x0004_Ґ 32" xfId="12232"/>
    <cellStyle name="_x0004_Ґ 32 2" xfId="42277"/>
    <cellStyle name="_x0004_Ґ 33" xfId="12233"/>
    <cellStyle name="_x0004_Ґ 33 2" xfId="42278"/>
    <cellStyle name="_x0004_Ґ 34" xfId="12234"/>
    <cellStyle name="_x0004_Ґ 34 2" xfId="42279"/>
    <cellStyle name="_x0004_Ґ 35" xfId="12235"/>
    <cellStyle name="_x0004_Ґ 35 2" xfId="42280"/>
    <cellStyle name="_x0004_Ґ 36" xfId="12236"/>
    <cellStyle name="_x0004_Ґ 36 2" xfId="42281"/>
    <cellStyle name="_x0004_Ґ 37" xfId="12237"/>
    <cellStyle name="_x0004_Ґ 37 2" xfId="42282"/>
    <cellStyle name="_x0004_Ґ 38" xfId="12238"/>
    <cellStyle name="_x0004_Ґ 38 2" xfId="42283"/>
    <cellStyle name="_x0004_Ґ 39" xfId="12239"/>
    <cellStyle name="_x0004_Ґ 39 2" xfId="42284"/>
    <cellStyle name="_x0004_Ґ 4" xfId="12240"/>
    <cellStyle name="_x0004_Ґ 4 2" xfId="12241"/>
    <cellStyle name="_x0004_Ґ 4 2 2" xfId="42285"/>
    <cellStyle name="_x0004_Ґ 4 3" xfId="12242"/>
    <cellStyle name="_x0004_Ґ 4 3 2" xfId="42286"/>
    <cellStyle name="_x0004_Ґ 4 4" xfId="12243"/>
    <cellStyle name="_x0004_Ґ 4 4 2" xfId="42287"/>
    <cellStyle name="_x0004_Ґ 4 5" xfId="12244"/>
    <cellStyle name="_x0004_Ґ 4 5 2" xfId="42288"/>
    <cellStyle name="_x0004_Ґ 4 6" xfId="12245"/>
    <cellStyle name="_x0004_Ґ 4 6 2" xfId="42289"/>
    <cellStyle name="_x0004_Ґ 4 7" xfId="12246"/>
    <cellStyle name="_x0004_Ґ 4 7 2" xfId="42290"/>
    <cellStyle name="_x0004_Ґ 4 8" xfId="42291"/>
    <cellStyle name="_x0004_Ґ 40" xfId="12247"/>
    <cellStyle name="_x0004_Ґ 40 2" xfId="42292"/>
    <cellStyle name="_x0004_Ґ 41" xfId="12248"/>
    <cellStyle name="_x0004_Ґ 41 2" xfId="42293"/>
    <cellStyle name="_x0004_Ґ 42" xfId="12249"/>
    <cellStyle name="_x0004_Ґ 42 2" xfId="42294"/>
    <cellStyle name="_x0004_Ґ 43" xfId="12250"/>
    <cellStyle name="_x0004_Ґ 43 2" xfId="42295"/>
    <cellStyle name="_x0004_Ґ 44" xfId="12251"/>
    <cellStyle name="_x0004_Ґ 44 2" xfId="42296"/>
    <cellStyle name="_x0004_Ґ 45" xfId="12252"/>
    <cellStyle name="_x0004_Ґ 45 2" xfId="42297"/>
    <cellStyle name="_x0004_Ґ 46" xfId="12253"/>
    <cellStyle name="_x0004_Ґ 46 2" xfId="42298"/>
    <cellStyle name="_x0004_Ґ 47" xfId="12254"/>
    <cellStyle name="_x0004_Ґ 47 2" xfId="42299"/>
    <cellStyle name="_x0004_Ґ 48" xfId="12255"/>
    <cellStyle name="_x0004_Ґ 48 2" xfId="42300"/>
    <cellStyle name="_x0004_Ґ 49" xfId="12256"/>
    <cellStyle name="_x0004_Ґ 49 2" xfId="42301"/>
    <cellStyle name="_x0004_Ґ 5" xfId="12257"/>
    <cellStyle name="_x0004_Ґ 5 2" xfId="42302"/>
    <cellStyle name="_x0004_Ґ 50" xfId="12258"/>
    <cellStyle name="_x0004_Ґ 50 2" xfId="42303"/>
    <cellStyle name="_x0004_Ґ 51" xfId="12259"/>
    <cellStyle name="_x0004_Ґ 51 2" xfId="42304"/>
    <cellStyle name="_x0004_Ґ 52" xfId="12260"/>
    <cellStyle name="_x0004_Ґ 52 2" xfId="42305"/>
    <cellStyle name="_x0004_Ґ 53" xfId="12261"/>
    <cellStyle name="_x0004_Ґ 53 2" xfId="42306"/>
    <cellStyle name="_x0004_Ґ 54" xfId="12262"/>
    <cellStyle name="_x0004_Ґ 54 2" xfId="42307"/>
    <cellStyle name="_x0004_Ґ 55" xfId="12263"/>
    <cellStyle name="_x0004_Ґ 55 2" xfId="42308"/>
    <cellStyle name="_x0004_Ґ 56" xfId="12264"/>
    <cellStyle name="_x0004_Ґ 56 2" xfId="42309"/>
    <cellStyle name="_x0004_Ґ 57" xfId="12265"/>
    <cellStyle name="_x0004_Ґ 57 2" xfId="42310"/>
    <cellStyle name="_x0004_Ґ 58" xfId="12266"/>
    <cellStyle name="_x0004_Ґ 58 2" xfId="42311"/>
    <cellStyle name="_x0004_Ґ 59" xfId="12267"/>
    <cellStyle name="_x0004_Ґ 59 2" xfId="42312"/>
    <cellStyle name="_x0004_Ґ 6" xfId="12268"/>
    <cellStyle name="_x0004_Ґ 6 2" xfId="42313"/>
    <cellStyle name="_x0004_Ґ 60" xfId="12269"/>
    <cellStyle name="_x0004_Ґ 60 2" xfId="42314"/>
    <cellStyle name="_x0004_Ґ 61" xfId="12270"/>
    <cellStyle name="_x0004_Ґ 61 2" xfId="42315"/>
    <cellStyle name="_x0004_Ґ 62" xfId="12271"/>
    <cellStyle name="_x0004_Ґ 62 2" xfId="42316"/>
    <cellStyle name="_x0004_Ґ 63" xfId="12272"/>
    <cellStyle name="_x0004_Ґ 63 2" xfId="42317"/>
    <cellStyle name="_x0004_Ґ 64" xfId="12273"/>
    <cellStyle name="_x0004_Ґ 64 2" xfId="42318"/>
    <cellStyle name="_x0004_Ґ 65" xfId="12274"/>
    <cellStyle name="_x0004_Ґ 65 2" xfId="42319"/>
    <cellStyle name="_x0004_Ґ 66" xfId="12275"/>
    <cellStyle name="_x0004_Ґ 66 2" xfId="42320"/>
    <cellStyle name="_x0004_Ґ 67" xfId="12276"/>
    <cellStyle name="_x0004_Ґ 67 2" xfId="42321"/>
    <cellStyle name="_x0004_Ґ 68" xfId="12277"/>
    <cellStyle name="_x0004_Ґ 68 2" xfId="42322"/>
    <cellStyle name="_x0004_Ґ 69" xfId="12278"/>
    <cellStyle name="_x0004_Ґ 69 2" xfId="42323"/>
    <cellStyle name="_x0004_Ґ 7" xfId="12279"/>
    <cellStyle name="_x0004_Ґ 7 2" xfId="42324"/>
    <cellStyle name="_x0004_Ґ 70" xfId="12280"/>
    <cellStyle name="_x0004_Ґ 70 2" xfId="42325"/>
    <cellStyle name="_x0004_Ґ 71" xfId="12281"/>
    <cellStyle name="_x0004_Ґ 71 2" xfId="42326"/>
    <cellStyle name="_x0004_Ґ 72" xfId="12282"/>
    <cellStyle name="_x0004_Ґ 72 2" xfId="42327"/>
    <cellStyle name="_x0004_Ґ 73" xfId="12283"/>
    <cellStyle name="_x0004_Ґ 73 2" xfId="42328"/>
    <cellStyle name="_x0004_Ґ 74" xfId="12284"/>
    <cellStyle name="_x0004_Ґ 74 2" xfId="42329"/>
    <cellStyle name="_x0004_Ґ 75" xfId="12285"/>
    <cellStyle name="_x0004_Ґ 75 2" xfId="42330"/>
    <cellStyle name="_x0004_Ґ 76" xfId="12286"/>
    <cellStyle name="_x0004_Ґ 76 2" xfId="42331"/>
    <cellStyle name="_x0004_Ґ 77" xfId="12287"/>
    <cellStyle name="_x0004_Ґ 77 2" xfId="42332"/>
    <cellStyle name="_x0004_Ґ 78" xfId="12288"/>
    <cellStyle name="_x0004_Ґ 78 2" xfId="42333"/>
    <cellStyle name="_x0004_Ґ 79" xfId="12289"/>
    <cellStyle name="_x0004_Ґ 79 2" xfId="42334"/>
    <cellStyle name="_x0004_Ґ 8" xfId="12290"/>
    <cellStyle name="_x0004_Ґ 8 2" xfId="42335"/>
    <cellStyle name="_x0004_Ґ 80" xfId="12291"/>
    <cellStyle name="_x0004_Ґ 80 2" xfId="42336"/>
    <cellStyle name="_x0004_Ґ 81" xfId="12292"/>
    <cellStyle name="_x0004_Ґ 81 2" xfId="42337"/>
    <cellStyle name="_x0004_Ґ 82" xfId="12293"/>
    <cellStyle name="_x0004_Ґ 82 2" xfId="42338"/>
    <cellStyle name="_x0004_Ґ 83" xfId="12294"/>
    <cellStyle name="_x0004_Ґ 83 2" xfId="42339"/>
    <cellStyle name="_x0004_Ґ 84" xfId="12295"/>
    <cellStyle name="_x0004_Ґ 84 2" xfId="42340"/>
    <cellStyle name="_x0004_Ґ 85" xfId="12296"/>
    <cellStyle name="_x0004_Ґ 85 2" xfId="42341"/>
    <cellStyle name="_x0004_Ґ 86" xfId="12297"/>
    <cellStyle name="_x0004_Ґ 86 2" xfId="42342"/>
    <cellStyle name="_x0004_Ґ 87" xfId="12298"/>
    <cellStyle name="_x0004_Ґ 87 2" xfId="42343"/>
    <cellStyle name="_x0004_Ґ 88" xfId="12299"/>
    <cellStyle name="_x0004_Ґ 88 2" xfId="42344"/>
    <cellStyle name="_x0004_Ґ 89" xfId="12300"/>
    <cellStyle name="_x0004_Ґ 89 2" xfId="42345"/>
    <cellStyle name="_x0004_Ґ 9" xfId="12301"/>
    <cellStyle name="_x0004_Ґ 9 2" xfId="42346"/>
    <cellStyle name="_x0004_Ґ 90" xfId="12302"/>
    <cellStyle name="_x0004_Ґ 90 2" xfId="42347"/>
    <cellStyle name="_x0004_Ґ 91" xfId="12303"/>
    <cellStyle name="_x0004_Ґ 91 2" xfId="42348"/>
    <cellStyle name="_x0004_Ґ 92" xfId="12304"/>
    <cellStyle name="_x0004_Ґ 92 2" xfId="42349"/>
    <cellStyle name="_x0004_Ґ 93" xfId="12305"/>
    <cellStyle name="_x0004_Ґ 93 2" xfId="42350"/>
    <cellStyle name="_x0004_Ґ 94" xfId="12306"/>
    <cellStyle name="_x0004_Ґ 94 2" xfId="42351"/>
    <cellStyle name="_x0004_Ґ 95" xfId="12307"/>
    <cellStyle name="_x0004_Ґ 95 2" xfId="42352"/>
    <cellStyle name="_x0004_Ґ 96" xfId="12308"/>
    <cellStyle name="_x0004_Ґ 96 2" xfId="42353"/>
    <cellStyle name="_x0004_Ґ 97" xfId="12309"/>
    <cellStyle name="_x0004_Ґ 97 2" xfId="42354"/>
    <cellStyle name="_x0004_Ґ 98" xfId="12310"/>
    <cellStyle name="_x0004_Ґ 98 2" xfId="42355"/>
    <cellStyle name="_x0004_Ґ 99" xfId="12311"/>
    <cellStyle name="_x0004_Ґ 99 2" xfId="42356"/>
    <cellStyle name="_x0004_Ґ_ГКПЗ" xfId="12312"/>
    <cellStyle name="Гиперссылка 2" xfId="11993"/>
    <cellStyle name="Гиперссылка 2 2" xfId="42038"/>
    <cellStyle name="Гиперссылка 3" xfId="11994"/>
    <cellStyle name="Гиперссылка 3 2" xfId="42039"/>
    <cellStyle name="Дата" xfId="12313"/>
    <cellStyle name="Денежный 2" xfId="12314"/>
    <cellStyle name="Денежный 2 10" xfId="12315"/>
    <cellStyle name="Денежный 2 10 2" xfId="59054"/>
    <cellStyle name="Денежный 2 11" xfId="12316"/>
    <cellStyle name="Денежный 2 11 2" xfId="59055"/>
    <cellStyle name="Денежный 2 12" xfId="12317"/>
    <cellStyle name="Денежный 2 12 2" xfId="59056"/>
    <cellStyle name="Денежный 2 13" xfId="12318"/>
    <cellStyle name="Денежный 2 13 2" xfId="59057"/>
    <cellStyle name="Денежный 2 14" xfId="12319"/>
    <cellStyle name="Денежный 2 14 2" xfId="59058"/>
    <cellStyle name="Денежный 2 15" xfId="12320"/>
    <cellStyle name="Денежный 2 15 2" xfId="59059"/>
    <cellStyle name="Денежный 2 16" xfId="12321"/>
    <cellStyle name="Денежный 2 16 2" xfId="59060"/>
    <cellStyle name="Денежный 2 17" xfId="12322"/>
    <cellStyle name="Денежный 2 17 2" xfId="59061"/>
    <cellStyle name="Денежный 2 18" xfId="12323"/>
    <cellStyle name="Денежный 2 18 2" xfId="59062"/>
    <cellStyle name="Денежный 2 19" xfId="12324"/>
    <cellStyle name="Денежный 2 19 2" xfId="59063"/>
    <cellStyle name="Денежный 2 2" xfId="12325"/>
    <cellStyle name="Денежный 2 2 2" xfId="59064"/>
    <cellStyle name="Денежный 2 20" xfId="12326"/>
    <cellStyle name="Денежный 2 20 2" xfId="59065"/>
    <cellStyle name="Денежный 2 21" xfId="12327"/>
    <cellStyle name="Денежный 2 21 2" xfId="59066"/>
    <cellStyle name="Денежный 2 22" xfId="12328"/>
    <cellStyle name="Денежный 2 22 2" xfId="59067"/>
    <cellStyle name="Денежный 2 23" xfId="12329"/>
    <cellStyle name="Денежный 2 23 2" xfId="59068"/>
    <cellStyle name="Денежный 2 24" xfId="12330"/>
    <cellStyle name="Денежный 2 24 2" xfId="59069"/>
    <cellStyle name="Денежный 2 25" xfId="59070"/>
    <cellStyle name="Денежный 2 3" xfId="12331"/>
    <cellStyle name="Денежный 2 3 2" xfId="59071"/>
    <cellStyle name="Денежный 2 4" xfId="12332"/>
    <cellStyle name="Денежный 2 4 2" xfId="59072"/>
    <cellStyle name="Денежный 2 5" xfId="12333"/>
    <cellStyle name="Денежный 2 5 2" xfId="59073"/>
    <cellStyle name="Денежный 2 6" xfId="12334"/>
    <cellStyle name="Денежный 2 6 2" xfId="59074"/>
    <cellStyle name="Денежный 2 7" xfId="12335"/>
    <cellStyle name="Денежный 2 7 2" xfId="59075"/>
    <cellStyle name="Денежный 2 8" xfId="12336"/>
    <cellStyle name="Денежный 2 8 2" xfId="59076"/>
    <cellStyle name="Денежный 2 9" xfId="12337"/>
    <cellStyle name="Денежный 2 9 2" xfId="59077"/>
    <cellStyle name="Денежный 3" xfId="12338"/>
    <cellStyle name="Денежный 3 2" xfId="59078"/>
    <cellStyle name="Денежный 4" xfId="12339"/>
    <cellStyle name="Денежный 4 2" xfId="59079"/>
    <cellStyle name="Денежный 5" xfId="12340"/>
    <cellStyle name="Денежный 5 2" xfId="59080"/>
    <cellStyle name="Заголовок" xfId="12341"/>
    <cellStyle name="Заголовок 1 2" xfId="12342"/>
    <cellStyle name="Заголовок 1 2 10" xfId="12343"/>
    <cellStyle name="Заголовок 1 2 10 2" xfId="42357"/>
    <cellStyle name="Заголовок 1 2 11" xfId="12344"/>
    <cellStyle name="Заголовок 1 2 11 2" xfId="42358"/>
    <cellStyle name="Заголовок 1 2 12" xfId="12345"/>
    <cellStyle name="Заголовок 1 2 12 2" xfId="42359"/>
    <cellStyle name="Заголовок 1 2 13" xfId="12346"/>
    <cellStyle name="Заголовок 1 2 13 2" xfId="42360"/>
    <cellStyle name="Заголовок 1 2 14" xfId="12347"/>
    <cellStyle name="Заголовок 1 2 14 2" xfId="42361"/>
    <cellStyle name="Заголовок 1 2 15" xfId="12348"/>
    <cellStyle name="Заголовок 1 2 15 2" xfId="42362"/>
    <cellStyle name="Заголовок 1 2 16" xfId="12349"/>
    <cellStyle name="Заголовок 1 2 16 2" xfId="42363"/>
    <cellStyle name="Заголовок 1 2 17" xfId="12350"/>
    <cellStyle name="Заголовок 1 2 17 2" xfId="42364"/>
    <cellStyle name="Заголовок 1 2 18" xfId="12351"/>
    <cellStyle name="Заголовок 1 2 18 2" xfId="42365"/>
    <cellStyle name="Заголовок 1 2 19" xfId="12352"/>
    <cellStyle name="Заголовок 1 2 19 2" xfId="42366"/>
    <cellStyle name="Заголовок 1 2 2" xfId="12353"/>
    <cellStyle name="Заголовок 1 2 2 2" xfId="42367"/>
    <cellStyle name="Заголовок 1 2 20" xfId="12354"/>
    <cellStyle name="Заголовок 1 2 20 2" xfId="42368"/>
    <cellStyle name="Заголовок 1 2 21" xfId="12355"/>
    <cellStyle name="Заголовок 1 2 21 2" xfId="42369"/>
    <cellStyle name="Заголовок 1 2 22" xfId="12356"/>
    <cellStyle name="Заголовок 1 2 22 2" xfId="42370"/>
    <cellStyle name="Заголовок 1 2 23" xfId="12357"/>
    <cellStyle name="Заголовок 1 2 23 2" xfId="42371"/>
    <cellStyle name="Заголовок 1 2 24" xfId="42372"/>
    <cellStyle name="Заголовок 1 2 3" xfId="12358"/>
    <cellStyle name="Заголовок 1 2 3 2" xfId="42373"/>
    <cellStyle name="Заголовок 1 2 4" xfId="12359"/>
    <cellStyle name="Заголовок 1 2 4 2" xfId="42374"/>
    <cellStyle name="Заголовок 1 2 5" xfId="12360"/>
    <cellStyle name="Заголовок 1 2 5 2" xfId="42375"/>
    <cellStyle name="Заголовок 1 2 6" xfId="12361"/>
    <cellStyle name="Заголовок 1 2 6 2" xfId="42376"/>
    <cellStyle name="Заголовок 1 2 7" xfId="12362"/>
    <cellStyle name="Заголовок 1 2 7 2" xfId="42377"/>
    <cellStyle name="Заголовок 1 2 8" xfId="12363"/>
    <cellStyle name="Заголовок 1 2 8 2" xfId="42378"/>
    <cellStyle name="Заголовок 1 2 9" xfId="12364"/>
    <cellStyle name="Заголовок 1 2 9 2" xfId="42379"/>
    <cellStyle name="Заголовок 1 3" xfId="12365"/>
    <cellStyle name="Заголовок 1 3 10" xfId="12366"/>
    <cellStyle name="Заголовок 1 3 10 2" xfId="42380"/>
    <cellStyle name="Заголовок 1 3 11" xfId="12367"/>
    <cellStyle name="Заголовок 1 3 11 2" xfId="42381"/>
    <cellStyle name="Заголовок 1 3 12" xfId="12368"/>
    <cellStyle name="Заголовок 1 3 12 2" xfId="42382"/>
    <cellStyle name="Заголовок 1 3 13" xfId="12369"/>
    <cellStyle name="Заголовок 1 3 13 2" xfId="42383"/>
    <cellStyle name="Заголовок 1 3 14" xfId="12370"/>
    <cellStyle name="Заголовок 1 3 14 2" xfId="42384"/>
    <cellStyle name="Заголовок 1 3 15" xfId="12371"/>
    <cellStyle name="Заголовок 1 3 15 2" xfId="42385"/>
    <cellStyle name="Заголовок 1 3 16" xfId="12372"/>
    <cellStyle name="Заголовок 1 3 16 2" xfId="42386"/>
    <cellStyle name="Заголовок 1 3 17" xfId="12373"/>
    <cellStyle name="Заголовок 1 3 17 2" xfId="42387"/>
    <cellStyle name="Заголовок 1 3 18" xfId="12374"/>
    <cellStyle name="Заголовок 1 3 18 2" xfId="42388"/>
    <cellStyle name="Заголовок 1 3 19" xfId="12375"/>
    <cellStyle name="Заголовок 1 3 19 2" xfId="42389"/>
    <cellStyle name="Заголовок 1 3 2" xfId="12376"/>
    <cellStyle name="Заголовок 1 3 2 2" xfId="42390"/>
    <cellStyle name="Заголовок 1 3 20" xfId="12377"/>
    <cellStyle name="Заголовок 1 3 20 2" xfId="42391"/>
    <cellStyle name="Заголовок 1 3 21" xfId="12378"/>
    <cellStyle name="Заголовок 1 3 21 2" xfId="42392"/>
    <cellStyle name="Заголовок 1 3 22" xfId="12379"/>
    <cellStyle name="Заголовок 1 3 22 2" xfId="42393"/>
    <cellStyle name="Заголовок 1 3 23" xfId="12380"/>
    <cellStyle name="Заголовок 1 3 23 2" xfId="42394"/>
    <cellStyle name="Заголовок 1 3 24" xfId="42395"/>
    <cellStyle name="Заголовок 1 3 3" xfId="12381"/>
    <cellStyle name="Заголовок 1 3 3 2" xfId="42396"/>
    <cellStyle name="Заголовок 1 3 4" xfId="12382"/>
    <cellStyle name="Заголовок 1 3 4 2" xfId="42397"/>
    <cellStyle name="Заголовок 1 3 5" xfId="12383"/>
    <cellStyle name="Заголовок 1 3 5 2" xfId="42398"/>
    <cellStyle name="Заголовок 1 3 6" xfId="12384"/>
    <cellStyle name="Заголовок 1 3 6 2" xfId="42399"/>
    <cellStyle name="Заголовок 1 3 7" xfId="12385"/>
    <cellStyle name="Заголовок 1 3 7 2" xfId="42400"/>
    <cellStyle name="Заголовок 1 3 8" xfId="12386"/>
    <cellStyle name="Заголовок 1 3 8 2" xfId="42401"/>
    <cellStyle name="Заголовок 1 3 9" xfId="12387"/>
    <cellStyle name="Заголовок 1 3 9 2" xfId="42402"/>
    <cellStyle name="Заголовок 1 4" xfId="12388"/>
    <cellStyle name="Заголовок 1 4 2" xfId="42403"/>
    <cellStyle name="Заголовок 1 5" xfId="12389"/>
    <cellStyle name="Заголовок 1 5 2" xfId="42404"/>
    <cellStyle name="Заголовок 1 6" xfId="12390"/>
    <cellStyle name="Заголовок 1 6 2" xfId="42405"/>
    <cellStyle name="Заголовок 1 7" xfId="12391"/>
    <cellStyle name="Заголовок 2 2" xfId="12392"/>
    <cellStyle name="Заголовок 2 2 10" xfId="12393"/>
    <cellStyle name="Заголовок 2 2 10 2" xfId="42406"/>
    <cellStyle name="Заголовок 2 2 11" xfId="12394"/>
    <cellStyle name="Заголовок 2 2 11 2" xfId="42407"/>
    <cellStyle name="Заголовок 2 2 12" xfId="12395"/>
    <cellStyle name="Заголовок 2 2 12 2" xfId="42408"/>
    <cellStyle name="Заголовок 2 2 13" xfId="12396"/>
    <cellStyle name="Заголовок 2 2 13 2" xfId="42409"/>
    <cellStyle name="Заголовок 2 2 14" xfId="12397"/>
    <cellStyle name="Заголовок 2 2 14 2" xfId="42410"/>
    <cellStyle name="Заголовок 2 2 15" xfId="12398"/>
    <cellStyle name="Заголовок 2 2 15 2" xfId="42411"/>
    <cellStyle name="Заголовок 2 2 16" xfId="12399"/>
    <cellStyle name="Заголовок 2 2 16 2" xfId="42412"/>
    <cellStyle name="Заголовок 2 2 17" xfId="12400"/>
    <cellStyle name="Заголовок 2 2 17 2" xfId="42413"/>
    <cellStyle name="Заголовок 2 2 18" xfId="12401"/>
    <cellStyle name="Заголовок 2 2 18 2" xfId="42414"/>
    <cellStyle name="Заголовок 2 2 19" xfId="12402"/>
    <cellStyle name="Заголовок 2 2 19 2" xfId="42415"/>
    <cellStyle name="Заголовок 2 2 2" xfId="12403"/>
    <cellStyle name="Заголовок 2 2 2 2" xfId="42416"/>
    <cellStyle name="Заголовок 2 2 20" xfId="12404"/>
    <cellStyle name="Заголовок 2 2 20 2" xfId="42417"/>
    <cellStyle name="Заголовок 2 2 21" xfId="12405"/>
    <cellStyle name="Заголовок 2 2 21 2" xfId="42418"/>
    <cellStyle name="Заголовок 2 2 22" xfId="12406"/>
    <cellStyle name="Заголовок 2 2 22 2" xfId="42419"/>
    <cellStyle name="Заголовок 2 2 23" xfId="12407"/>
    <cellStyle name="Заголовок 2 2 23 2" xfId="42420"/>
    <cellStyle name="Заголовок 2 2 24" xfId="42421"/>
    <cellStyle name="Заголовок 2 2 3" xfId="12408"/>
    <cellStyle name="Заголовок 2 2 3 2" xfId="42422"/>
    <cellStyle name="Заголовок 2 2 4" xfId="12409"/>
    <cellStyle name="Заголовок 2 2 4 2" xfId="42423"/>
    <cellStyle name="Заголовок 2 2 5" xfId="12410"/>
    <cellStyle name="Заголовок 2 2 5 2" xfId="42424"/>
    <cellStyle name="Заголовок 2 2 6" xfId="12411"/>
    <cellStyle name="Заголовок 2 2 6 2" xfId="42425"/>
    <cellStyle name="Заголовок 2 2 7" xfId="12412"/>
    <cellStyle name="Заголовок 2 2 7 2" xfId="42426"/>
    <cellStyle name="Заголовок 2 2 8" xfId="12413"/>
    <cellStyle name="Заголовок 2 2 8 2" xfId="42427"/>
    <cellStyle name="Заголовок 2 2 9" xfId="12414"/>
    <cellStyle name="Заголовок 2 2 9 2" xfId="42428"/>
    <cellStyle name="Заголовок 2 3" xfId="12415"/>
    <cellStyle name="Заголовок 2 3 10" xfId="12416"/>
    <cellStyle name="Заголовок 2 3 10 2" xfId="42429"/>
    <cellStyle name="Заголовок 2 3 11" xfId="12417"/>
    <cellStyle name="Заголовок 2 3 11 2" xfId="42430"/>
    <cellStyle name="Заголовок 2 3 12" xfId="12418"/>
    <cellStyle name="Заголовок 2 3 12 2" xfId="42431"/>
    <cellStyle name="Заголовок 2 3 13" xfId="12419"/>
    <cellStyle name="Заголовок 2 3 13 2" xfId="42432"/>
    <cellStyle name="Заголовок 2 3 14" xfId="12420"/>
    <cellStyle name="Заголовок 2 3 14 2" xfId="42433"/>
    <cellStyle name="Заголовок 2 3 15" xfId="12421"/>
    <cellStyle name="Заголовок 2 3 15 2" xfId="42434"/>
    <cellStyle name="Заголовок 2 3 16" xfId="12422"/>
    <cellStyle name="Заголовок 2 3 16 2" xfId="42435"/>
    <cellStyle name="Заголовок 2 3 17" xfId="12423"/>
    <cellStyle name="Заголовок 2 3 17 2" xfId="42436"/>
    <cellStyle name="Заголовок 2 3 18" xfId="12424"/>
    <cellStyle name="Заголовок 2 3 18 2" xfId="42437"/>
    <cellStyle name="Заголовок 2 3 19" xfId="12425"/>
    <cellStyle name="Заголовок 2 3 19 2" xfId="42438"/>
    <cellStyle name="Заголовок 2 3 2" xfId="12426"/>
    <cellStyle name="Заголовок 2 3 2 2" xfId="42439"/>
    <cellStyle name="Заголовок 2 3 20" xfId="12427"/>
    <cellStyle name="Заголовок 2 3 20 2" xfId="42440"/>
    <cellStyle name="Заголовок 2 3 21" xfId="12428"/>
    <cellStyle name="Заголовок 2 3 21 2" xfId="42441"/>
    <cellStyle name="Заголовок 2 3 22" xfId="12429"/>
    <cellStyle name="Заголовок 2 3 22 2" xfId="42442"/>
    <cellStyle name="Заголовок 2 3 23" xfId="12430"/>
    <cellStyle name="Заголовок 2 3 23 2" xfId="42443"/>
    <cellStyle name="Заголовок 2 3 24" xfId="42444"/>
    <cellStyle name="Заголовок 2 3 3" xfId="12431"/>
    <cellStyle name="Заголовок 2 3 3 2" xfId="42445"/>
    <cellStyle name="Заголовок 2 3 4" xfId="12432"/>
    <cellStyle name="Заголовок 2 3 4 2" xfId="42446"/>
    <cellStyle name="Заголовок 2 3 5" xfId="12433"/>
    <cellStyle name="Заголовок 2 3 5 2" xfId="42447"/>
    <cellStyle name="Заголовок 2 3 6" xfId="12434"/>
    <cellStyle name="Заголовок 2 3 6 2" xfId="42448"/>
    <cellStyle name="Заголовок 2 3 7" xfId="12435"/>
    <cellStyle name="Заголовок 2 3 7 2" xfId="42449"/>
    <cellStyle name="Заголовок 2 3 8" xfId="12436"/>
    <cellStyle name="Заголовок 2 3 8 2" xfId="42450"/>
    <cellStyle name="Заголовок 2 3 9" xfId="12437"/>
    <cellStyle name="Заголовок 2 3 9 2" xfId="42451"/>
    <cellStyle name="Заголовок 2 4" xfId="12438"/>
    <cellStyle name="Заголовок 2 4 2" xfId="42452"/>
    <cellStyle name="Заголовок 2 5" xfId="12439"/>
    <cellStyle name="Заголовок 2 5 2" xfId="42453"/>
    <cellStyle name="Заголовок 2 6" xfId="12440"/>
    <cellStyle name="Заголовок 2 6 2" xfId="42454"/>
    <cellStyle name="Заголовок 2 7" xfId="12441"/>
    <cellStyle name="Заголовок 3 2" xfId="12442"/>
    <cellStyle name="Заголовок 3 2 10" xfId="12443"/>
    <cellStyle name="Заголовок 3 2 10 2" xfId="42455"/>
    <cellStyle name="Заголовок 3 2 11" xfId="12444"/>
    <cellStyle name="Заголовок 3 2 11 2" xfId="42456"/>
    <cellStyle name="Заголовок 3 2 12" xfId="12445"/>
    <cellStyle name="Заголовок 3 2 12 2" xfId="42457"/>
    <cellStyle name="Заголовок 3 2 13" xfId="12446"/>
    <cellStyle name="Заголовок 3 2 13 2" xfId="42458"/>
    <cellStyle name="Заголовок 3 2 14" xfId="12447"/>
    <cellStyle name="Заголовок 3 2 14 2" xfId="42459"/>
    <cellStyle name="Заголовок 3 2 15" xfId="12448"/>
    <cellStyle name="Заголовок 3 2 15 2" xfId="42460"/>
    <cellStyle name="Заголовок 3 2 16" xfId="12449"/>
    <cellStyle name="Заголовок 3 2 16 2" xfId="42461"/>
    <cellStyle name="Заголовок 3 2 17" xfId="12450"/>
    <cellStyle name="Заголовок 3 2 17 2" xfId="42462"/>
    <cellStyle name="Заголовок 3 2 18" xfId="12451"/>
    <cellStyle name="Заголовок 3 2 18 2" xfId="42463"/>
    <cellStyle name="Заголовок 3 2 19" xfId="12452"/>
    <cellStyle name="Заголовок 3 2 19 2" xfId="42464"/>
    <cellStyle name="Заголовок 3 2 2" xfId="12453"/>
    <cellStyle name="Заголовок 3 2 2 2" xfId="42465"/>
    <cellStyle name="Заголовок 3 2 20" xfId="12454"/>
    <cellStyle name="Заголовок 3 2 20 2" xfId="42466"/>
    <cellStyle name="Заголовок 3 2 21" xfId="12455"/>
    <cellStyle name="Заголовок 3 2 21 2" xfId="42467"/>
    <cellStyle name="Заголовок 3 2 22" xfId="12456"/>
    <cellStyle name="Заголовок 3 2 22 2" xfId="42468"/>
    <cellStyle name="Заголовок 3 2 23" xfId="12457"/>
    <cellStyle name="Заголовок 3 2 23 2" xfId="42469"/>
    <cellStyle name="Заголовок 3 2 24" xfId="42470"/>
    <cellStyle name="Заголовок 3 2 3" xfId="12458"/>
    <cellStyle name="Заголовок 3 2 3 2" xfId="42471"/>
    <cellStyle name="Заголовок 3 2 4" xfId="12459"/>
    <cellStyle name="Заголовок 3 2 4 2" xfId="42472"/>
    <cellStyle name="Заголовок 3 2 5" xfId="12460"/>
    <cellStyle name="Заголовок 3 2 5 2" xfId="42473"/>
    <cellStyle name="Заголовок 3 2 6" xfId="12461"/>
    <cellStyle name="Заголовок 3 2 6 2" xfId="42474"/>
    <cellStyle name="Заголовок 3 2 7" xfId="12462"/>
    <cellStyle name="Заголовок 3 2 7 2" xfId="42475"/>
    <cellStyle name="Заголовок 3 2 8" xfId="12463"/>
    <cellStyle name="Заголовок 3 2 8 2" xfId="42476"/>
    <cellStyle name="Заголовок 3 2 9" xfId="12464"/>
    <cellStyle name="Заголовок 3 2 9 2" xfId="42477"/>
    <cellStyle name="Заголовок 3 3" xfId="12465"/>
    <cellStyle name="Заголовок 3 3 10" xfId="12466"/>
    <cellStyle name="Заголовок 3 3 10 2" xfId="42478"/>
    <cellStyle name="Заголовок 3 3 11" xfId="12467"/>
    <cellStyle name="Заголовок 3 3 11 2" xfId="42479"/>
    <cellStyle name="Заголовок 3 3 12" xfId="12468"/>
    <cellStyle name="Заголовок 3 3 12 2" xfId="42480"/>
    <cellStyle name="Заголовок 3 3 13" xfId="12469"/>
    <cellStyle name="Заголовок 3 3 13 2" xfId="42481"/>
    <cellStyle name="Заголовок 3 3 14" xfId="12470"/>
    <cellStyle name="Заголовок 3 3 14 2" xfId="42482"/>
    <cellStyle name="Заголовок 3 3 15" xfId="12471"/>
    <cellStyle name="Заголовок 3 3 15 2" xfId="42483"/>
    <cellStyle name="Заголовок 3 3 16" xfId="12472"/>
    <cellStyle name="Заголовок 3 3 16 2" xfId="42484"/>
    <cellStyle name="Заголовок 3 3 17" xfId="12473"/>
    <cellStyle name="Заголовок 3 3 17 2" xfId="42485"/>
    <cellStyle name="Заголовок 3 3 18" xfId="12474"/>
    <cellStyle name="Заголовок 3 3 18 2" xfId="42486"/>
    <cellStyle name="Заголовок 3 3 19" xfId="12475"/>
    <cellStyle name="Заголовок 3 3 19 2" xfId="42487"/>
    <cellStyle name="Заголовок 3 3 2" xfId="12476"/>
    <cellStyle name="Заголовок 3 3 2 2" xfId="42488"/>
    <cellStyle name="Заголовок 3 3 20" xfId="12477"/>
    <cellStyle name="Заголовок 3 3 20 2" xfId="42489"/>
    <cellStyle name="Заголовок 3 3 21" xfId="12478"/>
    <cellStyle name="Заголовок 3 3 21 2" xfId="42490"/>
    <cellStyle name="Заголовок 3 3 22" xfId="12479"/>
    <cellStyle name="Заголовок 3 3 22 2" xfId="42491"/>
    <cellStyle name="Заголовок 3 3 23" xfId="12480"/>
    <cellStyle name="Заголовок 3 3 23 2" xfId="42492"/>
    <cellStyle name="Заголовок 3 3 24" xfId="42493"/>
    <cellStyle name="Заголовок 3 3 3" xfId="12481"/>
    <cellStyle name="Заголовок 3 3 3 2" xfId="42494"/>
    <cellStyle name="Заголовок 3 3 4" xfId="12482"/>
    <cellStyle name="Заголовок 3 3 4 2" xfId="42495"/>
    <cellStyle name="Заголовок 3 3 5" xfId="12483"/>
    <cellStyle name="Заголовок 3 3 5 2" xfId="42496"/>
    <cellStyle name="Заголовок 3 3 6" xfId="12484"/>
    <cellStyle name="Заголовок 3 3 6 2" xfId="42497"/>
    <cellStyle name="Заголовок 3 3 7" xfId="12485"/>
    <cellStyle name="Заголовок 3 3 7 2" xfId="42498"/>
    <cellStyle name="Заголовок 3 3 8" xfId="12486"/>
    <cellStyle name="Заголовок 3 3 8 2" xfId="42499"/>
    <cellStyle name="Заголовок 3 3 9" xfId="12487"/>
    <cellStyle name="Заголовок 3 3 9 2" xfId="42500"/>
    <cellStyle name="Заголовок 3 4" xfId="12488"/>
    <cellStyle name="Заголовок 3 4 2" xfId="42501"/>
    <cellStyle name="Заголовок 3 5" xfId="12489"/>
    <cellStyle name="Заголовок 3 5 2" xfId="42502"/>
    <cellStyle name="Заголовок 3 6" xfId="12490"/>
    <cellStyle name="Заголовок 3 6 2" xfId="42503"/>
    <cellStyle name="Заголовок 3 7" xfId="12491"/>
    <cellStyle name="Заголовок 4 2" xfId="12492"/>
    <cellStyle name="Заголовок 4 2 10" xfId="12493"/>
    <cellStyle name="Заголовок 4 2 10 2" xfId="42504"/>
    <cellStyle name="Заголовок 4 2 11" xfId="12494"/>
    <cellStyle name="Заголовок 4 2 11 2" xfId="42505"/>
    <cellStyle name="Заголовок 4 2 12" xfId="12495"/>
    <cellStyle name="Заголовок 4 2 12 2" xfId="42506"/>
    <cellStyle name="Заголовок 4 2 13" xfId="12496"/>
    <cellStyle name="Заголовок 4 2 13 2" xfId="42507"/>
    <cellStyle name="Заголовок 4 2 14" xfId="12497"/>
    <cellStyle name="Заголовок 4 2 14 2" xfId="42508"/>
    <cellStyle name="Заголовок 4 2 15" xfId="12498"/>
    <cellStyle name="Заголовок 4 2 15 2" xfId="42509"/>
    <cellStyle name="Заголовок 4 2 16" xfId="12499"/>
    <cellStyle name="Заголовок 4 2 16 2" xfId="42510"/>
    <cellStyle name="Заголовок 4 2 17" xfId="12500"/>
    <cellStyle name="Заголовок 4 2 17 2" xfId="42511"/>
    <cellStyle name="Заголовок 4 2 18" xfId="12501"/>
    <cellStyle name="Заголовок 4 2 18 2" xfId="42512"/>
    <cellStyle name="Заголовок 4 2 19" xfId="12502"/>
    <cellStyle name="Заголовок 4 2 19 2" xfId="42513"/>
    <cellStyle name="Заголовок 4 2 2" xfId="12503"/>
    <cellStyle name="Заголовок 4 2 2 2" xfId="42514"/>
    <cellStyle name="Заголовок 4 2 20" xfId="12504"/>
    <cellStyle name="Заголовок 4 2 20 2" xfId="42515"/>
    <cellStyle name="Заголовок 4 2 21" xfId="12505"/>
    <cellStyle name="Заголовок 4 2 21 2" xfId="42516"/>
    <cellStyle name="Заголовок 4 2 22" xfId="12506"/>
    <cellStyle name="Заголовок 4 2 22 2" xfId="42517"/>
    <cellStyle name="Заголовок 4 2 23" xfId="12507"/>
    <cellStyle name="Заголовок 4 2 23 2" xfId="42518"/>
    <cellStyle name="Заголовок 4 2 24" xfId="42519"/>
    <cellStyle name="Заголовок 4 2 3" xfId="12508"/>
    <cellStyle name="Заголовок 4 2 3 2" xfId="42520"/>
    <cellStyle name="Заголовок 4 2 4" xfId="12509"/>
    <cellStyle name="Заголовок 4 2 4 2" xfId="42521"/>
    <cellStyle name="Заголовок 4 2 5" xfId="12510"/>
    <cellStyle name="Заголовок 4 2 5 2" xfId="42522"/>
    <cellStyle name="Заголовок 4 2 6" xfId="12511"/>
    <cellStyle name="Заголовок 4 2 6 2" xfId="42523"/>
    <cellStyle name="Заголовок 4 2 7" xfId="12512"/>
    <cellStyle name="Заголовок 4 2 7 2" xfId="42524"/>
    <cellStyle name="Заголовок 4 2 8" xfId="12513"/>
    <cellStyle name="Заголовок 4 2 8 2" xfId="42525"/>
    <cellStyle name="Заголовок 4 2 9" xfId="12514"/>
    <cellStyle name="Заголовок 4 2 9 2" xfId="42526"/>
    <cellStyle name="Заголовок 4 3" xfId="12515"/>
    <cellStyle name="Заголовок 4 3 10" xfId="12516"/>
    <cellStyle name="Заголовок 4 3 10 2" xfId="42527"/>
    <cellStyle name="Заголовок 4 3 11" xfId="12517"/>
    <cellStyle name="Заголовок 4 3 11 2" xfId="42528"/>
    <cellStyle name="Заголовок 4 3 12" xfId="12518"/>
    <cellStyle name="Заголовок 4 3 12 2" xfId="42529"/>
    <cellStyle name="Заголовок 4 3 13" xfId="12519"/>
    <cellStyle name="Заголовок 4 3 13 2" xfId="42530"/>
    <cellStyle name="Заголовок 4 3 14" xfId="12520"/>
    <cellStyle name="Заголовок 4 3 14 2" xfId="42531"/>
    <cellStyle name="Заголовок 4 3 15" xfId="12521"/>
    <cellStyle name="Заголовок 4 3 15 2" xfId="42532"/>
    <cellStyle name="Заголовок 4 3 16" xfId="12522"/>
    <cellStyle name="Заголовок 4 3 16 2" xfId="42533"/>
    <cellStyle name="Заголовок 4 3 17" xfId="12523"/>
    <cellStyle name="Заголовок 4 3 17 2" xfId="42534"/>
    <cellStyle name="Заголовок 4 3 18" xfId="12524"/>
    <cellStyle name="Заголовок 4 3 18 2" xfId="42535"/>
    <cellStyle name="Заголовок 4 3 19" xfId="12525"/>
    <cellStyle name="Заголовок 4 3 19 2" xfId="42536"/>
    <cellStyle name="Заголовок 4 3 2" xfId="12526"/>
    <cellStyle name="Заголовок 4 3 2 2" xfId="42537"/>
    <cellStyle name="Заголовок 4 3 20" xfId="12527"/>
    <cellStyle name="Заголовок 4 3 20 2" xfId="42538"/>
    <cellStyle name="Заголовок 4 3 21" xfId="12528"/>
    <cellStyle name="Заголовок 4 3 21 2" xfId="42539"/>
    <cellStyle name="Заголовок 4 3 22" xfId="12529"/>
    <cellStyle name="Заголовок 4 3 22 2" xfId="42540"/>
    <cellStyle name="Заголовок 4 3 23" xfId="12530"/>
    <cellStyle name="Заголовок 4 3 23 2" xfId="42541"/>
    <cellStyle name="Заголовок 4 3 24" xfId="42542"/>
    <cellStyle name="Заголовок 4 3 3" xfId="12531"/>
    <cellStyle name="Заголовок 4 3 3 2" xfId="42543"/>
    <cellStyle name="Заголовок 4 3 4" xfId="12532"/>
    <cellStyle name="Заголовок 4 3 4 2" xfId="42544"/>
    <cellStyle name="Заголовок 4 3 5" xfId="12533"/>
    <cellStyle name="Заголовок 4 3 5 2" xfId="42545"/>
    <cellStyle name="Заголовок 4 3 6" xfId="12534"/>
    <cellStyle name="Заголовок 4 3 6 2" xfId="42546"/>
    <cellStyle name="Заголовок 4 3 7" xfId="12535"/>
    <cellStyle name="Заголовок 4 3 7 2" xfId="42547"/>
    <cellStyle name="Заголовок 4 3 8" xfId="12536"/>
    <cellStyle name="Заголовок 4 3 8 2" xfId="42548"/>
    <cellStyle name="Заголовок 4 3 9" xfId="12537"/>
    <cellStyle name="Заголовок 4 3 9 2" xfId="42549"/>
    <cellStyle name="Заголовок 4 4" xfId="12538"/>
    <cellStyle name="Заголовок 4 4 2" xfId="42550"/>
    <cellStyle name="Заголовок 4 5" xfId="12539"/>
    <cellStyle name="Заголовок 4 5 2" xfId="42551"/>
    <cellStyle name="Заголовок 4 6" xfId="12540"/>
    <cellStyle name="Заголовок 4 6 2" xfId="42552"/>
    <cellStyle name="Заголовок 4 7" xfId="12541"/>
    <cellStyle name="Заголовок 5" xfId="42553"/>
    <cellStyle name="ЗаголовокСтолбца" xfId="12542"/>
    <cellStyle name="ЗаголовокСтолбца 2" xfId="42554"/>
    <cellStyle name="Защитный" xfId="12543"/>
    <cellStyle name="Значение" xfId="12544"/>
    <cellStyle name="Зоголовок" xfId="12545"/>
    <cellStyle name="Итог 2" xfId="12546"/>
    <cellStyle name="Итог 2 10" xfId="12547"/>
    <cellStyle name="Итог 2 10 2" xfId="42555"/>
    <cellStyle name="Итог 2 11" xfId="12548"/>
    <cellStyle name="Итог 2 11 2" xfId="42556"/>
    <cellStyle name="Итог 2 12" xfId="12549"/>
    <cellStyle name="Итог 2 12 2" xfId="42557"/>
    <cellStyle name="Итог 2 13" xfId="12550"/>
    <cellStyle name="Итог 2 13 2" xfId="42558"/>
    <cellStyle name="Итог 2 14" xfId="12551"/>
    <cellStyle name="Итог 2 14 2" xfId="42559"/>
    <cellStyle name="Итог 2 15" xfId="12552"/>
    <cellStyle name="Итог 2 15 2" xfId="42560"/>
    <cellStyle name="Итог 2 16" xfId="12553"/>
    <cellStyle name="Итог 2 16 2" xfId="42561"/>
    <cellStyle name="Итог 2 17" xfId="12554"/>
    <cellStyle name="Итог 2 17 2" xfId="42562"/>
    <cellStyle name="Итог 2 18" xfId="12555"/>
    <cellStyle name="Итог 2 18 2" xfId="42563"/>
    <cellStyle name="Итог 2 19" xfId="12556"/>
    <cellStyle name="Итог 2 19 2" xfId="42564"/>
    <cellStyle name="Итог 2 2" xfId="12557"/>
    <cellStyle name="Итог 2 2 2" xfId="42565"/>
    <cellStyle name="Итог 2 20" xfId="12558"/>
    <cellStyle name="Итог 2 20 2" xfId="42566"/>
    <cellStyle name="Итог 2 21" xfId="12559"/>
    <cellStyle name="Итог 2 21 2" xfId="42567"/>
    <cellStyle name="Итог 2 22" xfId="12560"/>
    <cellStyle name="Итог 2 22 2" xfId="42568"/>
    <cellStyle name="Итог 2 23" xfId="12561"/>
    <cellStyle name="Итог 2 23 2" xfId="42569"/>
    <cellStyle name="Итог 2 24" xfId="42570"/>
    <cellStyle name="Итог 2 3" xfId="12562"/>
    <cellStyle name="Итог 2 3 2" xfId="42571"/>
    <cellStyle name="Итог 2 4" xfId="12563"/>
    <cellStyle name="Итог 2 4 2" xfId="42572"/>
    <cellStyle name="Итог 2 5" xfId="12564"/>
    <cellStyle name="Итог 2 5 2" xfId="42573"/>
    <cellStyle name="Итог 2 6" xfId="12565"/>
    <cellStyle name="Итог 2 6 2" xfId="42574"/>
    <cellStyle name="Итог 2 7" xfId="12566"/>
    <cellStyle name="Итог 2 7 2" xfId="42575"/>
    <cellStyle name="Итог 2 8" xfId="12567"/>
    <cellStyle name="Итог 2 8 2" xfId="42576"/>
    <cellStyle name="Итог 2 9" xfId="12568"/>
    <cellStyle name="Итог 2 9 2" xfId="42577"/>
    <cellStyle name="Итог 3" xfId="12569"/>
    <cellStyle name="Итог 3 10" xfId="12570"/>
    <cellStyle name="Итог 3 10 2" xfId="42578"/>
    <cellStyle name="Итог 3 11" xfId="12571"/>
    <cellStyle name="Итог 3 11 2" xfId="42579"/>
    <cellStyle name="Итог 3 12" xfId="12572"/>
    <cellStyle name="Итог 3 12 2" xfId="42580"/>
    <cellStyle name="Итог 3 13" xfId="12573"/>
    <cellStyle name="Итог 3 13 2" xfId="42581"/>
    <cellStyle name="Итог 3 14" xfId="12574"/>
    <cellStyle name="Итог 3 14 2" xfId="42582"/>
    <cellStyle name="Итог 3 15" xfId="12575"/>
    <cellStyle name="Итог 3 15 2" xfId="42583"/>
    <cellStyle name="Итог 3 16" xfId="12576"/>
    <cellStyle name="Итог 3 16 2" xfId="42584"/>
    <cellStyle name="Итог 3 17" xfId="12577"/>
    <cellStyle name="Итог 3 17 2" xfId="42585"/>
    <cellStyle name="Итог 3 18" xfId="12578"/>
    <cellStyle name="Итог 3 18 2" xfId="42586"/>
    <cellStyle name="Итог 3 19" xfId="12579"/>
    <cellStyle name="Итог 3 19 2" xfId="42587"/>
    <cellStyle name="Итог 3 2" xfId="12580"/>
    <cellStyle name="Итог 3 2 2" xfId="42588"/>
    <cellStyle name="Итог 3 20" xfId="12581"/>
    <cellStyle name="Итог 3 20 2" xfId="42589"/>
    <cellStyle name="Итог 3 21" xfId="12582"/>
    <cellStyle name="Итог 3 21 2" xfId="42590"/>
    <cellStyle name="Итог 3 22" xfId="12583"/>
    <cellStyle name="Итог 3 22 2" xfId="42591"/>
    <cellStyle name="Итог 3 23" xfId="12584"/>
    <cellStyle name="Итог 3 23 2" xfId="42592"/>
    <cellStyle name="Итог 3 24" xfId="42593"/>
    <cellStyle name="Итог 3 3" xfId="12585"/>
    <cellStyle name="Итог 3 3 2" xfId="42594"/>
    <cellStyle name="Итог 3 4" xfId="12586"/>
    <cellStyle name="Итог 3 4 2" xfId="42595"/>
    <cellStyle name="Итог 3 5" xfId="12587"/>
    <cellStyle name="Итог 3 5 2" xfId="42596"/>
    <cellStyle name="Итог 3 6" xfId="12588"/>
    <cellStyle name="Итог 3 6 2" xfId="42597"/>
    <cellStyle name="Итог 3 7" xfId="12589"/>
    <cellStyle name="Итог 3 7 2" xfId="42598"/>
    <cellStyle name="Итог 3 8" xfId="12590"/>
    <cellStyle name="Итог 3 8 2" xfId="42599"/>
    <cellStyle name="Итог 3 9" xfId="12591"/>
    <cellStyle name="Итог 3 9 2" xfId="42600"/>
    <cellStyle name="Итог 4" xfId="12592"/>
    <cellStyle name="Итог 4 2" xfId="42601"/>
    <cellStyle name="Итог 5" xfId="12593"/>
    <cellStyle name="Итог 5 2" xfId="42602"/>
    <cellStyle name="Итог 6" xfId="12594"/>
    <cellStyle name="Итог 6 2" xfId="42603"/>
    <cellStyle name="Итог 7" xfId="12595"/>
    <cellStyle name="Итого" xfId="12596"/>
    <cellStyle name="Контрольная ячейка 2" xfId="12597"/>
    <cellStyle name="Контрольная ячейка 2 10" xfId="12598"/>
    <cellStyle name="Контрольная ячейка 2 10 2" xfId="42604"/>
    <cellStyle name="Контрольная ячейка 2 11" xfId="12599"/>
    <cellStyle name="Контрольная ячейка 2 11 2" xfId="42605"/>
    <cellStyle name="Контрольная ячейка 2 12" xfId="12600"/>
    <cellStyle name="Контрольная ячейка 2 12 2" xfId="42606"/>
    <cellStyle name="Контрольная ячейка 2 13" xfId="12601"/>
    <cellStyle name="Контрольная ячейка 2 13 2" xfId="42607"/>
    <cellStyle name="Контрольная ячейка 2 14" xfId="12602"/>
    <cellStyle name="Контрольная ячейка 2 14 2" xfId="42608"/>
    <cellStyle name="Контрольная ячейка 2 15" xfId="12603"/>
    <cellStyle name="Контрольная ячейка 2 15 2" xfId="42609"/>
    <cellStyle name="Контрольная ячейка 2 16" xfId="12604"/>
    <cellStyle name="Контрольная ячейка 2 16 2" xfId="42610"/>
    <cellStyle name="Контрольная ячейка 2 17" xfId="12605"/>
    <cellStyle name="Контрольная ячейка 2 17 2" xfId="42611"/>
    <cellStyle name="Контрольная ячейка 2 18" xfId="12606"/>
    <cellStyle name="Контрольная ячейка 2 18 2" xfId="42612"/>
    <cellStyle name="Контрольная ячейка 2 19" xfId="12607"/>
    <cellStyle name="Контрольная ячейка 2 19 2" xfId="42613"/>
    <cellStyle name="Контрольная ячейка 2 2" xfId="12608"/>
    <cellStyle name="Контрольная ячейка 2 2 2" xfId="42614"/>
    <cellStyle name="Контрольная ячейка 2 20" xfId="12609"/>
    <cellStyle name="Контрольная ячейка 2 20 2" xfId="42615"/>
    <cellStyle name="Контрольная ячейка 2 21" xfId="12610"/>
    <cellStyle name="Контрольная ячейка 2 21 2" xfId="42616"/>
    <cellStyle name="Контрольная ячейка 2 22" xfId="12611"/>
    <cellStyle name="Контрольная ячейка 2 22 2" xfId="42617"/>
    <cellStyle name="Контрольная ячейка 2 23" xfId="12612"/>
    <cellStyle name="Контрольная ячейка 2 23 2" xfId="42618"/>
    <cellStyle name="Контрольная ячейка 2 24" xfId="42619"/>
    <cellStyle name="Контрольная ячейка 2 3" xfId="12613"/>
    <cellStyle name="Контрольная ячейка 2 3 2" xfId="42620"/>
    <cellStyle name="Контрольная ячейка 2 4" xfId="12614"/>
    <cellStyle name="Контрольная ячейка 2 4 2" xfId="42621"/>
    <cellStyle name="Контрольная ячейка 2 5" xfId="12615"/>
    <cellStyle name="Контрольная ячейка 2 5 2" xfId="42622"/>
    <cellStyle name="Контрольная ячейка 2 6" xfId="12616"/>
    <cellStyle name="Контрольная ячейка 2 6 2" xfId="42623"/>
    <cellStyle name="Контрольная ячейка 2 7" xfId="12617"/>
    <cellStyle name="Контрольная ячейка 2 7 2" xfId="42624"/>
    <cellStyle name="Контрольная ячейка 2 8" xfId="12618"/>
    <cellStyle name="Контрольная ячейка 2 8 2" xfId="42625"/>
    <cellStyle name="Контрольная ячейка 2 9" xfId="12619"/>
    <cellStyle name="Контрольная ячейка 2 9 2" xfId="42626"/>
    <cellStyle name="Контрольная ячейка 3" xfId="12620"/>
    <cellStyle name="Контрольная ячейка 3 10" xfId="12621"/>
    <cellStyle name="Контрольная ячейка 3 10 2" xfId="42627"/>
    <cellStyle name="Контрольная ячейка 3 11" xfId="12622"/>
    <cellStyle name="Контрольная ячейка 3 11 2" xfId="42628"/>
    <cellStyle name="Контрольная ячейка 3 12" xfId="12623"/>
    <cellStyle name="Контрольная ячейка 3 12 2" xfId="42629"/>
    <cellStyle name="Контрольная ячейка 3 13" xfId="12624"/>
    <cellStyle name="Контрольная ячейка 3 13 2" xfId="42630"/>
    <cellStyle name="Контрольная ячейка 3 14" xfId="12625"/>
    <cellStyle name="Контрольная ячейка 3 14 2" xfId="42631"/>
    <cellStyle name="Контрольная ячейка 3 15" xfId="12626"/>
    <cellStyle name="Контрольная ячейка 3 15 2" xfId="42632"/>
    <cellStyle name="Контрольная ячейка 3 16" xfId="12627"/>
    <cellStyle name="Контрольная ячейка 3 16 2" xfId="42633"/>
    <cellStyle name="Контрольная ячейка 3 17" xfId="12628"/>
    <cellStyle name="Контрольная ячейка 3 17 2" xfId="42634"/>
    <cellStyle name="Контрольная ячейка 3 18" xfId="12629"/>
    <cellStyle name="Контрольная ячейка 3 18 2" xfId="42635"/>
    <cellStyle name="Контрольная ячейка 3 19" xfId="12630"/>
    <cellStyle name="Контрольная ячейка 3 19 2" xfId="42636"/>
    <cellStyle name="Контрольная ячейка 3 2" xfId="12631"/>
    <cellStyle name="Контрольная ячейка 3 2 2" xfId="42637"/>
    <cellStyle name="Контрольная ячейка 3 20" xfId="12632"/>
    <cellStyle name="Контрольная ячейка 3 20 2" xfId="42638"/>
    <cellStyle name="Контрольная ячейка 3 21" xfId="12633"/>
    <cellStyle name="Контрольная ячейка 3 21 2" xfId="42639"/>
    <cellStyle name="Контрольная ячейка 3 22" xfId="12634"/>
    <cellStyle name="Контрольная ячейка 3 22 2" xfId="42640"/>
    <cellStyle name="Контрольная ячейка 3 23" xfId="12635"/>
    <cellStyle name="Контрольная ячейка 3 23 2" xfId="42641"/>
    <cellStyle name="Контрольная ячейка 3 24" xfId="42642"/>
    <cellStyle name="Контрольная ячейка 3 3" xfId="12636"/>
    <cellStyle name="Контрольная ячейка 3 3 2" xfId="42643"/>
    <cellStyle name="Контрольная ячейка 3 4" xfId="12637"/>
    <cellStyle name="Контрольная ячейка 3 4 2" xfId="42644"/>
    <cellStyle name="Контрольная ячейка 3 5" xfId="12638"/>
    <cellStyle name="Контрольная ячейка 3 5 2" xfId="42645"/>
    <cellStyle name="Контрольная ячейка 3 6" xfId="12639"/>
    <cellStyle name="Контрольная ячейка 3 6 2" xfId="42646"/>
    <cellStyle name="Контрольная ячейка 3 7" xfId="12640"/>
    <cellStyle name="Контрольная ячейка 3 7 2" xfId="42647"/>
    <cellStyle name="Контрольная ячейка 3 8" xfId="12641"/>
    <cellStyle name="Контрольная ячейка 3 8 2" xfId="42648"/>
    <cellStyle name="Контрольная ячейка 3 9" xfId="12642"/>
    <cellStyle name="Контрольная ячейка 3 9 2" xfId="42649"/>
    <cellStyle name="Контрольная ячейка 4" xfId="12643"/>
    <cellStyle name="Контрольная ячейка 4 2" xfId="42650"/>
    <cellStyle name="Контрольная ячейка 5" xfId="12644"/>
    <cellStyle name="Контрольная ячейка 5 2" xfId="42651"/>
    <cellStyle name="Контрольная ячейка 6" xfId="12645"/>
    <cellStyle name="Контрольная ячейка 6 2" xfId="42652"/>
    <cellStyle name="Контрольная ячейка 7" xfId="12646"/>
    <cellStyle name="Мои наименования показателей" xfId="12649"/>
    <cellStyle name="Мои наименования показателей 2" xfId="42655"/>
    <cellStyle name="Мой заголовок" xfId="12647"/>
    <cellStyle name="Мой заголовок 2" xfId="42653"/>
    <cellStyle name="Мой заголовок листа" xfId="12648"/>
    <cellStyle name="Мой заголовок листа 2" xfId="42654"/>
    <cellStyle name="Название 2" xfId="12650"/>
    <cellStyle name="Название 2 10" xfId="12651"/>
    <cellStyle name="Название 2 10 2" xfId="42656"/>
    <cellStyle name="Название 2 11" xfId="12652"/>
    <cellStyle name="Название 2 11 2" xfId="42657"/>
    <cellStyle name="Название 2 12" xfId="12653"/>
    <cellStyle name="Название 2 12 2" xfId="42658"/>
    <cellStyle name="Название 2 13" xfId="12654"/>
    <cellStyle name="Название 2 13 2" xfId="42659"/>
    <cellStyle name="Название 2 14" xfId="12655"/>
    <cellStyle name="Название 2 14 2" xfId="42660"/>
    <cellStyle name="Название 2 15" xfId="12656"/>
    <cellStyle name="Название 2 15 2" xfId="42661"/>
    <cellStyle name="Название 2 16" xfId="12657"/>
    <cellStyle name="Название 2 16 2" xfId="42662"/>
    <cellStyle name="Название 2 17" xfId="12658"/>
    <cellStyle name="Название 2 17 2" xfId="42663"/>
    <cellStyle name="Название 2 18" xfId="12659"/>
    <cellStyle name="Название 2 18 2" xfId="42664"/>
    <cellStyle name="Название 2 19" xfId="12660"/>
    <cellStyle name="Название 2 19 2" xfId="42665"/>
    <cellStyle name="Название 2 2" xfId="12661"/>
    <cellStyle name="Название 2 2 2" xfId="42666"/>
    <cellStyle name="Название 2 20" xfId="12662"/>
    <cellStyle name="Название 2 20 2" xfId="42667"/>
    <cellStyle name="Название 2 21" xfId="12663"/>
    <cellStyle name="Название 2 21 2" xfId="42668"/>
    <cellStyle name="Название 2 22" xfId="12664"/>
    <cellStyle name="Название 2 22 2" xfId="42669"/>
    <cellStyle name="Название 2 23" xfId="12665"/>
    <cellStyle name="Название 2 23 2" xfId="42670"/>
    <cellStyle name="Название 2 24" xfId="42671"/>
    <cellStyle name="Название 2 3" xfId="12666"/>
    <cellStyle name="Название 2 3 2" xfId="42672"/>
    <cellStyle name="Название 2 4" xfId="12667"/>
    <cellStyle name="Название 2 4 2" xfId="42673"/>
    <cellStyle name="Название 2 5" xfId="12668"/>
    <cellStyle name="Название 2 5 2" xfId="42674"/>
    <cellStyle name="Название 2 6" xfId="12669"/>
    <cellStyle name="Название 2 6 2" xfId="42675"/>
    <cellStyle name="Название 2 7" xfId="12670"/>
    <cellStyle name="Название 2 7 2" xfId="42676"/>
    <cellStyle name="Название 2 8" xfId="12671"/>
    <cellStyle name="Название 2 8 2" xfId="42677"/>
    <cellStyle name="Название 2 9" xfId="12672"/>
    <cellStyle name="Название 2 9 2" xfId="42678"/>
    <cellStyle name="Название 3" xfId="12673"/>
    <cellStyle name="Название 3 10" xfId="12674"/>
    <cellStyle name="Название 3 10 2" xfId="42679"/>
    <cellStyle name="Название 3 11" xfId="12675"/>
    <cellStyle name="Название 3 11 2" xfId="42680"/>
    <cellStyle name="Название 3 12" xfId="12676"/>
    <cellStyle name="Название 3 12 2" xfId="42681"/>
    <cellStyle name="Название 3 13" xfId="12677"/>
    <cellStyle name="Название 3 13 2" xfId="42682"/>
    <cellStyle name="Название 3 14" xfId="12678"/>
    <cellStyle name="Название 3 14 2" xfId="42683"/>
    <cellStyle name="Название 3 15" xfId="12679"/>
    <cellStyle name="Название 3 15 2" xfId="42684"/>
    <cellStyle name="Название 3 16" xfId="12680"/>
    <cellStyle name="Название 3 16 2" xfId="42685"/>
    <cellStyle name="Название 3 17" xfId="12681"/>
    <cellStyle name="Название 3 17 2" xfId="42686"/>
    <cellStyle name="Название 3 18" xfId="12682"/>
    <cellStyle name="Название 3 18 2" xfId="42687"/>
    <cellStyle name="Название 3 19" xfId="12683"/>
    <cellStyle name="Название 3 19 2" xfId="42688"/>
    <cellStyle name="Название 3 2" xfId="12684"/>
    <cellStyle name="Название 3 2 2" xfId="42689"/>
    <cellStyle name="Название 3 20" xfId="12685"/>
    <cellStyle name="Название 3 20 2" xfId="42690"/>
    <cellStyle name="Название 3 21" xfId="12686"/>
    <cellStyle name="Название 3 21 2" xfId="42691"/>
    <cellStyle name="Название 3 22" xfId="12687"/>
    <cellStyle name="Название 3 22 2" xfId="42692"/>
    <cellStyle name="Название 3 23" xfId="12688"/>
    <cellStyle name="Название 3 23 2" xfId="42693"/>
    <cellStyle name="Название 3 24" xfId="42694"/>
    <cellStyle name="Название 3 3" xfId="12689"/>
    <cellStyle name="Название 3 3 2" xfId="42695"/>
    <cellStyle name="Название 3 4" xfId="12690"/>
    <cellStyle name="Название 3 4 2" xfId="42696"/>
    <cellStyle name="Название 3 5" xfId="12691"/>
    <cellStyle name="Название 3 5 2" xfId="42697"/>
    <cellStyle name="Название 3 6" xfId="12692"/>
    <cellStyle name="Название 3 6 2" xfId="42698"/>
    <cellStyle name="Название 3 7" xfId="12693"/>
    <cellStyle name="Название 3 7 2" xfId="42699"/>
    <cellStyle name="Название 3 8" xfId="12694"/>
    <cellStyle name="Название 3 8 2" xfId="42700"/>
    <cellStyle name="Название 3 9" xfId="12695"/>
    <cellStyle name="Название 3 9 2" xfId="42701"/>
    <cellStyle name="Название 4" xfId="12696"/>
    <cellStyle name="Название 4 2" xfId="42702"/>
    <cellStyle name="Название 5" xfId="12697"/>
    <cellStyle name="Название 5 2" xfId="42703"/>
    <cellStyle name="Название 6" xfId="12698"/>
    <cellStyle name="Название 6 2" xfId="42704"/>
    <cellStyle name="Название 7" xfId="12699"/>
    <cellStyle name="Нейтральный 2" xfId="12700"/>
    <cellStyle name="Нейтральный 2 10" xfId="12701"/>
    <cellStyle name="Нейтральный 2 10 2" xfId="42705"/>
    <cellStyle name="Нейтральный 2 11" xfId="12702"/>
    <cellStyle name="Нейтральный 2 11 2" xfId="42706"/>
    <cellStyle name="Нейтральный 2 12" xfId="12703"/>
    <cellStyle name="Нейтральный 2 12 2" xfId="42707"/>
    <cellStyle name="Нейтральный 2 13" xfId="12704"/>
    <cellStyle name="Нейтральный 2 13 2" xfId="42708"/>
    <cellStyle name="Нейтральный 2 14" xfId="12705"/>
    <cellStyle name="Нейтральный 2 14 2" xfId="42709"/>
    <cellStyle name="Нейтральный 2 15" xfId="12706"/>
    <cellStyle name="Нейтральный 2 15 2" xfId="42710"/>
    <cellStyle name="Нейтральный 2 16" xfId="12707"/>
    <cellStyle name="Нейтральный 2 16 2" xfId="42711"/>
    <cellStyle name="Нейтральный 2 17" xfId="12708"/>
    <cellStyle name="Нейтральный 2 17 2" xfId="42712"/>
    <cellStyle name="Нейтральный 2 18" xfId="12709"/>
    <cellStyle name="Нейтральный 2 18 2" xfId="42713"/>
    <cellStyle name="Нейтральный 2 19" xfId="12710"/>
    <cellStyle name="Нейтральный 2 19 2" xfId="42714"/>
    <cellStyle name="Нейтральный 2 2" xfId="12711"/>
    <cellStyle name="Нейтральный 2 2 2" xfId="42715"/>
    <cellStyle name="Нейтральный 2 20" xfId="12712"/>
    <cellStyle name="Нейтральный 2 20 2" xfId="42716"/>
    <cellStyle name="Нейтральный 2 21" xfId="12713"/>
    <cellStyle name="Нейтральный 2 21 2" xfId="42717"/>
    <cellStyle name="Нейтральный 2 22" xfId="12714"/>
    <cellStyle name="Нейтральный 2 22 2" xfId="42718"/>
    <cellStyle name="Нейтральный 2 23" xfId="12715"/>
    <cellStyle name="Нейтральный 2 23 2" xfId="42719"/>
    <cellStyle name="Нейтральный 2 24" xfId="42720"/>
    <cellStyle name="Нейтральный 2 3" xfId="12716"/>
    <cellStyle name="Нейтральный 2 3 2" xfId="42721"/>
    <cellStyle name="Нейтральный 2 4" xfId="12717"/>
    <cellStyle name="Нейтральный 2 4 2" xfId="42722"/>
    <cellStyle name="Нейтральный 2 5" xfId="12718"/>
    <cellStyle name="Нейтральный 2 5 2" xfId="42723"/>
    <cellStyle name="Нейтральный 2 6" xfId="12719"/>
    <cellStyle name="Нейтральный 2 6 2" xfId="42724"/>
    <cellStyle name="Нейтральный 2 7" xfId="12720"/>
    <cellStyle name="Нейтральный 2 7 2" xfId="42725"/>
    <cellStyle name="Нейтральный 2 8" xfId="12721"/>
    <cellStyle name="Нейтральный 2 8 2" xfId="42726"/>
    <cellStyle name="Нейтральный 2 9" xfId="12722"/>
    <cellStyle name="Нейтральный 2 9 2" xfId="42727"/>
    <cellStyle name="Нейтральный 3" xfId="12723"/>
    <cellStyle name="Нейтральный 3 10" xfId="12724"/>
    <cellStyle name="Нейтральный 3 10 2" xfId="42728"/>
    <cellStyle name="Нейтральный 3 11" xfId="12725"/>
    <cellStyle name="Нейтральный 3 11 2" xfId="42729"/>
    <cellStyle name="Нейтральный 3 12" xfId="12726"/>
    <cellStyle name="Нейтральный 3 12 2" xfId="42730"/>
    <cellStyle name="Нейтральный 3 13" xfId="12727"/>
    <cellStyle name="Нейтральный 3 13 2" xfId="42731"/>
    <cellStyle name="Нейтральный 3 14" xfId="12728"/>
    <cellStyle name="Нейтральный 3 14 2" xfId="42732"/>
    <cellStyle name="Нейтральный 3 15" xfId="12729"/>
    <cellStyle name="Нейтральный 3 15 2" xfId="42733"/>
    <cellStyle name="Нейтральный 3 16" xfId="12730"/>
    <cellStyle name="Нейтральный 3 16 2" xfId="42734"/>
    <cellStyle name="Нейтральный 3 17" xfId="12731"/>
    <cellStyle name="Нейтральный 3 17 2" xfId="42735"/>
    <cellStyle name="Нейтральный 3 18" xfId="12732"/>
    <cellStyle name="Нейтральный 3 18 2" xfId="42736"/>
    <cellStyle name="Нейтральный 3 19" xfId="12733"/>
    <cellStyle name="Нейтральный 3 19 2" xfId="42737"/>
    <cellStyle name="Нейтральный 3 2" xfId="12734"/>
    <cellStyle name="Нейтральный 3 2 2" xfId="42738"/>
    <cellStyle name="Нейтральный 3 20" xfId="12735"/>
    <cellStyle name="Нейтральный 3 20 2" xfId="42739"/>
    <cellStyle name="Нейтральный 3 21" xfId="12736"/>
    <cellStyle name="Нейтральный 3 21 2" xfId="42740"/>
    <cellStyle name="Нейтральный 3 22" xfId="12737"/>
    <cellStyle name="Нейтральный 3 22 2" xfId="42741"/>
    <cellStyle name="Нейтральный 3 23" xfId="12738"/>
    <cellStyle name="Нейтральный 3 23 2" xfId="42742"/>
    <cellStyle name="Нейтральный 3 24" xfId="42743"/>
    <cellStyle name="Нейтральный 3 3" xfId="12739"/>
    <cellStyle name="Нейтральный 3 3 2" xfId="42744"/>
    <cellStyle name="Нейтральный 3 4" xfId="12740"/>
    <cellStyle name="Нейтральный 3 4 2" xfId="42745"/>
    <cellStyle name="Нейтральный 3 5" xfId="12741"/>
    <cellStyle name="Нейтральный 3 5 2" xfId="42746"/>
    <cellStyle name="Нейтральный 3 6" xfId="12742"/>
    <cellStyle name="Нейтральный 3 6 2" xfId="42747"/>
    <cellStyle name="Нейтральный 3 7" xfId="12743"/>
    <cellStyle name="Нейтральный 3 7 2" xfId="42748"/>
    <cellStyle name="Нейтральный 3 8" xfId="12744"/>
    <cellStyle name="Нейтральный 3 8 2" xfId="42749"/>
    <cellStyle name="Нейтральный 3 9" xfId="12745"/>
    <cellStyle name="Нейтральный 3 9 2" xfId="42750"/>
    <cellStyle name="Нейтральный 4" xfId="12746"/>
    <cellStyle name="Нейтральный 4 2" xfId="42751"/>
    <cellStyle name="Нейтральный 5" xfId="12747"/>
    <cellStyle name="Нейтральный 5 2" xfId="42752"/>
    <cellStyle name="Нейтральный 6" xfId="12748"/>
    <cellStyle name="Нейтральный 6 2" xfId="42753"/>
    <cellStyle name="Нейтральный 7" xfId="12749"/>
    <cellStyle name="Обычный" xfId="0" builtinId="0"/>
    <cellStyle name="Обычный 10" xfId="3"/>
    <cellStyle name="Обычный 10 2" xfId="29"/>
    <cellStyle name="Обычный 10 2 2" xfId="12750"/>
    <cellStyle name="Обычный 10 2 2 2" xfId="12751"/>
    <cellStyle name="Обычный 10 2 2 3" xfId="59081"/>
    <cellStyle name="Обычный 10 2 3" xfId="12752"/>
    <cellStyle name="Обычный 10 2 4" xfId="12753"/>
    <cellStyle name="Обычный 10 2 5" xfId="59082"/>
    <cellStyle name="Обычный 10 3" xfId="12754"/>
    <cellStyle name="Обычный 10 3 2" xfId="42754"/>
    <cellStyle name="Обычный 10 4" xfId="12755"/>
    <cellStyle name="Обычный 10 4 2" xfId="12756"/>
    <cellStyle name="Обычный 10 4 3" xfId="60311"/>
    <cellStyle name="Обычный 10 5" xfId="59083"/>
    <cellStyle name="Обычный 10_Корректировка 2 квартал ДПН ОМТС Июнь (02 06 09)" xfId="12757"/>
    <cellStyle name="Обычный 100" xfId="12758"/>
    <cellStyle name="Обычный 100 2" xfId="12759"/>
    <cellStyle name="Обычный 100 2 2" xfId="12760"/>
    <cellStyle name="Обычный 100 2 2 2" xfId="12761"/>
    <cellStyle name="Обычный 100 2 2 2 2" xfId="42755"/>
    <cellStyle name="Обычный 100 2 2 3" xfId="42756"/>
    <cellStyle name="Обычный 100 2 3" xfId="12762"/>
    <cellStyle name="Обычный 100 2 3 2" xfId="42757"/>
    <cellStyle name="Обычный 100 2 4" xfId="42758"/>
    <cellStyle name="Обычный 100 3" xfId="12763"/>
    <cellStyle name="Обычный 100 3 2" xfId="12764"/>
    <cellStyle name="Обычный 100 3 2 2" xfId="12765"/>
    <cellStyle name="Обычный 100 3 2 2 2" xfId="42759"/>
    <cellStyle name="Обычный 100 3 2 3" xfId="42760"/>
    <cellStyle name="Обычный 100 3 3" xfId="12766"/>
    <cellStyle name="Обычный 100 3 3 2" xfId="42761"/>
    <cellStyle name="Обычный 100 3 4" xfId="42762"/>
    <cellStyle name="Обычный 100 4" xfId="12767"/>
    <cellStyle name="Обычный 100 4 2" xfId="12768"/>
    <cellStyle name="Обычный 100 4 2 2" xfId="12769"/>
    <cellStyle name="Обычный 100 4 2 2 2" xfId="42763"/>
    <cellStyle name="Обычный 100 4 2 3" xfId="42764"/>
    <cellStyle name="Обычный 100 4 3" xfId="12770"/>
    <cellStyle name="Обычный 100 4 3 2" xfId="42765"/>
    <cellStyle name="Обычный 100 4 4" xfId="42766"/>
    <cellStyle name="Обычный 100 5" xfId="12771"/>
    <cellStyle name="Обычный 100 5 2" xfId="12772"/>
    <cellStyle name="Обычный 100 5 2 2" xfId="42767"/>
    <cellStyle name="Обычный 100 5 3" xfId="42768"/>
    <cellStyle name="Обычный 100 6" xfId="12773"/>
    <cellStyle name="Обычный 100 6 2" xfId="42769"/>
    <cellStyle name="Обычный 100 7" xfId="12774"/>
    <cellStyle name="Обычный 100 7 2" xfId="42770"/>
    <cellStyle name="Обычный 100 8" xfId="42771"/>
    <cellStyle name="Обычный 101" xfId="12775"/>
    <cellStyle name="Обычный 101 2" xfId="12776"/>
    <cellStyle name="Обычный 101 2 2" xfId="12777"/>
    <cellStyle name="Обычный 101 2 2 2" xfId="12778"/>
    <cellStyle name="Обычный 101 2 2 2 2" xfId="42772"/>
    <cellStyle name="Обычный 101 2 2 3" xfId="42773"/>
    <cellStyle name="Обычный 101 2 3" xfId="12779"/>
    <cellStyle name="Обычный 101 2 3 2" xfId="42774"/>
    <cellStyle name="Обычный 101 2 4" xfId="42775"/>
    <cellStyle name="Обычный 101 3" xfId="12780"/>
    <cellStyle name="Обычный 101 3 2" xfId="12781"/>
    <cellStyle name="Обычный 101 3 2 2" xfId="12782"/>
    <cellStyle name="Обычный 101 3 2 2 2" xfId="42776"/>
    <cellStyle name="Обычный 101 3 2 3" xfId="42777"/>
    <cellStyle name="Обычный 101 3 3" xfId="12783"/>
    <cellStyle name="Обычный 101 3 3 2" xfId="42778"/>
    <cellStyle name="Обычный 101 3 4" xfId="42779"/>
    <cellStyle name="Обычный 101 4" xfId="12784"/>
    <cellStyle name="Обычный 101 4 2" xfId="12785"/>
    <cellStyle name="Обычный 101 4 2 2" xfId="12786"/>
    <cellStyle name="Обычный 101 4 2 2 2" xfId="42780"/>
    <cellStyle name="Обычный 101 4 2 3" xfId="42781"/>
    <cellStyle name="Обычный 101 4 3" xfId="12787"/>
    <cellStyle name="Обычный 101 4 3 2" xfId="42782"/>
    <cellStyle name="Обычный 101 4 4" xfId="42783"/>
    <cellStyle name="Обычный 101 5" xfId="12788"/>
    <cellStyle name="Обычный 101 5 2" xfId="12789"/>
    <cellStyle name="Обычный 101 5 2 2" xfId="42784"/>
    <cellStyle name="Обычный 101 5 3" xfId="42785"/>
    <cellStyle name="Обычный 101 6" xfId="12790"/>
    <cellStyle name="Обычный 101 6 2" xfId="42786"/>
    <cellStyle name="Обычный 101 7" xfId="12791"/>
    <cellStyle name="Обычный 101 7 2" xfId="42787"/>
    <cellStyle name="Обычный 101 8" xfId="42788"/>
    <cellStyle name="Обычный 102" xfId="12792"/>
    <cellStyle name="Обычный 102 2" xfId="12793"/>
    <cellStyle name="Обычный 102 2 2" xfId="12794"/>
    <cellStyle name="Обычный 102 2 2 2" xfId="12795"/>
    <cellStyle name="Обычный 102 2 2 2 2" xfId="42789"/>
    <cellStyle name="Обычный 102 2 2 3" xfId="42790"/>
    <cellStyle name="Обычный 102 2 3" xfId="12796"/>
    <cellStyle name="Обычный 102 2 3 2" xfId="42791"/>
    <cellStyle name="Обычный 102 2 4" xfId="42792"/>
    <cellStyle name="Обычный 102 3" xfId="12797"/>
    <cellStyle name="Обычный 102 3 2" xfId="12798"/>
    <cellStyle name="Обычный 102 3 2 2" xfId="12799"/>
    <cellStyle name="Обычный 102 3 2 2 2" xfId="42793"/>
    <cellStyle name="Обычный 102 3 2 3" xfId="42794"/>
    <cellStyle name="Обычный 102 3 3" xfId="12800"/>
    <cellStyle name="Обычный 102 3 3 2" xfId="42795"/>
    <cellStyle name="Обычный 102 3 4" xfId="42796"/>
    <cellStyle name="Обычный 102 4" xfId="12801"/>
    <cellStyle name="Обычный 102 4 2" xfId="12802"/>
    <cellStyle name="Обычный 102 4 2 2" xfId="12803"/>
    <cellStyle name="Обычный 102 4 2 2 2" xfId="42797"/>
    <cellStyle name="Обычный 102 4 2 3" xfId="42798"/>
    <cellStyle name="Обычный 102 4 3" xfId="12804"/>
    <cellStyle name="Обычный 102 4 3 2" xfId="42799"/>
    <cellStyle name="Обычный 102 4 4" xfId="42800"/>
    <cellStyle name="Обычный 102 5" xfId="12805"/>
    <cellStyle name="Обычный 102 5 2" xfId="12806"/>
    <cellStyle name="Обычный 102 5 2 2" xfId="42801"/>
    <cellStyle name="Обычный 102 5 3" xfId="42802"/>
    <cellStyle name="Обычный 102 6" xfId="12807"/>
    <cellStyle name="Обычный 102 6 2" xfId="42803"/>
    <cellStyle name="Обычный 102 7" xfId="12808"/>
    <cellStyle name="Обычный 102 7 2" xfId="42804"/>
    <cellStyle name="Обычный 102 8" xfId="42805"/>
    <cellStyle name="Обычный 103" xfId="12809"/>
    <cellStyle name="Обычный 103 2" xfId="12810"/>
    <cellStyle name="Обычный 103 2 2" xfId="12811"/>
    <cellStyle name="Обычный 103 2 2 2" xfId="12812"/>
    <cellStyle name="Обычный 103 2 2 2 2" xfId="42806"/>
    <cellStyle name="Обычный 103 2 2 3" xfId="42807"/>
    <cellStyle name="Обычный 103 2 3" xfId="12813"/>
    <cellStyle name="Обычный 103 2 3 2" xfId="42808"/>
    <cellStyle name="Обычный 103 2 4" xfId="42809"/>
    <cellStyle name="Обычный 103 2 5" xfId="60312"/>
    <cellStyle name="Обычный 103 3" xfId="12814"/>
    <cellStyle name="Обычный 103 3 2" xfId="12815"/>
    <cellStyle name="Обычный 103 3 2 2" xfId="12816"/>
    <cellStyle name="Обычный 103 3 2 2 2" xfId="42810"/>
    <cellStyle name="Обычный 103 3 2 3" xfId="42811"/>
    <cellStyle name="Обычный 103 3 3" xfId="12817"/>
    <cellStyle name="Обычный 103 3 3 2" xfId="42812"/>
    <cellStyle name="Обычный 103 3 4" xfId="42813"/>
    <cellStyle name="Обычный 103 4" xfId="12818"/>
    <cellStyle name="Обычный 103 4 2" xfId="12819"/>
    <cellStyle name="Обычный 103 4 2 2" xfId="12820"/>
    <cellStyle name="Обычный 103 4 2 2 2" xfId="42814"/>
    <cellStyle name="Обычный 103 4 2 3" xfId="42815"/>
    <cellStyle name="Обычный 103 4 3" xfId="12821"/>
    <cellStyle name="Обычный 103 4 3 2" xfId="42816"/>
    <cellStyle name="Обычный 103 4 4" xfId="42817"/>
    <cellStyle name="Обычный 103 5" xfId="12822"/>
    <cellStyle name="Обычный 103 5 2" xfId="12823"/>
    <cellStyle name="Обычный 103 5 2 2" xfId="42818"/>
    <cellStyle name="Обычный 103 5 3" xfId="42819"/>
    <cellStyle name="Обычный 103 6" xfId="12824"/>
    <cellStyle name="Обычный 103 6 2" xfId="42820"/>
    <cellStyle name="Обычный 103 7" xfId="12825"/>
    <cellStyle name="Обычный 103 7 2" xfId="42821"/>
    <cellStyle name="Обычный 103 8" xfId="42822"/>
    <cellStyle name="Обычный 103 9" xfId="60313"/>
    <cellStyle name="Обычный 104" xfId="12826"/>
    <cellStyle name="Обычный 104 2" xfId="12827"/>
    <cellStyle name="Обычный 104 2 2" xfId="12828"/>
    <cellStyle name="Обычный 104 2 2 2" xfId="12829"/>
    <cellStyle name="Обычный 104 2 2 2 2" xfId="42823"/>
    <cellStyle name="Обычный 104 2 2 3" xfId="42824"/>
    <cellStyle name="Обычный 104 2 3" xfId="12830"/>
    <cellStyle name="Обычный 104 2 3 2" xfId="42825"/>
    <cellStyle name="Обычный 104 2 4" xfId="42826"/>
    <cellStyle name="Обычный 104 3" xfId="12831"/>
    <cellStyle name="Обычный 104 3 2" xfId="12832"/>
    <cellStyle name="Обычный 104 3 2 2" xfId="12833"/>
    <cellStyle name="Обычный 104 3 2 2 2" xfId="42827"/>
    <cellStyle name="Обычный 104 3 2 3" xfId="42828"/>
    <cellStyle name="Обычный 104 3 3" xfId="12834"/>
    <cellStyle name="Обычный 104 3 3 2" xfId="42829"/>
    <cellStyle name="Обычный 104 3 4" xfId="42830"/>
    <cellStyle name="Обычный 104 4" xfId="12835"/>
    <cellStyle name="Обычный 104 4 2" xfId="12836"/>
    <cellStyle name="Обычный 104 4 2 2" xfId="12837"/>
    <cellStyle name="Обычный 104 4 2 2 2" xfId="42831"/>
    <cellStyle name="Обычный 104 4 2 3" xfId="42832"/>
    <cellStyle name="Обычный 104 4 3" xfId="12838"/>
    <cellStyle name="Обычный 104 4 3 2" xfId="42833"/>
    <cellStyle name="Обычный 104 4 4" xfId="42834"/>
    <cellStyle name="Обычный 104 5" xfId="12839"/>
    <cellStyle name="Обычный 104 5 2" xfId="12840"/>
    <cellStyle name="Обычный 104 5 2 2" xfId="42835"/>
    <cellStyle name="Обычный 104 5 3" xfId="42836"/>
    <cellStyle name="Обычный 104 6" xfId="12841"/>
    <cellStyle name="Обычный 104 6 2" xfId="42837"/>
    <cellStyle name="Обычный 104 7" xfId="12842"/>
    <cellStyle name="Обычный 104 7 2" xfId="42838"/>
    <cellStyle name="Обычный 104 8" xfId="42839"/>
    <cellStyle name="Обычный 105" xfId="12843"/>
    <cellStyle name="Обычный 105 2" xfId="12844"/>
    <cellStyle name="Обычный 105 2 2" xfId="12845"/>
    <cellStyle name="Обычный 105 2 2 2" xfId="12846"/>
    <cellStyle name="Обычный 105 2 2 2 2" xfId="42840"/>
    <cellStyle name="Обычный 105 2 2 3" xfId="42841"/>
    <cellStyle name="Обычный 105 2 3" xfId="12847"/>
    <cellStyle name="Обычный 105 2 3 2" xfId="42842"/>
    <cellStyle name="Обычный 105 2 4" xfId="42843"/>
    <cellStyle name="Обычный 105 3" xfId="12848"/>
    <cellStyle name="Обычный 105 3 2" xfId="12849"/>
    <cellStyle name="Обычный 105 3 2 2" xfId="12850"/>
    <cellStyle name="Обычный 105 3 2 2 2" xfId="42844"/>
    <cellStyle name="Обычный 105 3 2 3" xfId="42845"/>
    <cellStyle name="Обычный 105 3 3" xfId="12851"/>
    <cellStyle name="Обычный 105 3 3 2" xfId="42846"/>
    <cellStyle name="Обычный 105 3 4" xfId="42847"/>
    <cellStyle name="Обычный 105 4" xfId="12852"/>
    <cellStyle name="Обычный 105 4 2" xfId="12853"/>
    <cellStyle name="Обычный 105 4 2 2" xfId="12854"/>
    <cellStyle name="Обычный 105 4 2 2 2" xfId="42848"/>
    <cellStyle name="Обычный 105 4 2 3" xfId="42849"/>
    <cellStyle name="Обычный 105 4 3" xfId="12855"/>
    <cellStyle name="Обычный 105 4 3 2" xfId="42850"/>
    <cellStyle name="Обычный 105 4 4" xfId="42851"/>
    <cellStyle name="Обычный 105 5" xfId="12856"/>
    <cellStyle name="Обычный 105 5 2" xfId="12857"/>
    <cellStyle name="Обычный 105 5 2 2" xfId="42852"/>
    <cellStyle name="Обычный 105 5 3" xfId="42853"/>
    <cellStyle name="Обычный 105 6" xfId="12858"/>
    <cellStyle name="Обычный 105 6 2" xfId="42854"/>
    <cellStyle name="Обычный 105 7" xfId="12859"/>
    <cellStyle name="Обычный 105 7 2" xfId="42855"/>
    <cellStyle name="Обычный 105 8" xfId="42856"/>
    <cellStyle name="Обычный 106" xfId="12860"/>
    <cellStyle name="Обычный 106 2" xfId="12861"/>
    <cellStyle name="Обычный 106 2 2" xfId="12862"/>
    <cellStyle name="Обычный 106 2 2 2" xfId="12863"/>
    <cellStyle name="Обычный 106 2 2 2 2" xfId="42857"/>
    <cellStyle name="Обычный 106 2 2 3" xfId="42858"/>
    <cellStyle name="Обычный 106 2 3" xfId="12864"/>
    <cellStyle name="Обычный 106 2 3 2" xfId="42859"/>
    <cellStyle name="Обычный 106 2 4" xfId="42860"/>
    <cellStyle name="Обычный 106 3" xfId="12865"/>
    <cellStyle name="Обычный 106 3 2" xfId="12866"/>
    <cellStyle name="Обычный 106 3 2 2" xfId="12867"/>
    <cellStyle name="Обычный 106 3 2 2 2" xfId="42861"/>
    <cellStyle name="Обычный 106 3 2 3" xfId="42862"/>
    <cellStyle name="Обычный 106 3 3" xfId="12868"/>
    <cellStyle name="Обычный 106 3 3 2" xfId="42863"/>
    <cellStyle name="Обычный 106 3 4" xfId="42864"/>
    <cellStyle name="Обычный 106 4" xfId="12869"/>
    <cellStyle name="Обычный 106 4 2" xfId="12870"/>
    <cellStyle name="Обычный 106 4 2 2" xfId="12871"/>
    <cellStyle name="Обычный 106 4 2 2 2" xfId="42865"/>
    <cellStyle name="Обычный 106 4 2 3" xfId="42866"/>
    <cellStyle name="Обычный 106 4 3" xfId="12872"/>
    <cellStyle name="Обычный 106 4 3 2" xfId="42867"/>
    <cellStyle name="Обычный 106 4 4" xfId="42868"/>
    <cellStyle name="Обычный 106 5" xfId="12873"/>
    <cellStyle name="Обычный 106 5 2" xfId="12874"/>
    <cellStyle name="Обычный 106 5 2 2" xfId="42869"/>
    <cellStyle name="Обычный 106 5 3" xfId="42870"/>
    <cellStyle name="Обычный 106 6" xfId="12875"/>
    <cellStyle name="Обычный 106 6 2" xfId="42871"/>
    <cellStyle name="Обычный 106 7" xfId="12876"/>
    <cellStyle name="Обычный 106 7 2" xfId="42872"/>
    <cellStyle name="Обычный 106 8" xfId="42873"/>
    <cellStyle name="Обычный 107" xfId="12877"/>
    <cellStyle name="Обычный 107 2" xfId="12878"/>
    <cellStyle name="Обычный 107 2 2" xfId="12879"/>
    <cellStyle name="Обычный 107 2 2 2" xfId="12880"/>
    <cellStyle name="Обычный 107 2 2 2 2" xfId="42874"/>
    <cellStyle name="Обычный 107 2 2 3" xfId="42875"/>
    <cellStyle name="Обычный 107 2 3" xfId="12881"/>
    <cellStyle name="Обычный 107 2 3 2" xfId="42876"/>
    <cellStyle name="Обычный 107 2 4" xfId="42877"/>
    <cellStyle name="Обычный 107 3" xfId="12882"/>
    <cellStyle name="Обычный 107 3 2" xfId="12883"/>
    <cellStyle name="Обычный 107 3 2 2" xfId="12884"/>
    <cellStyle name="Обычный 107 3 2 2 2" xfId="42878"/>
    <cellStyle name="Обычный 107 3 2 3" xfId="42879"/>
    <cellStyle name="Обычный 107 3 3" xfId="12885"/>
    <cellStyle name="Обычный 107 3 3 2" xfId="42880"/>
    <cellStyle name="Обычный 107 3 4" xfId="42881"/>
    <cellStyle name="Обычный 107 4" xfId="12886"/>
    <cellStyle name="Обычный 107 4 2" xfId="12887"/>
    <cellStyle name="Обычный 107 4 2 2" xfId="12888"/>
    <cellStyle name="Обычный 107 4 2 2 2" xfId="42882"/>
    <cellStyle name="Обычный 107 4 2 3" xfId="42883"/>
    <cellStyle name="Обычный 107 4 3" xfId="12889"/>
    <cellStyle name="Обычный 107 4 3 2" xfId="42884"/>
    <cellStyle name="Обычный 107 4 4" xfId="42885"/>
    <cellStyle name="Обычный 107 5" xfId="12890"/>
    <cellStyle name="Обычный 107 5 2" xfId="12891"/>
    <cellStyle name="Обычный 107 5 2 2" xfId="42886"/>
    <cellStyle name="Обычный 107 5 3" xfId="42887"/>
    <cellStyle name="Обычный 107 6" xfId="12892"/>
    <cellStyle name="Обычный 107 6 2" xfId="42888"/>
    <cellStyle name="Обычный 107 7" xfId="12893"/>
    <cellStyle name="Обычный 107 7 2" xfId="42889"/>
    <cellStyle name="Обычный 107 8" xfId="42890"/>
    <cellStyle name="Обычный 108" xfId="12894"/>
    <cellStyle name="Обычный 108 2" xfId="12895"/>
    <cellStyle name="Обычный 108 2 2" xfId="12896"/>
    <cellStyle name="Обычный 108 2 2 2" xfId="12897"/>
    <cellStyle name="Обычный 108 2 2 2 2" xfId="42891"/>
    <cellStyle name="Обычный 108 2 2 3" xfId="42892"/>
    <cellStyle name="Обычный 108 2 3" xfId="12898"/>
    <cellStyle name="Обычный 108 2 3 2" xfId="42893"/>
    <cellStyle name="Обычный 108 2 4" xfId="42894"/>
    <cellStyle name="Обычный 108 3" xfId="12899"/>
    <cellStyle name="Обычный 108 3 2" xfId="12900"/>
    <cellStyle name="Обычный 108 3 2 2" xfId="12901"/>
    <cellStyle name="Обычный 108 3 2 2 2" xfId="42895"/>
    <cellStyle name="Обычный 108 3 2 3" xfId="42896"/>
    <cellStyle name="Обычный 108 3 3" xfId="12902"/>
    <cellStyle name="Обычный 108 3 3 2" xfId="42897"/>
    <cellStyle name="Обычный 108 3 4" xfId="42898"/>
    <cellStyle name="Обычный 108 4" xfId="12903"/>
    <cellStyle name="Обычный 108 4 2" xfId="12904"/>
    <cellStyle name="Обычный 108 4 2 2" xfId="12905"/>
    <cellStyle name="Обычный 108 4 2 2 2" xfId="42899"/>
    <cellStyle name="Обычный 108 4 2 3" xfId="42900"/>
    <cellStyle name="Обычный 108 4 3" xfId="12906"/>
    <cellStyle name="Обычный 108 4 3 2" xfId="42901"/>
    <cellStyle name="Обычный 108 4 4" xfId="42902"/>
    <cellStyle name="Обычный 108 5" xfId="12907"/>
    <cellStyle name="Обычный 108 5 2" xfId="12908"/>
    <cellStyle name="Обычный 108 5 2 2" xfId="42903"/>
    <cellStyle name="Обычный 108 5 3" xfId="42904"/>
    <cellStyle name="Обычный 108 6" xfId="12909"/>
    <cellStyle name="Обычный 108 6 2" xfId="42905"/>
    <cellStyle name="Обычный 108 7" xfId="12910"/>
    <cellStyle name="Обычный 108 7 2" xfId="42906"/>
    <cellStyle name="Обычный 108 8" xfId="42907"/>
    <cellStyle name="Обычный 109" xfId="12911"/>
    <cellStyle name="Обычный 109 2" xfId="12912"/>
    <cellStyle name="Обычный 109 2 2" xfId="12913"/>
    <cellStyle name="Обычный 109 2 2 2" xfId="12914"/>
    <cellStyle name="Обычный 109 2 2 2 2" xfId="42908"/>
    <cellStyle name="Обычный 109 2 2 3" xfId="42909"/>
    <cellStyle name="Обычный 109 2 3" xfId="12915"/>
    <cellStyle name="Обычный 109 2 3 2" xfId="42910"/>
    <cellStyle name="Обычный 109 2 4" xfId="42911"/>
    <cellStyle name="Обычный 109 3" xfId="12916"/>
    <cellStyle name="Обычный 109 3 2" xfId="12917"/>
    <cellStyle name="Обычный 109 3 2 2" xfId="12918"/>
    <cellStyle name="Обычный 109 3 2 2 2" xfId="42912"/>
    <cellStyle name="Обычный 109 3 2 3" xfId="42913"/>
    <cellStyle name="Обычный 109 3 3" xfId="12919"/>
    <cellStyle name="Обычный 109 3 3 2" xfId="42914"/>
    <cellStyle name="Обычный 109 3 4" xfId="42915"/>
    <cellStyle name="Обычный 109 4" xfId="12920"/>
    <cellStyle name="Обычный 109 4 2" xfId="12921"/>
    <cellStyle name="Обычный 109 4 2 2" xfId="12922"/>
    <cellStyle name="Обычный 109 4 2 2 2" xfId="42916"/>
    <cellStyle name="Обычный 109 4 2 3" xfId="42917"/>
    <cellStyle name="Обычный 109 4 3" xfId="12923"/>
    <cellStyle name="Обычный 109 4 3 2" xfId="42918"/>
    <cellStyle name="Обычный 109 4 4" xfId="42919"/>
    <cellStyle name="Обычный 109 5" xfId="12924"/>
    <cellStyle name="Обычный 109 5 2" xfId="12925"/>
    <cellStyle name="Обычный 109 5 2 2" xfId="42920"/>
    <cellStyle name="Обычный 109 5 3" xfId="42921"/>
    <cellStyle name="Обычный 109 6" xfId="12926"/>
    <cellStyle name="Обычный 109 6 2" xfId="42922"/>
    <cellStyle name="Обычный 109 7" xfId="12927"/>
    <cellStyle name="Обычный 109 7 2" xfId="42923"/>
    <cellStyle name="Обычный 109 8" xfId="42924"/>
    <cellStyle name="Обычный 11" xfId="4"/>
    <cellStyle name="Обычный 11 2" xfId="12928"/>
    <cellStyle name="Обычный 11 2 2" xfId="42925"/>
    <cellStyle name="Обычный 11 3" xfId="12929"/>
    <cellStyle name="Обычный 11 4" xfId="12930"/>
    <cellStyle name="Обычный 11 5" xfId="59084"/>
    <cellStyle name="Обычный 110" xfId="12931"/>
    <cellStyle name="Обычный 110 2" xfId="12932"/>
    <cellStyle name="Обычный 110 2 2" xfId="12933"/>
    <cellStyle name="Обычный 110 2 2 2" xfId="12934"/>
    <cellStyle name="Обычный 110 2 2 2 2" xfId="42926"/>
    <cellStyle name="Обычный 110 2 2 3" xfId="42927"/>
    <cellStyle name="Обычный 110 2 3" xfId="12935"/>
    <cellStyle name="Обычный 110 2 3 2" xfId="42928"/>
    <cellStyle name="Обычный 110 2 4" xfId="42929"/>
    <cellStyle name="Обычный 110 3" xfId="12936"/>
    <cellStyle name="Обычный 110 3 2" xfId="12937"/>
    <cellStyle name="Обычный 110 3 2 2" xfId="12938"/>
    <cellStyle name="Обычный 110 3 2 2 2" xfId="42930"/>
    <cellStyle name="Обычный 110 3 2 3" xfId="42931"/>
    <cellStyle name="Обычный 110 3 3" xfId="12939"/>
    <cellStyle name="Обычный 110 3 3 2" xfId="42932"/>
    <cellStyle name="Обычный 110 3 4" xfId="42933"/>
    <cellStyle name="Обычный 110 4" xfId="12940"/>
    <cellStyle name="Обычный 110 4 2" xfId="12941"/>
    <cellStyle name="Обычный 110 4 2 2" xfId="12942"/>
    <cellStyle name="Обычный 110 4 2 2 2" xfId="42934"/>
    <cellStyle name="Обычный 110 4 2 3" xfId="42935"/>
    <cellStyle name="Обычный 110 4 3" xfId="12943"/>
    <cellStyle name="Обычный 110 4 3 2" xfId="42936"/>
    <cellStyle name="Обычный 110 4 4" xfId="42937"/>
    <cellStyle name="Обычный 110 5" xfId="12944"/>
    <cellStyle name="Обычный 110 5 2" xfId="12945"/>
    <cellStyle name="Обычный 110 5 2 2" xfId="42938"/>
    <cellStyle name="Обычный 110 5 3" xfId="42939"/>
    <cellStyle name="Обычный 110 6" xfId="12946"/>
    <cellStyle name="Обычный 110 6 2" xfId="42940"/>
    <cellStyle name="Обычный 110 7" xfId="12947"/>
    <cellStyle name="Обычный 110 7 2" xfId="42941"/>
    <cellStyle name="Обычный 110 8" xfId="42942"/>
    <cellStyle name="Обычный 111" xfId="12948"/>
    <cellStyle name="Обычный 111 2" xfId="12949"/>
    <cellStyle name="Обычный 111 2 2" xfId="12950"/>
    <cellStyle name="Обычный 111 2 2 2" xfId="12951"/>
    <cellStyle name="Обычный 111 2 2 2 2" xfId="42943"/>
    <cellStyle name="Обычный 111 2 2 3" xfId="42944"/>
    <cellStyle name="Обычный 111 2 3" xfId="12952"/>
    <cellStyle name="Обычный 111 2 3 2" xfId="42945"/>
    <cellStyle name="Обычный 111 2 4" xfId="42946"/>
    <cellStyle name="Обычный 111 3" xfId="12953"/>
    <cellStyle name="Обычный 111 3 2" xfId="12954"/>
    <cellStyle name="Обычный 111 3 2 2" xfId="12955"/>
    <cellStyle name="Обычный 111 3 2 2 2" xfId="42947"/>
    <cellStyle name="Обычный 111 3 2 3" xfId="42948"/>
    <cellStyle name="Обычный 111 3 3" xfId="12956"/>
    <cellStyle name="Обычный 111 3 3 2" xfId="42949"/>
    <cellStyle name="Обычный 111 3 4" xfId="42950"/>
    <cellStyle name="Обычный 111 4" xfId="12957"/>
    <cellStyle name="Обычный 111 4 2" xfId="12958"/>
    <cellStyle name="Обычный 111 4 2 2" xfId="12959"/>
    <cellStyle name="Обычный 111 4 2 2 2" xfId="42951"/>
    <cellStyle name="Обычный 111 4 2 3" xfId="42952"/>
    <cellStyle name="Обычный 111 4 3" xfId="12960"/>
    <cellStyle name="Обычный 111 4 3 2" xfId="42953"/>
    <cellStyle name="Обычный 111 4 4" xfId="42954"/>
    <cellStyle name="Обычный 111 5" xfId="12961"/>
    <cellStyle name="Обычный 111 5 2" xfId="12962"/>
    <cellStyle name="Обычный 111 5 2 2" xfId="42955"/>
    <cellStyle name="Обычный 111 5 3" xfId="42956"/>
    <cellStyle name="Обычный 111 6" xfId="12963"/>
    <cellStyle name="Обычный 111 6 2" xfId="42957"/>
    <cellStyle name="Обычный 111 7" xfId="12964"/>
    <cellStyle name="Обычный 111 7 2" xfId="42958"/>
    <cellStyle name="Обычный 111 8" xfId="42959"/>
    <cellStyle name="Обычный 112" xfId="12965"/>
    <cellStyle name="Обычный 112 2" xfId="12966"/>
    <cellStyle name="Обычный 112 2 2" xfId="12967"/>
    <cellStyle name="Обычный 112 2 2 2" xfId="12968"/>
    <cellStyle name="Обычный 112 2 2 2 2" xfId="42960"/>
    <cellStyle name="Обычный 112 2 2 3" xfId="42961"/>
    <cellStyle name="Обычный 112 2 3" xfId="12969"/>
    <cellStyle name="Обычный 112 2 3 2" xfId="42962"/>
    <cellStyle name="Обычный 112 2 4" xfId="42963"/>
    <cellStyle name="Обычный 112 3" xfId="12970"/>
    <cellStyle name="Обычный 112 3 2" xfId="12971"/>
    <cellStyle name="Обычный 112 3 2 2" xfId="12972"/>
    <cellStyle name="Обычный 112 3 2 2 2" xfId="42964"/>
    <cellStyle name="Обычный 112 3 2 3" xfId="42965"/>
    <cellStyle name="Обычный 112 3 3" xfId="12973"/>
    <cellStyle name="Обычный 112 3 3 2" xfId="42966"/>
    <cellStyle name="Обычный 112 3 4" xfId="42967"/>
    <cellStyle name="Обычный 112 4" xfId="12974"/>
    <cellStyle name="Обычный 112 4 2" xfId="12975"/>
    <cellStyle name="Обычный 112 4 2 2" xfId="12976"/>
    <cellStyle name="Обычный 112 4 2 2 2" xfId="42968"/>
    <cellStyle name="Обычный 112 4 2 3" xfId="42969"/>
    <cellStyle name="Обычный 112 4 3" xfId="12977"/>
    <cellStyle name="Обычный 112 4 3 2" xfId="42970"/>
    <cellStyle name="Обычный 112 4 4" xfId="42971"/>
    <cellStyle name="Обычный 112 5" xfId="12978"/>
    <cellStyle name="Обычный 112 5 2" xfId="12979"/>
    <cellStyle name="Обычный 112 5 2 2" xfId="42972"/>
    <cellStyle name="Обычный 112 5 3" xfId="42973"/>
    <cellStyle name="Обычный 112 6" xfId="12980"/>
    <cellStyle name="Обычный 112 6 2" xfId="42974"/>
    <cellStyle name="Обычный 112 7" xfId="12981"/>
    <cellStyle name="Обычный 112 7 2" xfId="42975"/>
    <cellStyle name="Обычный 112 8" xfId="42976"/>
    <cellStyle name="Обычный 113" xfId="12982"/>
    <cellStyle name="Обычный 113 2" xfId="12983"/>
    <cellStyle name="Обычный 113 2 2" xfId="12984"/>
    <cellStyle name="Обычный 113 2 2 2" xfId="12985"/>
    <cellStyle name="Обычный 113 2 2 2 2" xfId="42977"/>
    <cellStyle name="Обычный 113 2 2 3" xfId="42978"/>
    <cellStyle name="Обычный 113 2 3" xfId="12986"/>
    <cellStyle name="Обычный 113 2 3 2" xfId="42979"/>
    <cellStyle name="Обычный 113 2 4" xfId="42980"/>
    <cellStyle name="Обычный 113 3" xfId="12987"/>
    <cellStyle name="Обычный 113 3 2" xfId="12988"/>
    <cellStyle name="Обычный 113 3 2 2" xfId="12989"/>
    <cellStyle name="Обычный 113 3 2 2 2" xfId="42981"/>
    <cellStyle name="Обычный 113 3 2 3" xfId="42982"/>
    <cellStyle name="Обычный 113 3 3" xfId="12990"/>
    <cellStyle name="Обычный 113 3 3 2" xfId="42983"/>
    <cellStyle name="Обычный 113 3 4" xfId="42984"/>
    <cellStyle name="Обычный 113 4" xfId="12991"/>
    <cellStyle name="Обычный 113 4 2" xfId="12992"/>
    <cellStyle name="Обычный 113 4 2 2" xfId="12993"/>
    <cellStyle name="Обычный 113 4 2 2 2" xfId="42985"/>
    <cellStyle name="Обычный 113 4 2 3" xfId="42986"/>
    <cellStyle name="Обычный 113 4 3" xfId="12994"/>
    <cellStyle name="Обычный 113 4 3 2" xfId="42987"/>
    <cellStyle name="Обычный 113 4 4" xfId="42988"/>
    <cellStyle name="Обычный 113 5" xfId="12995"/>
    <cellStyle name="Обычный 113 5 2" xfId="12996"/>
    <cellStyle name="Обычный 113 5 2 2" xfId="42989"/>
    <cellStyle name="Обычный 113 5 3" xfId="42990"/>
    <cellStyle name="Обычный 113 6" xfId="12997"/>
    <cellStyle name="Обычный 113 6 2" xfId="42991"/>
    <cellStyle name="Обычный 113 7" xfId="12998"/>
    <cellStyle name="Обычный 113 7 2" xfId="42992"/>
    <cellStyle name="Обычный 113 8" xfId="42993"/>
    <cellStyle name="Обычный 114" xfId="12999"/>
    <cellStyle name="Обычный 114 2" xfId="13000"/>
    <cellStyle name="Обычный 114 2 2" xfId="13001"/>
    <cellStyle name="Обычный 114 2 2 2" xfId="13002"/>
    <cellStyle name="Обычный 114 2 2 2 2" xfId="42994"/>
    <cellStyle name="Обычный 114 2 2 3" xfId="42995"/>
    <cellStyle name="Обычный 114 2 3" xfId="13003"/>
    <cellStyle name="Обычный 114 2 3 2" xfId="42996"/>
    <cellStyle name="Обычный 114 2 4" xfId="42997"/>
    <cellStyle name="Обычный 114 3" xfId="13004"/>
    <cellStyle name="Обычный 114 3 2" xfId="13005"/>
    <cellStyle name="Обычный 114 3 2 2" xfId="13006"/>
    <cellStyle name="Обычный 114 3 2 2 2" xfId="42998"/>
    <cellStyle name="Обычный 114 3 2 3" xfId="42999"/>
    <cellStyle name="Обычный 114 3 3" xfId="13007"/>
    <cellStyle name="Обычный 114 3 3 2" xfId="43000"/>
    <cellStyle name="Обычный 114 3 4" xfId="43001"/>
    <cellStyle name="Обычный 114 4" xfId="13008"/>
    <cellStyle name="Обычный 114 4 2" xfId="13009"/>
    <cellStyle name="Обычный 114 4 2 2" xfId="13010"/>
    <cellStyle name="Обычный 114 4 2 2 2" xfId="43002"/>
    <cellStyle name="Обычный 114 4 2 3" xfId="43003"/>
    <cellStyle name="Обычный 114 4 3" xfId="13011"/>
    <cellStyle name="Обычный 114 4 3 2" xfId="43004"/>
    <cellStyle name="Обычный 114 4 4" xfId="43005"/>
    <cellStyle name="Обычный 114 5" xfId="13012"/>
    <cellStyle name="Обычный 114 5 2" xfId="13013"/>
    <cellStyle name="Обычный 114 5 2 2" xfId="43006"/>
    <cellStyle name="Обычный 114 5 3" xfId="43007"/>
    <cellStyle name="Обычный 114 6" xfId="13014"/>
    <cellStyle name="Обычный 114 6 2" xfId="43008"/>
    <cellStyle name="Обычный 114 7" xfId="13015"/>
    <cellStyle name="Обычный 114 7 2" xfId="43009"/>
    <cellStyle name="Обычный 114 8" xfId="43010"/>
    <cellStyle name="Обычный 115" xfId="13016"/>
    <cellStyle name="Обычный 115 2" xfId="13017"/>
    <cellStyle name="Обычный 115 2 2" xfId="13018"/>
    <cellStyle name="Обычный 115 2 2 2" xfId="13019"/>
    <cellStyle name="Обычный 115 2 2 2 2" xfId="43011"/>
    <cellStyle name="Обычный 115 2 2 3" xfId="43012"/>
    <cellStyle name="Обычный 115 2 3" xfId="13020"/>
    <cellStyle name="Обычный 115 2 3 2" xfId="43013"/>
    <cellStyle name="Обычный 115 2 4" xfId="43014"/>
    <cellStyle name="Обычный 115 3" xfId="13021"/>
    <cellStyle name="Обычный 115 3 2" xfId="13022"/>
    <cellStyle name="Обычный 115 3 2 2" xfId="13023"/>
    <cellStyle name="Обычный 115 3 2 2 2" xfId="43015"/>
    <cellStyle name="Обычный 115 3 2 3" xfId="43016"/>
    <cellStyle name="Обычный 115 3 3" xfId="13024"/>
    <cellStyle name="Обычный 115 3 3 2" xfId="43017"/>
    <cellStyle name="Обычный 115 3 4" xfId="43018"/>
    <cellStyle name="Обычный 115 4" xfId="13025"/>
    <cellStyle name="Обычный 115 4 2" xfId="13026"/>
    <cellStyle name="Обычный 115 4 2 2" xfId="13027"/>
    <cellStyle name="Обычный 115 4 2 2 2" xfId="43019"/>
    <cellStyle name="Обычный 115 4 2 3" xfId="43020"/>
    <cellStyle name="Обычный 115 4 3" xfId="13028"/>
    <cellStyle name="Обычный 115 4 3 2" xfId="43021"/>
    <cellStyle name="Обычный 115 4 4" xfId="43022"/>
    <cellStyle name="Обычный 115 5" xfId="13029"/>
    <cellStyle name="Обычный 115 5 2" xfId="13030"/>
    <cellStyle name="Обычный 115 5 2 2" xfId="43023"/>
    <cellStyle name="Обычный 115 5 3" xfId="43024"/>
    <cellStyle name="Обычный 115 6" xfId="13031"/>
    <cellStyle name="Обычный 115 6 2" xfId="43025"/>
    <cellStyle name="Обычный 115 7" xfId="13032"/>
    <cellStyle name="Обычный 115 7 2" xfId="43026"/>
    <cellStyle name="Обычный 115 8" xfId="43027"/>
    <cellStyle name="Обычный 116" xfId="13033"/>
    <cellStyle name="Обычный 116 2" xfId="13034"/>
    <cellStyle name="Обычный 116 2 2" xfId="13035"/>
    <cellStyle name="Обычный 116 2 2 2" xfId="13036"/>
    <cellStyle name="Обычный 116 2 2 2 2" xfId="43028"/>
    <cellStyle name="Обычный 116 2 2 3" xfId="43029"/>
    <cellStyle name="Обычный 116 2 3" xfId="13037"/>
    <cellStyle name="Обычный 116 2 3 2" xfId="43030"/>
    <cellStyle name="Обычный 116 2 4" xfId="43031"/>
    <cellStyle name="Обычный 116 3" xfId="13038"/>
    <cellStyle name="Обычный 116 3 2" xfId="13039"/>
    <cellStyle name="Обычный 116 3 2 2" xfId="13040"/>
    <cellStyle name="Обычный 116 3 2 2 2" xfId="43032"/>
    <cellStyle name="Обычный 116 3 2 3" xfId="43033"/>
    <cellStyle name="Обычный 116 3 3" xfId="13041"/>
    <cellStyle name="Обычный 116 3 3 2" xfId="43034"/>
    <cellStyle name="Обычный 116 3 4" xfId="43035"/>
    <cellStyle name="Обычный 116 4" xfId="13042"/>
    <cellStyle name="Обычный 116 4 2" xfId="13043"/>
    <cellStyle name="Обычный 116 4 2 2" xfId="13044"/>
    <cellStyle name="Обычный 116 4 2 2 2" xfId="43036"/>
    <cellStyle name="Обычный 116 4 2 3" xfId="43037"/>
    <cellStyle name="Обычный 116 4 3" xfId="13045"/>
    <cellStyle name="Обычный 116 4 3 2" xfId="43038"/>
    <cellStyle name="Обычный 116 4 4" xfId="43039"/>
    <cellStyle name="Обычный 116 5" xfId="13046"/>
    <cellStyle name="Обычный 116 5 2" xfId="13047"/>
    <cellStyle name="Обычный 116 5 2 2" xfId="43040"/>
    <cellStyle name="Обычный 116 5 3" xfId="43041"/>
    <cellStyle name="Обычный 116 6" xfId="13048"/>
    <cellStyle name="Обычный 116 6 2" xfId="43042"/>
    <cellStyle name="Обычный 116 7" xfId="13049"/>
    <cellStyle name="Обычный 116 7 2" xfId="43043"/>
    <cellStyle name="Обычный 116 8" xfId="43044"/>
    <cellStyle name="Обычный 117" xfId="13050"/>
    <cellStyle name="Обычный 117 2" xfId="13051"/>
    <cellStyle name="Обычный 117 2 2" xfId="13052"/>
    <cellStyle name="Обычный 117 2 2 2" xfId="13053"/>
    <cellStyle name="Обычный 117 2 2 2 2" xfId="43045"/>
    <cellStyle name="Обычный 117 2 2 3" xfId="43046"/>
    <cellStyle name="Обычный 117 2 3" xfId="13054"/>
    <cellStyle name="Обычный 117 2 3 2" xfId="43047"/>
    <cellStyle name="Обычный 117 2 4" xfId="43048"/>
    <cellStyle name="Обычный 117 3" xfId="13055"/>
    <cellStyle name="Обычный 117 3 2" xfId="13056"/>
    <cellStyle name="Обычный 117 3 2 2" xfId="13057"/>
    <cellStyle name="Обычный 117 3 2 2 2" xfId="43049"/>
    <cellStyle name="Обычный 117 3 2 3" xfId="43050"/>
    <cellStyle name="Обычный 117 3 3" xfId="13058"/>
    <cellStyle name="Обычный 117 3 3 2" xfId="43051"/>
    <cellStyle name="Обычный 117 3 4" xfId="43052"/>
    <cellStyle name="Обычный 117 4" xfId="13059"/>
    <cellStyle name="Обычный 117 4 2" xfId="13060"/>
    <cellStyle name="Обычный 117 4 2 2" xfId="13061"/>
    <cellStyle name="Обычный 117 4 2 2 2" xfId="43053"/>
    <cellStyle name="Обычный 117 4 2 3" xfId="43054"/>
    <cellStyle name="Обычный 117 4 3" xfId="13062"/>
    <cellStyle name="Обычный 117 4 3 2" xfId="43055"/>
    <cellStyle name="Обычный 117 4 4" xfId="43056"/>
    <cellStyle name="Обычный 117 5" xfId="13063"/>
    <cellStyle name="Обычный 117 5 2" xfId="13064"/>
    <cellStyle name="Обычный 117 5 2 2" xfId="43057"/>
    <cellStyle name="Обычный 117 5 3" xfId="43058"/>
    <cellStyle name="Обычный 117 6" xfId="13065"/>
    <cellStyle name="Обычный 117 6 2" xfId="43059"/>
    <cellStyle name="Обычный 117 7" xfId="13066"/>
    <cellStyle name="Обычный 117 7 2" xfId="43060"/>
    <cellStyle name="Обычный 117 8" xfId="43061"/>
    <cellStyle name="Обычный 118" xfId="13067"/>
    <cellStyle name="Обычный 118 2" xfId="13068"/>
    <cellStyle name="Обычный 118 2 2" xfId="13069"/>
    <cellStyle name="Обычный 118 2 2 2" xfId="13070"/>
    <cellStyle name="Обычный 118 2 2 2 2" xfId="43062"/>
    <cellStyle name="Обычный 118 2 2 3" xfId="43063"/>
    <cellStyle name="Обычный 118 2 3" xfId="13071"/>
    <cellStyle name="Обычный 118 2 3 2" xfId="43064"/>
    <cellStyle name="Обычный 118 2 4" xfId="43065"/>
    <cellStyle name="Обычный 118 3" xfId="13072"/>
    <cellStyle name="Обычный 118 3 2" xfId="13073"/>
    <cellStyle name="Обычный 118 3 2 2" xfId="13074"/>
    <cellStyle name="Обычный 118 3 2 2 2" xfId="43066"/>
    <cellStyle name="Обычный 118 3 2 3" xfId="43067"/>
    <cellStyle name="Обычный 118 3 3" xfId="13075"/>
    <cellStyle name="Обычный 118 3 3 2" xfId="43068"/>
    <cellStyle name="Обычный 118 3 4" xfId="43069"/>
    <cellStyle name="Обычный 118 4" xfId="13076"/>
    <cellStyle name="Обычный 118 4 2" xfId="13077"/>
    <cellStyle name="Обычный 118 4 2 2" xfId="13078"/>
    <cellStyle name="Обычный 118 4 2 2 2" xfId="43070"/>
    <cellStyle name="Обычный 118 4 2 3" xfId="43071"/>
    <cellStyle name="Обычный 118 4 3" xfId="13079"/>
    <cellStyle name="Обычный 118 4 3 2" xfId="43072"/>
    <cellStyle name="Обычный 118 4 4" xfId="43073"/>
    <cellStyle name="Обычный 118 5" xfId="13080"/>
    <cellStyle name="Обычный 118 5 2" xfId="13081"/>
    <cellStyle name="Обычный 118 5 2 2" xfId="43074"/>
    <cellStyle name="Обычный 118 5 3" xfId="43075"/>
    <cellStyle name="Обычный 118 6" xfId="13082"/>
    <cellStyle name="Обычный 118 6 2" xfId="43076"/>
    <cellStyle name="Обычный 118 7" xfId="13083"/>
    <cellStyle name="Обычный 118 7 2" xfId="43077"/>
    <cellStyle name="Обычный 118 8" xfId="43078"/>
    <cellStyle name="Обычный 119" xfId="13084"/>
    <cellStyle name="Обычный 119 2" xfId="13085"/>
    <cellStyle name="Обычный 119 2 2" xfId="13086"/>
    <cellStyle name="Обычный 119 2 2 2" xfId="13087"/>
    <cellStyle name="Обычный 119 2 2 2 2" xfId="43079"/>
    <cellStyle name="Обычный 119 2 2 3" xfId="43080"/>
    <cellStyle name="Обычный 119 2 3" xfId="13088"/>
    <cellStyle name="Обычный 119 2 3 2" xfId="43081"/>
    <cellStyle name="Обычный 119 2 4" xfId="43082"/>
    <cellStyle name="Обычный 119 3" xfId="13089"/>
    <cellStyle name="Обычный 119 3 2" xfId="13090"/>
    <cellStyle name="Обычный 119 3 2 2" xfId="13091"/>
    <cellStyle name="Обычный 119 3 2 2 2" xfId="43083"/>
    <cellStyle name="Обычный 119 3 2 3" xfId="43084"/>
    <cellStyle name="Обычный 119 3 3" xfId="13092"/>
    <cellStyle name="Обычный 119 3 3 2" xfId="43085"/>
    <cellStyle name="Обычный 119 3 4" xfId="43086"/>
    <cellStyle name="Обычный 119 4" xfId="13093"/>
    <cellStyle name="Обычный 119 4 2" xfId="13094"/>
    <cellStyle name="Обычный 119 4 2 2" xfId="13095"/>
    <cellStyle name="Обычный 119 4 2 2 2" xfId="43087"/>
    <cellStyle name="Обычный 119 4 2 3" xfId="43088"/>
    <cellStyle name="Обычный 119 4 3" xfId="13096"/>
    <cellStyle name="Обычный 119 4 3 2" xfId="43089"/>
    <cellStyle name="Обычный 119 4 4" xfId="43090"/>
    <cellStyle name="Обычный 119 5" xfId="13097"/>
    <cellStyle name="Обычный 119 5 2" xfId="13098"/>
    <cellStyle name="Обычный 119 5 2 2" xfId="43091"/>
    <cellStyle name="Обычный 119 5 3" xfId="43092"/>
    <cellStyle name="Обычный 119 6" xfId="13099"/>
    <cellStyle name="Обычный 119 6 2" xfId="43093"/>
    <cellStyle name="Обычный 119 7" xfId="13100"/>
    <cellStyle name="Обычный 119 7 2" xfId="43094"/>
    <cellStyle name="Обычный 119 8" xfId="43095"/>
    <cellStyle name="Обычный 12" xfId="5"/>
    <cellStyle name="Обычный 12 2" xfId="13101"/>
    <cellStyle name="Обычный 12 2 5" xfId="59085"/>
    <cellStyle name="Обычный 12 3" xfId="13102"/>
    <cellStyle name="Обычный 12 4" xfId="59086"/>
    <cellStyle name="Обычный 120" xfId="13103"/>
    <cellStyle name="Обычный 120 2" xfId="13104"/>
    <cellStyle name="Обычный 120 2 2" xfId="13105"/>
    <cellStyle name="Обычный 120 2 2 2" xfId="13106"/>
    <cellStyle name="Обычный 120 2 2 2 2" xfId="43096"/>
    <cellStyle name="Обычный 120 2 2 3" xfId="43097"/>
    <cellStyle name="Обычный 120 2 3" xfId="13107"/>
    <cellStyle name="Обычный 120 2 3 2" xfId="43098"/>
    <cellStyle name="Обычный 120 2 4" xfId="43099"/>
    <cellStyle name="Обычный 120 3" xfId="13108"/>
    <cellStyle name="Обычный 120 3 2" xfId="13109"/>
    <cellStyle name="Обычный 120 3 2 2" xfId="13110"/>
    <cellStyle name="Обычный 120 3 2 2 2" xfId="43100"/>
    <cellStyle name="Обычный 120 3 2 3" xfId="43101"/>
    <cellStyle name="Обычный 120 3 3" xfId="13111"/>
    <cellStyle name="Обычный 120 3 3 2" xfId="43102"/>
    <cellStyle name="Обычный 120 3 4" xfId="43103"/>
    <cellStyle name="Обычный 120 4" xfId="13112"/>
    <cellStyle name="Обычный 120 4 2" xfId="13113"/>
    <cellStyle name="Обычный 120 4 2 2" xfId="13114"/>
    <cellStyle name="Обычный 120 4 2 2 2" xfId="43104"/>
    <cellStyle name="Обычный 120 4 2 3" xfId="43105"/>
    <cellStyle name="Обычный 120 4 3" xfId="13115"/>
    <cellStyle name="Обычный 120 4 3 2" xfId="43106"/>
    <cellStyle name="Обычный 120 4 4" xfId="43107"/>
    <cellStyle name="Обычный 120 5" xfId="13116"/>
    <cellStyle name="Обычный 120 5 2" xfId="13117"/>
    <cellStyle name="Обычный 120 5 2 2" xfId="43108"/>
    <cellStyle name="Обычный 120 5 3" xfId="43109"/>
    <cellStyle name="Обычный 120 6" xfId="13118"/>
    <cellStyle name="Обычный 120 6 2" xfId="43110"/>
    <cellStyle name="Обычный 120 7" xfId="13119"/>
    <cellStyle name="Обычный 120 7 2" xfId="43111"/>
    <cellStyle name="Обычный 120 8" xfId="43112"/>
    <cellStyle name="Обычный 121" xfId="13120"/>
    <cellStyle name="Обычный 121 2" xfId="13121"/>
    <cellStyle name="Обычный 121 2 2" xfId="13122"/>
    <cellStyle name="Обычный 121 2 2 2" xfId="13123"/>
    <cellStyle name="Обычный 121 2 2 2 2" xfId="43113"/>
    <cellStyle name="Обычный 121 2 2 3" xfId="43114"/>
    <cellStyle name="Обычный 121 2 3" xfId="13124"/>
    <cellStyle name="Обычный 121 2 3 2" xfId="43115"/>
    <cellStyle name="Обычный 121 2 4" xfId="43116"/>
    <cellStyle name="Обычный 121 3" xfId="13125"/>
    <cellStyle name="Обычный 121 3 2" xfId="13126"/>
    <cellStyle name="Обычный 121 3 2 2" xfId="13127"/>
    <cellStyle name="Обычный 121 3 2 2 2" xfId="43117"/>
    <cellStyle name="Обычный 121 3 2 3" xfId="43118"/>
    <cellStyle name="Обычный 121 3 3" xfId="13128"/>
    <cellStyle name="Обычный 121 3 3 2" xfId="43119"/>
    <cellStyle name="Обычный 121 3 4" xfId="43120"/>
    <cellStyle name="Обычный 121 4" xfId="13129"/>
    <cellStyle name="Обычный 121 4 2" xfId="13130"/>
    <cellStyle name="Обычный 121 4 2 2" xfId="13131"/>
    <cellStyle name="Обычный 121 4 2 2 2" xfId="43121"/>
    <cellStyle name="Обычный 121 4 2 3" xfId="43122"/>
    <cellStyle name="Обычный 121 4 3" xfId="13132"/>
    <cellStyle name="Обычный 121 4 3 2" xfId="43123"/>
    <cellStyle name="Обычный 121 4 4" xfId="43124"/>
    <cellStyle name="Обычный 121 5" xfId="13133"/>
    <cellStyle name="Обычный 121 5 2" xfId="13134"/>
    <cellStyle name="Обычный 121 5 2 2" xfId="43125"/>
    <cellStyle name="Обычный 121 5 3" xfId="43126"/>
    <cellStyle name="Обычный 121 6" xfId="13135"/>
    <cellStyle name="Обычный 121 6 2" xfId="43127"/>
    <cellStyle name="Обычный 121 7" xfId="13136"/>
    <cellStyle name="Обычный 121 7 2" xfId="43128"/>
    <cellStyle name="Обычный 121 8" xfId="43129"/>
    <cellStyle name="Обычный 122" xfId="13137"/>
    <cellStyle name="Обычный 122 2" xfId="13138"/>
    <cellStyle name="Обычный 122 2 2" xfId="13139"/>
    <cellStyle name="Обычный 122 2 2 2" xfId="13140"/>
    <cellStyle name="Обычный 122 2 2 2 2" xfId="43130"/>
    <cellStyle name="Обычный 122 2 2 3" xfId="43131"/>
    <cellStyle name="Обычный 122 2 3" xfId="13141"/>
    <cellStyle name="Обычный 122 2 3 2" xfId="43132"/>
    <cellStyle name="Обычный 122 2 4" xfId="43133"/>
    <cellStyle name="Обычный 122 3" xfId="13142"/>
    <cellStyle name="Обычный 122 3 2" xfId="13143"/>
    <cellStyle name="Обычный 122 3 2 2" xfId="13144"/>
    <cellStyle name="Обычный 122 3 2 2 2" xfId="43134"/>
    <cellStyle name="Обычный 122 3 2 3" xfId="43135"/>
    <cellStyle name="Обычный 122 3 3" xfId="13145"/>
    <cellStyle name="Обычный 122 3 3 2" xfId="43136"/>
    <cellStyle name="Обычный 122 3 4" xfId="43137"/>
    <cellStyle name="Обычный 122 4" xfId="13146"/>
    <cellStyle name="Обычный 122 4 2" xfId="13147"/>
    <cellStyle name="Обычный 122 4 2 2" xfId="13148"/>
    <cellStyle name="Обычный 122 4 2 2 2" xfId="43138"/>
    <cellStyle name="Обычный 122 4 2 3" xfId="43139"/>
    <cellStyle name="Обычный 122 4 3" xfId="13149"/>
    <cellStyle name="Обычный 122 4 3 2" xfId="43140"/>
    <cellStyle name="Обычный 122 4 4" xfId="43141"/>
    <cellStyle name="Обычный 122 5" xfId="13150"/>
    <cellStyle name="Обычный 122 5 2" xfId="13151"/>
    <cellStyle name="Обычный 122 5 2 2" xfId="43142"/>
    <cellStyle name="Обычный 122 5 3" xfId="43143"/>
    <cellStyle name="Обычный 122 6" xfId="13152"/>
    <cellStyle name="Обычный 122 6 2" xfId="43144"/>
    <cellStyle name="Обычный 122 7" xfId="13153"/>
    <cellStyle name="Обычный 122 7 2" xfId="43145"/>
    <cellStyle name="Обычный 122 8" xfId="43146"/>
    <cellStyle name="Обычный 123" xfId="13154"/>
    <cellStyle name="Обычный 123 2" xfId="13155"/>
    <cellStyle name="Обычный 123 2 2" xfId="13156"/>
    <cellStyle name="Обычный 123 2 2 2" xfId="13157"/>
    <cellStyle name="Обычный 123 2 2 2 2" xfId="43147"/>
    <cellStyle name="Обычный 123 2 2 3" xfId="43148"/>
    <cellStyle name="Обычный 123 2 3" xfId="13158"/>
    <cellStyle name="Обычный 123 2 3 2" xfId="43149"/>
    <cellStyle name="Обычный 123 2 4" xfId="43150"/>
    <cellStyle name="Обычный 123 3" xfId="13159"/>
    <cellStyle name="Обычный 123 3 2" xfId="13160"/>
    <cellStyle name="Обычный 123 3 2 2" xfId="13161"/>
    <cellStyle name="Обычный 123 3 2 2 2" xfId="43151"/>
    <cellStyle name="Обычный 123 3 2 3" xfId="43152"/>
    <cellStyle name="Обычный 123 3 3" xfId="13162"/>
    <cellStyle name="Обычный 123 3 3 2" xfId="43153"/>
    <cellStyle name="Обычный 123 3 4" xfId="43154"/>
    <cellStyle name="Обычный 123 4" xfId="13163"/>
    <cellStyle name="Обычный 123 4 2" xfId="13164"/>
    <cellStyle name="Обычный 123 4 2 2" xfId="13165"/>
    <cellStyle name="Обычный 123 4 2 2 2" xfId="43155"/>
    <cellStyle name="Обычный 123 4 2 3" xfId="43156"/>
    <cellStyle name="Обычный 123 4 3" xfId="13166"/>
    <cellStyle name="Обычный 123 4 3 2" xfId="43157"/>
    <cellStyle name="Обычный 123 4 4" xfId="43158"/>
    <cellStyle name="Обычный 123 5" xfId="13167"/>
    <cellStyle name="Обычный 123 5 2" xfId="13168"/>
    <cellStyle name="Обычный 123 5 2 2" xfId="43159"/>
    <cellStyle name="Обычный 123 5 3" xfId="43160"/>
    <cellStyle name="Обычный 123 6" xfId="13169"/>
    <cellStyle name="Обычный 123 6 2" xfId="43161"/>
    <cellStyle name="Обычный 123 7" xfId="13170"/>
    <cellStyle name="Обычный 123 7 2" xfId="43162"/>
    <cellStyle name="Обычный 123 8" xfId="43163"/>
    <cellStyle name="Обычный 124" xfId="13171"/>
    <cellStyle name="Обычный 124 2" xfId="13172"/>
    <cellStyle name="Обычный 124 2 2" xfId="13173"/>
    <cellStyle name="Обычный 124 2 2 2" xfId="13174"/>
    <cellStyle name="Обычный 124 2 2 2 2" xfId="43164"/>
    <cellStyle name="Обычный 124 2 2 3" xfId="43165"/>
    <cellStyle name="Обычный 124 2 3" xfId="13175"/>
    <cellStyle name="Обычный 124 2 3 2" xfId="43166"/>
    <cellStyle name="Обычный 124 2 4" xfId="43167"/>
    <cellStyle name="Обычный 124 3" xfId="13176"/>
    <cellStyle name="Обычный 124 3 2" xfId="13177"/>
    <cellStyle name="Обычный 124 3 2 2" xfId="13178"/>
    <cellStyle name="Обычный 124 3 2 2 2" xfId="43168"/>
    <cellStyle name="Обычный 124 3 2 3" xfId="43169"/>
    <cellStyle name="Обычный 124 3 3" xfId="13179"/>
    <cellStyle name="Обычный 124 3 3 2" xfId="43170"/>
    <cellStyle name="Обычный 124 3 4" xfId="43171"/>
    <cellStyle name="Обычный 124 4" xfId="13180"/>
    <cellStyle name="Обычный 124 4 2" xfId="13181"/>
    <cellStyle name="Обычный 124 4 2 2" xfId="13182"/>
    <cellStyle name="Обычный 124 4 2 2 2" xfId="43172"/>
    <cellStyle name="Обычный 124 4 2 3" xfId="43173"/>
    <cellStyle name="Обычный 124 4 3" xfId="13183"/>
    <cellStyle name="Обычный 124 4 3 2" xfId="43174"/>
    <cellStyle name="Обычный 124 4 4" xfId="43175"/>
    <cellStyle name="Обычный 124 5" xfId="13184"/>
    <cellStyle name="Обычный 124 5 2" xfId="13185"/>
    <cellStyle name="Обычный 124 5 2 2" xfId="43176"/>
    <cellStyle name="Обычный 124 5 3" xfId="43177"/>
    <cellStyle name="Обычный 124 6" xfId="13186"/>
    <cellStyle name="Обычный 124 6 2" xfId="43178"/>
    <cellStyle name="Обычный 124 7" xfId="13187"/>
    <cellStyle name="Обычный 124 7 2" xfId="43179"/>
    <cellStyle name="Обычный 124 8" xfId="43180"/>
    <cellStyle name="Обычный 125" xfId="13188"/>
    <cellStyle name="Обычный 125 2" xfId="13189"/>
    <cellStyle name="Обычный 125 2 2" xfId="13190"/>
    <cellStyle name="Обычный 125 2 2 2" xfId="13191"/>
    <cellStyle name="Обычный 125 2 2 2 2" xfId="43181"/>
    <cellStyle name="Обычный 125 2 2 3" xfId="43182"/>
    <cellStyle name="Обычный 125 2 3" xfId="13192"/>
    <cellStyle name="Обычный 125 2 3 2" xfId="43183"/>
    <cellStyle name="Обычный 125 2 4" xfId="43184"/>
    <cellStyle name="Обычный 125 3" xfId="13193"/>
    <cellStyle name="Обычный 125 3 2" xfId="13194"/>
    <cellStyle name="Обычный 125 3 2 2" xfId="13195"/>
    <cellStyle name="Обычный 125 3 2 2 2" xfId="43185"/>
    <cellStyle name="Обычный 125 3 2 3" xfId="43186"/>
    <cellStyle name="Обычный 125 3 3" xfId="13196"/>
    <cellStyle name="Обычный 125 3 3 2" xfId="43187"/>
    <cellStyle name="Обычный 125 3 4" xfId="43188"/>
    <cellStyle name="Обычный 125 4" xfId="13197"/>
    <cellStyle name="Обычный 125 4 2" xfId="13198"/>
    <cellStyle name="Обычный 125 4 2 2" xfId="13199"/>
    <cellStyle name="Обычный 125 4 2 2 2" xfId="43189"/>
    <cellStyle name="Обычный 125 4 2 3" xfId="43190"/>
    <cellStyle name="Обычный 125 4 3" xfId="13200"/>
    <cellStyle name="Обычный 125 4 3 2" xfId="43191"/>
    <cellStyle name="Обычный 125 4 4" xfId="43192"/>
    <cellStyle name="Обычный 125 5" xfId="13201"/>
    <cellStyle name="Обычный 125 5 2" xfId="13202"/>
    <cellStyle name="Обычный 125 5 2 2" xfId="43193"/>
    <cellStyle name="Обычный 125 5 3" xfId="43194"/>
    <cellStyle name="Обычный 125 6" xfId="13203"/>
    <cellStyle name="Обычный 125 6 2" xfId="43195"/>
    <cellStyle name="Обычный 125 7" xfId="13204"/>
    <cellStyle name="Обычный 125 7 2" xfId="43196"/>
    <cellStyle name="Обычный 125 8" xfId="43197"/>
    <cellStyle name="Обычный 126" xfId="13205"/>
    <cellStyle name="Обычный 126 2" xfId="13206"/>
    <cellStyle name="Обычный 126 2 2" xfId="13207"/>
    <cellStyle name="Обычный 126 2 2 2" xfId="13208"/>
    <cellStyle name="Обычный 126 2 2 2 2" xfId="43198"/>
    <cellStyle name="Обычный 126 2 2 3" xfId="43199"/>
    <cellStyle name="Обычный 126 2 3" xfId="13209"/>
    <cellStyle name="Обычный 126 2 3 2" xfId="43200"/>
    <cellStyle name="Обычный 126 2 4" xfId="43201"/>
    <cellStyle name="Обычный 126 3" xfId="13210"/>
    <cellStyle name="Обычный 126 3 2" xfId="13211"/>
    <cellStyle name="Обычный 126 3 2 2" xfId="13212"/>
    <cellStyle name="Обычный 126 3 2 2 2" xfId="43202"/>
    <cellStyle name="Обычный 126 3 2 3" xfId="43203"/>
    <cellStyle name="Обычный 126 3 3" xfId="13213"/>
    <cellStyle name="Обычный 126 3 3 2" xfId="43204"/>
    <cellStyle name="Обычный 126 3 4" xfId="43205"/>
    <cellStyle name="Обычный 126 4" xfId="13214"/>
    <cellStyle name="Обычный 126 4 2" xfId="13215"/>
    <cellStyle name="Обычный 126 4 2 2" xfId="13216"/>
    <cellStyle name="Обычный 126 4 2 2 2" xfId="43206"/>
    <cellStyle name="Обычный 126 4 2 3" xfId="43207"/>
    <cellStyle name="Обычный 126 4 3" xfId="13217"/>
    <cellStyle name="Обычный 126 4 3 2" xfId="43208"/>
    <cellStyle name="Обычный 126 4 4" xfId="43209"/>
    <cellStyle name="Обычный 126 5" xfId="13218"/>
    <cellStyle name="Обычный 126 5 2" xfId="13219"/>
    <cellStyle name="Обычный 126 5 2 2" xfId="43210"/>
    <cellStyle name="Обычный 126 5 3" xfId="43211"/>
    <cellStyle name="Обычный 126 6" xfId="13220"/>
    <cellStyle name="Обычный 126 6 2" xfId="43212"/>
    <cellStyle name="Обычный 126 7" xfId="13221"/>
    <cellStyle name="Обычный 126 7 2" xfId="43213"/>
    <cellStyle name="Обычный 126 8" xfId="43214"/>
    <cellStyle name="Обычный 127" xfId="13222"/>
    <cellStyle name="Обычный 127 2" xfId="13223"/>
    <cellStyle name="Обычный 127 2 2" xfId="13224"/>
    <cellStyle name="Обычный 127 2 2 2" xfId="13225"/>
    <cellStyle name="Обычный 127 2 2 2 2" xfId="43215"/>
    <cellStyle name="Обычный 127 2 2 3" xfId="43216"/>
    <cellStyle name="Обычный 127 2 3" xfId="13226"/>
    <cellStyle name="Обычный 127 2 3 2" xfId="43217"/>
    <cellStyle name="Обычный 127 2 4" xfId="43218"/>
    <cellStyle name="Обычный 127 3" xfId="13227"/>
    <cellStyle name="Обычный 127 3 2" xfId="13228"/>
    <cellStyle name="Обычный 127 3 2 2" xfId="13229"/>
    <cellStyle name="Обычный 127 3 2 2 2" xfId="43219"/>
    <cellStyle name="Обычный 127 3 2 3" xfId="43220"/>
    <cellStyle name="Обычный 127 3 3" xfId="13230"/>
    <cellStyle name="Обычный 127 3 3 2" xfId="43221"/>
    <cellStyle name="Обычный 127 3 4" xfId="43222"/>
    <cellStyle name="Обычный 127 4" xfId="13231"/>
    <cellStyle name="Обычный 127 4 2" xfId="13232"/>
    <cellStyle name="Обычный 127 4 2 2" xfId="13233"/>
    <cellStyle name="Обычный 127 4 2 2 2" xfId="43223"/>
    <cellStyle name="Обычный 127 4 2 3" xfId="43224"/>
    <cellStyle name="Обычный 127 4 3" xfId="13234"/>
    <cellStyle name="Обычный 127 4 3 2" xfId="43225"/>
    <cellStyle name="Обычный 127 4 4" xfId="43226"/>
    <cellStyle name="Обычный 127 5" xfId="13235"/>
    <cellStyle name="Обычный 127 5 2" xfId="13236"/>
    <cellStyle name="Обычный 127 5 2 2" xfId="43227"/>
    <cellStyle name="Обычный 127 5 3" xfId="43228"/>
    <cellStyle name="Обычный 127 6" xfId="13237"/>
    <cellStyle name="Обычный 127 6 2" xfId="43229"/>
    <cellStyle name="Обычный 127 7" xfId="13238"/>
    <cellStyle name="Обычный 127 7 2" xfId="43230"/>
    <cellStyle name="Обычный 127 8" xfId="43231"/>
    <cellStyle name="Обычный 128" xfId="13239"/>
    <cellStyle name="Обычный 128 2" xfId="13240"/>
    <cellStyle name="Обычный 128 2 2" xfId="13241"/>
    <cellStyle name="Обычный 128 2 2 2" xfId="13242"/>
    <cellStyle name="Обычный 128 2 2 2 2" xfId="43232"/>
    <cellStyle name="Обычный 128 2 2 3" xfId="43233"/>
    <cellStyle name="Обычный 128 2 3" xfId="13243"/>
    <cellStyle name="Обычный 128 2 3 2" xfId="43234"/>
    <cellStyle name="Обычный 128 2 4" xfId="43235"/>
    <cellStyle name="Обычный 128 3" xfId="13244"/>
    <cellStyle name="Обычный 128 3 2" xfId="13245"/>
    <cellStyle name="Обычный 128 3 2 2" xfId="13246"/>
    <cellStyle name="Обычный 128 3 2 2 2" xfId="43236"/>
    <cellStyle name="Обычный 128 3 2 3" xfId="43237"/>
    <cellStyle name="Обычный 128 3 3" xfId="13247"/>
    <cellStyle name="Обычный 128 3 3 2" xfId="43238"/>
    <cellStyle name="Обычный 128 3 4" xfId="43239"/>
    <cellStyle name="Обычный 128 4" xfId="13248"/>
    <cellStyle name="Обычный 128 4 2" xfId="13249"/>
    <cellStyle name="Обычный 128 4 2 2" xfId="13250"/>
    <cellStyle name="Обычный 128 4 2 2 2" xfId="43240"/>
    <cellStyle name="Обычный 128 4 2 3" xfId="43241"/>
    <cellStyle name="Обычный 128 4 3" xfId="13251"/>
    <cellStyle name="Обычный 128 4 3 2" xfId="43242"/>
    <cellStyle name="Обычный 128 4 4" xfId="43243"/>
    <cellStyle name="Обычный 128 5" xfId="13252"/>
    <cellStyle name="Обычный 128 5 2" xfId="13253"/>
    <cellStyle name="Обычный 128 5 2 2" xfId="43244"/>
    <cellStyle name="Обычный 128 5 3" xfId="43245"/>
    <cellStyle name="Обычный 128 6" xfId="13254"/>
    <cellStyle name="Обычный 128 6 2" xfId="43246"/>
    <cellStyle name="Обычный 128 7" xfId="13255"/>
    <cellStyle name="Обычный 128 7 2" xfId="43247"/>
    <cellStyle name="Обычный 128 8" xfId="43248"/>
    <cellStyle name="Обычный 129" xfId="13256"/>
    <cellStyle name="Обычный 129 2" xfId="13257"/>
    <cellStyle name="Обычный 129 2 2" xfId="13258"/>
    <cellStyle name="Обычный 129 2 2 2" xfId="13259"/>
    <cellStyle name="Обычный 129 2 2 2 2" xfId="43249"/>
    <cellStyle name="Обычный 129 2 2 3" xfId="43250"/>
    <cellStyle name="Обычный 129 2 3" xfId="13260"/>
    <cellStyle name="Обычный 129 2 3 2" xfId="43251"/>
    <cellStyle name="Обычный 129 2 4" xfId="43252"/>
    <cellStyle name="Обычный 129 3" xfId="13261"/>
    <cellStyle name="Обычный 129 3 2" xfId="13262"/>
    <cellStyle name="Обычный 129 3 2 2" xfId="13263"/>
    <cellStyle name="Обычный 129 3 2 2 2" xfId="43253"/>
    <cellStyle name="Обычный 129 3 2 3" xfId="43254"/>
    <cellStyle name="Обычный 129 3 3" xfId="13264"/>
    <cellStyle name="Обычный 129 3 3 2" xfId="43255"/>
    <cellStyle name="Обычный 129 3 4" xfId="43256"/>
    <cellStyle name="Обычный 129 4" xfId="13265"/>
    <cellStyle name="Обычный 129 4 2" xfId="13266"/>
    <cellStyle name="Обычный 129 4 2 2" xfId="13267"/>
    <cellStyle name="Обычный 129 4 2 2 2" xfId="43257"/>
    <cellStyle name="Обычный 129 4 2 3" xfId="43258"/>
    <cellStyle name="Обычный 129 4 3" xfId="13268"/>
    <cellStyle name="Обычный 129 4 3 2" xfId="43259"/>
    <cellStyle name="Обычный 129 4 4" xfId="43260"/>
    <cellStyle name="Обычный 129 5" xfId="13269"/>
    <cellStyle name="Обычный 129 5 2" xfId="13270"/>
    <cellStyle name="Обычный 129 5 2 2" xfId="43261"/>
    <cellStyle name="Обычный 129 5 3" xfId="43262"/>
    <cellStyle name="Обычный 129 6" xfId="13271"/>
    <cellStyle name="Обычный 129 6 2" xfId="43263"/>
    <cellStyle name="Обычный 129 7" xfId="13272"/>
    <cellStyle name="Обычный 129 7 2" xfId="43264"/>
    <cellStyle name="Обычный 129 8" xfId="43265"/>
    <cellStyle name="Обычный 13" xfId="13273"/>
    <cellStyle name="Обычный 13 2" xfId="13274"/>
    <cellStyle name="Обычный 13 3" xfId="59087"/>
    <cellStyle name="Обычный 130" xfId="13275"/>
    <cellStyle name="Обычный 130 2" xfId="13276"/>
    <cellStyle name="Обычный 130 2 2" xfId="13277"/>
    <cellStyle name="Обычный 130 2 2 2" xfId="13278"/>
    <cellStyle name="Обычный 130 2 2 2 2" xfId="43266"/>
    <cellStyle name="Обычный 130 2 2 3" xfId="43267"/>
    <cellStyle name="Обычный 130 2 3" xfId="13279"/>
    <cellStyle name="Обычный 130 2 3 2" xfId="43268"/>
    <cellStyle name="Обычный 130 2 4" xfId="43269"/>
    <cellStyle name="Обычный 130 3" xfId="13280"/>
    <cellStyle name="Обычный 130 3 2" xfId="13281"/>
    <cellStyle name="Обычный 130 3 2 2" xfId="13282"/>
    <cellStyle name="Обычный 130 3 2 2 2" xfId="43270"/>
    <cellStyle name="Обычный 130 3 2 3" xfId="43271"/>
    <cellStyle name="Обычный 130 3 3" xfId="13283"/>
    <cellStyle name="Обычный 130 3 3 2" xfId="43272"/>
    <cellStyle name="Обычный 130 3 4" xfId="43273"/>
    <cellStyle name="Обычный 130 4" xfId="13284"/>
    <cellStyle name="Обычный 130 4 2" xfId="13285"/>
    <cellStyle name="Обычный 130 4 2 2" xfId="13286"/>
    <cellStyle name="Обычный 130 4 2 2 2" xfId="43274"/>
    <cellStyle name="Обычный 130 4 2 3" xfId="43275"/>
    <cellStyle name="Обычный 130 4 3" xfId="13287"/>
    <cellStyle name="Обычный 130 4 3 2" xfId="43276"/>
    <cellStyle name="Обычный 130 4 4" xfId="43277"/>
    <cellStyle name="Обычный 130 5" xfId="13288"/>
    <cellStyle name="Обычный 130 5 2" xfId="13289"/>
    <cellStyle name="Обычный 130 5 2 2" xfId="43278"/>
    <cellStyle name="Обычный 130 5 3" xfId="43279"/>
    <cellStyle name="Обычный 130 6" xfId="13290"/>
    <cellStyle name="Обычный 130 6 2" xfId="43280"/>
    <cellStyle name="Обычный 130 7" xfId="13291"/>
    <cellStyle name="Обычный 130 7 2" xfId="43281"/>
    <cellStyle name="Обычный 130 8" xfId="43282"/>
    <cellStyle name="Обычный 131" xfId="13292"/>
    <cellStyle name="Обычный 131 2" xfId="13293"/>
    <cellStyle name="Обычный 131 2 2" xfId="13294"/>
    <cellStyle name="Обычный 131 2 2 2" xfId="13295"/>
    <cellStyle name="Обычный 131 2 2 2 2" xfId="43283"/>
    <cellStyle name="Обычный 131 2 2 3" xfId="43284"/>
    <cellStyle name="Обычный 131 2 3" xfId="13296"/>
    <cellStyle name="Обычный 131 2 3 2" xfId="43285"/>
    <cellStyle name="Обычный 131 2 4" xfId="43286"/>
    <cellStyle name="Обычный 131 3" xfId="13297"/>
    <cellStyle name="Обычный 131 3 2" xfId="13298"/>
    <cellStyle name="Обычный 131 3 2 2" xfId="13299"/>
    <cellStyle name="Обычный 131 3 2 2 2" xfId="43287"/>
    <cellStyle name="Обычный 131 3 2 3" xfId="43288"/>
    <cellStyle name="Обычный 131 3 3" xfId="13300"/>
    <cellStyle name="Обычный 131 3 3 2" xfId="43289"/>
    <cellStyle name="Обычный 131 3 4" xfId="43290"/>
    <cellStyle name="Обычный 131 4" xfId="13301"/>
    <cellStyle name="Обычный 131 4 2" xfId="13302"/>
    <cellStyle name="Обычный 131 4 2 2" xfId="13303"/>
    <cellStyle name="Обычный 131 4 2 2 2" xfId="43291"/>
    <cellStyle name="Обычный 131 4 2 3" xfId="43292"/>
    <cellStyle name="Обычный 131 4 3" xfId="13304"/>
    <cellStyle name="Обычный 131 4 3 2" xfId="43293"/>
    <cellStyle name="Обычный 131 4 4" xfId="43294"/>
    <cellStyle name="Обычный 131 5" xfId="13305"/>
    <cellStyle name="Обычный 131 5 2" xfId="13306"/>
    <cellStyle name="Обычный 131 5 2 2" xfId="43295"/>
    <cellStyle name="Обычный 131 5 3" xfId="43296"/>
    <cellStyle name="Обычный 131 6" xfId="13307"/>
    <cellStyle name="Обычный 131 6 2" xfId="43297"/>
    <cellStyle name="Обычный 131 7" xfId="13308"/>
    <cellStyle name="Обычный 131 7 2" xfId="43298"/>
    <cellStyle name="Обычный 131 8" xfId="43299"/>
    <cellStyle name="Обычный 132" xfId="13309"/>
    <cellStyle name="Обычный 132 2" xfId="13310"/>
    <cellStyle name="Обычный 132 2 2" xfId="13311"/>
    <cellStyle name="Обычный 132 2 2 2" xfId="13312"/>
    <cellStyle name="Обычный 132 2 2 2 2" xfId="43300"/>
    <cellStyle name="Обычный 132 2 2 3" xfId="43301"/>
    <cellStyle name="Обычный 132 2 3" xfId="13313"/>
    <cellStyle name="Обычный 132 2 3 2" xfId="43302"/>
    <cellStyle name="Обычный 132 2 4" xfId="43303"/>
    <cellStyle name="Обычный 132 3" xfId="13314"/>
    <cellStyle name="Обычный 132 3 2" xfId="13315"/>
    <cellStyle name="Обычный 132 3 2 2" xfId="13316"/>
    <cellStyle name="Обычный 132 3 2 2 2" xfId="43304"/>
    <cellStyle name="Обычный 132 3 2 3" xfId="43305"/>
    <cellStyle name="Обычный 132 3 3" xfId="13317"/>
    <cellStyle name="Обычный 132 3 3 2" xfId="43306"/>
    <cellStyle name="Обычный 132 3 4" xfId="43307"/>
    <cellStyle name="Обычный 132 4" xfId="13318"/>
    <cellStyle name="Обычный 132 4 2" xfId="13319"/>
    <cellStyle name="Обычный 132 4 2 2" xfId="13320"/>
    <cellStyle name="Обычный 132 4 2 2 2" xfId="43308"/>
    <cellStyle name="Обычный 132 4 2 3" xfId="43309"/>
    <cellStyle name="Обычный 132 4 3" xfId="13321"/>
    <cellStyle name="Обычный 132 4 3 2" xfId="43310"/>
    <cellStyle name="Обычный 132 4 4" xfId="43311"/>
    <cellStyle name="Обычный 132 5" xfId="13322"/>
    <cellStyle name="Обычный 132 5 2" xfId="13323"/>
    <cellStyle name="Обычный 132 5 2 2" xfId="43312"/>
    <cellStyle name="Обычный 132 5 3" xfId="43313"/>
    <cellStyle name="Обычный 132 6" xfId="13324"/>
    <cellStyle name="Обычный 132 6 2" xfId="43314"/>
    <cellStyle name="Обычный 132 7" xfId="13325"/>
    <cellStyle name="Обычный 132 7 2" xfId="43315"/>
    <cellStyle name="Обычный 132 8" xfId="43316"/>
    <cellStyle name="Обычный 133" xfId="13326"/>
    <cellStyle name="Обычный 133 2" xfId="13327"/>
    <cellStyle name="Обычный 133 2 2" xfId="13328"/>
    <cellStyle name="Обычный 133 2 2 2" xfId="13329"/>
    <cellStyle name="Обычный 133 2 2 2 2" xfId="43317"/>
    <cellStyle name="Обычный 133 2 2 3" xfId="43318"/>
    <cellStyle name="Обычный 133 2 3" xfId="13330"/>
    <cellStyle name="Обычный 133 2 3 2" xfId="43319"/>
    <cellStyle name="Обычный 133 2 4" xfId="43320"/>
    <cellStyle name="Обычный 133 3" xfId="13331"/>
    <cellStyle name="Обычный 133 3 2" xfId="13332"/>
    <cellStyle name="Обычный 133 3 2 2" xfId="13333"/>
    <cellStyle name="Обычный 133 3 2 2 2" xfId="43321"/>
    <cellStyle name="Обычный 133 3 2 3" xfId="43322"/>
    <cellStyle name="Обычный 133 3 3" xfId="13334"/>
    <cellStyle name="Обычный 133 3 3 2" xfId="43323"/>
    <cellStyle name="Обычный 133 3 4" xfId="43324"/>
    <cellStyle name="Обычный 133 4" xfId="13335"/>
    <cellStyle name="Обычный 133 4 2" xfId="13336"/>
    <cellStyle name="Обычный 133 4 2 2" xfId="13337"/>
    <cellStyle name="Обычный 133 4 2 2 2" xfId="43325"/>
    <cellStyle name="Обычный 133 4 2 3" xfId="43326"/>
    <cellStyle name="Обычный 133 4 3" xfId="13338"/>
    <cellStyle name="Обычный 133 4 3 2" xfId="43327"/>
    <cellStyle name="Обычный 133 4 4" xfId="43328"/>
    <cellStyle name="Обычный 133 5" xfId="13339"/>
    <cellStyle name="Обычный 133 5 2" xfId="13340"/>
    <cellStyle name="Обычный 133 5 2 2" xfId="43329"/>
    <cellStyle name="Обычный 133 5 3" xfId="43330"/>
    <cellStyle name="Обычный 133 6" xfId="13341"/>
    <cellStyle name="Обычный 133 6 2" xfId="43331"/>
    <cellStyle name="Обычный 133 7" xfId="13342"/>
    <cellStyle name="Обычный 133 7 2" xfId="43332"/>
    <cellStyle name="Обычный 133 8" xfId="43333"/>
    <cellStyle name="Обычный 134" xfId="13343"/>
    <cellStyle name="Обычный 134 2" xfId="13344"/>
    <cellStyle name="Обычный 134 2 2" xfId="13345"/>
    <cellStyle name="Обычный 134 2 2 2" xfId="13346"/>
    <cellStyle name="Обычный 134 2 2 2 2" xfId="43334"/>
    <cellStyle name="Обычный 134 2 2 3" xfId="43335"/>
    <cellStyle name="Обычный 134 2 3" xfId="13347"/>
    <cellStyle name="Обычный 134 2 3 2" xfId="43336"/>
    <cellStyle name="Обычный 134 2 4" xfId="43337"/>
    <cellStyle name="Обычный 134 3" xfId="13348"/>
    <cellStyle name="Обычный 134 3 2" xfId="13349"/>
    <cellStyle name="Обычный 134 3 2 2" xfId="13350"/>
    <cellStyle name="Обычный 134 3 2 2 2" xfId="43338"/>
    <cellStyle name="Обычный 134 3 2 3" xfId="43339"/>
    <cellStyle name="Обычный 134 3 3" xfId="13351"/>
    <cellStyle name="Обычный 134 3 3 2" xfId="43340"/>
    <cellStyle name="Обычный 134 3 4" xfId="43341"/>
    <cellStyle name="Обычный 134 4" xfId="13352"/>
    <cellStyle name="Обычный 134 4 2" xfId="13353"/>
    <cellStyle name="Обычный 134 4 2 2" xfId="13354"/>
    <cellStyle name="Обычный 134 4 2 2 2" xfId="43342"/>
    <cellStyle name="Обычный 134 4 2 3" xfId="43343"/>
    <cellStyle name="Обычный 134 4 3" xfId="13355"/>
    <cellStyle name="Обычный 134 4 3 2" xfId="43344"/>
    <cellStyle name="Обычный 134 4 4" xfId="43345"/>
    <cellStyle name="Обычный 134 5" xfId="13356"/>
    <cellStyle name="Обычный 134 5 2" xfId="13357"/>
    <cellStyle name="Обычный 134 5 2 2" xfId="43346"/>
    <cellStyle name="Обычный 134 5 3" xfId="43347"/>
    <cellStyle name="Обычный 134 6" xfId="13358"/>
    <cellStyle name="Обычный 134 6 2" xfId="43348"/>
    <cellStyle name="Обычный 134 7" xfId="13359"/>
    <cellStyle name="Обычный 134 7 2" xfId="43349"/>
    <cellStyle name="Обычный 134 8" xfId="43350"/>
    <cellStyle name="Обычный 135" xfId="13360"/>
    <cellStyle name="Обычный 135 2" xfId="13361"/>
    <cellStyle name="Обычный 135 2 2" xfId="13362"/>
    <cellStyle name="Обычный 135 2 2 2" xfId="13363"/>
    <cellStyle name="Обычный 135 2 2 2 2" xfId="43351"/>
    <cellStyle name="Обычный 135 2 2 3" xfId="43352"/>
    <cellStyle name="Обычный 135 2 3" xfId="13364"/>
    <cellStyle name="Обычный 135 2 3 2" xfId="43353"/>
    <cellStyle name="Обычный 135 2 4" xfId="43354"/>
    <cellStyle name="Обычный 135 3" xfId="13365"/>
    <cellStyle name="Обычный 135 3 2" xfId="13366"/>
    <cellStyle name="Обычный 135 3 2 2" xfId="13367"/>
    <cellStyle name="Обычный 135 3 2 2 2" xfId="43355"/>
    <cellStyle name="Обычный 135 3 2 3" xfId="43356"/>
    <cellStyle name="Обычный 135 3 3" xfId="13368"/>
    <cellStyle name="Обычный 135 3 3 2" xfId="43357"/>
    <cellStyle name="Обычный 135 3 4" xfId="43358"/>
    <cellStyle name="Обычный 135 4" xfId="13369"/>
    <cellStyle name="Обычный 135 4 2" xfId="13370"/>
    <cellStyle name="Обычный 135 4 2 2" xfId="13371"/>
    <cellStyle name="Обычный 135 4 2 2 2" xfId="43359"/>
    <cellStyle name="Обычный 135 4 2 3" xfId="43360"/>
    <cellStyle name="Обычный 135 4 3" xfId="13372"/>
    <cellStyle name="Обычный 135 4 3 2" xfId="43361"/>
    <cellStyle name="Обычный 135 4 4" xfId="43362"/>
    <cellStyle name="Обычный 135 5" xfId="13373"/>
    <cellStyle name="Обычный 135 5 2" xfId="13374"/>
    <cellStyle name="Обычный 135 5 2 2" xfId="43363"/>
    <cellStyle name="Обычный 135 5 3" xfId="43364"/>
    <cellStyle name="Обычный 135 6" xfId="13375"/>
    <cellStyle name="Обычный 135 6 2" xfId="43365"/>
    <cellStyle name="Обычный 135 7" xfId="13376"/>
    <cellStyle name="Обычный 135 7 2" xfId="43366"/>
    <cellStyle name="Обычный 135 8" xfId="43367"/>
    <cellStyle name="Обычный 136" xfId="13377"/>
    <cellStyle name="Обычный 136 2" xfId="13378"/>
    <cellStyle name="Обычный 136 2 2" xfId="13379"/>
    <cellStyle name="Обычный 136 2 2 2" xfId="13380"/>
    <cellStyle name="Обычный 136 2 2 2 2" xfId="43368"/>
    <cellStyle name="Обычный 136 2 2 3" xfId="43369"/>
    <cellStyle name="Обычный 136 2 3" xfId="13381"/>
    <cellStyle name="Обычный 136 2 3 2" xfId="43370"/>
    <cellStyle name="Обычный 136 2 4" xfId="43371"/>
    <cellStyle name="Обычный 136 3" xfId="13382"/>
    <cellStyle name="Обычный 136 3 2" xfId="13383"/>
    <cellStyle name="Обычный 136 3 2 2" xfId="13384"/>
    <cellStyle name="Обычный 136 3 2 2 2" xfId="43372"/>
    <cellStyle name="Обычный 136 3 2 3" xfId="43373"/>
    <cellStyle name="Обычный 136 3 3" xfId="13385"/>
    <cellStyle name="Обычный 136 3 3 2" xfId="43374"/>
    <cellStyle name="Обычный 136 3 4" xfId="43375"/>
    <cellStyle name="Обычный 136 4" xfId="13386"/>
    <cellStyle name="Обычный 136 4 2" xfId="13387"/>
    <cellStyle name="Обычный 136 4 2 2" xfId="13388"/>
    <cellStyle name="Обычный 136 4 2 2 2" xfId="43376"/>
    <cellStyle name="Обычный 136 4 2 3" xfId="43377"/>
    <cellStyle name="Обычный 136 4 3" xfId="13389"/>
    <cellStyle name="Обычный 136 4 3 2" xfId="43378"/>
    <cellStyle name="Обычный 136 4 4" xfId="43379"/>
    <cellStyle name="Обычный 136 5" xfId="13390"/>
    <cellStyle name="Обычный 136 5 2" xfId="13391"/>
    <cellStyle name="Обычный 136 5 2 2" xfId="43380"/>
    <cellStyle name="Обычный 136 5 3" xfId="43381"/>
    <cellStyle name="Обычный 136 6" xfId="13392"/>
    <cellStyle name="Обычный 136 6 2" xfId="43382"/>
    <cellStyle name="Обычный 136 7" xfId="13393"/>
    <cellStyle name="Обычный 136 7 2" xfId="43383"/>
    <cellStyle name="Обычный 136 8" xfId="43384"/>
    <cellStyle name="Обычный 137" xfId="13394"/>
    <cellStyle name="Обычный 137 2" xfId="13395"/>
    <cellStyle name="Обычный 137 2 2" xfId="13396"/>
    <cellStyle name="Обычный 137 2 2 2" xfId="13397"/>
    <cellStyle name="Обычный 137 2 2 2 2" xfId="43385"/>
    <cellStyle name="Обычный 137 2 2 3" xfId="43386"/>
    <cellStyle name="Обычный 137 2 3" xfId="13398"/>
    <cellStyle name="Обычный 137 2 3 2" xfId="43387"/>
    <cellStyle name="Обычный 137 2 4" xfId="43388"/>
    <cellStyle name="Обычный 137 3" xfId="13399"/>
    <cellStyle name="Обычный 137 3 2" xfId="13400"/>
    <cellStyle name="Обычный 137 3 2 2" xfId="13401"/>
    <cellStyle name="Обычный 137 3 2 2 2" xfId="43389"/>
    <cellStyle name="Обычный 137 3 2 3" xfId="43390"/>
    <cellStyle name="Обычный 137 3 3" xfId="13402"/>
    <cellStyle name="Обычный 137 3 3 2" xfId="43391"/>
    <cellStyle name="Обычный 137 3 4" xfId="43392"/>
    <cellStyle name="Обычный 137 4" xfId="13403"/>
    <cellStyle name="Обычный 137 4 2" xfId="13404"/>
    <cellStyle name="Обычный 137 4 2 2" xfId="13405"/>
    <cellStyle name="Обычный 137 4 2 2 2" xfId="43393"/>
    <cellStyle name="Обычный 137 4 2 3" xfId="43394"/>
    <cellStyle name="Обычный 137 4 3" xfId="13406"/>
    <cellStyle name="Обычный 137 4 3 2" xfId="43395"/>
    <cellStyle name="Обычный 137 4 4" xfId="43396"/>
    <cellStyle name="Обычный 137 5" xfId="13407"/>
    <cellStyle name="Обычный 137 5 2" xfId="13408"/>
    <cellStyle name="Обычный 137 5 2 2" xfId="43397"/>
    <cellStyle name="Обычный 137 5 3" xfId="43398"/>
    <cellStyle name="Обычный 137 6" xfId="13409"/>
    <cellStyle name="Обычный 137 6 2" xfId="43399"/>
    <cellStyle name="Обычный 137 7" xfId="13410"/>
    <cellStyle name="Обычный 137 7 2" xfId="43400"/>
    <cellStyle name="Обычный 137 8" xfId="43401"/>
    <cellStyle name="Обычный 138" xfId="13411"/>
    <cellStyle name="Обычный 138 2" xfId="13412"/>
    <cellStyle name="Обычный 138 2 2" xfId="13413"/>
    <cellStyle name="Обычный 138 2 2 2" xfId="13414"/>
    <cellStyle name="Обычный 138 2 2 2 2" xfId="43402"/>
    <cellStyle name="Обычный 138 2 2 3" xfId="43403"/>
    <cellStyle name="Обычный 138 2 3" xfId="13415"/>
    <cellStyle name="Обычный 138 2 3 2" xfId="43404"/>
    <cellStyle name="Обычный 138 2 4" xfId="43405"/>
    <cellStyle name="Обычный 138 3" xfId="13416"/>
    <cellStyle name="Обычный 138 3 2" xfId="13417"/>
    <cellStyle name="Обычный 138 3 2 2" xfId="13418"/>
    <cellStyle name="Обычный 138 3 2 2 2" xfId="43406"/>
    <cellStyle name="Обычный 138 3 2 3" xfId="43407"/>
    <cellStyle name="Обычный 138 3 3" xfId="13419"/>
    <cellStyle name="Обычный 138 3 3 2" xfId="43408"/>
    <cellStyle name="Обычный 138 3 4" xfId="43409"/>
    <cellStyle name="Обычный 138 4" xfId="13420"/>
    <cellStyle name="Обычный 138 4 2" xfId="13421"/>
    <cellStyle name="Обычный 138 4 2 2" xfId="13422"/>
    <cellStyle name="Обычный 138 4 2 2 2" xfId="43410"/>
    <cellStyle name="Обычный 138 4 2 3" xfId="43411"/>
    <cellStyle name="Обычный 138 4 3" xfId="13423"/>
    <cellStyle name="Обычный 138 4 3 2" xfId="43412"/>
    <cellStyle name="Обычный 138 4 4" xfId="43413"/>
    <cellStyle name="Обычный 138 5" xfId="13424"/>
    <cellStyle name="Обычный 138 5 2" xfId="13425"/>
    <cellStyle name="Обычный 138 5 2 2" xfId="43414"/>
    <cellStyle name="Обычный 138 5 3" xfId="43415"/>
    <cellStyle name="Обычный 138 6" xfId="13426"/>
    <cellStyle name="Обычный 138 6 2" xfId="43416"/>
    <cellStyle name="Обычный 138 7" xfId="13427"/>
    <cellStyle name="Обычный 138 7 2" xfId="43417"/>
    <cellStyle name="Обычный 138 8" xfId="43418"/>
    <cellStyle name="Обычный 139" xfId="13428"/>
    <cellStyle name="Обычный 139 2" xfId="13429"/>
    <cellStyle name="Обычный 139 2 2" xfId="13430"/>
    <cellStyle name="Обычный 139 2 2 2" xfId="13431"/>
    <cellStyle name="Обычный 139 2 2 2 2" xfId="43419"/>
    <cellStyle name="Обычный 139 2 2 3" xfId="43420"/>
    <cellStyle name="Обычный 139 2 3" xfId="13432"/>
    <cellStyle name="Обычный 139 2 3 2" xfId="43421"/>
    <cellStyle name="Обычный 139 2 4" xfId="43422"/>
    <cellStyle name="Обычный 139 3" xfId="13433"/>
    <cellStyle name="Обычный 139 3 2" xfId="13434"/>
    <cellStyle name="Обычный 139 3 2 2" xfId="13435"/>
    <cellStyle name="Обычный 139 3 2 2 2" xfId="43423"/>
    <cellStyle name="Обычный 139 3 2 3" xfId="43424"/>
    <cellStyle name="Обычный 139 3 3" xfId="13436"/>
    <cellStyle name="Обычный 139 3 3 2" xfId="43425"/>
    <cellStyle name="Обычный 139 3 4" xfId="43426"/>
    <cellStyle name="Обычный 139 4" xfId="13437"/>
    <cellStyle name="Обычный 139 4 2" xfId="13438"/>
    <cellStyle name="Обычный 139 4 2 2" xfId="13439"/>
    <cellStyle name="Обычный 139 4 2 2 2" xfId="43427"/>
    <cellStyle name="Обычный 139 4 2 3" xfId="43428"/>
    <cellStyle name="Обычный 139 4 3" xfId="13440"/>
    <cellStyle name="Обычный 139 4 3 2" xfId="43429"/>
    <cellStyle name="Обычный 139 4 4" xfId="43430"/>
    <cellStyle name="Обычный 139 5" xfId="13441"/>
    <cellStyle name="Обычный 139 5 2" xfId="13442"/>
    <cellStyle name="Обычный 139 5 2 2" xfId="43431"/>
    <cellStyle name="Обычный 139 5 3" xfId="43432"/>
    <cellStyle name="Обычный 139 6" xfId="13443"/>
    <cellStyle name="Обычный 139 6 2" xfId="43433"/>
    <cellStyle name="Обычный 139 7" xfId="13444"/>
    <cellStyle name="Обычный 139 7 2" xfId="43434"/>
    <cellStyle name="Обычный 139 8" xfId="43435"/>
    <cellStyle name="Обычный 14" xfId="6"/>
    <cellStyle name="Обычный 14 2" xfId="13445"/>
    <cellStyle name="Обычный 14 2 2" xfId="59088"/>
    <cellStyle name="Обычный 14 3" xfId="59089"/>
    <cellStyle name="Обычный 14 4" xfId="60314"/>
    <cellStyle name="Обычный 140" xfId="13446"/>
    <cellStyle name="Обычный 140 2" xfId="13447"/>
    <cellStyle name="Обычный 140 2 2" xfId="13448"/>
    <cellStyle name="Обычный 140 2 2 2" xfId="13449"/>
    <cellStyle name="Обычный 140 2 2 2 2" xfId="43436"/>
    <cellStyle name="Обычный 140 2 2 3" xfId="43437"/>
    <cellStyle name="Обычный 140 2 3" xfId="13450"/>
    <cellStyle name="Обычный 140 2 3 2" xfId="43438"/>
    <cellStyle name="Обычный 140 2 4" xfId="43439"/>
    <cellStyle name="Обычный 140 3" xfId="13451"/>
    <cellStyle name="Обычный 140 3 2" xfId="13452"/>
    <cellStyle name="Обычный 140 3 2 2" xfId="13453"/>
    <cellStyle name="Обычный 140 3 2 2 2" xfId="43440"/>
    <cellStyle name="Обычный 140 3 2 3" xfId="43441"/>
    <cellStyle name="Обычный 140 3 3" xfId="13454"/>
    <cellStyle name="Обычный 140 3 3 2" xfId="43442"/>
    <cellStyle name="Обычный 140 3 4" xfId="43443"/>
    <cellStyle name="Обычный 140 4" xfId="13455"/>
    <cellStyle name="Обычный 140 4 2" xfId="13456"/>
    <cellStyle name="Обычный 140 4 2 2" xfId="13457"/>
    <cellStyle name="Обычный 140 4 2 2 2" xfId="43444"/>
    <cellStyle name="Обычный 140 4 2 3" xfId="43445"/>
    <cellStyle name="Обычный 140 4 3" xfId="13458"/>
    <cellStyle name="Обычный 140 4 3 2" xfId="43446"/>
    <cellStyle name="Обычный 140 4 4" xfId="43447"/>
    <cellStyle name="Обычный 140 5" xfId="13459"/>
    <cellStyle name="Обычный 140 5 2" xfId="13460"/>
    <cellStyle name="Обычный 140 5 2 2" xfId="43448"/>
    <cellStyle name="Обычный 140 5 3" xfId="43449"/>
    <cellStyle name="Обычный 140 6" xfId="13461"/>
    <cellStyle name="Обычный 140 6 2" xfId="43450"/>
    <cellStyle name="Обычный 140 7" xfId="13462"/>
    <cellStyle name="Обычный 140 7 2" xfId="43451"/>
    <cellStyle name="Обычный 140 8" xfId="43452"/>
    <cellStyle name="Обычный 141" xfId="13463"/>
    <cellStyle name="Обычный 141 2" xfId="13464"/>
    <cellStyle name="Обычный 141 2 2" xfId="13465"/>
    <cellStyle name="Обычный 141 2 2 2" xfId="13466"/>
    <cellStyle name="Обычный 141 2 2 2 2" xfId="43453"/>
    <cellStyle name="Обычный 141 2 2 3" xfId="43454"/>
    <cellStyle name="Обычный 141 2 3" xfId="13467"/>
    <cellStyle name="Обычный 141 2 3 2" xfId="43455"/>
    <cellStyle name="Обычный 141 2 4" xfId="43456"/>
    <cellStyle name="Обычный 141 3" xfId="13468"/>
    <cellStyle name="Обычный 141 3 2" xfId="13469"/>
    <cellStyle name="Обычный 141 3 2 2" xfId="13470"/>
    <cellStyle name="Обычный 141 3 2 2 2" xfId="43457"/>
    <cellStyle name="Обычный 141 3 2 3" xfId="43458"/>
    <cellStyle name="Обычный 141 3 3" xfId="13471"/>
    <cellStyle name="Обычный 141 3 3 2" xfId="43459"/>
    <cellStyle name="Обычный 141 3 4" xfId="43460"/>
    <cellStyle name="Обычный 141 4" xfId="13472"/>
    <cellStyle name="Обычный 141 4 2" xfId="13473"/>
    <cellStyle name="Обычный 141 4 2 2" xfId="13474"/>
    <cellStyle name="Обычный 141 4 2 2 2" xfId="43461"/>
    <cellStyle name="Обычный 141 4 2 3" xfId="43462"/>
    <cellStyle name="Обычный 141 4 3" xfId="13475"/>
    <cellStyle name="Обычный 141 4 3 2" xfId="43463"/>
    <cellStyle name="Обычный 141 4 4" xfId="43464"/>
    <cellStyle name="Обычный 141 5" xfId="13476"/>
    <cellStyle name="Обычный 141 5 2" xfId="13477"/>
    <cellStyle name="Обычный 141 5 2 2" xfId="43465"/>
    <cellStyle name="Обычный 141 5 3" xfId="43466"/>
    <cellStyle name="Обычный 141 6" xfId="13478"/>
    <cellStyle name="Обычный 141 6 2" xfId="43467"/>
    <cellStyle name="Обычный 141 7" xfId="13479"/>
    <cellStyle name="Обычный 141 7 2" xfId="43468"/>
    <cellStyle name="Обычный 141 8" xfId="43469"/>
    <cellStyle name="Обычный 142" xfId="13480"/>
    <cellStyle name="Обычный 142 2" xfId="13481"/>
    <cellStyle name="Обычный 142 2 2" xfId="13482"/>
    <cellStyle name="Обычный 142 2 2 2" xfId="13483"/>
    <cellStyle name="Обычный 142 2 2 2 2" xfId="43470"/>
    <cellStyle name="Обычный 142 2 2 3" xfId="43471"/>
    <cellStyle name="Обычный 142 2 3" xfId="13484"/>
    <cellStyle name="Обычный 142 2 3 2" xfId="43472"/>
    <cellStyle name="Обычный 142 2 4" xfId="43473"/>
    <cellStyle name="Обычный 142 3" xfId="13485"/>
    <cellStyle name="Обычный 142 3 2" xfId="13486"/>
    <cellStyle name="Обычный 142 3 2 2" xfId="13487"/>
    <cellStyle name="Обычный 142 3 2 2 2" xfId="43474"/>
    <cellStyle name="Обычный 142 3 2 3" xfId="43475"/>
    <cellStyle name="Обычный 142 3 3" xfId="13488"/>
    <cellStyle name="Обычный 142 3 3 2" xfId="43476"/>
    <cellStyle name="Обычный 142 3 4" xfId="43477"/>
    <cellStyle name="Обычный 142 4" xfId="13489"/>
    <cellStyle name="Обычный 142 4 2" xfId="13490"/>
    <cellStyle name="Обычный 142 4 2 2" xfId="13491"/>
    <cellStyle name="Обычный 142 4 2 2 2" xfId="43478"/>
    <cellStyle name="Обычный 142 4 2 3" xfId="43479"/>
    <cellStyle name="Обычный 142 4 3" xfId="13492"/>
    <cellStyle name="Обычный 142 4 3 2" xfId="43480"/>
    <cellStyle name="Обычный 142 4 4" xfId="43481"/>
    <cellStyle name="Обычный 142 5" xfId="13493"/>
    <cellStyle name="Обычный 142 5 2" xfId="13494"/>
    <cellStyle name="Обычный 142 5 2 2" xfId="43482"/>
    <cellStyle name="Обычный 142 5 3" xfId="43483"/>
    <cellStyle name="Обычный 142 6" xfId="13495"/>
    <cellStyle name="Обычный 142 6 2" xfId="43484"/>
    <cellStyle name="Обычный 142 7" xfId="13496"/>
    <cellStyle name="Обычный 142 7 2" xfId="43485"/>
    <cellStyle name="Обычный 142 8" xfId="43486"/>
    <cellStyle name="Обычный 143" xfId="13497"/>
    <cellStyle name="Обычный 143 2" xfId="13498"/>
    <cellStyle name="Обычный 143 2 2" xfId="13499"/>
    <cellStyle name="Обычный 143 2 2 2" xfId="13500"/>
    <cellStyle name="Обычный 143 2 2 2 2" xfId="43487"/>
    <cellStyle name="Обычный 143 2 2 3" xfId="43488"/>
    <cellStyle name="Обычный 143 2 3" xfId="13501"/>
    <cellStyle name="Обычный 143 2 3 2" xfId="43489"/>
    <cellStyle name="Обычный 143 2 4" xfId="43490"/>
    <cellStyle name="Обычный 143 3" xfId="13502"/>
    <cellStyle name="Обычный 143 3 2" xfId="13503"/>
    <cellStyle name="Обычный 143 3 2 2" xfId="13504"/>
    <cellStyle name="Обычный 143 3 2 2 2" xfId="43491"/>
    <cellStyle name="Обычный 143 3 2 3" xfId="43492"/>
    <cellStyle name="Обычный 143 3 3" xfId="13505"/>
    <cellStyle name="Обычный 143 3 3 2" xfId="43493"/>
    <cellStyle name="Обычный 143 3 4" xfId="43494"/>
    <cellStyle name="Обычный 143 4" xfId="13506"/>
    <cellStyle name="Обычный 143 4 2" xfId="13507"/>
    <cellStyle name="Обычный 143 4 2 2" xfId="13508"/>
    <cellStyle name="Обычный 143 4 2 2 2" xfId="43495"/>
    <cellStyle name="Обычный 143 4 2 3" xfId="43496"/>
    <cellStyle name="Обычный 143 4 3" xfId="13509"/>
    <cellStyle name="Обычный 143 4 3 2" xfId="43497"/>
    <cellStyle name="Обычный 143 4 4" xfId="43498"/>
    <cellStyle name="Обычный 143 5" xfId="13510"/>
    <cellStyle name="Обычный 143 5 2" xfId="13511"/>
    <cellStyle name="Обычный 143 5 2 2" xfId="43499"/>
    <cellStyle name="Обычный 143 5 3" xfId="43500"/>
    <cellStyle name="Обычный 143 6" xfId="13512"/>
    <cellStyle name="Обычный 143 6 2" xfId="43501"/>
    <cellStyle name="Обычный 143 7" xfId="13513"/>
    <cellStyle name="Обычный 143 7 2" xfId="43502"/>
    <cellStyle name="Обычный 143 8" xfId="43503"/>
    <cellStyle name="Обычный 144" xfId="13514"/>
    <cellStyle name="Обычный 144 2" xfId="13515"/>
    <cellStyle name="Обычный 144 2 2" xfId="13516"/>
    <cellStyle name="Обычный 144 2 2 2" xfId="13517"/>
    <cellStyle name="Обычный 144 2 2 2 2" xfId="43504"/>
    <cellStyle name="Обычный 144 2 2 3" xfId="43505"/>
    <cellStyle name="Обычный 144 2 3" xfId="13518"/>
    <cellStyle name="Обычный 144 2 3 2" xfId="43506"/>
    <cellStyle name="Обычный 144 2 4" xfId="43507"/>
    <cellStyle name="Обычный 144 3" xfId="13519"/>
    <cellStyle name="Обычный 144 3 2" xfId="13520"/>
    <cellStyle name="Обычный 144 3 2 2" xfId="13521"/>
    <cellStyle name="Обычный 144 3 2 2 2" xfId="43508"/>
    <cellStyle name="Обычный 144 3 2 3" xfId="43509"/>
    <cellStyle name="Обычный 144 3 3" xfId="13522"/>
    <cellStyle name="Обычный 144 3 3 2" xfId="43510"/>
    <cellStyle name="Обычный 144 3 4" xfId="43511"/>
    <cellStyle name="Обычный 144 4" xfId="13523"/>
    <cellStyle name="Обычный 144 4 2" xfId="13524"/>
    <cellStyle name="Обычный 144 4 2 2" xfId="13525"/>
    <cellStyle name="Обычный 144 4 2 2 2" xfId="43512"/>
    <cellStyle name="Обычный 144 4 2 3" xfId="43513"/>
    <cellStyle name="Обычный 144 4 3" xfId="13526"/>
    <cellStyle name="Обычный 144 4 3 2" xfId="43514"/>
    <cellStyle name="Обычный 144 4 4" xfId="43515"/>
    <cellStyle name="Обычный 144 5" xfId="13527"/>
    <cellStyle name="Обычный 144 5 2" xfId="13528"/>
    <cellStyle name="Обычный 144 5 2 2" xfId="43516"/>
    <cellStyle name="Обычный 144 5 3" xfId="43517"/>
    <cellStyle name="Обычный 144 6" xfId="13529"/>
    <cellStyle name="Обычный 144 6 2" xfId="43518"/>
    <cellStyle name="Обычный 144 7" xfId="13530"/>
    <cellStyle name="Обычный 144 7 2" xfId="43519"/>
    <cellStyle name="Обычный 144 8" xfId="43520"/>
    <cellStyle name="Обычный 145" xfId="13531"/>
    <cellStyle name="Обычный 145 2" xfId="13532"/>
    <cellStyle name="Обычный 145 2 2" xfId="13533"/>
    <cellStyle name="Обычный 145 2 2 2" xfId="13534"/>
    <cellStyle name="Обычный 145 2 2 2 2" xfId="43521"/>
    <cellStyle name="Обычный 145 2 2 3" xfId="43522"/>
    <cellStyle name="Обычный 145 2 3" xfId="13535"/>
    <cellStyle name="Обычный 145 2 3 2" xfId="43523"/>
    <cellStyle name="Обычный 145 2 4" xfId="43524"/>
    <cellStyle name="Обычный 145 3" xfId="13536"/>
    <cellStyle name="Обычный 145 3 2" xfId="13537"/>
    <cellStyle name="Обычный 145 3 2 2" xfId="13538"/>
    <cellStyle name="Обычный 145 3 2 2 2" xfId="43525"/>
    <cellStyle name="Обычный 145 3 2 3" xfId="43526"/>
    <cellStyle name="Обычный 145 3 3" xfId="13539"/>
    <cellStyle name="Обычный 145 3 3 2" xfId="43527"/>
    <cellStyle name="Обычный 145 3 4" xfId="43528"/>
    <cellStyle name="Обычный 145 4" xfId="13540"/>
    <cellStyle name="Обычный 145 4 2" xfId="13541"/>
    <cellStyle name="Обычный 145 4 2 2" xfId="13542"/>
    <cellStyle name="Обычный 145 4 2 2 2" xfId="43529"/>
    <cellStyle name="Обычный 145 4 2 3" xfId="43530"/>
    <cellStyle name="Обычный 145 4 3" xfId="13543"/>
    <cellStyle name="Обычный 145 4 3 2" xfId="43531"/>
    <cellStyle name="Обычный 145 4 4" xfId="43532"/>
    <cellStyle name="Обычный 145 5" xfId="13544"/>
    <cellStyle name="Обычный 145 5 2" xfId="13545"/>
    <cellStyle name="Обычный 145 5 2 2" xfId="43533"/>
    <cellStyle name="Обычный 145 5 3" xfId="43534"/>
    <cellStyle name="Обычный 145 6" xfId="13546"/>
    <cellStyle name="Обычный 145 6 2" xfId="43535"/>
    <cellStyle name="Обычный 145 7" xfId="13547"/>
    <cellStyle name="Обычный 145 7 2" xfId="43536"/>
    <cellStyle name="Обычный 145 8" xfId="43537"/>
    <cellStyle name="Обычный 146" xfId="13548"/>
    <cellStyle name="Обычный 146 2" xfId="13549"/>
    <cellStyle name="Обычный 146 2 2" xfId="13550"/>
    <cellStyle name="Обычный 146 2 2 2" xfId="13551"/>
    <cellStyle name="Обычный 146 2 2 2 2" xfId="43538"/>
    <cellStyle name="Обычный 146 2 2 3" xfId="43539"/>
    <cellStyle name="Обычный 146 2 3" xfId="13552"/>
    <cellStyle name="Обычный 146 2 3 2" xfId="43540"/>
    <cellStyle name="Обычный 146 2 4" xfId="43541"/>
    <cellStyle name="Обычный 146 3" xfId="13553"/>
    <cellStyle name="Обычный 146 3 2" xfId="13554"/>
    <cellStyle name="Обычный 146 3 2 2" xfId="13555"/>
    <cellStyle name="Обычный 146 3 2 2 2" xfId="43542"/>
    <cellStyle name="Обычный 146 3 2 3" xfId="43543"/>
    <cellStyle name="Обычный 146 3 3" xfId="13556"/>
    <cellStyle name="Обычный 146 3 3 2" xfId="43544"/>
    <cellStyle name="Обычный 146 3 4" xfId="43545"/>
    <cellStyle name="Обычный 146 4" xfId="13557"/>
    <cellStyle name="Обычный 146 4 2" xfId="13558"/>
    <cellStyle name="Обычный 146 4 2 2" xfId="13559"/>
    <cellStyle name="Обычный 146 4 2 2 2" xfId="43546"/>
    <cellStyle name="Обычный 146 4 2 3" xfId="43547"/>
    <cellStyle name="Обычный 146 4 3" xfId="13560"/>
    <cellStyle name="Обычный 146 4 3 2" xfId="43548"/>
    <cellStyle name="Обычный 146 4 4" xfId="43549"/>
    <cellStyle name="Обычный 146 5" xfId="13561"/>
    <cellStyle name="Обычный 146 5 2" xfId="13562"/>
    <cellStyle name="Обычный 146 5 2 2" xfId="43550"/>
    <cellStyle name="Обычный 146 5 3" xfId="43551"/>
    <cellStyle name="Обычный 146 6" xfId="13563"/>
    <cellStyle name="Обычный 146 6 2" xfId="43552"/>
    <cellStyle name="Обычный 146 7" xfId="13564"/>
    <cellStyle name="Обычный 146 7 2" xfId="43553"/>
    <cellStyle name="Обычный 146 8" xfId="43554"/>
    <cellStyle name="Обычный 147" xfId="13565"/>
    <cellStyle name="Обычный 147 2" xfId="13566"/>
    <cellStyle name="Обычный 147 2 2" xfId="13567"/>
    <cellStyle name="Обычный 147 2 2 2" xfId="13568"/>
    <cellStyle name="Обычный 147 2 2 2 2" xfId="43555"/>
    <cellStyle name="Обычный 147 2 2 3" xfId="43556"/>
    <cellStyle name="Обычный 147 2 3" xfId="13569"/>
    <cellStyle name="Обычный 147 2 3 2" xfId="43557"/>
    <cellStyle name="Обычный 147 2 4" xfId="43558"/>
    <cellStyle name="Обычный 147 3" xfId="13570"/>
    <cellStyle name="Обычный 147 3 2" xfId="13571"/>
    <cellStyle name="Обычный 147 3 2 2" xfId="13572"/>
    <cellStyle name="Обычный 147 3 2 2 2" xfId="43559"/>
    <cellStyle name="Обычный 147 3 2 3" xfId="43560"/>
    <cellStyle name="Обычный 147 3 3" xfId="13573"/>
    <cellStyle name="Обычный 147 3 3 2" xfId="43561"/>
    <cellStyle name="Обычный 147 3 4" xfId="43562"/>
    <cellStyle name="Обычный 147 4" xfId="13574"/>
    <cellStyle name="Обычный 147 4 2" xfId="13575"/>
    <cellStyle name="Обычный 147 4 2 2" xfId="13576"/>
    <cellStyle name="Обычный 147 4 2 2 2" xfId="43563"/>
    <cellStyle name="Обычный 147 4 2 3" xfId="43564"/>
    <cellStyle name="Обычный 147 4 3" xfId="13577"/>
    <cellStyle name="Обычный 147 4 3 2" xfId="43565"/>
    <cellStyle name="Обычный 147 4 4" xfId="43566"/>
    <cellStyle name="Обычный 147 5" xfId="13578"/>
    <cellStyle name="Обычный 147 5 2" xfId="13579"/>
    <cellStyle name="Обычный 147 5 2 2" xfId="43567"/>
    <cellStyle name="Обычный 147 5 3" xfId="43568"/>
    <cellStyle name="Обычный 147 6" xfId="13580"/>
    <cellStyle name="Обычный 147 6 2" xfId="43569"/>
    <cellStyle name="Обычный 147 7" xfId="13581"/>
    <cellStyle name="Обычный 147 7 2" xfId="43570"/>
    <cellStyle name="Обычный 147 8" xfId="43571"/>
    <cellStyle name="Обычный 148" xfId="13582"/>
    <cellStyle name="Обычный 148 2" xfId="13583"/>
    <cellStyle name="Обычный 148 2 2" xfId="13584"/>
    <cellStyle name="Обычный 148 2 2 2" xfId="13585"/>
    <cellStyle name="Обычный 148 2 2 2 2" xfId="43572"/>
    <cellStyle name="Обычный 148 2 2 3" xfId="43573"/>
    <cellStyle name="Обычный 148 2 3" xfId="13586"/>
    <cellStyle name="Обычный 148 2 3 2" xfId="43574"/>
    <cellStyle name="Обычный 148 2 4" xfId="43575"/>
    <cellStyle name="Обычный 148 3" xfId="13587"/>
    <cellStyle name="Обычный 148 3 2" xfId="13588"/>
    <cellStyle name="Обычный 148 3 2 2" xfId="13589"/>
    <cellStyle name="Обычный 148 3 2 2 2" xfId="43576"/>
    <cellStyle name="Обычный 148 3 2 3" xfId="43577"/>
    <cellStyle name="Обычный 148 3 3" xfId="13590"/>
    <cellStyle name="Обычный 148 3 3 2" xfId="43578"/>
    <cellStyle name="Обычный 148 3 4" xfId="43579"/>
    <cellStyle name="Обычный 148 4" xfId="13591"/>
    <cellStyle name="Обычный 148 4 2" xfId="13592"/>
    <cellStyle name="Обычный 148 4 2 2" xfId="13593"/>
    <cellStyle name="Обычный 148 4 2 2 2" xfId="43580"/>
    <cellStyle name="Обычный 148 4 2 3" xfId="43581"/>
    <cellStyle name="Обычный 148 4 3" xfId="13594"/>
    <cellStyle name="Обычный 148 4 3 2" xfId="43582"/>
    <cellStyle name="Обычный 148 4 4" xfId="43583"/>
    <cellStyle name="Обычный 148 5" xfId="13595"/>
    <cellStyle name="Обычный 148 5 2" xfId="13596"/>
    <cellStyle name="Обычный 148 5 2 2" xfId="43584"/>
    <cellStyle name="Обычный 148 5 3" xfId="43585"/>
    <cellStyle name="Обычный 148 6" xfId="13597"/>
    <cellStyle name="Обычный 148 6 2" xfId="43586"/>
    <cellStyle name="Обычный 148 7" xfId="13598"/>
    <cellStyle name="Обычный 148 7 2" xfId="43587"/>
    <cellStyle name="Обычный 148 8" xfId="43588"/>
    <cellStyle name="Обычный 149" xfId="13599"/>
    <cellStyle name="Обычный 149 2" xfId="13600"/>
    <cellStyle name="Обычный 149 2 2" xfId="13601"/>
    <cellStyle name="Обычный 149 2 2 2" xfId="13602"/>
    <cellStyle name="Обычный 149 2 2 2 2" xfId="43589"/>
    <cellStyle name="Обычный 149 2 2 3" xfId="43590"/>
    <cellStyle name="Обычный 149 2 3" xfId="13603"/>
    <cellStyle name="Обычный 149 2 3 2" xfId="43591"/>
    <cellStyle name="Обычный 149 2 4" xfId="43592"/>
    <cellStyle name="Обычный 149 3" xfId="13604"/>
    <cellStyle name="Обычный 149 3 2" xfId="13605"/>
    <cellStyle name="Обычный 149 3 2 2" xfId="13606"/>
    <cellStyle name="Обычный 149 3 2 2 2" xfId="43593"/>
    <cellStyle name="Обычный 149 3 2 3" xfId="43594"/>
    <cellStyle name="Обычный 149 3 3" xfId="13607"/>
    <cellStyle name="Обычный 149 3 3 2" xfId="43595"/>
    <cellStyle name="Обычный 149 3 4" xfId="43596"/>
    <cellStyle name="Обычный 149 4" xfId="13608"/>
    <cellStyle name="Обычный 149 4 2" xfId="13609"/>
    <cellStyle name="Обычный 149 4 2 2" xfId="13610"/>
    <cellStyle name="Обычный 149 4 2 2 2" xfId="43597"/>
    <cellStyle name="Обычный 149 4 2 3" xfId="43598"/>
    <cellStyle name="Обычный 149 4 3" xfId="13611"/>
    <cellStyle name="Обычный 149 4 3 2" xfId="43599"/>
    <cellStyle name="Обычный 149 4 4" xfId="43600"/>
    <cellStyle name="Обычный 149 5" xfId="13612"/>
    <cellStyle name="Обычный 149 5 2" xfId="13613"/>
    <cellStyle name="Обычный 149 5 2 2" xfId="43601"/>
    <cellStyle name="Обычный 149 5 3" xfId="43602"/>
    <cellStyle name="Обычный 149 6" xfId="13614"/>
    <cellStyle name="Обычный 149 6 2" xfId="43603"/>
    <cellStyle name="Обычный 149 7" xfId="13615"/>
    <cellStyle name="Обычный 149 7 2" xfId="43604"/>
    <cellStyle name="Обычный 149 8" xfId="43605"/>
    <cellStyle name="Обычный 15" xfId="13616"/>
    <cellStyle name="Обычный 15 2" xfId="13617"/>
    <cellStyle name="Обычный 15 3" xfId="59090"/>
    <cellStyle name="Обычный 150" xfId="13618"/>
    <cellStyle name="Обычный 150 2" xfId="13619"/>
    <cellStyle name="Обычный 150 2 2" xfId="13620"/>
    <cellStyle name="Обычный 150 2 2 2" xfId="13621"/>
    <cellStyle name="Обычный 150 2 2 2 2" xfId="43606"/>
    <cellStyle name="Обычный 150 2 2 3" xfId="43607"/>
    <cellStyle name="Обычный 150 2 3" xfId="13622"/>
    <cellStyle name="Обычный 150 2 3 2" xfId="43608"/>
    <cellStyle name="Обычный 150 2 4" xfId="43609"/>
    <cellStyle name="Обычный 150 3" xfId="13623"/>
    <cellStyle name="Обычный 150 3 2" xfId="13624"/>
    <cellStyle name="Обычный 150 3 2 2" xfId="13625"/>
    <cellStyle name="Обычный 150 3 2 2 2" xfId="43610"/>
    <cellStyle name="Обычный 150 3 2 3" xfId="43611"/>
    <cellStyle name="Обычный 150 3 3" xfId="13626"/>
    <cellStyle name="Обычный 150 3 3 2" xfId="43612"/>
    <cellStyle name="Обычный 150 3 4" xfId="43613"/>
    <cellStyle name="Обычный 150 4" xfId="13627"/>
    <cellStyle name="Обычный 150 4 2" xfId="13628"/>
    <cellStyle name="Обычный 150 4 2 2" xfId="13629"/>
    <cellStyle name="Обычный 150 4 2 2 2" xfId="43614"/>
    <cellStyle name="Обычный 150 4 2 3" xfId="43615"/>
    <cellStyle name="Обычный 150 4 3" xfId="13630"/>
    <cellStyle name="Обычный 150 4 3 2" xfId="43616"/>
    <cellStyle name="Обычный 150 4 4" xfId="43617"/>
    <cellStyle name="Обычный 150 5" xfId="13631"/>
    <cellStyle name="Обычный 150 5 2" xfId="13632"/>
    <cellStyle name="Обычный 150 5 2 2" xfId="43618"/>
    <cellStyle name="Обычный 150 5 3" xfId="43619"/>
    <cellStyle name="Обычный 150 6" xfId="13633"/>
    <cellStyle name="Обычный 150 6 2" xfId="43620"/>
    <cellStyle name="Обычный 150 7" xfId="13634"/>
    <cellStyle name="Обычный 150 7 2" xfId="43621"/>
    <cellStyle name="Обычный 150 8" xfId="43622"/>
    <cellStyle name="Обычный 151" xfId="13635"/>
    <cellStyle name="Обычный 151 2" xfId="13636"/>
    <cellStyle name="Обычный 151 2 2" xfId="13637"/>
    <cellStyle name="Обычный 151 2 2 2" xfId="13638"/>
    <cellStyle name="Обычный 151 2 2 2 2" xfId="43623"/>
    <cellStyle name="Обычный 151 2 2 3" xfId="43624"/>
    <cellStyle name="Обычный 151 2 3" xfId="13639"/>
    <cellStyle name="Обычный 151 2 3 2" xfId="43625"/>
    <cellStyle name="Обычный 151 2 4" xfId="43626"/>
    <cellStyle name="Обычный 151 3" xfId="13640"/>
    <cellStyle name="Обычный 151 3 2" xfId="13641"/>
    <cellStyle name="Обычный 151 3 2 2" xfId="13642"/>
    <cellStyle name="Обычный 151 3 2 2 2" xfId="43627"/>
    <cellStyle name="Обычный 151 3 2 3" xfId="43628"/>
    <cellStyle name="Обычный 151 3 3" xfId="13643"/>
    <cellStyle name="Обычный 151 3 3 2" xfId="43629"/>
    <cellStyle name="Обычный 151 3 4" xfId="43630"/>
    <cellStyle name="Обычный 151 4" xfId="13644"/>
    <cellStyle name="Обычный 151 4 2" xfId="13645"/>
    <cellStyle name="Обычный 151 4 2 2" xfId="13646"/>
    <cellStyle name="Обычный 151 4 2 2 2" xfId="43631"/>
    <cellStyle name="Обычный 151 4 2 3" xfId="43632"/>
    <cellStyle name="Обычный 151 4 3" xfId="13647"/>
    <cellStyle name="Обычный 151 4 3 2" xfId="43633"/>
    <cellStyle name="Обычный 151 4 4" xfId="43634"/>
    <cellStyle name="Обычный 151 5" xfId="13648"/>
    <cellStyle name="Обычный 151 5 2" xfId="13649"/>
    <cellStyle name="Обычный 151 5 2 2" xfId="43635"/>
    <cellStyle name="Обычный 151 5 3" xfId="43636"/>
    <cellStyle name="Обычный 151 6" xfId="13650"/>
    <cellStyle name="Обычный 151 6 2" xfId="43637"/>
    <cellStyle name="Обычный 151 7" xfId="13651"/>
    <cellStyle name="Обычный 151 7 2" xfId="43638"/>
    <cellStyle name="Обычный 151 8" xfId="43639"/>
    <cellStyle name="Обычный 152" xfId="13652"/>
    <cellStyle name="Обычный 152 2" xfId="13653"/>
    <cellStyle name="Обычный 152 2 2" xfId="13654"/>
    <cellStyle name="Обычный 152 2 2 2" xfId="13655"/>
    <cellStyle name="Обычный 152 2 2 2 2" xfId="43640"/>
    <cellStyle name="Обычный 152 2 2 3" xfId="43641"/>
    <cellStyle name="Обычный 152 2 3" xfId="13656"/>
    <cellStyle name="Обычный 152 2 3 2" xfId="43642"/>
    <cellStyle name="Обычный 152 2 4" xfId="43643"/>
    <cellStyle name="Обычный 152 3" xfId="13657"/>
    <cellStyle name="Обычный 152 3 2" xfId="13658"/>
    <cellStyle name="Обычный 152 3 2 2" xfId="13659"/>
    <cellStyle name="Обычный 152 3 2 2 2" xfId="43644"/>
    <cellStyle name="Обычный 152 3 2 3" xfId="43645"/>
    <cellStyle name="Обычный 152 3 3" xfId="13660"/>
    <cellStyle name="Обычный 152 3 3 2" xfId="43646"/>
    <cellStyle name="Обычный 152 3 4" xfId="43647"/>
    <cellStyle name="Обычный 152 4" xfId="13661"/>
    <cellStyle name="Обычный 152 4 2" xfId="13662"/>
    <cellStyle name="Обычный 152 4 2 2" xfId="13663"/>
    <cellStyle name="Обычный 152 4 2 2 2" xfId="43648"/>
    <cellStyle name="Обычный 152 4 2 3" xfId="43649"/>
    <cellStyle name="Обычный 152 4 3" xfId="13664"/>
    <cellStyle name="Обычный 152 4 3 2" xfId="43650"/>
    <cellStyle name="Обычный 152 4 4" xfId="43651"/>
    <cellStyle name="Обычный 152 5" xfId="13665"/>
    <cellStyle name="Обычный 152 5 2" xfId="13666"/>
    <cellStyle name="Обычный 152 5 2 2" xfId="43652"/>
    <cellStyle name="Обычный 152 5 3" xfId="43653"/>
    <cellStyle name="Обычный 152 6" xfId="13667"/>
    <cellStyle name="Обычный 152 6 2" xfId="43654"/>
    <cellStyle name="Обычный 152 7" xfId="13668"/>
    <cellStyle name="Обычный 152 7 2" xfId="43655"/>
    <cellStyle name="Обычный 152 8" xfId="43656"/>
    <cellStyle name="Обычный 153" xfId="13669"/>
    <cellStyle name="Обычный 153 2" xfId="13670"/>
    <cellStyle name="Обычный 153 2 2" xfId="13671"/>
    <cellStyle name="Обычный 153 2 2 2" xfId="13672"/>
    <cellStyle name="Обычный 153 2 2 2 2" xfId="43657"/>
    <cellStyle name="Обычный 153 2 2 3" xfId="43658"/>
    <cellStyle name="Обычный 153 2 3" xfId="13673"/>
    <cellStyle name="Обычный 153 2 3 2" xfId="43659"/>
    <cellStyle name="Обычный 153 2 4" xfId="43660"/>
    <cellStyle name="Обычный 153 3" xfId="13674"/>
    <cellStyle name="Обычный 153 3 2" xfId="13675"/>
    <cellStyle name="Обычный 153 3 2 2" xfId="13676"/>
    <cellStyle name="Обычный 153 3 2 2 2" xfId="43661"/>
    <cellStyle name="Обычный 153 3 2 3" xfId="43662"/>
    <cellStyle name="Обычный 153 3 3" xfId="13677"/>
    <cellStyle name="Обычный 153 3 3 2" xfId="43663"/>
    <cellStyle name="Обычный 153 3 4" xfId="43664"/>
    <cellStyle name="Обычный 153 4" xfId="13678"/>
    <cellStyle name="Обычный 153 4 2" xfId="13679"/>
    <cellStyle name="Обычный 153 4 2 2" xfId="13680"/>
    <cellStyle name="Обычный 153 4 2 2 2" xfId="43665"/>
    <cellStyle name="Обычный 153 4 2 3" xfId="43666"/>
    <cellStyle name="Обычный 153 4 3" xfId="13681"/>
    <cellStyle name="Обычный 153 4 3 2" xfId="43667"/>
    <cellStyle name="Обычный 153 4 4" xfId="43668"/>
    <cellStyle name="Обычный 153 5" xfId="13682"/>
    <cellStyle name="Обычный 153 5 2" xfId="13683"/>
    <cellStyle name="Обычный 153 5 2 2" xfId="43669"/>
    <cellStyle name="Обычный 153 5 3" xfId="43670"/>
    <cellStyle name="Обычный 153 6" xfId="13684"/>
    <cellStyle name="Обычный 153 6 2" xfId="43671"/>
    <cellStyle name="Обычный 153 7" xfId="13685"/>
    <cellStyle name="Обычный 153 7 2" xfId="43672"/>
    <cellStyle name="Обычный 153 8" xfId="43673"/>
    <cellStyle name="Обычный 154" xfId="13686"/>
    <cellStyle name="Обычный 154 2" xfId="13687"/>
    <cellStyle name="Обычный 154 2 2" xfId="13688"/>
    <cellStyle name="Обычный 154 2 2 2" xfId="13689"/>
    <cellStyle name="Обычный 154 2 2 2 2" xfId="43674"/>
    <cellStyle name="Обычный 154 2 2 3" xfId="43675"/>
    <cellStyle name="Обычный 154 2 3" xfId="13690"/>
    <cellStyle name="Обычный 154 2 3 2" xfId="43676"/>
    <cellStyle name="Обычный 154 2 4" xfId="43677"/>
    <cellStyle name="Обычный 154 3" xfId="13691"/>
    <cellStyle name="Обычный 154 3 2" xfId="13692"/>
    <cellStyle name="Обычный 154 3 2 2" xfId="13693"/>
    <cellStyle name="Обычный 154 3 2 2 2" xfId="43678"/>
    <cellStyle name="Обычный 154 3 2 3" xfId="43679"/>
    <cellStyle name="Обычный 154 3 3" xfId="13694"/>
    <cellStyle name="Обычный 154 3 3 2" xfId="43680"/>
    <cellStyle name="Обычный 154 3 4" xfId="43681"/>
    <cellStyle name="Обычный 154 4" xfId="13695"/>
    <cellStyle name="Обычный 154 4 2" xfId="13696"/>
    <cellStyle name="Обычный 154 4 2 2" xfId="13697"/>
    <cellStyle name="Обычный 154 4 2 2 2" xfId="43682"/>
    <cellStyle name="Обычный 154 4 2 3" xfId="43683"/>
    <cellStyle name="Обычный 154 4 3" xfId="13698"/>
    <cellStyle name="Обычный 154 4 3 2" xfId="43684"/>
    <cellStyle name="Обычный 154 4 4" xfId="43685"/>
    <cellStyle name="Обычный 154 5" xfId="13699"/>
    <cellStyle name="Обычный 154 5 2" xfId="13700"/>
    <cellStyle name="Обычный 154 5 2 2" xfId="43686"/>
    <cellStyle name="Обычный 154 5 3" xfId="43687"/>
    <cellStyle name="Обычный 154 6" xfId="13701"/>
    <cellStyle name="Обычный 154 6 2" xfId="43688"/>
    <cellStyle name="Обычный 154 7" xfId="13702"/>
    <cellStyle name="Обычный 154 7 2" xfId="43689"/>
    <cellStyle name="Обычный 154 8" xfId="43690"/>
    <cellStyle name="Обычный 155" xfId="13703"/>
    <cellStyle name="Обычный 155 2" xfId="13704"/>
    <cellStyle name="Обычный 155 2 2" xfId="13705"/>
    <cellStyle name="Обычный 155 2 2 2" xfId="13706"/>
    <cellStyle name="Обычный 155 2 2 2 2" xfId="43691"/>
    <cellStyle name="Обычный 155 2 2 3" xfId="43692"/>
    <cellStyle name="Обычный 155 2 3" xfId="13707"/>
    <cellStyle name="Обычный 155 2 3 2" xfId="43693"/>
    <cellStyle name="Обычный 155 2 4" xfId="43694"/>
    <cellStyle name="Обычный 155 3" xfId="13708"/>
    <cellStyle name="Обычный 155 3 2" xfId="13709"/>
    <cellStyle name="Обычный 155 3 2 2" xfId="13710"/>
    <cellStyle name="Обычный 155 3 2 2 2" xfId="43695"/>
    <cellStyle name="Обычный 155 3 2 3" xfId="43696"/>
    <cellStyle name="Обычный 155 3 3" xfId="13711"/>
    <cellStyle name="Обычный 155 3 3 2" xfId="43697"/>
    <cellStyle name="Обычный 155 3 4" xfId="43698"/>
    <cellStyle name="Обычный 155 4" xfId="13712"/>
    <cellStyle name="Обычный 155 4 2" xfId="13713"/>
    <cellStyle name="Обычный 155 4 2 2" xfId="13714"/>
    <cellStyle name="Обычный 155 4 2 2 2" xfId="43699"/>
    <cellStyle name="Обычный 155 4 2 3" xfId="43700"/>
    <cellStyle name="Обычный 155 4 3" xfId="13715"/>
    <cellStyle name="Обычный 155 4 3 2" xfId="43701"/>
    <cellStyle name="Обычный 155 4 4" xfId="43702"/>
    <cellStyle name="Обычный 155 5" xfId="13716"/>
    <cellStyle name="Обычный 155 5 2" xfId="13717"/>
    <cellStyle name="Обычный 155 5 2 2" xfId="43703"/>
    <cellStyle name="Обычный 155 5 3" xfId="43704"/>
    <cellStyle name="Обычный 155 6" xfId="13718"/>
    <cellStyle name="Обычный 155 6 2" xfId="43705"/>
    <cellStyle name="Обычный 155 7" xfId="13719"/>
    <cellStyle name="Обычный 155 7 2" xfId="43706"/>
    <cellStyle name="Обычный 155 8" xfId="43707"/>
    <cellStyle name="Обычный 156" xfId="13720"/>
    <cellStyle name="Обычный 156 2" xfId="13721"/>
    <cellStyle name="Обычный 156 2 2" xfId="13722"/>
    <cellStyle name="Обычный 156 2 2 2" xfId="13723"/>
    <cellStyle name="Обычный 156 2 2 2 2" xfId="43708"/>
    <cellStyle name="Обычный 156 2 2 3" xfId="43709"/>
    <cellStyle name="Обычный 156 2 3" xfId="13724"/>
    <cellStyle name="Обычный 156 2 3 2" xfId="43710"/>
    <cellStyle name="Обычный 156 2 4" xfId="43711"/>
    <cellStyle name="Обычный 156 3" xfId="13725"/>
    <cellStyle name="Обычный 156 3 2" xfId="13726"/>
    <cellStyle name="Обычный 156 3 2 2" xfId="13727"/>
    <cellStyle name="Обычный 156 3 2 2 2" xfId="43712"/>
    <cellStyle name="Обычный 156 3 2 3" xfId="43713"/>
    <cellStyle name="Обычный 156 3 3" xfId="13728"/>
    <cellStyle name="Обычный 156 3 3 2" xfId="43714"/>
    <cellStyle name="Обычный 156 3 4" xfId="43715"/>
    <cellStyle name="Обычный 156 4" xfId="13729"/>
    <cellStyle name="Обычный 156 4 2" xfId="13730"/>
    <cellStyle name="Обычный 156 4 2 2" xfId="13731"/>
    <cellStyle name="Обычный 156 4 2 2 2" xfId="43716"/>
    <cellStyle name="Обычный 156 4 2 3" xfId="43717"/>
    <cellStyle name="Обычный 156 4 3" xfId="13732"/>
    <cellStyle name="Обычный 156 4 3 2" xfId="43718"/>
    <cellStyle name="Обычный 156 4 4" xfId="43719"/>
    <cellStyle name="Обычный 156 5" xfId="13733"/>
    <cellStyle name="Обычный 156 5 2" xfId="13734"/>
    <cellStyle name="Обычный 156 5 2 2" xfId="43720"/>
    <cellStyle name="Обычный 156 5 3" xfId="43721"/>
    <cellStyle name="Обычный 156 6" xfId="13735"/>
    <cellStyle name="Обычный 156 6 2" xfId="43722"/>
    <cellStyle name="Обычный 156 7" xfId="13736"/>
    <cellStyle name="Обычный 156 7 2" xfId="43723"/>
    <cellStyle name="Обычный 156 8" xfId="43724"/>
    <cellStyle name="Обычный 157" xfId="13737"/>
    <cellStyle name="Обычный 157 2" xfId="13738"/>
    <cellStyle name="Обычный 157 2 2" xfId="13739"/>
    <cellStyle name="Обычный 157 2 2 2" xfId="13740"/>
    <cellStyle name="Обычный 157 2 2 2 2" xfId="43725"/>
    <cellStyle name="Обычный 157 2 2 3" xfId="43726"/>
    <cellStyle name="Обычный 157 2 3" xfId="13741"/>
    <cellStyle name="Обычный 157 2 3 2" xfId="43727"/>
    <cellStyle name="Обычный 157 2 4" xfId="43728"/>
    <cellStyle name="Обычный 157 3" xfId="13742"/>
    <cellStyle name="Обычный 157 3 2" xfId="13743"/>
    <cellStyle name="Обычный 157 3 2 2" xfId="13744"/>
    <cellStyle name="Обычный 157 3 2 2 2" xfId="43729"/>
    <cellStyle name="Обычный 157 3 2 3" xfId="43730"/>
    <cellStyle name="Обычный 157 3 3" xfId="13745"/>
    <cellStyle name="Обычный 157 3 3 2" xfId="43731"/>
    <cellStyle name="Обычный 157 3 4" xfId="43732"/>
    <cellStyle name="Обычный 157 4" xfId="13746"/>
    <cellStyle name="Обычный 157 4 2" xfId="13747"/>
    <cellStyle name="Обычный 157 4 2 2" xfId="13748"/>
    <cellStyle name="Обычный 157 4 2 2 2" xfId="43733"/>
    <cellStyle name="Обычный 157 4 2 3" xfId="43734"/>
    <cellStyle name="Обычный 157 4 3" xfId="13749"/>
    <cellStyle name="Обычный 157 4 3 2" xfId="43735"/>
    <cellStyle name="Обычный 157 4 4" xfId="43736"/>
    <cellStyle name="Обычный 157 5" xfId="13750"/>
    <cellStyle name="Обычный 157 5 2" xfId="13751"/>
    <cellStyle name="Обычный 157 5 2 2" xfId="43737"/>
    <cellStyle name="Обычный 157 5 3" xfId="43738"/>
    <cellStyle name="Обычный 157 6" xfId="13752"/>
    <cellStyle name="Обычный 157 6 2" xfId="43739"/>
    <cellStyle name="Обычный 157 7" xfId="13753"/>
    <cellStyle name="Обычный 157 7 2" xfId="43740"/>
    <cellStyle name="Обычный 157 8" xfId="43741"/>
    <cellStyle name="Обычный 158" xfId="13754"/>
    <cellStyle name="Обычный 158 2" xfId="13755"/>
    <cellStyle name="Обычный 158 2 2" xfId="13756"/>
    <cellStyle name="Обычный 158 2 2 2" xfId="13757"/>
    <cellStyle name="Обычный 158 2 2 2 2" xfId="43742"/>
    <cellStyle name="Обычный 158 2 2 3" xfId="43743"/>
    <cellStyle name="Обычный 158 2 3" xfId="13758"/>
    <cellStyle name="Обычный 158 2 3 2" xfId="43744"/>
    <cellStyle name="Обычный 158 2 4" xfId="43745"/>
    <cellStyle name="Обычный 158 3" xfId="13759"/>
    <cellStyle name="Обычный 158 3 2" xfId="13760"/>
    <cellStyle name="Обычный 158 3 2 2" xfId="13761"/>
    <cellStyle name="Обычный 158 3 2 2 2" xfId="43746"/>
    <cellStyle name="Обычный 158 3 2 3" xfId="43747"/>
    <cellStyle name="Обычный 158 3 3" xfId="13762"/>
    <cellStyle name="Обычный 158 3 3 2" xfId="43748"/>
    <cellStyle name="Обычный 158 3 4" xfId="43749"/>
    <cellStyle name="Обычный 158 4" xfId="13763"/>
    <cellStyle name="Обычный 158 4 2" xfId="13764"/>
    <cellStyle name="Обычный 158 4 2 2" xfId="13765"/>
    <cellStyle name="Обычный 158 4 2 2 2" xfId="43750"/>
    <cellStyle name="Обычный 158 4 2 3" xfId="43751"/>
    <cellStyle name="Обычный 158 4 3" xfId="13766"/>
    <cellStyle name="Обычный 158 4 3 2" xfId="43752"/>
    <cellStyle name="Обычный 158 4 4" xfId="43753"/>
    <cellStyle name="Обычный 158 5" xfId="13767"/>
    <cellStyle name="Обычный 158 5 2" xfId="13768"/>
    <cellStyle name="Обычный 158 5 2 2" xfId="43754"/>
    <cellStyle name="Обычный 158 5 3" xfId="43755"/>
    <cellStyle name="Обычный 158 6" xfId="13769"/>
    <cellStyle name="Обычный 158 6 2" xfId="43756"/>
    <cellStyle name="Обычный 158 7" xfId="13770"/>
    <cellStyle name="Обычный 158 7 2" xfId="43757"/>
    <cellStyle name="Обычный 158 8" xfId="43758"/>
    <cellStyle name="Обычный 159" xfId="13771"/>
    <cellStyle name="Обычный 159 2" xfId="13772"/>
    <cellStyle name="Обычный 159 2 2" xfId="13773"/>
    <cellStyle name="Обычный 159 2 2 2" xfId="13774"/>
    <cellStyle name="Обычный 159 2 2 2 2" xfId="43759"/>
    <cellStyle name="Обычный 159 2 2 3" xfId="43760"/>
    <cellStyle name="Обычный 159 2 3" xfId="13775"/>
    <cellStyle name="Обычный 159 2 3 2" xfId="43761"/>
    <cellStyle name="Обычный 159 2 4" xfId="43762"/>
    <cellStyle name="Обычный 159 3" xfId="13776"/>
    <cellStyle name="Обычный 159 3 2" xfId="13777"/>
    <cellStyle name="Обычный 159 3 2 2" xfId="13778"/>
    <cellStyle name="Обычный 159 3 2 2 2" xfId="43763"/>
    <cellStyle name="Обычный 159 3 2 3" xfId="43764"/>
    <cellStyle name="Обычный 159 3 3" xfId="13779"/>
    <cellStyle name="Обычный 159 3 3 2" xfId="43765"/>
    <cellStyle name="Обычный 159 3 4" xfId="43766"/>
    <cellStyle name="Обычный 159 4" xfId="13780"/>
    <cellStyle name="Обычный 159 4 2" xfId="13781"/>
    <cellStyle name="Обычный 159 4 2 2" xfId="13782"/>
    <cellStyle name="Обычный 159 4 2 2 2" xfId="43767"/>
    <cellStyle name="Обычный 159 4 2 3" xfId="43768"/>
    <cellStyle name="Обычный 159 4 3" xfId="13783"/>
    <cellStyle name="Обычный 159 4 3 2" xfId="43769"/>
    <cellStyle name="Обычный 159 4 4" xfId="43770"/>
    <cellStyle name="Обычный 159 5" xfId="13784"/>
    <cellStyle name="Обычный 159 5 2" xfId="13785"/>
    <cellStyle name="Обычный 159 5 2 2" xfId="43771"/>
    <cellStyle name="Обычный 159 5 3" xfId="43772"/>
    <cellStyle name="Обычный 159 6" xfId="13786"/>
    <cellStyle name="Обычный 159 6 2" xfId="43773"/>
    <cellStyle name="Обычный 159 7" xfId="13787"/>
    <cellStyle name="Обычный 159 7 2" xfId="43774"/>
    <cellStyle name="Обычный 159 8" xfId="43775"/>
    <cellStyle name="Обычный 16" xfId="13788"/>
    <cellStyle name="Обычный 16 2" xfId="13789"/>
    <cellStyle name="Обычный 16 3" xfId="59091"/>
    <cellStyle name="Обычный 160" xfId="13790"/>
    <cellStyle name="Обычный 160 2" xfId="13791"/>
    <cellStyle name="Обычный 160 2 2" xfId="13792"/>
    <cellStyle name="Обычный 160 2 2 2" xfId="13793"/>
    <cellStyle name="Обычный 160 2 2 2 2" xfId="43776"/>
    <cellStyle name="Обычный 160 2 2 3" xfId="43777"/>
    <cellStyle name="Обычный 160 2 3" xfId="13794"/>
    <cellStyle name="Обычный 160 2 3 2" xfId="43778"/>
    <cellStyle name="Обычный 160 2 4" xfId="43779"/>
    <cellStyle name="Обычный 160 3" xfId="13795"/>
    <cellStyle name="Обычный 160 3 2" xfId="13796"/>
    <cellStyle name="Обычный 160 3 2 2" xfId="13797"/>
    <cellStyle name="Обычный 160 3 2 2 2" xfId="43780"/>
    <cellStyle name="Обычный 160 3 2 3" xfId="43781"/>
    <cellStyle name="Обычный 160 3 3" xfId="13798"/>
    <cellStyle name="Обычный 160 3 3 2" xfId="43782"/>
    <cellStyle name="Обычный 160 3 4" xfId="43783"/>
    <cellStyle name="Обычный 160 4" xfId="13799"/>
    <cellStyle name="Обычный 160 4 2" xfId="13800"/>
    <cellStyle name="Обычный 160 4 2 2" xfId="13801"/>
    <cellStyle name="Обычный 160 4 2 2 2" xfId="43784"/>
    <cellStyle name="Обычный 160 4 2 3" xfId="43785"/>
    <cellStyle name="Обычный 160 4 3" xfId="13802"/>
    <cellStyle name="Обычный 160 4 3 2" xfId="43786"/>
    <cellStyle name="Обычный 160 4 4" xfId="43787"/>
    <cellStyle name="Обычный 160 5" xfId="13803"/>
    <cellStyle name="Обычный 160 5 2" xfId="13804"/>
    <cellStyle name="Обычный 160 5 2 2" xfId="43788"/>
    <cellStyle name="Обычный 160 5 3" xfId="43789"/>
    <cellStyle name="Обычный 160 6" xfId="13805"/>
    <cellStyle name="Обычный 160 6 2" xfId="43790"/>
    <cellStyle name="Обычный 160 7" xfId="13806"/>
    <cellStyle name="Обычный 160 7 2" xfId="43791"/>
    <cellStyle name="Обычный 160 8" xfId="43792"/>
    <cellStyle name="Обычный 161" xfId="13807"/>
    <cellStyle name="Обычный 161 2" xfId="13808"/>
    <cellStyle name="Обычный 161 2 2" xfId="13809"/>
    <cellStyle name="Обычный 161 2 2 2" xfId="13810"/>
    <cellStyle name="Обычный 161 2 2 2 2" xfId="43793"/>
    <cellStyle name="Обычный 161 2 2 3" xfId="43794"/>
    <cellStyle name="Обычный 161 2 3" xfId="13811"/>
    <cellStyle name="Обычный 161 2 3 2" xfId="43795"/>
    <cellStyle name="Обычный 161 2 4" xfId="43796"/>
    <cellStyle name="Обычный 161 3" xfId="13812"/>
    <cellStyle name="Обычный 161 3 2" xfId="13813"/>
    <cellStyle name="Обычный 161 3 2 2" xfId="13814"/>
    <cellStyle name="Обычный 161 3 2 2 2" xfId="43797"/>
    <cellStyle name="Обычный 161 3 2 3" xfId="43798"/>
    <cellStyle name="Обычный 161 3 3" xfId="13815"/>
    <cellStyle name="Обычный 161 3 3 2" xfId="43799"/>
    <cellStyle name="Обычный 161 3 4" xfId="43800"/>
    <cellStyle name="Обычный 161 4" xfId="13816"/>
    <cellStyle name="Обычный 161 4 2" xfId="13817"/>
    <cellStyle name="Обычный 161 4 2 2" xfId="13818"/>
    <cellStyle name="Обычный 161 4 2 2 2" xfId="43801"/>
    <cellStyle name="Обычный 161 4 2 3" xfId="43802"/>
    <cellStyle name="Обычный 161 4 3" xfId="13819"/>
    <cellStyle name="Обычный 161 4 3 2" xfId="43803"/>
    <cellStyle name="Обычный 161 4 4" xfId="43804"/>
    <cellStyle name="Обычный 161 5" xfId="13820"/>
    <cellStyle name="Обычный 161 5 2" xfId="13821"/>
    <cellStyle name="Обычный 161 5 2 2" xfId="43805"/>
    <cellStyle name="Обычный 161 5 3" xfId="43806"/>
    <cellStyle name="Обычный 161 6" xfId="13822"/>
    <cellStyle name="Обычный 161 6 2" xfId="43807"/>
    <cellStyle name="Обычный 161 7" xfId="13823"/>
    <cellStyle name="Обычный 161 7 2" xfId="43808"/>
    <cellStyle name="Обычный 161 8" xfId="43809"/>
    <cellStyle name="Обычный 162" xfId="13824"/>
    <cellStyle name="Обычный 162 2" xfId="13825"/>
    <cellStyle name="Обычный 162 2 2" xfId="13826"/>
    <cellStyle name="Обычный 162 2 2 2" xfId="13827"/>
    <cellStyle name="Обычный 162 2 2 2 2" xfId="43810"/>
    <cellStyle name="Обычный 162 2 2 3" xfId="43811"/>
    <cellStyle name="Обычный 162 2 3" xfId="13828"/>
    <cellStyle name="Обычный 162 2 3 2" xfId="43812"/>
    <cellStyle name="Обычный 162 2 4" xfId="43813"/>
    <cellStyle name="Обычный 162 3" xfId="13829"/>
    <cellStyle name="Обычный 162 3 2" xfId="13830"/>
    <cellStyle name="Обычный 162 3 2 2" xfId="13831"/>
    <cellStyle name="Обычный 162 3 2 2 2" xfId="43814"/>
    <cellStyle name="Обычный 162 3 2 3" xfId="43815"/>
    <cellStyle name="Обычный 162 3 3" xfId="13832"/>
    <cellStyle name="Обычный 162 3 3 2" xfId="43816"/>
    <cellStyle name="Обычный 162 3 4" xfId="43817"/>
    <cellStyle name="Обычный 162 4" xfId="13833"/>
    <cellStyle name="Обычный 162 4 2" xfId="13834"/>
    <cellStyle name="Обычный 162 4 2 2" xfId="13835"/>
    <cellStyle name="Обычный 162 4 2 2 2" xfId="43818"/>
    <cellStyle name="Обычный 162 4 2 3" xfId="43819"/>
    <cellStyle name="Обычный 162 4 3" xfId="13836"/>
    <cellStyle name="Обычный 162 4 3 2" xfId="43820"/>
    <cellStyle name="Обычный 162 4 4" xfId="43821"/>
    <cellStyle name="Обычный 162 5" xfId="13837"/>
    <cellStyle name="Обычный 162 5 2" xfId="13838"/>
    <cellStyle name="Обычный 162 5 2 2" xfId="43822"/>
    <cellStyle name="Обычный 162 5 3" xfId="43823"/>
    <cellStyle name="Обычный 162 6" xfId="13839"/>
    <cellStyle name="Обычный 162 6 2" xfId="43824"/>
    <cellStyle name="Обычный 162 7" xfId="13840"/>
    <cellStyle name="Обычный 162 7 2" xfId="43825"/>
    <cellStyle name="Обычный 162 8" xfId="43826"/>
    <cellStyle name="Обычный 163" xfId="13841"/>
    <cellStyle name="Обычный 163 2" xfId="13842"/>
    <cellStyle name="Обычный 163 2 2" xfId="13843"/>
    <cellStyle name="Обычный 163 2 2 2" xfId="13844"/>
    <cellStyle name="Обычный 163 2 2 2 2" xfId="43827"/>
    <cellStyle name="Обычный 163 2 2 3" xfId="43828"/>
    <cellStyle name="Обычный 163 2 3" xfId="13845"/>
    <cellStyle name="Обычный 163 2 3 2" xfId="43829"/>
    <cellStyle name="Обычный 163 2 4" xfId="43830"/>
    <cellStyle name="Обычный 163 3" xfId="13846"/>
    <cellStyle name="Обычный 163 3 2" xfId="13847"/>
    <cellStyle name="Обычный 163 3 2 2" xfId="13848"/>
    <cellStyle name="Обычный 163 3 2 2 2" xfId="43831"/>
    <cellStyle name="Обычный 163 3 2 3" xfId="43832"/>
    <cellStyle name="Обычный 163 3 3" xfId="13849"/>
    <cellStyle name="Обычный 163 3 3 2" xfId="43833"/>
    <cellStyle name="Обычный 163 3 4" xfId="43834"/>
    <cellStyle name="Обычный 163 4" xfId="13850"/>
    <cellStyle name="Обычный 163 4 2" xfId="13851"/>
    <cellStyle name="Обычный 163 4 2 2" xfId="13852"/>
    <cellStyle name="Обычный 163 4 2 2 2" xfId="43835"/>
    <cellStyle name="Обычный 163 4 2 3" xfId="43836"/>
    <cellStyle name="Обычный 163 4 3" xfId="13853"/>
    <cellStyle name="Обычный 163 4 3 2" xfId="43837"/>
    <cellStyle name="Обычный 163 4 4" xfId="43838"/>
    <cellStyle name="Обычный 163 5" xfId="13854"/>
    <cellStyle name="Обычный 163 5 2" xfId="13855"/>
    <cellStyle name="Обычный 163 5 2 2" xfId="43839"/>
    <cellStyle name="Обычный 163 5 3" xfId="43840"/>
    <cellStyle name="Обычный 163 6" xfId="13856"/>
    <cellStyle name="Обычный 163 6 2" xfId="43841"/>
    <cellStyle name="Обычный 163 7" xfId="13857"/>
    <cellStyle name="Обычный 163 7 2" xfId="43842"/>
    <cellStyle name="Обычный 163 8" xfId="43843"/>
    <cellStyle name="Обычный 164" xfId="13858"/>
    <cellStyle name="Обычный 164 2" xfId="13859"/>
    <cellStyle name="Обычный 164 2 2" xfId="13860"/>
    <cellStyle name="Обычный 164 2 2 2" xfId="13861"/>
    <cellStyle name="Обычный 164 2 2 2 2" xfId="43844"/>
    <cellStyle name="Обычный 164 2 2 3" xfId="43845"/>
    <cellStyle name="Обычный 164 2 3" xfId="13862"/>
    <cellStyle name="Обычный 164 2 3 2" xfId="43846"/>
    <cellStyle name="Обычный 164 2 4" xfId="43847"/>
    <cellStyle name="Обычный 164 3" xfId="13863"/>
    <cellStyle name="Обычный 164 3 2" xfId="13864"/>
    <cellStyle name="Обычный 164 3 2 2" xfId="13865"/>
    <cellStyle name="Обычный 164 3 2 2 2" xfId="43848"/>
    <cellStyle name="Обычный 164 3 2 3" xfId="43849"/>
    <cellStyle name="Обычный 164 3 3" xfId="13866"/>
    <cellStyle name="Обычный 164 3 3 2" xfId="43850"/>
    <cellStyle name="Обычный 164 3 4" xfId="43851"/>
    <cellStyle name="Обычный 164 4" xfId="13867"/>
    <cellStyle name="Обычный 164 4 2" xfId="13868"/>
    <cellStyle name="Обычный 164 4 2 2" xfId="13869"/>
    <cellStyle name="Обычный 164 4 2 2 2" xfId="43852"/>
    <cellStyle name="Обычный 164 4 2 3" xfId="43853"/>
    <cellStyle name="Обычный 164 4 3" xfId="13870"/>
    <cellStyle name="Обычный 164 4 3 2" xfId="43854"/>
    <cellStyle name="Обычный 164 4 4" xfId="43855"/>
    <cellStyle name="Обычный 164 5" xfId="13871"/>
    <cellStyle name="Обычный 164 5 2" xfId="13872"/>
    <cellStyle name="Обычный 164 5 2 2" xfId="43856"/>
    <cellStyle name="Обычный 164 5 3" xfId="43857"/>
    <cellStyle name="Обычный 164 6" xfId="13873"/>
    <cellStyle name="Обычный 164 6 2" xfId="43858"/>
    <cellStyle name="Обычный 164 7" xfId="13874"/>
    <cellStyle name="Обычный 164 7 2" xfId="43859"/>
    <cellStyle name="Обычный 164 8" xfId="43860"/>
    <cellStyle name="Обычный 165" xfId="13875"/>
    <cellStyle name="Обычный 165 2" xfId="13876"/>
    <cellStyle name="Обычный 165 2 2" xfId="13877"/>
    <cellStyle name="Обычный 165 2 2 2" xfId="13878"/>
    <cellStyle name="Обычный 165 2 2 2 2" xfId="43861"/>
    <cellStyle name="Обычный 165 2 2 3" xfId="43862"/>
    <cellStyle name="Обычный 165 2 3" xfId="13879"/>
    <cellStyle name="Обычный 165 2 3 2" xfId="43863"/>
    <cellStyle name="Обычный 165 2 4" xfId="43864"/>
    <cellStyle name="Обычный 165 3" xfId="13880"/>
    <cellStyle name="Обычный 165 3 2" xfId="13881"/>
    <cellStyle name="Обычный 165 3 2 2" xfId="13882"/>
    <cellStyle name="Обычный 165 3 2 2 2" xfId="43865"/>
    <cellStyle name="Обычный 165 3 2 3" xfId="43866"/>
    <cellStyle name="Обычный 165 3 3" xfId="13883"/>
    <cellStyle name="Обычный 165 3 3 2" xfId="43867"/>
    <cellStyle name="Обычный 165 3 4" xfId="43868"/>
    <cellStyle name="Обычный 165 4" xfId="13884"/>
    <cellStyle name="Обычный 165 4 2" xfId="13885"/>
    <cellStyle name="Обычный 165 4 2 2" xfId="13886"/>
    <cellStyle name="Обычный 165 4 2 2 2" xfId="43869"/>
    <cellStyle name="Обычный 165 4 2 3" xfId="43870"/>
    <cellStyle name="Обычный 165 4 3" xfId="13887"/>
    <cellStyle name="Обычный 165 4 3 2" xfId="43871"/>
    <cellStyle name="Обычный 165 4 4" xfId="43872"/>
    <cellStyle name="Обычный 165 5" xfId="13888"/>
    <cellStyle name="Обычный 165 5 2" xfId="13889"/>
    <cellStyle name="Обычный 165 5 2 2" xfId="43873"/>
    <cellStyle name="Обычный 165 5 3" xfId="43874"/>
    <cellStyle name="Обычный 165 6" xfId="13890"/>
    <cellStyle name="Обычный 165 6 2" xfId="43875"/>
    <cellStyle name="Обычный 165 7" xfId="13891"/>
    <cellStyle name="Обычный 165 7 2" xfId="43876"/>
    <cellStyle name="Обычный 165 8" xfId="43877"/>
    <cellStyle name="Обычный 166" xfId="13892"/>
    <cellStyle name="Обычный 166 2" xfId="13893"/>
    <cellStyle name="Обычный 166 2 2" xfId="13894"/>
    <cellStyle name="Обычный 166 2 2 2" xfId="13895"/>
    <cellStyle name="Обычный 166 2 2 2 2" xfId="43878"/>
    <cellStyle name="Обычный 166 2 2 3" xfId="43879"/>
    <cellStyle name="Обычный 166 2 3" xfId="13896"/>
    <cellStyle name="Обычный 166 2 3 2" xfId="43880"/>
    <cellStyle name="Обычный 166 2 4" xfId="43881"/>
    <cellStyle name="Обычный 166 3" xfId="13897"/>
    <cellStyle name="Обычный 166 3 2" xfId="13898"/>
    <cellStyle name="Обычный 166 3 2 2" xfId="13899"/>
    <cellStyle name="Обычный 166 3 2 2 2" xfId="43882"/>
    <cellStyle name="Обычный 166 3 2 3" xfId="43883"/>
    <cellStyle name="Обычный 166 3 3" xfId="13900"/>
    <cellStyle name="Обычный 166 3 3 2" xfId="43884"/>
    <cellStyle name="Обычный 166 3 4" xfId="43885"/>
    <cellStyle name="Обычный 166 4" xfId="13901"/>
    <cellStyle name="Обычный 166 4 2" xfId="13902"/>
    <cellStyle name="Обычный 166 4 2 2" xfId="13903"/>
    <cellStyle name="Обычный 166 4 2 2 2" xfId="43886"/>
    <cellStyle name="Обычный 166 4 2 3" xfId="43887"/>
    <cellStyle name="Обычный 166 4 3" xfId="13904"/>
    <cellStyle name="Обычный 166 4 3 2" xfId="43888"/>
    <cellStyle name="Обычный 166 4 4" xfId="43889"/>
    <cellStyle name="Обычный 166 5" xfId="13905"/>
    <cellStyle name="Обычный 166 5 2" xfId="13906"/>
    <cellStyle name="Обычный 166 5 2 2" xfId="43890"/>
    <cellStyle name="Обычный 166 5 3" xfId="43891"/>
    <cellStyle name="Обычный 166 6" xfId="13907"/>
    <cellStyle name="Обычный 166 6 2" xfId="43892"/>
    <cellStyle name="Обычный 166 7" xfId="13908"/>
    <cellStyle name="Обычный 166 7 2" xfId="43893"/>
    <cellStyle name="Обычный 166 8" xfId="43894"/>
    <cellStyle name="Обычный 167" xfId="13909"/>
    <cellStyle name="Обычный 167 2" xfId="13910"/>
    <cellStyle name="Обычный 167 2 2" xfId="13911"/>
    <cellStyle name="Обычный 167 2 2 2" xfId="13912"/>
    <cellStyle name="Обычный 167 2 2 2 2" xfId="43895"/>
    <cellStyle name="Обычный 167 2 2 3" xfId="43896"/>
    <cellStyle name="Обычный 167 2 3" xfId="13913"/>
    <cellStyle name="Обычный 167 2 3 2" xfId="43897"/>
    <cellStyle name="Обычный 167 2 4" xfId="43898"/>
    <cellStyle name="Обычный 167 3" xfId="13914"/>
    <cellStyle name="Обычный 167 3 2" xfId="13915"/>
    <cellStyle name="Обычный 167 3 2 2" xfId="13916"/>
    <cellStyle name="Обычный 167 3 2 2 2" xfId="43899"/>
    <cellStyle name="Обычный 167 3 2 3" xfId="43900"/>
    <cellStyle name="Обычный 167 3 3" xfId="13917"/>
    <cellStyle name="Обычный 167 3 3 2" xfId="43901"/>
    <cellStyle name="Обычный 167 3 4" xfId="43902"/>
    <cellStyle name="Обычный 167 4" xfId="13918"/>
    <cellStyle name="Обычный 167 4 2" xfId="13919"/>
    <cellStyle name="Обычный 167 4 2 2" xfId="13920"/>
    <cellStyle name="Обычный 167 4 2 2 2" xfId="43903"/>
    <cellStyle name="Обычный 167 4 2 3" xfId="43904"/>
    <cellStyle name="Обычный 167 4 3" xfId="13921"/>
    <cellStyle name="Обычный 167 4 3 2" xfId="43905"/>
    <cellStyle name="Обычный 167 4 4" xfId="43906"/>
    <cellStyle name="Обычный 167 5" xfId="13922"/>
    <cellStyle name="Обычный 167 5 2" xfId="13923"/>
    <cellStyle name="Обычный 167 5 2 2" xfId="43907"/>
    <cellStyle name="Обычный 167 5 3" xfId="43908"/>
    <cellStyle name="Обычный 167 6" xfId="13924"/>
    <cellStyle name="Обычный 167 6 2" xfId="43909"/>
    <cellStyle name="Обычный 167 7" xfId="13925"/>
    <cellStyle name="Обычный 167 7 2" xfId="43910"/>
    <cellStyle name="Обычный 167 8" xfId="43911"/>
    <cellStyle name="Обычный 168" xfId="13926"/>
    <cellStyle name="Обычный 168 2" xfId="13927"/>
    <cellStyle name="Обычный 168 2 2" xfId="13928"/>
    <cellStyle name="Обычный 168 2 2 2" xfId="13929"/>
    <cellStyle name="Обычный 168 2 2 2 2" xfId="43912"/>
    <cellStyle name="Обычный 168 2 2 3" xfId="43913"/>
    <cellStyle name="Обычный 168 2 3" xfId="13930"/>
    <cellStyle name="Обычный 168 2 3 2" xfId="43914"/>
    <cellStyle name="Обычный 168 2 4" xfId="43915"/>
    <cellStyle name="Обычный 168 3" xfId="13931"/>
    <cellStyle name="Обычный 168 3 2" xfId="13932"/>
    <cellStyle name="Обычный 168 3 2 2" xfId="13933"/>
    <cellStyle name="Обычный 168 3 2 2 2" xfId="43916"/>
    <cellStyle name="Обычный 168 3 2 3" xfId="43917"/>
    <cellStyle name="Обычный 168 3 3" xfId="13934"/>
    <cellStyle name="Обычный 168 3 3 2" xfId="43918"/>
    <cellStyle name="Обычный 168 3 4" xfId="43919"/>
    <cellStyle name="Обычный 168 4" xfId="13935"/>
    <cellStyle name="Обычный 168 4 2" xfId="13936"/>
    <cellStyle name="Обычный 168 4 2 2" xfId="13937"/>
    <cellStyle name="Обычный 168 4 2 2 2" xfId="43920"/>
    <cellStyle name="Обычный 168 4 2 3" xfId="43921"/>
    <cellStyle name="Обычный 168 4 3" xfId="13938"/>
    <cellStyle name="Обычный 168 4 3 2" xfId="43922"/>
    <cellStyle name="Обычный 168 4 4" xfId="43923"/>
    <cellStyle name="Обычный 168 5" xfId="13939"/>
    <cellStyle name="Обычный 168 5 2" xfId="13940"/>
    <cellStyle name="Обычный 168 5 2 2" xfId="43924"/>
    <cellStyle name="Обычный 168 5 3" xfId="43925"/>
    <cellStyle name="Обычный 168 6" xfId="13941"/>
    <cellStyle name="Обычный 168 6 2" xfId="43926"/>
    <cellStyle name="Обычный 168 7" xfId="13942"/>
    <cellStyle name="Обычный 168 7 2" xfId="43927"/>
    <cellStyle name="Обычный 168 8" xfId="43928"/>
    <cellStyle name="Обычный 169" xfId="13943"/>
    <cellStyle name="Обычный 169 2" xfId="13944"/>
    <cellStyle name="Обычный 169 2 2" xfId="13945"/>
    <cellStyle name="Обычный 169 2 2 2" xfId="13946"/>
    <cellStyle name="Обычный 169 2 2 2 2" xfId="43929"/>
    <cellStyle name="Обычный 169 2 2 3" xfId="43930"/>
    <cellStyle name="Обычный 169 2 3" xfId="13947"/>
    <cellStyle name="Обычный 169 2 3 2" xfId="43931"/>
    <cellStyle name="Обычный 169 2 4" xfId="43932"/>
    <cellStyle name="Обычный 169 3" xfId="13948"/>
    <cellStyle name="Обычный 169 3 2" xfId="13949"/>
    <cellStyle name="Обычный 169 3 2 2" xfId="13950"/>
    <cellStyle name="Обычный 169 3 2 2 2" xfId="43933"/>
    <cellStyle name="Обычный 169 3 2 3" xfId="43934"/>
    <cellStyle name="Обычный 169 3 3" xfId="13951"/>
    <cellStyle name="Обычный 169 3 3 2" xfId="43935"/>
    <cellStyle name="Обычный 169 3 4" xfId="43936"/>
    <cellStyle name="Обычный 169 4" xfId="13952"/>
    <cellStyle name="Обычный 169 4 2" xfId="13953"/>
    <cellStyle name="Обычный 169 4 2 2" xfId="13954"/>
    <cellStyle name="Обычный 169 4 2 2 2" xfId="43937"/>
    <cellStyle name="Обычный 169 4 2 3" xfId="43938"/>
    <cellStyle name="Обычный 169 4 3" xfId="13955"/>
    <cellStyle name="Обычный 169 4 3 2" xfId="43939"/>
    <cellStyle name="Обычный 169 4 4" xfId="43940"/>
    <cellStyle name="Обычный 169 5" xfId="13956"/>
    <cellStyle name="Обычный 169 5 2" xfId="13957"/>
    <cellStyle name="Обычный 169 5 2 2" xfId="43941"/>
    <cellStyle name="Обычный 169 5 3" xfId="43942"/>
    <cellStyle name="Обычный 169 6" xfId="13958"/>
    <cellStyle name="Обычный 169 6 2" xfId="43943"/>
    <cellStyle name="Обычный 169 7" xfId="13959"/>
    <cellStyle name="Обычный 169 7 2" xfId="43944"/>
    <cellStyle name="Обычный 169 8" xfId="43945"/>
    <cellStyle name="Обычный 17" xfId="13960"/>
    <cellStyle name="Обычный 17 2" xfId="13961"/>
    <cellStyle name="Обычный 17 3" xfId="59092"/>
    <cellStyle name="Обычный 17 4" xfId="60315"/>
    <cellStyle name="Обычный 170" xfId="13962"/>
    <cellStyle name="Обычный 170 2" xfId="13963"/>
    <cellStyle name="Обычный 170 2 2" xfId="13964"/>
    <cellStyle name="Обычный 170 2 2 2" xfId="13965"/>
    <cellStyle name="Обычный 170 2 2 2 2" xfId="43946"/>
    <cellStyle name="Обычный 170 2 2 3" xfId="43947"/>
    <cellStyle name="Обычный 170 2 3" xfId="13966"/>
    <cellStyle name="Обычный 170 2 3 2" xfId="43948"/>
    <cellStyle name="Обычный 170 2 4" xfId="43949"/>
    <cellStyle name="Обычный 170 3" xfId="13967"/>
    <cellStyle name="Обычный 170 3 2" xfId="13968"/>
    <cellStyle name="Обычный 170 3 2 2" xfId="13969"/>
    <cellStyle name="Обычный 170 3 2 2 2" xfId="43950"/>
    <cellStyle name="Обычный 170 3 2 3" xfId="43951"/>
    <cellStyle name="Обычный 170 3 3" xfId="13970"/>
    <cellStyle name="Обычный 170 3 3 2" xfId="43952"/>
    <cellStyle name="Обычный 170 3 4" xfId="43953"/>
    <cellStyle name="Обычный 170 4" xfId="13971"/>
    <cellStyle name="Обычный 170 4 2" xfId="13972"/>
    <cellStyle name="Обычный 170 4 2 2" xfId="13973"/>
    <cellStyle name="Обычный 170 4 2 2 2" xfId="43954"/>
    <cellStyle name="Обычный 170 4 2 3" xfId="43955"/>
    <cellStyle name="Обычный 170 4 3" xfId="13974"/>
    <cellStyle name="Обычный 170 4 3 2" xfId="43956"/>
    <cellStyle name="Обычный 170 4 4" xfId="43957"/>
    <cellStyle name="Обычный 170 5" xfId="13975"/>
    <cellStyle name="Обычный 170 5 2" xfId="13976"/>
    <cellStyle name="Обычный 170 5 2 2" xfId="43958"/>
    <cellStyle name="Обычный 170 5 3" xfId="43959"/>
    <cellStyle name="Обычный 170 6" xfId="13977"/>
    <cellStyle name="Обычный 170 6 2" xfId="43960"/>
    <cellStyle name="Обычный 170 7" xfId="13978"/>
    <cellStyle name="Обычный 170 7 2" xfId="43961"/>
    <cellStyle name="Обычный 170 8" xfId="43962"/>
    <cellStyle name="Обычный 171" xfId="13979"/>
    <cellStyle name="Обычный 171 2" xfId="13980"/>
    <cellStyle name="Обычный 171 2 2" xfId="13981"/>
    <cellStyle name="Обычный 171 2 2 2" xfId="13982"/>
    <cellStyle name="Обычный 171 2 2 2 2" xfId="43963"/>
    <cellStyle name="Обычный 171 2 2 3" xfId="43964"/>
    <cellStyle name="Обычный 171 2 3" xfId="13983"/>
    <cellStyle name="Обычный 171 2 3 2" xfId="43965"/>
    <cellStyle name="Обычный 171 2 4" xfId="43966"/>
    <cellStyle name="Обычный 171 3" xfId="13984"/>
    <cellStyle name="Обычный 171 3 2" xfId="13985"/>
    <cellStyle name="Обычный 171 3 2 2" xfId="13986"/>
    <cellStyle name="Обычный 171 3 2 2 2" xfId="43967"/>
    <cellStyle name="Обычный 171 3 2 3" xfId="43968"/>
    <cellStyle name="Обычный 171 3 3" xfId="13987"/>
    <cellStyle name="Обычный 171 3 3 2" xfId="43969"/>
    <cellStyle name="Обычный 171 3 4" xfId="43970"/>
    <cellStyle name="Обычный 171 4" xfId="13988"/>
    <cellStyle name="Обычный 171 4 2" xfId="13989"/>
    <cellStyle name="Обычный 171 4 2 2" xfId="13990"/>
    <cellStyle name="Обычный 171 4 2 2 2" xfId="43971"/>
    <cellStyle name="Обычный 171 4 2 3" xfId="43972"/>
    <cellStyle name="Обычный 171 4 3" xfId="13991"/>
    <cellStyle name="Обычный 171 4 3 2" xfId="43973"/>
    <cellStyle name="Обычный 171 4 4" xfId="43974"/>
    <cellStyle name="Обычный 171 5" xfId="13992"/>
    <cellStyle name="Обычный 171 5 2" xfId="13993"/>
    <cellStyle name="Обычный 171 5 2 2" xfId="43975"/>
    <cellStyle name="Обычный 171 5 3" xfId="43976"/>
    <cellStyle name="Обычный 171 6" xfId="13994"/>
    <cellStyle name="Обычный 171 6 2" xfId="43977"/>
    <cellStyle name="Обычный 171 7" xfId="13995"/>
    <cellStyle name="Обычный 171 7 2" xfId="43978"/>
    <cellStyle name="Обычный 171 8" xfId="43979"/>
    <cellStyle name="Обычный 172" xfId="13996"/>
    <cellStyle name="Обычный 172 2" xfId="13997"/>
    <cellStyle name="Обычный 172 2 2" xfId="13998"/>
    <cellStyle name="Обычный 172 2 2 2" xfId="13999"/>
    <cellStyle name="Обычный 172 2 2 2 2" xfId="43980"/>
    <cellStyle name="Обычный 172 2 2 3" xfId="43981"/>
    <cellStyle name="Обычный 172 2 3" xfId="14000"/>
    <cellStyle name="Обычный 172 2 3 2" xfId="43982"/>
    <cellStyle name="Обычный 172 2 4" xfId="43983"/>
    <cellStyle name="Обычный 172 3" xfId="14001"/>
    <cellStyle name="Обычный 172 3 2" xfId="14002"/>
    <cellStyle name="Обычный 172 3 2 2" xfId="14003"/>
    <cellStyle name="Обычный 172 3 2 2 2" xfId="43984"/>
    <cellStyle name="Обычный 172 3 2 3" xfId="43985"/>
    <cellStyle name="Обычный 172 3 3" xfId="14004"/>
    <cellStyle name="Обычный 172 3 3 2" xfId="43986"/>
    <cellStyle name="Обычный 172 3 4" xfId="43987"/>
    <cellStyle name="Обычный 172 4" xfId="14005"/>
    <cellStyle name="Обычный 172 4 2" xfId="14006"/>
    <cellStyle name="Обычный 172 4 2 2" xfId="14007"/>
    <cellStyle name="Обычный 172 4 2 2 2" xfId="43988"/>
    <cellStyle name="Обычный 172 4 2 3" xfId="43989"/>
    <cellStyle name="Обычный 172 4 3" xfId="14008"/>
    <cellStyle name="Обычный 172 4 3 2" xfId="43990"/>
    <cellStyle name="Обычный 172 4 4" xfId="43991"/>
    <cellStyle name="Обычный 172 5" xfId="14009"/>
    <cellStyle name="Обычный 172 5 2" xfId="14010"/>
    <cellStyle name="Обычный 172 5 2 2" xfId="43992"/>
    <cellStyle name="Обычный 172 5 3" xfId="43993"/>
    <cellStyle name="Обычный 172 6" xfId="14011"/>
    <cellStyle name="Обычный 172 6 2" xfId="43994"/>
    <cellStyle name="Обычный 172 7" xfId="14012"/>
    <cellStyle name="Обычный 172 7 2" xfId="43995"/>
    <cellStyle name="Обычный 172 8" xfId="43996"/>
    <cellStyle name="Обычный 173" xfId="14013"/>
    <cellStyle name="Обычный 173 2" xfId="43997"/>
    <cellStyle name="Обычный 174" xfId="14014"/>
    <cellStyle name="Обычный 174 2" xfId="43998"/>
    <cellStyle name="Обычный 175" xfId="14015"/>
    <cellStyle name="Обычный 175 2" xfId="14016"/>
    <cellStyle name="Обычный 175 2 2" xfId="14017"/>
    <cellStyle name="Обычный 175 2 2 2" xfId="14018"/>
    <cellStyle name="Обычный 175 2 2 3" xfId="14019"/>
    <cellStyle name="Обычный 175 2 2 3 2" xfId="14020"/>
    <cellStyle name="Обычный 175 2 3" xfId="43999"/>
    <cellStyle name="Обычный 175 3" xfId="14021"/>
    <cellStyle name="Обычный 175 3 2" xfId="44000"/>
    <cellStyle name="Обычный 175 4" xfId="44001"/>
    <cellStyle name="Обычный 176" xfId="14022"/>
    <cellStyle name="Обычный 176 2" xfId="14023"/>
    <cellStyle name="Обычный 176 2 2" xfId="14024"/>
    <cellStyle name="Обычный 176 2 2 2" xfId="44002"/>
    <cellStyle name="Обычный 176 2 3" xfId="44003"/>
    <cellStyle name="Обычный 176 3" xfId="14025"/>
    <cellStyle name="Обычный 176 3 2" xfId="14026"/>
    <cellStyle name="Обычный 176 4" xfId="44004"/>
    <cellStyle name="Обычный 176 6" xfId="14027"/>
    <cellStyle name="Обычный 176 6 2" xfId="14028"/>
    <cellStyle name="Обычный 176 6 3" xfId="14029"/>
    <cellStyle name="Обычный 176 6 3 2" xfId="14030"/>
    <cellStyle name="Обычный 177" xfId="14031"/>
    <cellStyle name="Обычный 177 2" xfId="14032"/>
    <cellStyle name="Обычный 177 2 2" xfId="14033"/>
    <cellStyle name="Обычный 177 2 2 2" xfId="44005"/>
    <cellStyle name="Обычный 177 2 3" xfId="44006"/>
    <cellStyle name="Обычный 177 3" xfId="14034"/>
    <cellStyle name="Обычный 177 3 2" xfId="14035"/>
    <cellStyle name="Обычный 177 4" xfId="44007"/>
    <cellStyle name="Обычный 178" xfId="14036"/>
    <cellStyle name="Обычный 178 2" xfId="14037"/>
    <cellStyle name="Обычный 178 2 2" xfId="14038"/>
    <cellStyle name="Обычный 178 2 2 2" xfId="44008"/>
    <cellStyle name="Обычный 178 2 3" xfId="44009"/>
    <cellStyle name="Обычный 178 3" xfId="14039"/>
    <cellStyle name="Обычный 178 3 2" xfId="14040"/>
    <cellStyle name="Обычный 178 4" xfId="44010"/>
    <cellStyle name="Обычный 179" xfId="14041"/>
    <cellStyle name="Обычный 179 2" xfId="14042"/>
    <cellStyle name="Обычный 179 2 2" xfId="14043"/>
    <cellStyle name="Обычный 179 2 2 2" xfId="44011"/>
    <cellStyle name="Обычный 179 2 3" xfId="44012"/>
    <cellStyle name="Обычный 179 3" xfId="14044"/>
    <cellStyle name="Обычный 179 3 2" xfId="14045"/>
    <cellStyle name="Обычный 179 4" xfId="44013"/>
    <cellStyle name="Обычный 18" xfId="14046"/>
    <cellStyle name="Обычный 18 2" xfId="14047"/>
    <cellStyle name="Обычный 18 2 2" xfId="59093"/>
    <cellStyle name="Обычный 18 3" xfId="59094"/>
    <cellStyle name="Обычный 180" xfId="14048"/>
    <cellStyle name="Обычный 180 2" xfId="14049"/>
    <cellStyle name="Обычный 180 2 2" xfId="14050"/>
    <cellStyle name="Обычный 180 2 2 2" xfId="44014"/>
    <cellStyle name="Обычный 180 2 3" xfId="44015"/>
    <cellStyle name="Обычный 180 3" xfId="14051"/>
    <cellStyle name="Обычный 180 3 2" xfId="44016"/>
    <cellStyle name="Обычный 180 4" xfId="44017"/>
    <cellStyle name="Обычный 181" xfId="14052"/>
    <cellStyle name="Обычный 181 2" xfId="14053"/>
    <cellStyle name="Обычный 181 2 2" xfId="14054"/>
    <cellStyle name="Обычный 181 2 2 2" xfId="14055"/>
    <cellStyle name="Обычный 181 2 2 3" xfId="14056"/>
    <cellStyle name="Обычный 181 2 2 3 2" xfId="14057"/>
    <cellStyle name="Обычный 181 2 3" xfId="44018"/>
    <cellStyle name="Обычный 181 3" xfId="14058"/>
    <cellStyle name="Обычный 181 3 2" xfId="44019"/>
    <cellStyle name="Обычный 181 4" xfId="44020"/>
    <cellStyle name="Обычный 182" xfId="14059"/>
    <cellStyle name="Обычный 182 2" xfId="14060"/>
    <cellStyle name="Обычный 182 2 2" xfId="14061"/>
    <cellStyle name="Обычный 182 2 2 2" xfId="44021"/>
    <cellStyle name="Обычный 182 2 3" xfId="44022"/>
    <cellStyle name="Обычный 182 3" xfId="14062"/>
    <cellStyle name="Обычный 182 3 2" xfId="44023"/>
    <cellStyle name="Обычный 182 4" xfId="44024"/>
    <cellStyle name="Обычный 183" xfId="14063"/>
    <cellStyle name="Обычный 183 2" xfId="14064"/>
    <cellStyle name="Обычный 183 2 2" xfId="14065"/>
    <cellStyle name="Обычный 183 2 2 2" xfId="44025"/>
    <cellStyle name="Обычный 183 2 3" xfId="44026"/>
    <cellStyle name="Обычный 183 3" xfId="14066"/>
    <cellStyle name="Обычный 183 3 2" xfId="44027"/>
    <cellStyle name="Обычный 183 4" xfId="44028"/>
    <cellStyle name="Обычный 184" xfId="14067"/>
    <cellStyle name="Обычный 184 2" xfId="14068"/>
    <cellStyle name="Обычный 184 2 2" xfId="14069"/>
    <cellStyle name="Обычный 184 2 2 2" xfId="44029"/>
    <cellStyle name="Обычный 184 2 3" xfId="44030"/>
    <cellStyle name="Обычный 184 3" xfId="14070"/>
    <cellStyle name="Обычный 184 3 2" xfId="44031"/>
    <cellStyle name="Обычный 184 4" xfId="44032"/>
    <cellStyle name="Обычный 185" xfId="14071"/>
    <cellStyle name="Обычный 185 2" xfId="14072"/>
    <cellStyle name="Обычный 185 2 2" xfId="14073"/>
    <cellStyle name="Обычный 185 2 2 2" xfId="44033"/>
    <cellStyle name="Обычный 185 2 3" xfId="44034"/>
    <cellStyle name="Обычный 185 3" xfId="14074"/>
    <cellStyle name="Обычный 185 3 2" xfId="44035"/>
    <cellStyle name="Обычный 185 4" xfId="44036"/>
    <cellStyle name="Обычный 186" xfId="14075"/>
    <cellStyle name="Обычный 186 2" xfId="14076"/>
    <cellStyle name="Обычный 186 2 2" xfId="14077"/>
    <cellStyle name="Обычный 186 2 2 2" xfId="44037"/>
    <cellStyle name="Обычный 186 2 3" xfId="44038"/>
    <cellStyle name="Обычный 186 3" xfId="14078"/>
    <cellStyle name="Обычный 186 3 2" xfId="44039"/>
    <cellStyle name="Обычный 186 4" xfId="44040"/>
    <cellStyle name="Обычный 187" xfId="14079"/>
    <cellStyle name="Обычный 187 2" xfId="14080"/>
    <cellStyle name="Обычный 187 2 2" xfId="14081"/>
    <cellStyle name="Обычный 187 2 2 2" xfId="44041"/>
    <cellStyle name="Обычный 187 2 3" xfId="44042"/>
    <cellStyle name="Обычный 187 3" xfId="14082"/>
    <cellStyle name="Обычный 187 3 2" xfId="14083"/>
    <cellStyle name="Обычный 187 4" xfId="44043"/>
    <cellStyle name="Обычный 188" xfId="14084"/>
    <cellStyle name="Обычный 188 2" xfId="14085"/>
    <cellStyle name="Обычный 188 2 2" xfId="14086"/>
    <cellStyle name="Обычный 188 2 2 2" xfId="44044"/>
    <cellStyle name="Обычный 188 2 3" xfId="44045"/>
    <cellStyle name="Обычный 188 3" xfId="14087"/>
    <cellStyle name="Обычный 188 3 2" xfId="44046"/>
    <cellStyle name="Обычный 188 4" xfId="44047"/>
    <cellStyle name="Обычный 189" xfId="14088"/>
    <cellStyle name="Обычный 189 2" xfId="14089"/>
    <cellStyle name="Обычный 189 2 2" xfId="14090"/>
    <cellStyle name="Обычный 189 2 2 2" xfId="44048"/>
    <cellStyle name="Обычный 189 2 3" xfId="44049"/>
    <cellStyle name="Обычный 189 3" xfId="14091"/>
    <cellStyle name="Обычный 189 3 2" xfId="44050"/>
    <cellStyle name="Обычный 189 4" xfId="44051"/>
    <cellStyle name="Обычный 19" xfId="14092"/>
    <cellStyle name="Обычный 19 2" xfId="14093"/>
    <cellStyle name="Обычный 190" xfId="14094"/>
    <cellStyle name="Обычный 190 2" xfId="14095"/>
    <cellStyle name="Обычный 190 2 2" xfId="14096"/>
    <cellStyle name="Обычный 190 2 2 2" xfId="44052"/>
    <cellStyle name="Обычный 190 2 3" xfId="44053"/>
    <cellStyle name="Обычный 190 3" xfId="14097"/>
    <cellStyle name="Обычный 190 3 2" xfId="44054"/>
    <cellStyle name="Обычный 190 4" xfId="44055"/>
    <cellStyle name="Обычный 191" xfId="14098"/>
    <cellStyle name="Обычный 191 2" xfId="14099"/>
    <cellStyle name="Обычный 191 2 2" xfId="14100"/>
    <cellStyle name="Обычный 191 2 2 2" xfId="44056"/>
    <cellStyle name="Обычный 191 2 3" xfId="44057"/>
    <cellStyle name="Обычный 191 3" xfId="14101"/>
    <cellStyle name="Обычный 191 3 2" xfId="44058"/>
    <cellStyle name="Обычный 191 4" xfId="44059"/>
    <cellStyle name="Обычный 192" xfId="14102"/>
    <cellStyle name="Обычный 192 2" xfId="14103"/>
    <cellStyle name="Обычный 192 2 2" xfId="14104"/>
    <cellStyle name="Обычный 192 2 2 2" xfId="44060"/>
    <cellStyle name="Обычный 192 2 3" xfId="44061"/>
    <cellStyle name="Обычный 192 3" xfId="14105"/>
    <cellStyle name="Обычный 192 3 2" xfId="44062"/>
    <cellStyle name="Обычный 192 4" xfId="44063"/>
    <cellStyle name="Обычный 193" xfId="14106"/>
    <cellStyle name="Обычный 193 2" xfId="14107"/>
    <cellStyle name="Обычный 193 2 2" xfId="14108"/>
    <cellStyle name="Обычный 193 2 2 2" xfId="44064"/>
    <cellStyle name="Обычный 193 2 3" xfId="44065"/>
    <cellStyle name="Обычный 193 3" xfId="14109"/>
    <cellStyle name="Обычный 193 3 2" xfId="44066"/>
    <cellStyle name="Обычный 193 4" xfId="44067"/>
    <cellStyle name="Обычный 194" xfId="14110"/>
    <cellStyle name="Обычный 194 2" xfId="14111"/>
    <cellStyle name="Обычный 194 2 2" xfId="14112"/>
    <cellStyle name="Обычный 194 2 2 2" xfId="44068"/>
    <cellStyle name="Обычный 194 2 3" xfId="44069"/>
    <cellStyle name="Обычный 194 3" xfId="14113"/>
    <cellStyle name="Обычный 194 3 2" xfId="44070"/>
    <cellStyle name="Обычный 194 4" xfId="44071"/>
    <cellStyle name="Обычный 195" xfId="14114"/>
    <cellStyle name="Обычный 195 2" xfId="14115"/>
    <cellStyle name="Обычный 195 2 2" xfId="14116"/>
    <cellStyle name="Обычный 195 2 2 2" xfId="44072"/>
    <cellStyle name="Обычный 195 2 3" xfId="44073"/>
    <cellStyle name="Обычный 195 3" xfId="14117"/>
    <cellStyle name="Обычный 195 3 2" xfId="44074"/>
    <cellStyle name="Обычный 195 4" xfId="44075"/>
    <cellStyle name="Обычный 196" xfId="14118"/>
    <cellStyle name="Обычный 196 2" xfId="14119"/>
    <cellStyle name="Обычный 196 2 2" xfId="14120"/>
    <cellStyle name="Обычный 196 2 2 2" xfId="44076"/>
    <cellStyle name="Обычный 196 2 3" xfId="44077"/>
    <cellStyle name="Обычный 196 3" xfId="14121"/>
    <cellStyle name="Обычный 196 3 2" xfId="14122"/>
    <cellStyle name="Обычный 196 4" xfId="44078"/>
    <cellStyle name="Обычный 197" xfId="14123"/>
    <cellStyle name="Обычный 197 2" xfId="14124"/>
    <cellStyle name="Обычный 197 2 2" xfId="14125"/>
    <cellStyle name="Обычный 197 2 2 2" xfId="44079"/>
    <cellStyle name="Обычный 197 2 3" xfId="44080"/>
    <cellStyle name="Обычный 197 3" xfId="14126"/>
    <cellStyle name="Обычный 197 3 2" xfId="44081"/>
    <cellStyle name="Обычный 197 4" xfId="44082"/>
    <cellStyle name="Обычный 198" xfId="14127"/>
    <cellStyle name="Обычный 198 2" xfId="44083"/>
    <cellStyle name="Обычный 199" xfId="14128"/>
    <cellStyle name="Обычный 199 2" xfId="14129"/>
    <cellStyle name="Обычный 199 2 2" xfId="14130"/>
    <cellStyle name="Обычный 199 2 2 2" xfId="44084"/>
    <cellStyle name="Обычный 199 2 3" xfId="44085"/>
    <cellStyle name="Обычный 199 3" xfId="14131"/>
    <cellStyle name="Обычный 199 3 2" xfId="44086"/>
    <cellStyle name="Обычный 199 4" xfId="44087"/>
    <cellStyle name="Обычный 2" xfId="7"/>
    <cellStyle name="Обычный 2 10" xfId="8"/>
    <cellStyle name="Обычный 2 10 2" xfId="14132"/>
    <cellStyle name="Обычный 2 10 3" xfId="14133"/>
    <cellStyle name="Обычный 2 11" xfId="14134"/>
    <cellStyle name="Обычный 2 11 2" xfId="44088"/>
    <cellStyle name="Обычный 2 12" xfId="14135"/>
    <cellStyle name="Обычный 2 12 2" xfId="44089"/>
    <cellStyle name="Обычный 2 13" xfId="14136"/>
    <cellStyle name="Обычный 2 13 2" xfId="44090"/>
    <cellStyle name="Обычный 2 14" xfId="14137"/>
    <cellStyle name="Обычный 2 14 2" xfId="44091"/>
    <cellStyle name="Обычный 2 15" xfId="14138"/>
    <cellStyle name="Обычный 2 15 2" xfId="44092"/>
    <cellStyle name="Обычный 2 16" xfId="14139"/>
    <cellStyle name="Обычный 2 16 2" xfId="44093"/>
    <cellStyle name="Обычный 2 17" xfId="14140"/>
    <cellStyle name="Обычный 2 17 2" xfId="44094"/>
    <cellStyle name="Обычный 2 18" xfId="14141"/>
    <cellStyle name="Обычный 2 18 2" xfId="44095"/>
    <cellStyle name="Обычный 2 19" xfId="14142"/>
    <cellStyle name="Обычный 2 19 2" xfId="44096"/>
    <cellStyle name="Обычный 2 2" xfId="9"/>
    <cellStyle name="Обычный 2 2 10" xfId="14143"/>
    <cellStyle name="Обычный 2 2 10 2" xfId="44097"/>
    <cellStyle name="Обычный 2 2 11" xfId="14144"/>
    <cellStyle name="Обычный 2 2 11 2" xfId="44098"/>
    <cellStyle name="Обычный 2 2 12" xfId="14145"/>
    <cellStyle name="Обычный 2 2 12 2" xfId="44099"/>
    <cellStyle name="Обычный 2 2 13" xfId="14146"/>
    <cellStyle name="Обычный 2 2 13 2" xfId="44100"/>
    <cellStyle name="Обычный 2 2 14" xfId="14147"/>
    <cellStyle name="Обычный 2 2 14 2" xfId="44101"/>
    <cellStyle name="Обычный 2 2 15" xfId="14148"/>
    <cellStyle name="Обычный 2 2 15 2" xfId="44102"/>
    <cellStyle name="Обычный 2 2 16" xfId="14149"/>
    <cellStyle name="Обычный 2 2 16 2" xfId="44103"/>
    <cellStyle name="Обычный 2 2 17" xfId="14150"/>
    <cellStyle name="Обычный 2 2 17 2" xfId="44104"/>
    <cellStyle name="Обычный 2 2 18" xfId="14151"/>
    <cellStyle name="Обычный 2 2 18 2" xfId="44105"/>
    <cellStyle name="Обычный 2 2 19" xfId="14152"/>
    <cellStyle name="Обычный 2 2 19 2" xfId="44106"/>
    <cellStyle name="Обычный 2 2 2" xfId="14153"/>
    <cellStyle name="Обычный 2 2 2 10" xfId="14154"/>
    <cellStyle name="Обычный 2 2 2 10 2" xfId="44107"/>
    <cellStyle name="Обычный 2 2 2 11" xfId="14155"/>
    <cellStyle name="Обычный 2 2 2 11 2" xfId="44108"/>
    <cellStyle name="Обычный 2 2 2 12" xfId="14156"/>
    <cellStyle name="Обычный 2 2 2 12 2" xfId="44109"/>
    <cellStyle name="Обычный 2 2 2 13" xfId="14157"/>
    <cellStyle name="Обычный 2 2 2 13 2" xfId="44110"/>
    <cellStyle name="Обычный 2 2 2 14" xfId="14158"/>
    <cellStyle name="Обычный 2 2 2 14 2" xfId="44111"/>
    <cellStyle name="Обычный 2 2 2 15" xfId="14159"/>
    <cellStyle name="Обычный 2 2 2 15 2" xfId="44112"/>
    <cellStyle name="Обычный 2 2 2 16" xfId="14160"/>
    <cellStyle name="Обычный 2 2 2 16 2" xfId="44113"/>
    <cellStyle name="Обычный 2 2 2 17" xfId="14161"/>
    <cellStyle name="Обычный 2 2 2 17 2" xfId="44114"/>
    <cellStyle name="Обычный 2 2 2 18" xfId="14162"/>
    <cellStyle name="Обычный 2 2 2 18 2" xfId="44115"/>
    <cellStyle name="Обычный 2 2 2 19" xfId="14163"/>
    <cellStyle name="Обычный 2 2 2 19 2" xfId="44116"/>
    <cellStyle name="Обычный 2 2 2 2" xfId="14164"/>
    <cellStyle name="Обычный 2 2 2 2 10" xfId="14165"/>
    <cellStyle name="Обычный 2 2 2 2 10 2" xfId="44117"/>
    <cellStyle name="Обычный 2 2 2 2 11" xfId="44118"/>
    <cellStyle name="Обычный 2 2 2 2 2" xfId="14166"/>
    <cellStyle name="Обычный 2 2 2 2 2 2" xfId="14167"/>
    <cellStyle name="Обычный 2 2 2 2 2 2 2" xfId="44119"/>
    <cellStyle name="Обычный 2 2 2 2 2 3" xfId="14168"/>
    <cellStyle name="Обычный 2 2 2 2 2 3 2" xfId="44120"/>
    <cellStyle name="Обычный 2 2 2 2 2 4" xfId="14169"/>
    <cellStyle name="Обычный 2 2 2 2 2 4 2" xfId="44121"/>
    <cellStyle name="Обычный 2 2 2 2 2 5" xfId="14170"/>
    <cellStyle name="Обычный 2 2 2 2 2 5 2" xfId="44122"/>
    <cellStyle name="Обычный 2 2 2 2 2 6" xfId="44123"/>
    <cellStyle name="Обычный 2 2 2 2 3" xfId="14171"/>
    <cellStyle name="Обычный 2 2 2 2 3 2" xfId="44124"/>
    <cellStyle name="Обычный 2 2 2 2 4" xfId="14172"/>
    <cellStyle name="Обычный 2 2 2 2 4 2" xfId="44125"/>
    <cellStyle name="Обычный 2 2 2 2 5" xfId="14173"/>
    <cellStyle name="Обычный 2 2 2 2 5 2" xfId="44126"/>
    <cellStyle name="Обычный 2 2 2 2 6" xfId="14174"/>
    <cellStyle name="Обычный 2 2 2 2 6 2" xfId="44127"/>
    <cellStyle name="Обычный 2 2 2 2 7" xfId="14175"/>
    <cellStyle name="Обычный 2 2 2 2 7 2" xfId="44128"/>
    <cellStyle name="Обычный 2 2 2 2 8" xfId="14176"/>
    <cellStyle name="Обычный 2 2 2 2 8 2" xfId="44129"/>
    <cellStyle name="Обычный 2 2 2 2 9" xfId="14177"/>
    <cellStyle name="Обычный 2 2 2 2 9 2" xfId="44130"/>
    <cellStyle name="Обычный 2 2 2 20" xfId="14178"/>
    <cellStyle name="Обычный 2 2 2 20 2" xfId="44131"/>
    <cellStyle name="Обычный 2 2 2 21" xfId="14179"/>
    <cellStyle name="Обычный 2 2 2 21 2" xfId="44132"/>
    <cellStyle name="Обычный 2 2 2 22" xfId="14180"/>
    <cellStyle name="Обычный 2 2 2 22 2" xfId="44133"/>
    <cellStyle name="Обычный 2 2 2 23" xfId="14181"/>
    <cellStyle name="Обычный 2 2 2 23 2" xfId="44134"/>
    <cellStyle name="Обычный 2 2 2 24" xfId="14182"/>
    <cellStyle name="Обычный 2 2 2 24 2" xfId="44135"/>
    <cellStyle name="Обычный 2 2 2 25" xfId="14183"/>
    <cellStyle name="Обычный 2 2 2 25 2" xfId="44136"/>
    <cellStyle name="Обычный 2 2 2 26" xfId="14184"/>
    <cellStyle name="Обычный 2 2 2 26 2" xfId="44137"/>
    <cellStyle name="Обычный 2 2 2 27" xfId="14185"/>
    <cellStyle name="Обычный 2 2 2 27 2" xfId="44138"/>
    <cellStyle name="Обычный 2 2 2 28" xfId="14186"/>
    <cellStyle name="Обычный 2 2 2 28 2" xfId="44139"/>
    <cellStyle name="Обычный 2 2 2 29" xfId="14187"/>
    <cellStyle name="Обычный 2 2 2 29 2" xfId="44140"/>
    <cellStyle name="Обычный 2 2 2 3" xfId="14188"/>
    <cellStyle name="Обычный 2 2 2 3 2" xfId="44141"/>
    <cellStyle name="Обычный 2 2 2 30" xfId="44142"/>
    <cellStyle name="Обычный 2 2 2 4" xfId="14189"/>
    <cellStyle name="Обычный 2 2 2 4 2" xfId="44143"/>
    <cellStyle name="Обычный 2 2 2 5" xfId="14190"/>
    <cellStyle name="Обычный 2 2 2 5 2" xfId="44144"/>
    <cellStyle name="Обычный 2 2 2 6" xfId="14191"/>
    <cellStyle name="Обычный 2 2 2 6 2" xfId="44145"/>
    <cellStyle name="Обычный 2 2 2 7" xfId="14192"/>
    <cellStyle name="Обычный 2 2 2 7 2" xfId="44146"/>
    <cellStyle name="Обычный 2 2 2 8" xfId="14193"/>
    <cellStyle name="Обычный 2 2 2 8 2" xfId="44147"/>
    <cellStyle name="Обычный 2 2 2 9" xfId="14194"/>
    <cellStyle name="Обычный 2 2 2 9 2" xfId="44148"/>
    <cellStyle name="Обычный 2 2 20" xfId="14195"/>
    <cellStyle name="Обычный 2 2 20 2" xfId="44149"/>
    <cellStyle name="Обычный 2 2 21" xfId="14196"/>
    <cellStyle name="Обычный 2 2 21 2" xfId="44150"/>
    <cellStyle name="Обычный 2 2 22" xfId="14197"/>
    <cellStyle name="Обычный 2 2 22 2" xfId="44151"/>
    <cellStyle name="Обычный 2 2 23" xfId="14198"/>
    <cellStyle name="Обычный 2 2 23 2" xfId="44152"/>
    <cellStyle name="Обычный 2 2 24" xfId="14199"/>
    <cellStyle name="Обычный 2 2 24 2" xfId="44153"/>
    <cellStyle name="Обычный 2 2 25" xfId="14200"/>
    <cellStyle name="Обычный 2 2 25 2" xfId="44154"/>
    <cellStyle name="Обычный 2 2 26" xfId="14201"/>
    <cellStyle name="Обычный 2 2 26 2" xfId="44155"/>
    <cellStyle name="Обычный 2 2 27" xfId="14202"/>
    <cellStyle name="Обычный 2 2 27 2" xfId="44156"/>
    <cellStyle name="Обычный 2 2 28" xfId="14203"/>
    <cellStyle name="Обычный 2 2 28 2" xfId="44157"/>
    <cellStyle name="Обычный 2 2 29" xfId="14204"/>
    <cellStyle name="Обычный 2 2 29 2" xfId="44158"/>
    <cellStyle name="Обычный 2 2 3" xfId="14205"/>
    <cellStyle name="Обычный 2 2 3 2" xfId="44159"/>
    <cellStyle name="Обычный 2 2 30" xfId="14206"/>
    <cellStyle name="Обычный 2 2 30 2" xfId="44160"/>
    <cellStyle name="Обычный 2 2 31" xfId="14207"/>
    <cellStyle name="Обычный 2 2 31 2" xfId="44161"/>
    <cellStyle name="Обычный 2 2 32" xfId="14208"/>
    <cellStyle name="Обычный 2 2 32 2" xfId="44162"/>
    <cellStyle name="Обычный 2 2 33" xfId="14209"/>
    <cellStyle name="Обычный 2 2 33 2" xfId="44163"/>
    <cellStyle name="Обычный 2 2 34" xfId="14210"/>
    <cellStyle name="Обычный 2 2 34 2" xfId="44164"/>
    <cellStyle name="Обычный 2 2 35" xfId="14211"/>
    <cellStyle name="Обычный 2 2 35 2" xfId="44165"/>
    <cellStyle name="Обычный 2 2 36" xfId="14212"/>
    <cellStyle name="Обычный 2 2 36 2" xfId="44166"/>
    <cellStyle name="Обычный 2 2 37" xfId="14213"/>
    <cellStyle name="Обычный 2 2 37 2" xfId="44167"/>
    <cellStyle name="Обычный 2 2 38" xfId="14214"/>
    <cellStyle name="Обычный 2 2 38 2" xfId="44168"/>
    <cellStyle name="Обычный 2 2 39" xfId="14215"/>
    <cellStyle name="Обычный 2 2 39 2" xfId="44169"/>
    <cellStyle name="Обычный 2 2 4" xfId="14216"/>
    <cellStyle name="Обычный 2 2 4 2" xfId="44170"/>
    <cellStyle name="Обычный 2 2 40" xfId="14217"/>
    <cellStyle name="Обычный 2 2 40 2" xfId="44171"/>
    <cellStyle name="Обычный 2 2 41" xfId="14218"/>
    <cellStyle name="Обычный 2 2 41 2" xfId="44172"/>
    <cellStyle name="Обычный 2 2 42" xfId="14219"/>
    <cellStyle name="Обычный 2 2 42 2" xfId="44173"/>
    <cellStyle name="Обычный 2 2 43" xfId="14220"/>
    <cellStyle name="Обычный 2 2 43 2" xfId="44174"/>
    <cellStyle name="Обычный 2 2 44" xfId="14221"/>
    <cellStyle name="Обычный 2 2 44 2" xfId="44175"/>
    <cellStyle name="Обычный 2 2 45" xfId="14222"/>
    <cellStyle name="Обычный 2 2 45 2" xfId="44176"/>
    <cellStyle name="Обычный 2 2 46" xfId="14223"/>
    <cellStyle name="Обычный 2 2 46 2" xfId="44177"/>
    <cellStyle name="Обычный 2 2 47" xfId="14224"/>
    <cellStyle name="Обычный 2 2 47 2" xfId="44178"/>
    <cellStyle name="Обычный 2 2 48" xfId="44179"/>
    <cellStyle name="Обычный 2 2 49" xfId="60316"/>
    <cellStyle name="Обычный 2 2 5" xfId="14225"/>
    <cellStyle name="Обычный 2 2 5 2" xfId="44180"/>
    <cellStyle name="Обычный 2 2 6" xfId="14226"/>
    <cellStyle name="Обычный 2 2 6 2" xfId="44181"/>
    <cellStyle name="Обычный 2 2 7" xfId="14227"/>
    <cellStyle name="Обычный 2 2 7 2" xfId="44182"/>
    <cellStyle name="Обычный 2 2 8" xfId="14228"/>
    <cellStyle name="Обычный 2 2 8 2" xfId="44183"/>
    <cellStyle name="Обычный 2 2 9" xfId="14229"/>
    <cellStyle name="Обычный 2 2 9 2" xfId="44184"/>
    <cellStyle name="Обычный 2 20" xfId="14230"/>
    <cellStyle name="Обычный 2 20 2" xfId="44185"/>
    <cellStyle name="Обычный 2 21" xfId="14231"/>
    <cellStyle name="Обычный 2 21 2" xfId="44186"/>
    <cellStyle name="Обычный 2 22" xfId="14232"/>
    <cellStyle name="Обычный 2 22 2" xfId="44187"/>
    <cellStyle name="Обычный 2 23" xfId="14233"/>
    <cellStyle name="Обычный 2 23 2" xfId="44188"/>
    <cellStyle name="Обычный 2 24" xfId="14234"/>
    <cellStyle name="Обычный 2 24 2" xfId="44189"/>
    <cellStyle name="Обычный 2 25" xfId="14235"/>
    <cellStyle name="Обычный 2 25 2" xfId="44190"/>
    <cellStyle name="Обычный 2 26" xfId="14236"/>
    <cellStyle name="Обычный 2 26 2" xfId="44191"/>
    <cellStyle name="Обычный 2 27" xfId="14237"/>
    <cellStyle name="Обычный 2 27 2" xfId="44192"/>
    <cellStyle name="Обычный 2 28" xfId="14238"/>
    <cellStyle name="Обычный 2 28 2" xfId="44193"/>
    <cellStyle name="Обычный 2 29" xfId="14239"/>
    <cellStyle name="Обычный 2 29 2" xfId="44194"/>
    <cellStyle name="Обычный 2 3" xfId="10"/>
    <cellStyle name="Обычный 2 3 10" xfId="14240"/>
    <cellStyle name="Обычный 2 3 10 2" xfId="44195"/>
    <cellStyle name="Обычный 2 3 11" xfId="14241"/>
    <cellStyle name="Обычный 2 3 11 2" xfId="44196"/>
    <cellStyle name="Обычный 2 3 12" xfId="14242"/>
    <cellStyle name="Обычный 2 3 13" xfId="14243"/>
    <cellStyle name="Обычный 2 3 14" xfId="59095"/>
    <cellStyle name="Обычный 2 3 15" xfId="60317"/>
    <cellStyle name="Обычный 2 3 2" xfId="14244"/>
    <cellStyle name="Обычный 2 3 2 2" xfId="14245"/>
    <cellStyle name="Обычный 2 3 2 2 2" xfId="14246"/>
    <cellStyle name="Обычный 2 3 2 2 2 2" xfId="44197"/>
    <cellStyle name="Обычный 2 3 2 2 3" xfId="14247"/>
    <cellStyle name="Обычный 2 3 2 2 3 2" xfId="44198"/>
    <cellStyle name="Обычный 2 3 2 2 4" xfId="14248"/>
    <cellStyle name="Обычный 2 3 2 2 4 2" xfId="44199"/>
    <cellStyle name="Обычный 2 3 2 2 5" xfId="14249"/>
    <cellStyle name="Обычный 2 3 2 2 5 2" xfId="44200"/>
    <cellStyle name="Обычный 2 3 2 2 6" xfId="44201"/>
    <cellStyle name="Обычный 2 3 2 3" xfId="14250"/>
    <cellStyle name="Обычный 2 3 2 3 2" xfId="44202"/>
    <cellStyle name="Обычный 2 3 2 4" xfId="14251"/>
    <cellStyle name="Обычный 2 3 2 4 2" xfId="44203"/>
    <cellStyle name="Обычный 2 3 2 5" xfId="14252"/>
    <cellStyle name="Обычный 2 3 2 5 2" xfId="44204"/>
    <cellStyle name="Обычный 2 3 2 6" xfId="44205"/>
    <cellStyle name="Обычный 2 3 3" xfId="14253"/>
    <cellStyle name="Обычный 2 3 3 2" xfId="44206"/>
    <cellStyle name="Обычный 2 3 3 3" xfId="59096"/>
    <cellStyle name="Обычный 2 3 4" xfId="14254"/>
    <cellStyle name="Обычный 2 3 4 2" xfId="44207"/>
    <cellStyle name="Обычный 2 3 5" xfId="14255"/>
    <cellStyle name="Обычный 2 3 5 2" xfId="44208"/>
    <cellStyle name="Обычный 2 3 6" xfId="14256"/>
    <cellStyle name="Обычный 2 3 6 2" xfId="44209"/>
    <cellStyle name="Обычный 2 3 7" xfId="14257"/>
    <cellStyle name="Обычный 2 3 7 2" xfId="44210"/>
    <cellStyle name="Обычный 2 3 8" xfId="14258"/>
    <cellStyle name="Обычный 2 3 8 2" xfId="44211"/>
    <cellStyle name="Обычный 2 3 9" xfId="14259"/>
    <cellStyle name="Обычный 2 3 9 2" xfId="44212"/>
    <cellStyle name="Обычный 2 30" xfId="14260"/>
    <cellStyle name="Обычный 2 30 2" xfId="44213"/>
    <cellStyle name="Обычный 2 31" xfId="14261"/>
    <cellStyle name="Обычный 2 31 2" xfId="44214"/>
    <cellStyle name="Обычный 2 32" xfId="14262"/>
    <cellStyle name="Обычный 2 32 2" xfId="44215"/>
    <cellStyle name="Обычный 2 33" xfId="14263"/>
    <cellStyle name="Обычный 2 33 2" xfId="44216"/>
    <cellStyle name="Обычный 2 34" xfId="14264"/>
    <cellStyle name="Обычный 2 34 2" xfId="44217"/>
    <cellStyle name="Обычный 2 35" xfId="14265"/>
    <cellStyle name="Обычный 2 35 2" xfId="44218"/>
    <cellStyle name="Обычный 2 36" xfId="14266"/>
    <cellStyle name="Обычный 2 36 2" xfId="44219"/>
    <cellStyle name="Обычный 2 37" xfId="14267"/>
    <cellStyle name="Обычный 2 37 2" xfId="44220"/>
    <cellStyle name="Обычный 2 38" xfId="14268"/>
    <cellStyle name="Обычный 2 38 2" xfId="44221"/>
    <cellStyle name="Обычный 2 39" xfId="14269"/>
    <cellStyle name="Обычный 2 39 2" xfId="44222"/>
    <cellStyle name="Обычный 2 4" xfId="11"/>
    <cellStyle name="Обычный 2 4 10" xfId="60318"/>
    <cellStyle name="Обычный 2 4 2" xfId="12"/>
    <cellStyle name="Обычный 2 4 2 2" xfId="14270"/>
    <cellStyle name="Обычный 2 4 2 3" xfId="14271"/>
    <cellStyle name="Обычный 2 4 3" xfId="14272"/>
    <cellStyle name="Обычный 2 4 3 2" xfId="44223"/>
    <cellStyle name="Обычный 2 4 4" xfId="14273"/>
    <cellStyle name="Обычный 2 4 4 2" xfId="44224"/>
    <cellStyle name="Обычный 2 4 5" xfId="14274"/>
    <cellStyle name="Обычный 2 4 5 2" xfId="44225"/>
    <cellStyle name="Обычный 2 4 6" xfId="14275"/>
    <cellStyle name="Обычный 2 4 6 2" xfId="44226"/>
    <cellStyle name="Обычный 2 4 7" xfId="14276"/>
    <cellStyle name="Обычный 2 4 7 2" xfId="44227"/>
    <cellStyle name="Обычный 2 4 8" xfId="14277"/>
    <cellStyle name="Обычный 2 4 9" xfId="14278"/>
    <cellStyle name="Обычный 2 40" xfId="14279"/>
    <cellStyle name="Обычный 2 40 2" xfId="44228"/>
    <cellStyle name="Обычный 2 41" xfId="14280"/>
    <cellStyle name="Обычный 2 41 2" xfId="44229"/>
    <cellStyle name="Обычный 2 42" xfId="14281"/>
    <cellStyle name="Обычный 2 42 2" xfId="44230"/>
    <cellStyle name="Обычный 2 43" xfId="14282"/>
    <cellStyle name="Обычный 2 43 2" xfId="44231"/>
    <cellStyle name="Обычный 2 44" xfId="14283"/>
    <cellStyle name="Обычный 2 44 2" xfId="44232"/>
    <cellStyle name="Обычный 2 45" xfId="14284"/>
    <cellStyle name="Обычный 2 45 2" xfId="44233"/>
    <cellStyle name="Обычный 2 46" xfId="14285"/>
    <cellStyle name="Обычный 2 46 2" xfId="44234"/>
    <cellStyle name="Обычный 2 47" xfId="14286"/>
    <cellStyle name="Обычный 2 47 2" xfId="44235"/>
    <cellStyle name="Обычный 2 48" xfId="14287"/>
    <cellStyle name="Обычный 2 48 2" xfId="44236"/>
    <cellStyle name="Обычный 2 49" xfId="14288"/>
    <cellStyle name="Обычный 2 49 2" xfId="44237"/>
    <cellStyle name="Обычный 2 5" xfId="14289"/>
    <cellStyle name="Обычный 2 5 2" xfId="44238"/>
    <cellStyle name="Обычный 2 50" xfId="14290"/>
    <cellStyle name="Обычный 2 50 2" xfId="44239"/>
    <cellStyle name="Обычный 2 51" xfId="14291"/>
    <cellStyle name="Обычный 2 51 2" xfId="44240"/>
    <cellStyle name="Обычный 2 52" xfId="14292"/>
    <cellStyle name="Обычный 2 52 2" xfId="44241"/>
    <cellStyle name="Обычный 2 53" xfId="14293"/>
    <cellStyle name="Обычный 2 53 2" xfId="44242"/>
    <cellStyle name="Обычный 2 54" xfId="14294"/>
    <cellStyle name="Обычный 2 54 2" xfId="44243"/>
    <cellStyle name="Обычный 2 55" xfId="14295"/>
    <cellStyle name="Обычный 2 55 2" xfId="44244"/>
    <cellStyle name="Обычный 2 56" xfId="14296"/>
    <cellStyle name="Обычный 2 56 2" xfId="44245"/>
    <cellStyle name="Обычный 2 57" xfId="14297"/>
    <cellStyle name="Обычный 2 57 2" xfId="44246"/>
    <cellStyle name="Обычный 2 58" xfId="14298"/>
    <cellStyle name="Обычный 2 58 2" xfId="44247"/>
    <cellStyle name="Обычный 2 59" xfId="14299"/>
    <cellStyle name="Обычный 2 59 2" xfId="44248"/>
    <cellStyle name="Обычный 2 6" xfId="14300"/>
    <cellStyle name="Обычный 2 6 2" xfId="44249"/>
    <cellStyle name="Обычный 2 60" xfId="14301"/>
    <cellStyle name="Обычный 2 60 2" xfId="44250"/>
    <cellStyle name="Обычный 2 61" xfId="14302"/>
    <cellStyle name="Обычный 2 61 2" xfId="44251"/>
    <cellStyle name="Обычный 2 62" xfId="14303"/>
    <cellStyle name="Обычный 2 62 2" xfId="44252"/>
    <cellStyle name="Обычный 2 63" xfId="14304"/>
    <cellStyle name="Обычный 2 63 2" xfId="44253"/>
    <cellStyle name="Обычный 2 64" xfId="14305"/>
    <cellStyle name="Обычный 2 64 2" xfId="44254"/>
    <cellStyle name="Обычный 2 65" xfId="14306"/>
    <cellStyle name="Обычный 2 65 2" xfId="44255"/>
    <cellStyle name="Обычный 2 66" xfId="14307"/>
    <cellStyle name="Обычный 2 66 2" xfId="44256"/>
    <cellStyle name="Обычный 2 67" xfId="14308"/>
    <cellStyle name="Обычный 2 67 2" xfId="44257"/>
    <cellStyle name="Обычный 2 68" xfId="14309"/>
    <cellStyle name="Обычный 2 68 2" xfId="44258"/>
    <cellStyle name="Обычный 2 69" xfId="14310"/>
    <cellStyle name="Обычный 2 69 2" xfId="44259"/>
    <cellStyle name="Обычный 2 7" xfId="14311"/>
    <cellStyle name="Обычный 2 7 2" xfId="44260"/>
    <cellStyle name="Обычный 2 70" xfId="14312"/>
    <cellStyle name="Обычный 2 70 2" xfId="44261"/>
    <cellStyle name="Обычный 2 71" xfId="14313"/>
    <cellStyle name="Обычный 2 71 2" xfId="44262"/>
    <cellStyle name="Обычный 2 72" xfId="14314"/>
    <cellStyle name="Обычный 2 72 2" xfId="44263"/>
    <cellStyle name="Обычный 2 73" xfId="14315"/>
    <cellStyle name="Обычный 2 73 2" xfId="44264"/>
    <cellStyle name="Обычный 2 74" xfId="14316"/>
    <cellStyle name="Обычный 2 74 2" xfId="44265"/>
    <cellStyle name="Обычный 2 75" xfId="14317"/>
    <cellStyle name="Обычный 2 75 2" xfId="44266"/>
    <cellStyle name="Обычный 2 76" xfId="14318"/>
    <cellStyle name="Обычный 2 76 2" xfId="44267"/>
    <cellStyle name="Обычный 2 77" xfId="14319"/>
    <cellStyle name="Обычный 2 77 2" xfId="44268"/>
    <cellStyle name="Обычный 2 78" xfId="14320"/>
    <cellStyle name="Обычный 2 78 2" xfId="44269"/>
    <cellStyle name="Обычный 2 79" xfId="14321"/>
    <cellStyle name="Обычный 2 79 2" xfId="44270"/>
    <cellStyle name="Обычный 2 8" xfId="14322"/>
    <cellStyle name="Обычный 2 8 2" xfId="44271"/>
    <cellStyle name="Обычный 2 80" xfId="14323"/>
    <cellStyle name="Обычный 2 80 2" xfId="44272"/>
    <cellStyle name="Обычный 2 81" xfId="14324"/>
    <cellStyle name="Обычный 2 81 2" xfId="44273"/>
    <cellStyle name="Обычный 2 82" xfId="14325"/>
    <cellStyle name="Обычный 2 82 2" xfId="44274"/>
    <cellStyle name="Обычный 2 83" xfId="14326"/>
    <cellStyle name="Обычный 2 83 2" xfId="44275"/>
    <cellStyle name="Обычный 2 84" xfId="14327"/>
    <cellStyle name="Обычный 2 84 2" xfId="44276"/>
    <cellStyle name="Обычный 2 85" xfId="14328"/>
    <cellStyle name="Обычный 2 85 2" xfId="44277"/>
    <cellStyle name="Обычный 2 86" xfId="14329"/>
    <cellStyle name="Обычный 2 86 2" xfId="44278"/>
    <cellStyle name="Обычный 2 87" xfId="14330"/>
    <cellStyle name="Обычный 2 87 2" xfId="44279"/>
    <cellStyle name="Обычный 2 88" xfId="14331"/>
    <cellStyle name="Обычный 2 88 2" xfId="44280"/>
    <cellStyle name="Обычный 2 89" xfId="14332"/>
    <cellStyle name="Обычный 2 89 2" xfId="44281"/>
    <cellStyle name="Обычный 2 9" xfId="35"/>
    <cellStyle name="Обычный 2 9 10" xfId="14333"/>
    <cellStyle name="Обычный 2 9 10 2" xfId="44282"/>
    <cellStyle name="Обычный 2 9 11" xfId="14334"/>
    <cellStyle name="Обычный 2 9 11 2" xfId="44283"/>
    <cellStyle name="Обычный 2 9 12" xfId="14335"/>
    <cellStyle name="Обычный 2 9 12 2" xfId="44284"/>
    <cellStyle name="Обычный 2 9 13" xfId="14336"/>
    <cellStyle name="Обычный 2 9 13 2" xfId="44285"/>
    <cellStyle name="Обычный 2 9 14" xfId="14337"/>
    <cellStyle name="Обычный 2 9 14 2" xfId="44286"/>
    <cellStyle name="Обычный 2 9 15" xfId="14338"/>
    <cellStyle name="Обычный 2 9 15 2" xfId="44287"/>
    <cellStyle name="Обычный 2 9 16" xfId="14339"/>
    <cellStyle name="Обычный 2 9 16 2" xfId="44288"/>
    <cellStyle name="Обычный 2 9 17" xfId="14340"/>
    <cellStyle name="Обычный 2 9 17 2" xfId="44289"/>
    <cellStyle name="Обычный 2 9 18" xfId="14341"/>
    <cellStyle name="Обычный 2 9 18 2" xfId="44290"/>
    <cellStyle name="Обычный 2 9 19" xfId="14342"/>
    <cellStyle name="Обычный 2 9 19 2" xfId="44291"/>
    <cellStyle name="Обычный 2 9 2" xfId="14343"/>
    <cellStyle name="Обычный 2 9 2 2" xfId="44292"/>
    <cellStyle name="Обычный 2 9 20" xfId="14344"/>
    <cellStyle name="Обычный 2 9 20 2" xfId="44293"/>
    <cellStyle name="Обычный 2 9 21" xfId="14345"/>
    <cellStyle name="Обычный 2 9 21 2" xfId="44294"/>
    <cellStyle name="Обычный 2 9 22" xfId="14346"/>
    <cellStyle name="Обычный 2 9 22 2" xfId="44295"/>
    <cellStyle name="Обычный 2 9 23" xfId="14347"/>
    <cellStyle name="Обычный 2 9 23 2" xfId="44296"/>
    <cellStyle name="Обычный 2 9 24" xfId="14348"/>
    <cellStyle name="Обычный 2 9 24 2" xfId="44297"/>
    <cellStyle name="Обычный 2 9 25" xfId="14349"/>
    <cellStyle name="Обычный 2 9 25 2" xfId="44298"/>
    <cellStyle name="Обычный 2 9 26" xfId="14350"/>
    <cellStyle name="Обычный 2 9 26 2" xfId="44299"/>
    <cellStyle name="Обычный 2 9 27" xfId="14351"/>
    <cellStyle name="Обычный 2 9 27 2" xfId="44300"/>
    <cellStyle name="Обычный 2 9 28" xfId="14352"/>
    <cellStyle name="Обычный 2 9 28 2" xfId="44301"/>
    <cellStyle name="Обычный 2 9 29" xfId="14353"/>
    <cellStyle name="Обычный 2 9 29 2" xfId="44302"/>
    <cellStyle name="Обычный 2 9 3" xfId="14354"/>
    <cellStyle name="Обычный 2 9 3 2" xfId="44303"/>
    <cellStyle name="Обычный 2 9 30" xfId="14355"/>
    <cellStyle name="Обычный 2 9 30 2" xfId="44304"/>
    <cellStyle name="Обычный 2 9 31" xfId="14356"/>
    <cellStyle name="Обычный 2 9 31 2" xfId="44305"/>
    <cellStyle name="Обычный 2 9 32" xfId="14357"/>
    <cellStyle name="Обычный 2 9 32 2" xfId="44306"/>
    <cellStyle name="Обычный 2 9 33" xfId="14358"/>
    <cellStyle name="Обычный 2 9 33 2" xfId="44307"/>
    <cellStyle name="Обычный 2 9 34" xfId="14359"/>
    <cellStyle name="Обычный 2 9 34 2" xfId="44308"/>
    <cellStyle name="Обычный 2 9 35" xfId="14360"/>
    <cellStyle name="Обычный 2 9 35 2" xfId="44309"/>
    <cellStyle name="Обычный 2 9 36" xfId="14361"/>
    <cellStyle name="Обычный 2 9 36 2" xfId="44310"/>
    <cellStyle name="Обычный 2 9 37" xfId="14362"/>
    <cellStyle name="Обычный 2 9 37 2" xfId="44311"/>
    <cellStyle name="Обычный 2 9 38" xfId="14363"/>
    <cellStyle name="Обычный 2 9 38 2" xfId="44312"/>
    <cellStyle name="Обычный 2 9 39" xfId="14364"/>
    <cellStyle name="Обычный 2 9 39 2" xfId="44313"/>
    <cellStyle name="Обычный 2 9 4" xfId="14365"/>
    <cellStyle name="Обычный 2 9 4 2" xfId="44314"/>
    <cellStyle name="Обычный 2 9 40" xfId="14366"/>
    <cellStyle name="Обычный 2 9 40 2" xfId="44315"/>
    <cellStyle name="Обычный 2 9 41" xfId="14367"/>
    <cellStyle name="Обычный 2 9 41 2" xfId="44316"/>
    <cellStyle name="Обычный 2 9 42" xfId="14368"/>
    <cellStyle name="Обычный 2 9 42 2" xfId="44317"/>
    <cellStyle name="Обычный 2 9 43" xfId="14369"/>
    <cellStyle name="Обычный 2 9 43 2" xfId="44318"/>
    <cellStyle name="Обычный 2 9 44" xfId="14370"/>
    <cellStyle name="Обычный 2 9 44 2" xfId="44319"/>
    <cellStyle name="Обычный 2 9 45" xfId="14371"/>
    <cellStyle name="Обычный 2 9 45 2" xfId="44320"/>
    <cellStyle name="Обычный 2 9 46" xfId="14372"/>
    <cellStyle name="Обычный 2 9 46 2" xfId="44321"/>
    <cellStyle name="Обычный 2 9 47" xfId="14373"/>
    <cellStyle name="Обычный 2 9 47 2" xfId="44322"/>
    <cellStyle name="Обычный 2 9 48" xfId="14374"/>
    <cellStyle name="Обычный 2 9 48 2" xfId="44323"/>
    <cellStyle name="Обычный 2 9 49" xfId="14375"/>
    <cellStyle name="Обычный 2 9 49 2" xfId="44324"/>
    <cellStyle name="Обычный 2 9 5" xfId="14376"/>
    <cellStyle name="Обычный 2 9 5 2" xfId="44325"/>
    <cellStyle name="Обычный 2 9 50" xfId="14377"/>
    <cellStyle name="Обычный 2 9 50 2" xfId="44326"/>
    <cellStyle name="Обычный 2 9 51" xfId="14378"/>
    <cellStyle name="Обычный 2 9 51 2" xfId="44327"/>
    <cellStyle name="Обычный 2 9 52" xfId="14379"/>
    <cellStyle name="Обычный 2 9 52 2" xfId="44328"/>
    <cellStyle name="Обычный 2 9 53" xfId="14380"/>
    <cellStyle name="Обычный 2 9 53 2" xfId="44329"/>
    <cellStyle name="Обычный 2 9 54" xfId="14381"/>
    <cellStyle name="Обычный 2 9 54 2" xfId="44330"/>
    <cellStyle name="Обычный 2 9 55" xfId="14382"/>
    <cellStyle name="Обычный 2 9 55 2" xfId="44331"/>
    <cellStyle name="Обычный 2 9 56" xfId="14383"/>
    <cellStyle name="Обычный 2 9 56 2" xfId="44332"/>
    <cellStyle name="Обычный 2 9 57" xfId="14384"/>
    <cellStyle name="Обычный 2 9 57 2" xfId="44333"/>
    <cellStyle name="Обычный 2 9 58" xfId="14385"/>
    <cellStyle name="Обычный 2 9 58 2" xfId="44334"/>
    <cellStyle name="Обычный 2 9 59" xfId="14386"/>
    <cellStyle name="Обычный 2 9 59 2" xfId="44335"/>
    <cellStyle name="Обычный 2 9 6" xfId="14387"/>
    <cellStyle name="Обычный 2 9 6 2" xfId="44336"/>
    <cellStyle name="Обычный 2 9 60" xfId="14388"/>
    <cellStyle name="Обычный 2 9 60 2" xfId="44337"/>
    <cellStyle name="Обычный 2 9 61" xfId="14389"/>
    <cellStyle name="Обычный 2 9 61 2" xfId="44338"/>
    <cellStyle name="Обычный 2 9 62" xfId="14390"/>
    <cellStyle name="Обычный 2 9 62 2" xfId="44339"/>
    <cellStyle name="Обычный 2 9 63" xfId="14391"/>
    <cellStyle name="Обычный 2 9 63 2" xfId="44340"/>
    <cellStyle name="Обычный 2 9 64" xfId="14392"/>
    <cellStyle name="Обычный 2 9 64 2" xfId="44341"/>
    <cellStyle name="Обычный 2 9 65" xfId="44342"/>
    <cellStyle name="Обычный 2 9 7" xfId="14393"/>
    <cellStyle name="Обычный 2 9 7 2" xfId="44343"/>
    <cellStyle name="Обычный 2 9 8" xfId="14394"/>
    <cellStyle name="Обычный 2 9 8 2" xfId="44344"/>
    <cellStyle name="Обычный 2 9 9" xfId="14395"/>
    <cellStyle name="Обычный 2 9 9 2" xfId="44345"/>
    <cellStyle name="Обычный 2 90" xfId="14396"/>
    <cellStyle name="Обычный 2 90 2" xfId="44346"/>
    <cellStyle name="Обычный 2 91" xfId="14397"/>
    <cellStyle name="Обычный 2 91 2" xfId="44347"/>
    <cellStyle name="Обычный 2 92" xfId="14398"/>
    <cellStyle name="Обычный 2 92 2" xfId="44348"/>
    <cellStyle name="Обычный 2 93" xfId="14399"/>
    <cellStyle name="Обычный 2 93 2" xfId="44349"/>
    <cellStyle name="Обычный 2 94" xfId="14400"/>
    <cellStyle name="Обычный 2 94 2" xfId="44350"/>
    <cellStyle name="Обычный 2 95" xfId="14401"/>
    <cellStyle name="Обычный 2 95 2" xfId="44351"/>
    <cellStyle name="Обычный 2 96" xfId="14402"/>
    <cellStyle name="Обычный 2 96 2" xfId="44352"/>
    <cellStyle name="Обычный 2 97" xfId="14403"/>
    <cellStyle name="Обычный 2 98" xfId="60319"/>
    <cellStyle name="Обычный 2_РЕЕСТР Журнал" xfId="14404"/>
    <cellStyle name="Обычный 20" xfId="14405"/>
    <cellStyle name="Обычный 20 2" xfId="14406"/>
    <cellStyle name="Обычный 20 3" xfId="59097"/>
    <cellStyle name="Обычный 200" xfId="14407"/>
    <cellStyle name="Обычный 200 2" xfId="14408"/>
    <cellStyle name="Обычный 200 2 2" xfId="14409"/>
    <cellStyle name="Обычный 200 2 2 2" xfId="44353"/>
    <cellStyle name="Обычный 200 2 3" xfId="44354"/>
    <cellStyle name="Обычный 200 3" xfId="14410"/>
    <cellStyle name="Обычный 200 3 2" xfId="44355"/>
    <cellStyle name="Обычный 200 4" xfId="44356"/>
    <cellStyle name="Обычный 201" xfId="14411"/>
    <cellStyle name="Обычный 201 2" xfId="14412"/>
    <cellStyle name="Обычный 201 2 2" xfId="14413"/>
    <cellStyle name="Обычный 201 2 2 2" xfId="44357"/>
    <cellStyle name="Обычный 201 2 3" xfId="44358"/>
    <cellStyle name="Обычный 201 3" xfId="14414"/>
    <cellStyle name="Обычный 201 3 2" xfId="44359"/>
    <cellStyle name="Обычный 201 4" xfId="44360"/>
    <cellStyle name="Обычный 202" xfId="14415"/>
    <cellStyle name="Обычный 202 2" xfId="14416"/>
    <cellStyle name="Обычный 202 2 2" xfId="14417"/>
    <cellStyle name="Обычный 202 2 2 2" xfId="44361"/>
    <cellStyle name="Обычный 202 2 3" xfId="44362"/>
    <cellStyle name="Обычный 202 3" xfId="14418"/>
    <cellStyle name="Обычный 202 3 2" xfId="44363"/>
    <cellStyle name="Обычный 202 4" xfId="44364"/>
    <cellStyle name="Обычный 203" xfId="14419"/>
    <cellStyle name="Обычный 203 2" xfId="14420"/>
    <cellStyle name="Обычный 203 2 2" xfId="14421"/>
    <cellStyle name="Обычный 203 2 2 2" xfId="44365"/>
    <cellStyle name="Обычный 203 2 3" xfId="44366"/>
    <cellStyle name="Обычный 203 3" xfId="14422"/>
    <cellStyle name="Обычный 203 3 2" xfId="44367"/>
    <cellStyle name="Обычный 203 4" xfId="44368"/>
    <cellStyle name="Обычный 204" xfId="14423"/>
    <cellStyle name="Обычный 204 2" xfId="14424"/>
    <cellStyle name="Обычный 204 2 2" xfId="14425"/>
    <cellStyle name="Обычный 204 2 2 2" xfId="44369"/>
    <cellStyle name="Обычный 204 2 3" xfId="44370"/>
    <cellStyle name="Обычный 204 3" xfId="14426"/>
    <cellStyle name="Обычный 204 3 2" xfId="44371"/>
    <cellStyle name="Обычный 204 4" xfId="44372"/>
    <cellStyle name="Обычный 205" xfId="14427"/>
    <cellStyle name="Обычный 205 2" xfId="14428"/>
    <cellStyle name="Обычный 205 2 2" xfId="14429"/>
    <cellStyle name="Обычный 205 2 2 2" xfId="44373"/>
    <cellStyle name="Обычный 205 2 3" xfId="44374"/>
    <cellStyle name="Обычный 205 3" xfId="14430"/>
    <cellStyle name="Обычный 205 3 2" xfId="44375"/>
    <cellStyle name="Обычный 205 4" xfId="44376"/>
    <cellStyle name="Обычный 206" xfId="14431"/>
    <cellStyle name="Обычный 206 2" xfId="14432"/>
    <cellStyle name="Обычный 206 2 2" xfId="14433"/>
    <cellStyle name="Обычный 206 2 2 2" xfId="44377"/>
    <cellStyle name="Обычный 206 2 3" xfId="44378"/>
    <cellStyle name="Обычный 206 3" xfId="14434"/>
    <cellStyle name="Обычный 206 3 2" xfId="44379"/>
    <cellStyle name="Обычный 206 4" xfId="44380"/>
    <cellStyle name="Обычный 207" xfId="14435"/>
    <cellStyle name="Обычный 207 2" xfId="14436"/>
    <cellStyle name="Обычный 207 2 2" xfId="14437"/>
    <cellStyle name="Обычный 207 2 2 2" xfId="44381"/>
    <cellStyle name="Обычный 207 2 3" xfId="44382"/>
    <cellStyle name="Обычный 207 3" xfId="14438"/>
    <cellStyle name="Обычный 207 3 2" xfId="14439"/>
    <cellStyle name="Обычный 207 4" xfId="44383"/>
    <cellStyle name="Обычный 208" xfId="14440"/>
    <cellStyle name="Обычный 208 2" xfId="14441"/>
    <cellStyle name="Обычный 208 2 2" xfId="14442"/>
    <cellStyle name="Обычный 208 2 2 2" xfId="44384"/>
    <cellStyle name="Обычный 208 2 3" xfId="44385"/>
    <cellStyle name="Обычный 208 3" xfId="14443"/>
    <cellStyle name="Обычный 208 3 2" xfId="44386"/>
    <cellStyle name="Обычный 208 4" xfId="44387"/>
    <cellStyle name="Обычный 209" xfId="14444"/>
    <cellStyle name="Обычный 209 2" xfId="14445"/>
    <cellStyle name="Обычный 209 2 2" xfId="14446"/>
    <cellStyle name="Обычный 209 2 2 2" xfId="44388"/>
    <cellStyle name="Обычный 209 2 3" xfId="44389"/>
    <cellStyle name="Обычный 209 3" xfId="14447"/>
    <cellStyle name="Обычный 209 3 2" xfId="14448"/>
    <cellStyle name="Обычный 209 4" xfId="44390"/>
    <cellStyle name="Обычный 21" xfId="30"/>
    <cellStyle name="Обычный 21 10" xfId="40"/>
    <cellStyle name="Обычный 21 10 2" xfId="44391"/>
    <cellStyle name="Обычный 21 11" xfId="14449"/>
    <cellStyle name="Обычный 21 11 2" xfId="44392"/>
    <cellStyle name="Обычный 21 12" xfId="14450"/>
    <cellStyle name="Обычный 21 12 2" xfId="44393"/>
    <cellStyle name="Обычный 21 13" xfId="14451"/>
    <cellStyle name="Обычный 21 13 2" xfId="44394"/>
    <cellStyle name="Обычный 21 14" xfId="14452"/>
    <cellStyle name="Обычный 21 14 2" xfId="44395"/>
    <cellStyle name="Обычный 21 15" xfId="14453"/>
    <cellStyle name="Обычный 21 15 2" xfId="44396"/>
    <cellStyle name="Обычный 21 16" xfId="14454"/>
    <cellStyle name="Обычный 21 16 2" xfId="44397"/>
    <cellStyle name="Обычный 21 17" xfId="14455"/>
    <cellStyle name="Обычный 21 17 2" xfId="44398"/>
    <cellStyle name="Обычный 21 18" xfId="14456"/>
    <cellStyle name="Обычный 21 18 2" xfId="44399"/>
    <cellStyle name="Обычный 21 19" xfId="14457"/>
    <cellStyle name="Обычный 21 19 2" xfId="44400"/>
    <cellStyle name="Обычный 21 2" xfId="14458"/>
    <cellStyle name="Обычный 21 2 10" xfId="14459"/>
    <cellStyle name="Обычный 21 2 10 2" xfId="44401"/>
    <cellStyle name="Обычный 21 2 11" xfId="14460"/>
    <cellStyle name="Обычный 21 2 11 2" xfId="44402"/>
    <cellStyle name="Обычный 21 2 12" xfId="14461"/>
    <cellStyle name="Обычный 21 2 12 2" xfId="44403"/>
    <cellStyle name="Обычный 21 2 13" xfId="14462"/>
    <cellStyle name="Обычный 21 2 13 2" xfId="44404"/>
    <cellStyle name="Обычный 21 2 14" xfId="14463"/>
    <cellStyle name="Обычный 21 2 14 2" xfId="44405"/>
    <cellStyle name="Обычный 21 2 15" xfId="14464"/>
    <cellStyle name="Обычный 21 2 15 2" xfId="44406"/>
    <cellStyle name="Обычный 21 2 16" xfId="14465"/>
    <cellStyle name="Обычный 21 2 16 2" xfId="44407"/>
    <cellStyle name="Обычный 21 2 17" xfId="14466"/>
    <cellStyle name="Обычный 21 2 17 2" xfId="44408"/>
    <cellStyle name="Обычный 21 2 18" xfId="14467"/>
    <cellStyle name="Обычный 21 2 18 2" xfId="44409"/>
    <cellStyle name="Обычный 21 2 19" xfId="14468"/>
    <cellStyle name="Обычный 21 2 19 2" xfId="44410"/>
    <cellStyle name="Обычный 21 2 2" xfId="14469"/>
    <cellStyle name="Обычный 21 2 2 2" xfId="44411"/>
    <cellStyle name="Обычный 21 2 20" xfId="14470"/>
    <cellStyle name="Обычный 21 2 20 2" xfId="44412"/>
    <cellStyle name="Обычный 21 2 21" xfId="14471"/>
    <cellStyle name="Обычный 21 2 21 2" xfId="44413"/>
    <cellStyle name="Обычный 21 2 22" xfId="14472"/>
    <cellStyle name="Обычный 21 2 22 2" xfId="44414"/>
    <cellStyle name="Обычный 21 2 23" xfId="14473"/>
    <cellStyle name="Обычный 21 2 23 2" xfId="44415"/>
    <cellStyle name="Обычный 21 2 24" xfId="44416"/>
    <cellStyle name="Обычный 21 2 3" xfId="14474"/>
    <cellStyle name="Обычный 21 2 3 2" xfId="44417"/>
    <cellStyle name="Обычный 21 2 4" xfId="14475"/>
    <cellStyle name="Обычный 21 2 4 2" xfId="44418"/>
    <cellStyle name="Обычный 21 2 5" xfId="14476"/>
    <cellStyle name="Обычный 21 2 5 2" xfId="44419"/>
    <cellStyle name="Обычный 21 2 6" xfId="14477"/>
    <cellStyle name="Обычный 21 2 6 2" xfId="44420"/>
    <cellStyle name="Обычный 21 2 7" xfId="14478"/>
    <cellStyle name="Обычный 21 2 7 2" xfId="44421"/>
    <cellStyle name="Обычный 21 2 8" xfId="14479"/>
    <cellStyle name="Обычный 21 2 8 2" xfId="44422"/>
    <cellStyle name="Обычный 21 2 9" xfId="14480"/>
    <cellStyle name="Обычный 21 2 9 2" xfId="44423"/>
    <cellStyle name="Обычный 21 20" xfId="14481"/>
    <cellStyle name="Обычный 21 20 2" xfId="14482"/>
    <cellStyle name="Обычный 21 20 2 2" xfId="14483"/>
    <cellStyle name="Обычный 21 20 2 2 2" xfId="44424"/>
    <cellStyle name="Обычный 21 20 2 3" xfId="44425"/>
    <cellStyle name="Обычный 21 20 3" xfId="14484"/>
    <cellStyle name="Обычный 21 20 3 2" xfId="44426"/>
    <cellStyle name="Обычный 21 20 4" xfId="44427"/>
    <cellStyle name="Обычный 21 21" xfId="14485"/>
    <cellStyle name="Обычный 21 21 2" xfId="14486"/>
    <cellStyle name="Обычный 21 21 2 2" xfId="14487"/>
    <cellStyle name="Обычный 21 21 2 2 2" xfId="44428"/>
    <cellStyle name="Обычный 21 21 2 3" xfId="44429"/>
    <cellStyle name="Обычный 21 21 3" xfId="14488"/>
    <cellStyle name="Обычный 21 21 3 2" xfId="44430"/>
    <cellStyle name="Обычный 21 21 4" xfId="44431"/>
    <cellStyle name="Обычный 21 22" xfId="14489"/>
    <cellStyle name="Обычный 21 22 2" xfId="14490"/>
    <cellStyle name="Обычный 21 22 2 2" xfId="14491"/>
    <cellStyle name="Обычный 21 22 2 2 2" xfId="44432"/>
    <cellStyle name="Обычный 21 22 2 3" xfId="44433"/>
    <cellStyle name="Обычный 21 22 3" xfId="14492"/>
    <cellStyle name="Обычный 21 22 3 2" xfId="44434"/>
    <cellStyle name="Обычный 21 22 4" xfId="44435"/>
    <cellStyle name="Обычный 21 23" xfId="14493"/>
    <cellStyle name="Обычный 21 23 2" xfId="44436"/>
    <cellStyle name="Обычный 21 24" xfId="14494"/>
    <cellStyle name="Обычный 21 24 2" xfId="44437"/>
    <cellStyle name="Обычный 21 25" xfId="14495"/>
    <cellStyle name="Обычный 21 25 2" xfId="44438"/>
    <cellStyle name="Обычный 21 26" xfId="14496"/>
    <cellStyle name="Обычный 21 26 2" xfId="44439"/>
    <cellStyle name="Обычный 21 27" xfId="14497"/>
    <cellStyle name="Обычный 21 27 2" xfId="44440"/>
    <cellStyle name="Обычный 21 28" xfId="14498"/>
    <cellStyle name="Обычный 21 28 2" xfId="14499"/>
    <cellStyle name="Обычный 21 28 2 2" xfId="44441"/>
    <cellStyle name="Обычный 21 28 3" xfId="44442"/>
    <cellStyle name="Обычный 21 29" xfId="14500"/>
    <cellStyle name="Обычный 21 29 2" xfId="44443"/>
    <cellStyle name="Обычный 21 3" xfId="14501"/>
    <cellStyle name="Обычный 21 3 2" xfId="14502"/>
    <cellStyle name="Обычный 21 30" xfId="14503"/>
    <cellStyle name="Обычный 21 30 2" xfId="44444"/>
    <cellStyle name="Обычный 21 31" xfId="14504"/>
    <cellStyle name="Обычный 21 32" xfId="44445"/>
    <cellStyle name="Обычный 21 4" xfId="14505"/>
    <cellStyle name="Обычный 21 4 2" xfId="44446"/>
    <cellStyle name="Обычный 21 5" xfId="14506"/>
    <cellStyle name="Обычный 21 5 2" xfId="44447"/>
    <cellStyle name="Обычный 21 6" xfId="14507"/>
    <cellStyle name="Обычный 21 6 2" xfId="44448"/>
    <cellStyle name="Обычный 21 7" xfId="14508"/>
    <cellStyle name="Обычный 21 7 2" xfId="44449"/>
    <cellStyle name="Обычный 21 8" xfId="14509"/>
    <cellStyle name="Обычный 21 8 2" xfId="44450"/>
    <cellStyle name="Обычный 21 9" xfId="14510"/>
    <cellStyle name="Обычный 21 9 2" xfId="44451"/>
    <cellStyle name="Обычный 210" xfId="14511"/>
    <cellStyle name="Обычный 210 2" xfId="14512"/>
    <cellStyle name="Обычный 210 2 2" xfId="14513"/>
    <cellStyle name="Обычный 210 2 2 2" xfId="44452"/>
    <cellStyle name="Обычный 210 2 3" xfId="44453"/>
    <cellStyle name="Обычный 210 3" xfId="14514"/>
    <cellStyle name="Обычный 210 3 2" xfId="44454"/>
    <cellStyle name="Обычный 210 4" xfId="44455"/>
    <cellStyle name="Обычный 211" xfId="14515"/>
    <cellStyle name="Обычный 211 2" xfId="44456"/>
    <cellStyle name="Обычный 212" xfId="14516"/>
    <cellStyle name="Обычный 212 2" xfId="44457"/>
    <cellStyle name="Обычный 213" xfId="14517"/>
    <cellStyle name="Обычный 213 2" xfId="44458"/>
    <cellStyle name="Обычный 214" xfId="14518"/>
    <cellStyle name="Обычный 214 2" xfId="14519"/>
    <cellStyle name="Обычный 214 3" xfId="14520"/>
    <cellStyle name="Обычный 214 3 2" xfId="14521"/>
    <cellStyle name="Обычный 215" xfId="37"/>
    <cellStyle name="Обычный 215 2" xfId="44459"/>
    <cellStyle name="Обычный 216" xfId="14522"/>
    <cellStyle name="Обычный 216 2" xfId="14523"/>
    <cellStyle name="Обычный 216 3" xfId="14524"/>
    <cellStyle name="Обычный 216 3 2" xfId="14525"/>
    <cellStyle name="Обычный 217" xfId="14526"/>
    <cellStyle name="Обычный 217 2" xfId="14527"/>
    <cellStyle name="Обычный 217 2 2" xfId="14528"/>
    <cellStyle name="Обычный 217 2 2 2" xfId="44460"/>
    <cellStyle name="Обычный 217 2 3" xfId="44461"/>
    <cellStyle name="Обычный 217 3" xfId="14529"/>
    <cellStyle name="Обычный 217 3 2" xfId="44462"/>
    <cellStyle name="Обычный 217 4" xfId="44463"/>
    <cellStyle name="Обычный 218" xfId="14530"/>
    <cellStyle name="Обычный 218 2" xfId="44464"/>
    <cellStyle name="Обычный 219" xfId="36"/>
    <cellStyle name="Обычный 219 2" xfId="44465"/>
    <cellStyle name="Обычный 22" xfId="14531"/>
    <cellStyle name="Обычный 22 10" xfId="14532"/>
    <cellStyle name="Обычный 22 10 2" xfId="44466"/>
    <cellStyle name="Обычный 22 11" xfId="14533"/>
    <cellStyle name="Обычный 22 11 2" xfId="44467"/>
    <cellStyle name="Обычный 22 12" xfId="14534"/>
    <cellStyle name="Обычный 22 12 2" xfId="44468"/>
    <cellStyle name="Обычный 22 13" xfId="14535"/>
    <cellStyle name="Обычный 22 13 2" xfId="44469"/>
    <cellStyle name="Обычный 22 14" xfId="14536"/>
    <cellStyle name="Обычный 22 14 2" xfId="44470"/>
    <cellStyle name="Обычный 22 15" xfId="14537"/>
    <cellStyle name="Обычный 22 15 2" xfId="44471"/>
    <cellStyle name="Обычный 22 16" xfId="14538"/>
    <cellStyle name="Обычный 22 16 2" xfId="44472"/>
    <cellStyle name="Обычный 22 17" xfId="14539"/>
    <cellStyle name="Обычный 22 17 2" xfId="44473"/>
    <cellStyle name="Обычный 22 18" xfId="14540"/>
    <cellStyle name="Обычный 22 18 2" xfId="44474"/>
    <cellStyle name="Обычный 22 19" xfId="14541"/>
    <cellStyle name="Обычный 22 19 2" xfId="14542"/>
    <cellStyle name="Обычный 22 19 2 2" xfId="14543"/>
    <cellStyle name="Обычный 22 19 2 2 2" xfId="44475"/>
    <cellStyle name="Обычный 22 19 2 3" xfId="44476"/>
    <cellStyle name="Обычный 22 19 3" xfId="14544"/>
    <cellStyle name="Обычный 22 19 3 2" xfId="44477"/>
    <cellStyle name="Обычный 22 19 4" xfId="44478"/>
    <cellStyle name="Обычный 22 2" xfId="14545"/>
    <cellStyle name="Обычный 22 2 10" xfId="14546"/>
    <cellStyle name="Обычный 22 2 10 2" xfId="14547"/>
    <cellStyle name="Обычный 22 2 10 2 2" xfId="14548"/>
    <cellStyle name="Обычный 22 2 10 2 2 2" xfId="44479"/>
    <cellStyle name="Обычный 22 2 10 2 3" xfId="44480"/>
    <cellStyle name="Обычный 22 2 10 3" xfId="14549"/>
    <cellStyle name="Обычный 22 2 10 3 2" xfId="44481"/>
    <cellStyle name="Обычный 22 2 10 4" xfId="44482"/>
    <cellStyle name="Обычный 22 2 11" xfId="14550"/>
    <cellStyle name="Обычный 22 2 11 2" xfId="14551"/>
    <cellStyle name="Обычный 22 2 11 2 2" xfId="14552"/>
    <cellStyle name="Обычный 22 2 11 2 2 2" xfId="44483"/>
    <cellStyle name="Обычный 22 2 11 2 3" xfId="44484"/>
    <cellStyle name="Обычный 22 2 11 3" xfId="14553"/>
    <cellStyle name="Обычный 22 2 11 3 2" xfId="44485"/>
    <cellStyle name="Обычный 22 2 11 4" xfId="44486"/>
    <cellStyle name="Обычный 22 2 12" xfId="14554"/>
    <cellStyle name="Обычный 22 2 12 2" xfId="14555"/>
    <cellStyle name="Обычный 22 2 12 2 2" xfId="14556"/>
    <cellStyle name="Обычный 22 2 12 2 2 2" xfId="44487"/>
    <cellStyle name="Обычный 22 2 12 2 3" xfId="44488"/>
    <cellStyle name="Обычный 22 2 12 3" xfId="14557"/>
    <cellStyle name="Обычный 22 2 12 3 2" xfId="44489"/>
    <cellStyle name="Обычный 22 2 12 4" xfId="44490"/>
    <cellStyle name="Обычный 22 2 13" xfId="14558"/>
    <cellStyle name="Обычный 22 2 13 2" xfId="14559"/>
    <cellStyle name="Обычный 22 2 13 2 2" xfId="14560"/>
    <cellStyle name="Обычный 22 2 13 2 2 2" xfId="44491"/>
    <cellStyle name="Обычный 22 2 13 2 3" xfId="44492"/>
    <cellStyle name="Обычный 22 2 13 3" xfId="14561"/>
    <cellStyle name="Обычный 22 2 13 3 2" xfId="44493"/>
    <cellStyle name="Обычный 22 2 13 4" xfId="44494"/>
    <cellStyle name="Обычный 22 2 14" xfId="14562"/>
    <cellStyle name="Обычный 22 2 14 2" xfId="14563"/>
    <cellStyle name="Обычный 22 2 14 2 2" xfId="14564"/>
    <cellStyle name="Обычный 22 2 14 2 2 2" xfId="44495"/>
    <cellStyle name="Обычный 22 2 14 2 3" xfId="44496"/>
    <cellStyle name="Обычный 22 2 14 3" xfId="14565"/>
    <cellStyle name="Обычный 22 2 14 3 2" xfId="44497"/>
    <cellStyle name="Обычный 22 2 14 4" xfId="44498"/>
    <cellStyle name="Обычный 22 2 15" xfId="14566"/>
    <cellStyle name="Обычный 22 2 15 2" xfId="14567"/>
    <cellStyle name="Обычный 22 2 15 2 2" xfId="14568"/>
    <cellStyle name="Обычный 22 2 15 2 2 2" xfId="44499"/>
    <cellStyle name="Обычный 22 2 15 2 3" xfId="44500"/>
    <cellStyle name="Обычный 22 2 15 3" xfId="14569"/>
    <cellStyle name="Обычный 22 2 15 3 2" xfId="44501"/>
    <cellStyle name="Обычный 22 2 15 4" xfId="44502"/>
    <cellStyle name="Обычный 22 2 16" xfId="14570"/>
    <cellStyle name="Обычный 22 2 16 2" xfId="14571"/>
    <cellStyle name="Обычный 22 2 16 2 2" xfId="14572"/>
    <cellStyle name="Обычный 22 2 16 2 2 2" xfId="44503"/>
    <cellStyle name="Обычный 22 2 16 2 3" xfId="44504"/>
    <cellStyle name="Обычный 22 2 16 3" xfId="14573"/>
    <cellStyle name="Обычный 22 2 16 3 2" xfId="44505"/>
    <cellStyle name="Обычный 22 2 16 4" xfId="44506"/>
    <cellStyle name="Обычный 22 2 17" xfId="14574"/>
    <cellStyle name="Обычный 22 2 17 2" xfId="14575"/>
    <cellStyle name="Обычный 22 2 17 2 2" xfId="14576"/>
    <cellStyle name="Обычный 22 2 17 2 2 2" xfId="44507"/>
    <cellStyle name="Обычный 22 2 17 2 3" xfId="44508"/>
    <cellStyle name="Обычный 22 2 17 3" xfId="14577"/>
    <cellStyle name="Обычный 22 2 17 3 2" xfId="44509"/>
    <cellStyle name="Обычный 22 2 17 4" xfId="44510"/>
    <cellStyle name="Обычный 22 2 18" xfId="14578"/>
    <cellStyle name="Обычный 22 2 18 2" xfId="14579"/>
    <cellStyle name="Обычный 22 2 18 2 2" xfId="14580"/>
    <cellStyle name="Обычный 22 2 18 2 2 2" xfId="44511"/>
    <cellStyle name="Обычный 22 2 18 2 3" xfId="44512"/>
    <cellStyle name="Обычный 22 2 18 3" xfId="14581"/>
    <cellStyle name="Обычный 22 2 18 3 2" xfId="44513"/>
    <cellStyle name="Обычный 22 2 18 4" xfId="44514"/>
    <cellStyle name="Обычный 22 2 19" xfId="14582"/>
    <cellStyle name="Обычный 22 2 19 2" xfId="14583"/>
    <cellStyle name="Обычный 22 2 19 2 2" xfId="14584"/>
    <cellStyle name="Обычный 22 2 19 2 2 2" xfId="44515"/>
    <cellStyle name="Обычный 22 2 19 2 3" xfId="44516"/>
    <cellStyle name="Обычный 22 2 19 3" xfId="14585"/>
    <cellStyle name="Обычный 22 2 19 3 2" xfId="44517"/>
    <cellStyle name="Обычный 22 2 19 4" xfId="44518"/>
    <cellStyle name="Обычный 22 2 2" xfId="14586"/>
    <cellStyle name="Обычный 22 2 2 2" xfId="14587"/>
    <cellStyle name="Обычный 22 2 2 2 2" xfId="14588"/>
    <cellStyle name="Обычный 22 2 2 2 2 2" xfId="44519"/>
    <cellStyle name="Обычный 22 2 2 2 3" xfId="44520"/>
    <cellStyle name="Обычный 22 2 2 3" xfId="14589"/>
    <cellStyle name="Обычный 22 2 2 3 2" xfId="44521"/>
    <cellStyle name="Обычный 22 2 2 4" xfId="44522"/>
    <cellStyle name="Обычный 22 2 20" xfId="14590"/>
    <cellStyle name="Обычный 22 2 20 2" xfId="14591"/>
    <cellStyle name="Обычный 22 2 20 2 2" xfId="14592"/>
    <cellStyle name="Обычный 22 2 20 2 2 2" xfId="44523"/>
    <cellStyle name="Обычный 22 2 20 2 3" xfId="44524"/>
    <cellStyle name="Обычный 22 2 20 3" xfId="14593"/>
    <cellStyle name="Обычный 22 2 20 3 2" xfId="44525"/>
    <cellStyle name="Обычный 22 2 20 4" xfId="44526"/>
    <cellStyle name="Обычный 22 2 21" xfId="14594"/>
    <cellStyle name="Обычный 22 2 21 2" xfId="14595"/>
    <cellStyle name="Обычный 22 2 21 2 2" xfId="14596"/>
    <cellStyle name="Обычный 22 2 21 2 2 2" xfId="44527"/>
    <cellStyle name="Обычный 22 2 21 2 3" xfId="44528"/>
    <cellStyle name="Обычный 22 2 21 3" xfId="14597"/>
    <cellStyle name="Обычный 22 2 21 3 2" xfId="44529"/>
    <cellStyle name="Обычный 22 2 21 4" xfId="44530"/>
    <cellStyle name="Обычный 22 2 22" xfId="14598"/>
    <cellStyle name="Обычный 22 2 22 2" xfId="14599"/>
    <cellStyle name="Обычный 22 2 22 2 2" xfId="14600"/>
    <cellStyle name="Обычный 22 2 22 2 2 2" xfId="44531"/>
    <cellStyle name="Обычный 22 2 22 2 3" xfId="44532"/>
    <cellStyle name="Обычный 22 2 22 3" xfId="14601"/>
    <cellStyle name="Обычный 22 2 22 3 2" xfId="44533"/>
    <cellStyle name="Обычный 22 2 22 4" xfId="44534"/>
    <cellStyle name="Обычный 22 2 23" xfId="14602"/>
    <cellStyle name="Обычный 22 2 23 2" xfId="14603"/>
    <cellStyle name="Обычный 22 2 23 2 2" xfId="14604"/>
    <cellStyle name="Обычный 22 2 23 2 2 2" xfId="44535"/>
    <cellStyle name="Обычный 22 2 23 2 3" xfId="44536"/>
    <cellStyle name="Обычный 22 2 23 3" xfId="14605"/>
    <cellStyle name="Обычный 22 2 23 3 2" xfId="44537"/>
    <cellStyle name="Обычный 22 2 23 4" xfId="44538"/>
    <cellStyle name="Обычный 22 2 24" xfId="44539"/>
    <cellStyle name="Обычный 22 2 3" xfId="14606"/>
    <cellStyle name="Обычный 22 2 3 2" xfId="14607"/>
    <cellStyle name="Обычный 22 2 3 2 2" xfId="14608"/>
    <cellStyle name="Обычный 22 2 3 2 2 2" xfId="44540"/>
    <cellStyle name="Обычный 22 2 3 2 3" xfId="44541"/>
    <cellStyle name="Обычный 22 2 3 3" xfId="14609"/>
    <cellStyle name="Обычный 22 2 3 3 2" xfId="44542"/>
    <cellStyle name="Обычный 22 2 3 4" xfId="44543"/>
    <cellStyle name="Обычный 22 2 4" xfId="14610"/>
    <cellStyle name="Обычный 22 2 4 2" xfId="14611"/>
    <cellStyle name="Обычный 22 2 4 2 2" xfId="14612"/>
    <cellStyle name="Обычный 22 2 4 2 2 2" xfId="44544"/>
    <cellStyle name="Обычный 22 2 4 2 3" xfId="44545"/>
    <cellStyle name="Обычный 22 2 4 3" xfId="14613"/>
    <cellStyle name="Обычный 22 2 4 3 2" xfId="44546"/>
    <cellStyle name="Обычный 22 2 4 4" xfId="44547"/>
    <cellStyle name="Обычный 22 2 5" xfId="14614"/>
    <cellStyle name="Обычный 22 2 5 2" xfId="14615"/>
    <cellStyle name="Обычный 22 2 5 2 2" xfId="14616"/>
    <cellStyle name="Обычный 22 2 5 2 2 2" xfId="44548"/>
    <cellStyle name="Обычный 22 2 5 2 3" xfId="44549"/>
    <cellStyle name="Обычный 22 2 5 3" xfId="14617"/>
    <cellStyle name="Обычный 22 2 5 3 2" xfId="44550"/>
    <cellStyle name="Обычный 22 2 5 4" xfId="44551"/>
    <cellStyle name="Обычный 22 2 6" xfId="14618"/>
    <cellStyle name="Обычный 22 2 6 2" xfId="14619"/>
    <cellStyle name="Обычный 22 2 6 2 2" xfId="14620"/>
    <cellStyle name="Обычный 22 2 6 2 2 2" xfId="44552"/>
    <cellStyle name="Обычный 22 2 6 2 3" xfId="44553"/>
    <cellStyle name="Обычный 22 2 6 3" xfId="14621"/>
    <cellStyle name="Обычный 22 2 6 3 2" xfId="44554"/>
    <cellStyle name="Обычный 22 2 6 4" xfId="44555"/>
    <cellStyle name="Обычный 22 2 7" xfId="14622"/>
    <cellStyle name="Обычный 22 2 7 2" xfId="14623"/>
    <cellStyle name="Обычный 22 2 7 2 2" xfId="14624"/>
    <cellStyle name="Обычный 22 2 7 2 2 2" xfId="44556"/>
    <cellStyle name="Обычный 22 2 7 2 3" xfId="44557"/>
    <cellStyle name="Обычный 22 2 7 3" xfId="14625"/>
    <cellStyle name="Обычный 22 2 7 3 2" xfId="44558"/>
    <cellStyle name="Обычный 22 2 7 4" xfId="44559"/>
    <cellStyle name="Обычный 22 2 8" xfId="14626"/>
    <cellStyle name="Обычный 22 2 8 2" xfId="14627"/>
    <cellStyle name="Обычный 22 2 8 2 2" xfId="14628"/>
    <cellStyle name="Обычный 22 2 8 2 2 2" xfId="44560"/>
    <cellStyle name="Обычный 22 2 8 2 3" xfId="44561"/>
    <cellStyle name="Обычный 22 2 8 3" xfId="14629"/>
    <cellStyle name="Обычный 22 2 8 3 2" xfId="44562"/>
    <cellStyle name="Обычный 22 2 8 4" xfId="44563"/>
    <cellStyle name="Обычный 22 2 9" xfId="14630"/>
    <cellStyle name="Обычный 22 2 9 2" xfId="14631"/>
    <cellStyle name="Обычный 22 2 9 2 2" xfId="14632"/>
    <cellStyle name="Обычный 22 2 9 2 2 2" xfId="44564"/>
    <cellStyle name="Обычный 22 2 9 2 3" xfId="44565"/>
    <cellStyle name="Обычный 22 2 9 3" xfId="14633"/>
    <cellStyle name="Обычный 22 2 9 3 2" xfId="44566"/>
    <cellStyle name="Обычный 22 2 9 4" xfId="44567"/>
    <cellStyle name="Обычный 22 20" xfId="14634"/>
    <cellStyle name="Обычный 22 20 2" xfId="14635"/>
    <cellStyle name="Обычный 22 20 2 2" xfId="14636"/>
    <cellStyle name="Обычный 22 20 2 2 2" xfId="44568"/>
    <cellStyle name="Обычный 22 20 2 3" xfId="44569"/>
    <cellStyle name="Обычный 22 20 3" xfId="14637"/>
    <cellStyle name="Обычный 22 20 3 2" xfId="44570"/>
    <cellStyle name="Обычный 22 20 4" xfId="44571"/>
    <cellStyle name="Обычный 22 21" xfId="14638"/>
    <cellStyle name="Обычный 22 21 2" xfId="14639"/>
    <cellStyle name="Обычный 22 21 2 2" xfId="14640"/>
    <cellStyle name="Обычный 22 21 2 2 2" xfId="44572"/>
    <cellStyle name="Обычный 22 21 2 3" xfId="44573"/>
    <cellStyle name="Обычный 22 21 3" xfId="14641"/>
    <cellStyle name="Обычный 22 21 3 2" xfId="44574"/>
    <cellStyle name="Обычный 22 21 4" xfId="44575"/>
    <cellStyle name="Обычный 22 22" xfId="14642"/>
    <cellStyle name="Обычный 22 22 2" xfId="44576"/>
    <cellStyle name="Обычный 22 23" xfId="14643"/>
    <cellStyle name="Обычный 22 23 2" xfId="44577"/>
    <cellStyle name="Обычный 22 24" xfId="14644"/>
    <cellStyle name="Обычный 22 24 2" xfId="44578"/>
    <cellStyle name="Обычный 22 25" xfId="14645"/>
    <cellStyle name="Обычный 22 25 2" xfId="44579"/>
    <cellStyle name="Обычный 22 26" xfId="14646"/>
    <cellStyle name="Обычный 22 26 2" xfId="44580"/>
    <cellStyle name="Обычный 22 27" xfId="14647"/>
    <cellStyle name="Обычный 22 27 2" xfId="14648"/>
    <cellStyle name="Обычный 22 27 2 2" xfId="44581"/>
    <cellStyle name="Обычный 22 27 3" xfId="44582"/>
    <cellStyle name="Обычный 22 28" xfId="14649"/>
    <cellStyle name="Обычный 22 28 2" xfId="44583"/>
    <cellStyle name="Обычный 22 29" xfId="14650"/>
    <cellStyle name="Обычный 22 29 2" xfId="44584"/>
    <cellStyle name="Обычный 22 3" xfId="14651"/>
    <cellStyle name="Обычный 22 3 2" xfId="44585"/>
    <cellStyle name="Обычный 22 30" xfId="44586"/>
    <cellStyle name="Обычный 22 4" xfId="14652"/>
    <cellStyle name="Обычный 22 4 2" xfId="44587"/>
    <cellStyle name="Обычный 22 5" xfId="14653"/>
    <cellStyle name="Обычный 22 5 2" xfId="44588"/>
    <cellStyle name="Обычный 22 6" xfId="14654"/>
    <cellStyle name="Обычный 22 6 2" xfId="44589"/>
    <cellStyle name="Обычный 22 7" xfId="14655"/>
    <cellStyle name="Обычный 22 7 2" xfId="44590"/>
    <cellStyle name="Обычный 22 8" xfId="14656"/>
    <cellStyle name="Обычный 22 8 2" xfId="44591"/>
    <cellStyle name="Обычный 22 9" xfId="14657"/>
    <cellStyle name="Обычный 22 9 2" xfId="44592"/>
    <cellStyle name="Обычный 220" xfId="14658"/>
    <cellStyle name="Обычный 220 2" xfId="44593"/>
    <cellStyle name="Обычный 221" xfId="14659"/>
    <cellStyle name="Обычный 221 2" xfId="44594"/>
    <cellStyle name="Обычный 222" xfId="31"/>
    <cellStyle name="Обычный 222 2" xfId="44595"/>
    <cellStyle name="Обычный 223" xfId="14660"/>
    <cellStyle name="Обычный 223 2" xfId="44596"/>
    <cellStyle name="Обычный 224" xfId="14661"/>
    <cellStyle name="Обычный 224 2" xfId="44597"/>
    <cellStyle name="Обычный 225" xfId="14662"/>
    <cellStyle name="Обычный 225 2" xfId="44598"/>
    <cellStyle name="Обычный 226" xfId="14663"/>
    <cellStyle name="Обычный 226 2" xfId="44599"/>
    <cellStyle name="Обычный 227" xfId="14664"/>
    <cellStyle name="Обычный 227 2" xfId="44600"/>
    <cellStyle name="Обычный 228" xfId="14665"/>
    <cellStyle name="Обычный 228 2" xfId="44601"/>
    <cellStyle name="Обычный 229" xfId="14666"/>
    <cellStyle name="Обычный 229 2" xfId="44602"/>
    <cellStyle name="Обычный 23" xfId="14667"/>
    <cellStyle name="Обычный 23 10" xfId="14668"/>
    <cellStyle name="Обычный 23 10 2" xfId="44603"/>
    <cellStyle name="Обычный 23 11" xfId="14669"/>
    <cellStyle name="Обычный 23 11 2" xfId="44604"/>
    <cellStyle name="Обычный 23 12" xfId="14670"/>
    <cellStyle name="Обычный 23 12 2" xfId="44605"/>
    <cellStyle name="Обычный 23 13" xfId="14671"/>
    <cellStyle name="Обычный 23 13 2" xfId="44606"/>
    <cellStyle name="Обычный 23 14" xfId="14672"/>
    <cellStyle name="Обычный 23 14 2" xfId="44607"/>
    <cellStyle name="Обычный 23 15" xfId="14673"/>
    <cellStyle name="Обычный 23 15 2" xfId="44608"/>
    <cellStyle name="Обычный 23 16" xfId="14674"/>
    <cellStyle name="Обычный 23 16 2" xfId="44609"/>
    <cellStyle name="Обычный 23 17" xfId="14675"/>
    <cellStyle name="Обычный 23 17 2" xfId="44610"/>
    <cellStyle name="Обычный 23 18" xfId="14676"/>
    <cellStyle name="Обычный 23 18 2" xfId="44611"/>
    <cellStyle name="Обычный 23 19" xfId="14677"/>
    <cellStyle name="Обычный 23 19 2" xfId="14678"/>
    <cellStyle name="Обычный 23 19 2 2" xfId="14679"/>
    <cellStyle name="Обычный 23 19 2 2 2" xfId="44612"/>
    <cellStyle name="Обычный 23 19 2 3" xfId="44613"/>
    <cellStyle name="Обычный 23 19 3" xfId="14680"/>
    <cellStyle name="Обычный 23 19 3 2" xfId="44614"/>
    <cellStyle name="Обычный 23 19 4" xfId="44615"/>
    <cellStyle name="Обычный 23 2" xfId="14681"/>
    <cellStyle name="Обычный 23 2 2" xfId="14682"/>
    <cellStyle name="Обычный 23 20" xfId="14683"/>
    <cellStyle name="Обычный 23 20 2" xfId="14684"/>
    <cellStyle name="Обычный 23 20 2 2" xfId="14685"/>
    <cellStyle name="Обычный 23 20 2 2 2" xfId="44616"/>
    <cellStyle name="Обычный 23 20 2 3" xfId="44617"/>
    <cellStyle name="Обычный 23 20 3" xfId="14686"/>
    <cellStyle name="Обычный 23 20 3 2" xfId="44618"/>
    <cellStyle name="Обычный 23 20 4" xfId="44619"/>
    <cellStyle name="Обычный 23 21" xfId="14687"/>
    <cellStyle name="Обычный 23 21 2" xfId="14688"/>
    <cellStyle name="Обычный 23 21 2 2" xfId="14689"/>
    <cellStyle name="Обычный 23 21 2 2 2" xfId="44620"/>
    <cellStyle name="Обычный 23 21 2 3" xfId="44621"/>
    <cellStyle name="Обычный 23 21 3" xfId="14690"/>
    <cellStyle name="Обычный 23 21 3 2" xfId="44622"/>
    <cellStyle name="Обычный 23 21 4" xfId="44623"/>
    <cellStyle name="Обычный 23 22" xfId="14691"/>
    <cellStyle name="Обычный 23 22 2" xfId="44624"/>
    <cellStyle name="Обычный 23 23" xfId="14692"/>
    <cellStyle name="Обычный 23 23 2" xfId="44625"/>
    <cellStyle name="Обычный 23 24" xfId="14693"/>
    <cellStyle name="Обычный 23 24 2" xfId="44626"/>
    <cellStyle name="Обычный 23 25" xfId="14694"/>
    <cellStyle name="Обычный 23 25 2" xfId="44627"/>
    <cellStyle name="Обычный 23 26" xfId="14695"/>
    <cellStyle name="Обычный 23 26 2" xfId="44628"/>
    <cellStyle name="Обычный 23 27" xfId="14696"/>
    <cellStyle name="Обычный 23 27 2" xfId="14697"/>
    <cellStyle name="Обычный 23 27 2 2" xfId="44629"/>
    <cellStyle name="Обычный 23 27 3" xfId="44630"/>
    <cellStyle name="Обычный 23 28" xfId="14698"/>
    <cellStyle name="Обычный 23 28 2" xfId="44631"/>
    <cellStyle name="Обычный 23 29" xfId="14699"/>
    <cellStyle name="Обычный 23 29 2" xfId="44632"/>
    <cellStyle name="Обычный 23 3" xfId="14700"/>
    <cellStyle name="Обычный 23 3 2" xfId="44633"/>
    <cellStyle name="Обычный 23 30" xfId="44634"/>
    <cellStyle name="Обычный 23 4" xfId="14701"/>
    <cellStyle name="Обычный 23 4 2" xfId="44635"/>
    <cellStyle name="Обычный 23 5" xfId="14702"/>
    <cellStyle name="Обычный 23 5 2" xfId="44636"/>
    <cellStyle name="Обычный 23 6" xfId="14703"/>
    <cellStyle name="Обычный 23 6 2" xfId="44637"/>
    <cellStyle name="Обычный 23 7" xfId="14704"/>
    <cellStyle name="Обычный 23 7 2" xfId="44638"/>
    <cellStyle name="Обычный 23 8" xfId="14705"/>
    <cellStyle name="Обычный 23 8 2" xfId="44639"/>
    <cellStyle name="Обычный 23 9" xfId="14706"/>
    <cellStyle name="Обычный 23 9 2" xfId="44640"/>
    <cellStyle name="Обычный 230" xfId="14707"/>
    <cellStyle name="Обычный 230 2" xfId="44641"/>
    <cellStyle name="Обычный 231" xfId="14708"/>
    <cellStyle name="Обычный 231 2" xfId="44642"/>
    <cellStyle name="Обычный 232" xfId="14709"/>
    <cellStyle name="Обычный 232 2" xfId="44643"/>
    <cellStyle name="Обычный 233" xfId="14710"/>
    <cellStyle name="Обычный 233 2" xfId="44644"/>
    <cellStyle name="Обычный 234" xfId="14711"/>
    <cellStyle name="Обычный 234 2" xfId="14712"/>
    <cellStyle name="Обычный 234 3" xfId="14713"/>
    <cellStyle name="Обычный 234 3 2" xfId="14714"/>
    <cellStyle name="Обычный 234 4" xfId="60320"/>
    <cellStyle name="Обычный 235" xfId="14715"/>
    <cellStyle name="Обычный 235 2" xfId="14716"/>
    <cellStyle name="Обычный 235 3" xfId="14717"/>
    <cellStyle name="Обычный 235 3 2" xfId="14718"/>
    <cellStyle name="Обычный 236" xfId="14719"/>
    <cellStyle name="Обычный 236 2" xfId="44645"/>
    <cellStyle name="Обычный 237" xfId="14720"/>
    <cellStyle name="Обычный 237 2" xfId="14721"/>
    <cellStyle name="Обычный 237 3" xfId="14722"/>
    <cellStyle name="Обычный 237 3 2" xfId="14723"/>
    <cellStyle name="Обычный 238" xfId="14724"/>
    <cellStyle name="Обычный 238 2" xfId="44646"/>
    <cellStyle name="Обычный 239" xfId="14725"/>
    <cellStyle name="Обычный 239 2" xfId="44647"/>
    <cellStyle name="Обычный 24" xfId="14726"/>
    <cellStyle name="Обычный 24 10" xfId="14727"/>
    <cellStyle name="Обычный 24 10 2" xfId="44648"/>
    <cellStyle name="Обычный 24 11" xfId="14728"/>
    <cellStyle name="Обычный 24 11 2" xfId="44649"/>
    <cellStyle name="Обычный 24 12" xfId="14729"/>
    <cellStyle name="Обычный 24 12 2" xfId="44650"/>
    <cellStyle name="Обычный 24 13" xfId="14730"/>
    <cellStyle name="Обычный 24 13 2" xfId="44651"/>
    <cellStyle name="Обычный 24 14" xfId="14731"/>
    <cellStyle name="Обычный 24 14 2" xfId="44652"/>
    <cellStyle name="Обычный 24 15" xfId="14732"/>
    <cellStyle name="Обычный 24 15 2" xfId="44653"/>
    <cellStyle name="Обычный 24 16" xfId="14733"/>
    <cellStyle name="Обычный 24 16 2" xfId="44654"/>
    <cellStyle name="Обычный 24 17" xfId="14734"/>
    <cellStyle name="Обычный 24 17 2" xfId="44655"/>
    <cellStyle name="Обычный 24 18" xfId="14735"/>
    <cellStyle name="Обычный 24 18 2" xfId="44656"/>
    <cellStyle name="Обычный 24 19" xfId="14736"/>
    <cellStyle name="Обычный 24 19 2" xfId="14737"/>
    <cellStyle name="Обычный 24 19 2 2" xfId="14738"/>
    <cellStyle name="Обычный 24 19 2 2 2" xfId="44657"/>
    <cellStyle name="Обычный 24 19 2 3" xfId="44658"/>
    <cellStyle name="Обычный 24 19 3" xfId="14739"/>
    <cellStyle name="Обычный 24 19 3 2" xfId="44659"/>
    <cellStyle name="Обычный 24 19 4" xfId="44660"/>
    <cellStyle name="Обычный 24 2" xfId="14740"/>
    <cellStyle name="Обычный 24 2 2" xfId="14741"/>
    <cellStyle name="Обычный 24 20" xfId="14742"/>
    <cellStyle name="Обычный 24 20 2" xfId="14743"/>
    <cellStyle name="Обычный 24 20 2 2" xfId="14744"/>
    <cellStyle name="Обычный 24 20 2 2 2" xfId="44661"/>
    <cellStyle name="Обычный 24 20 2 3" xfId="44662"/>
    <cellStyle name="Обычный 24 20 3" xfId="14745"/>
    <cellStyle name="Обычный 24 20 3 2" xfId="44663"/>
    <cellStyle name="Обычный 24 20 4" xfId="44664"/>
    <cellStyle name="Обычный 24 21" xfId="14746"/>
    <cellStyle name="Обычный 24 21 2" xfId="14747"/>
    <cellStyle name="Обычный 24 21 2 2" xfId="14748"/>
    <cellStyle name="Обычный 24 21 2 2 2" xfId="44665"/>
    <cellStyle name="Обычный 24 21 2 3" xfId="44666"/>
    <cellStyle name="Обычный 24 21 3" xfId="14749"/>
    <cellStyle name="Обычный 24 21 3 2" xfId="44667"/>
    <cellStyle name="Обычный 24 21 4" xfId="44668"/>
    <cellStyle name="Обычный 24 22" xfId="14750"/>
    <cellStyle name="Обычный 24 22 2" xfId="44669"/>
    <cellStyle name="Обычный 24 23" xfId="14751"/>
    <cellStyle name="Обычный 24 23 2" xfId="44670"/>
    <cellStyle name="Обычный 24 24" xfId="14752"/>
    <cellStyle name="Обычный 24 24 2" xfId="44671"/>
    <cellStyle name="Обычный 24 25" xfId="14753"/>
    <cellStyle name="Обычный 24 25 2" xfId="44672"/>
    <cellStyle name="Обычный 24 26" xfId="14754"/>
    <cellStyle name="Обычный 24 26 2" xfId="44673"/>
    <cellStyle name="Обычный 24 27" xfId="14755"/>
    <cellStyle name="Обычный 24 27 2" xfId="14756"/>
    <cellStyle name="Обычный 24 27 2 2" xfId="44674"/>
    <cellStyle name="Обычный 24 27 3" xfId="44675"/>
    <cellStyle name="Обычный 24 28" xfId="14757"/>
    <cellStyle name="Обычный 24 28 2" xfId="44676"/>
    <cellStyle name="Обычный 24 29" xfId="14758"/>
    <cellStyle name="Обычный 24 29 2" xfId="44677"/>
    <cellStyle name="Обычный 24 3" xfId="14759"/>
    <cellStyle name="Обычный 24 3 2" xfId="44678"/>
    <cellStyle name="Обычный 24 30" xfId="44679"/>
    <cellStyle name="Обычный 24 4" xfId="14760"/>
    <cellStyle name="Обычный 24 4 2" xfId="14761"/>
    <cellStyle name="Обычный 24 5" xfId="14762"/>
    <cellStyle name="Обычный 24 5 2" xfId="44680"/>
    <cellStyle name="Обычный 24 6" xfId="14763"/>
    <cellStyle name="Обычный 24 6 2" xfId="44681"/>
    <cellStyle name="Обычный 24 7" xfId="14764"/>
    <cellStyle name="Обычный 24 7 2" xfId="44682"/>
    <cellStyle name="Обычный 24 8" xfId="14765"/>
    <cellStyle name="Обычный 24 8 2" xfId="44683"/>
    <cellStyle name="Обычный 24 9" xfId="14766"/>
    <cellStyle name="Обычный 24 9 2" xfId="44684"/>
    <cellStyle name="Обычный 240" xfId="14767"/>
    <cellStyle name="Обычный 240 2" xfId="44685"/>
    <cellStyle name="Обычный 241" xfId="14768"/>
    <cellStyle name="Обычный 241 2" xfId="44686"/>
    <cellStyle name="Обычный 242" xfId="14769"/>
    <cellStyle name="Обычный 242 2" xfId="14770"/>
    <cellStyle name="Обычный 242 3" xfId="14771"/>
    <cellStyle name="Обычный 242 3 2" xfId="14772"/>
    <cellStyle name="Обычный 243" xfId="14773"/>
    <cellStyle name="Обычный 243 2" xfId="44687"/>
    <cellStyle name="Обычный 244" xfId="14774"/>
    <cellStyle name="Обычный 244 2" xfId="44688"/>
    <cellStyle name="Обычный 245" xfId="14775"/>
    <cellStyle name="Обычный 245 2" xfId="44689"/>
    <cellStyle name="Обычный 246" xfId="14776"/>
    <cellStyle name="Обычный 246 2" xfId="44690"/>
    <cellStyle name="Обычный 247" xfId="14777"/>
    <cellStyle name="Обычный 247 2" xfId="44691"/>
    <cellStyle name="Обычный 248" xfId="14778"/>
    <cellStyle name="Обычный 249" xfId="14779"/>
    <cellStyle name="Обычный 249 2" xfId="14780"/>
    <cellStyle name="Обычный 249 3" xfId="14781"/>
    <cellStyle name="Обычный 249 3 2" xfId="14782"/>
    <cellStyle name="Обычный 25" xfId="14783"/>
    <cellStyle name="Обычный 25 10" xfId="14784"/>
    <cellStyle name="Обычный 25 10 2" xfId="44692"/>
    <cellStyle name="Обычный 25 11" xfId="14785"/>
    <cellStyle name="Обычный 25 11 2" xfId="44693"/>
    <cellStyle name="Обычный 25 12" xfId="14786"/>
    <cellStyle name="Обычный 25 12 2" xfId="44694"/>
    <cellStyle name="Обычный 25 13" xfId="14787"/>
    <cellStyle name="Обычный 25 13 2" xfId="44695"/>
    <cellStyle name="Обычный 25 14" xfId="14788"/>
    <cellStyle name="Обычный 25 14 2" xfId="44696"/>
    <cellStyle name="Обычный 25 15" xfId="14789"/>
    <cellStyle name="Обычный 25 15 2" xfId="44697"/>
    <cellStyle name="Обычный 25 16" xfId="14790"/>
    <cellStyle name="Обычный 25 16 2" xfId="44698"/>
    <cellStyle name="Обычный 25 17" xfId="14791"/>
    <cellStyle name="Обычный 25 17 2" xfId="44699"/>
    <cellStyle name="Обычный 25 18" xfId="14792"/>
    <cellStyle name="Обычный 25 18 2" xfId="44700"/>
    <cellStyle name="Обычный 25 19" xfId="14793"/>
    <cellStyle name="Обычный 25 19 2" xfId="14794"/>
    <cellStyle name="Обычный 25 19 2 2" xfId="14795"/>
    <cellStyle name="Обычный 25 19 2 2 2" xfId="44701"/>
    <cellStyle name="Обычный 25 19 2 3" xfId="44702"/>
    <cellStyle name="Обычный 25 19 3" xfId="14796"/>
    <cellStyle name="Обычный 25 19 3 2" xfId="44703"/>
    <cellStyle name="Обычный 25 19 4" xfId="44704"/>
    <cellStyle name="Обычный 25 2" xfId="14797"/>
    <cellStyle name="Обычный 25 2 2" xfId="14798"/>
    <cellStyle name="Обычный 25 20" xfId="14799"/>
    <cellStyle name="Обычный 25 20 2" xfId="14800"/>
    <cellStyle name="Обычный 25 20 2 2" xfId="14801"/>
    <cellStyle name="Обычный 25 20 2 2 2" xfId="44705"/>
    <cellStyle name="Обычный 25 20 2 3" xfId="44706"/>
    <cellStyle name="Обычный 25 20 3" xfId="14802"/>
    <cellStyle name="Обычный 25 20 3 2" xfId="44707"/>
    <cellStyle name="Обычный 25 20 4" xfId="44708"/>
    <cellStyle name="Обычный 25 21" xfId="14803"/>
    <cellStyle name="Обычный 25 21 2" xfId="14804"/>
    <cellStyle name="Обычный 25 21 2 2" xfId="14805"/>
    <cellStyle name="Обычный 25 21 2 2 2" xfId="44709"/>
    <cellStyle name="Обычный 25 21 2 3" xfId="44710"/>
    <cellStyle name="Обычный 25 21 3" xfId="14806"/>
    <cellStyle name="Обычный 25 21 3 2" xfId="44711"/>
    <cellStyle name="Обычный 25 21 4" xfId="44712"/>
    <cellStyle name="Обычный 25 22" xfId="14807"/>
    <cellStyle name="Обычный 25 22 2" xfId="44713"/>
    <cellStyle name="Обычный 25 23" xfId="14808"/>
    <cellStyle name="Обычный 25 23 2" xfId="44714"/>
    <cellStyle name="Обычный 25 24" xfId="14809"/>
    <cellStyle name="Обычный 25 24 2" xfId="44715"/>
    <cellStyle name="Обычный 25 25" xfId="14810"/>
    <cellStyle name="Обычный 25 25 2" xfId="44716"/>
    <cellStyle name="Обычный 25 26" xfId="14811"/>
    <cellStyle name="Обычный 25 26 2" xfId="44717"/>
    <cellStyle name="Обычный 25 27" xfId="14812"/>
    <cellStyle name="Обычный 25 27 2" xfId="14813"/>
    <cellStyle name="Обычный 25 27 2 2" xfId="44718"/>
    <cellStyle name="Обычный 25 27 3" xfId="44719"/>
    <cellStyle name="Обычный 25 28" xfId="14814"/>
    <cellStyle name="Обычный 25 28 2" xfId="44720"/>
    <cellStyle name="Обычный 25 29" xfId="14815"/>
    <cellStyle name="Обычный 25 29 2" xfId="44721"/>
    <cellStyle name="Обычный 25 3" xfId="14816"/>
    <cellStyle name="Обычный 25 3 2" xfId="44722"/>
    <cellStyle name="Обычный 25 30" xfId="44723"/>
    <cellStyle name="Обычный 25 4" xfId="14817"/>
    <cellStyle name="Обычный 25 4 2" xfId="14818"/>
    <cellStyle name="Обычный 25 5" xfId="14819"/>
    <cellStyle name="Обычный 25 5 2" xfId="44724"/>
    <cellStyle name="Обычный 25 6" xfId="14820"/>
    <cellStyle name="Обычный 25 6 2" xfId="44725"/>
    <cellStyle name="Обычный 25 7" xfId="14821"/>
    <cellStyle name="Обычный 25 7 2" xfId="44726"/>
    <cellStyle name="Обычный 25 8" xfId="14822"/>
    <cellStyle name="Обычный 25 8 2" xfId="44727"/>
    <cellStyle name="Обычный 25 9" xfId="14823"/>
    <cellStyle name="Обычный 25 9 2" xfId="44728"/>
    <cellStyle name="Обычный 250" xfId="44729"/>
    <cellStyle name="Обычный 251" xfId="39"/>
    <cellStyle name="Обычный 252" xfId="44730"/>
    <cellStyle name="Обычный 253" xfId="14824"/>
    <cellStyle name="Обычный 253 2" xfId="14825"/>
    <cellStyle name="Обычный 253 3" xfId="14826"/>
    <cellStyle name="Обычный 253 3 2" xfId="14827"/>
    <cellStyle name="Обычный 254" xfId="59098"/>
    <cellStyle name="Обычный 255" xfId="59099"/>
    <cellStyle name="Обычный 256" xfId="59034"/>
    <cellStyle name="Обычный 257" xfId="59043"/>
    <cellStyle name="Обычный 258" xfId="59031"/>
    <cellStyle name="Обычный 259" xfId="59032"/>
    <cellStyle name="Обычный 26" xfId="14828"/>
    <cellStyle name="Обычный 26 10" xfId="14829"/>
    <cellStyle name="Обычный 26 10 2" xfId="44731"/>
    <cellStyle name="Обычный 26 11" xfId="14830"/>
    <cellStyle name="Обычный 26 11 2" xfId="44732"/>
    <cellStyle name="Обычный 26 12" xfId="14831"/>
    <cellStyle name="Обычный 26 12 2" xfId="44733"/>
    <cellStyle name="Обычный 26 13" xfId="14832"/>
    <cellStyle name="Обычный 26 13 2" xfId="44734"/>
    <cellStyle name="Обычный 26 14" xfId="14833"/>
    <cellStyle name="Обычный 26 14 2" xfId="44735"/>
    <cellStyle name="Обычный 26 15" xfId="14834"/>
    <cellStyle name="Обычный 26 15 2" xfId="44736"/>
    <cellStyle name="Обычный 26 16" xfId="14835"/>
    <cellStyle name="Обычный 26 16 2" xfId="44737"/>
    <cellStyle name="Обычный 26 17" xfId="14836"/>
    <cellStyle name="Обычный 26 17 2" xfId="44738"/>
    <cellStyle name="Обычный 26 18" xfId="14837"/>
    <cellStyle name="Обычный 26 18 2" xfId="44739"/>
    <cellStyle name="Обычный 26 19" xfId="14838"/>
    <cellStyle name="Обычный 26 19 2" xfId="14839"/>
    <cellStyle name="Обычный 26 19 2 2" xfId="14840"/>
    <cellStyle name="Обычный 26 19 2 2 2" xfId="44740"/>
    <cellStyle name="Обычный 26 19 2 3" xfId="44741"/>
    <cellStyle name="Обычный 26 19 3" xfId="14841"/>
    <cellStyle name="Обычный 26 19 3 2" xfId="44742"/>
    <cellStyle name="Обычный 26 19 4" xfId="44743"/>
    <cellStyle name="Обычный 26 2" xfId="14842"/>
    <cellStyle name="Обычный 26 2 2" xfId="44744"/>
    <cellStyle name="Обычный 26 20" xfId="14843"/>
    <cellStyle name="Обычный 26 20 2" xfId="14844"/>
    <cellStyle name="Обычный 26 20 2 2" xfId="14845"/>
    <cellStyle name="Обычный 26 20 2 2 2" xfId="44745"/>
    <cellStyle name="Обычный 26 20 2 3" xfId="44746"/>
    <cellStyle name="Обычный 26 20 3" xfId="14846"/>
    <cellStyle name="Обычный 26 20 3 2" xfId="44747"/>
    <cellStyle name="Обычный 26 20 4" xfId="44748"/>
    <cellStyle name="Обычный 26 21" xfId="14847"/>
    <cellStyle name="Обычный 26 21 2" xfId="14848"/>
    <cellStyle name="Обычный 26 21 2 2" xfId="14849"/>
    <cellStyle name="Обычный 26 21 2 2 2" xfId="44749"/>
    <cellStyle name="Обычный 26 21 2 3" xfId="44750"/>
    <cellStyle name="Обычный 26 21 3" xfId="14850"/>
    <cellStyle name="Обычный 26 21 3 2" xfId="44751"/>
    <cellStyle name="Обычный 26 21 4" xfId="44752"/>
    <cellStyle name="Обычный 26 22" xfId="14851"/>
    <cellStyle name="Обычный 26 22 2" xfId="44753"/>
    <cellStyle name="Обычный 26 23" xfId="14852"/>
    <cellStyle name="Обычный 26 23 2" xfId="44754"/>
    <cellStyle name="Обычный 26 24" xfId="14853"/>
    <cellStyle name="Обычный 26 24 2" xfId="44755"/>
    <cellStyle name="Обычный 26 25" xfId="14854"/>
    <cellStyle name="Обычный 26 25 2" xfId="44756"/>
    <cellStyle name="Обычный 26 26" xfId="14855"/>
    <cellStyle name="Обычный 26 26 2" xfId="44757"/>
    <cellStyle name="Обычный 26 27" xfId="14856"/>
    <cellStyle name="Обычный 26 27 2" xfId="14857"/>
    <cellStyle name="Обычный 26 27 2 2" xfId="44758"/>
    <cellStyle name="Обычный 26 27 3" xfId="44759"/>
    <cellStyle name="Обычный 26 28" xfId="14858"/>
    <cellStyle name="Обычный 26 28 2" xfId="44760"/>
    <cellStyle name="Обычный 26 29" xfId="14859"/>
    <cellStyle name="Обычный 26 29 2" xfId="44761"/>
    <cellStyle name="Обычный 26 3" xfId="14860"/>
    <cellStyle name="Обычный 26 3 2" xfId="44762"/>
    <cellStyle name="Обычный 26 30" xfId="44763"/>
    <cellStyle name="Обычный 26 4" xfId="14861"/>
    <cellStyle name="Обычный 26 4 2" xfId="14862"/>
    <cellStyle name="Обычный 26 5" xfId="14863"/>
    <cellStyle name="Обычный 26 5 2" xfId="44764"/>
    <cellStyle name="Обычный 26 6" xfId="14864"/>
    <cellStyle name="Обычный 26 6 2" xfId="44765"/>
    <cellStyle name="Обычный 26 7" xfId="14865"/>
    <cellStyle name="Обычный 26 7 2" xfId="44766"/>
    <cellStyle name="Обычный 26 8" xfId="14866"/>
    <cellStyle name="Обычный 26 8 2" xfId="44767"/>
    <cellStyle name="Обычный 26 9" xfId="14867"/>
    <cellStyle name="Обычный 26 9 2" xfId="44768"/>
    <cellStyle name="Обычный 260" xfId="59033"/>
    <cellStyle name="Обычный 261" xfId="59039"/>
    <cellStyle name="Обычный 262" xfId="59040"/>
    <cellStyle name="Обычный 263" xfId="59041"/>
    <cellStyle name="Обычный 264" xfId="59035"/>
    <cellStyle name="Обычный 265" xfId="59036"/>
    <cellStyle name="Обычный 266" xfId="59037"/>
    <cellStyle name="Обычный 267" xfId="59038"/>
    <cellStyle name="Обычный 268" xfId="59044"/>
    <cellStyle name="Обычный 269" xfId="14868"/>
    <cellStyle name="Обычный 27" xfId="14869"/>
    <cellStyle name="Обычный 27 10" xfId="14870"/>
    <cellStyle name="Обычный 27 10 2" xfId="44769"/>
    <cellStyle name="Обычный 27 11" xfId="14871"/>
    <cellStyle name="Обычный 27 11 2" xfId="44770"/>
    <cellStyle name="Обычный 27 12" xfId="14872"/>
    <cellStyle name="Обычный 27 12 2" xfId="44771"/>
    <cellStyle name="Обычный 27 13" xfId="14873"/>
    <cellStyle name="Обычный 27 13 2" xfId="44772"/>
    <cellStyle name="Обычный 27 14" xfId="14874"/>
    <cellStyle name="Обычный 27 14 2" xfId="44773"/>
    <cellStyle name="Обычный 27 15" xfId="14875"/>
    <cellStyle name="Обычный 27 15 2" xfId="44774"/>
    <cellStyle name="Обычный 27 16" xfId="14876"/>
    <cellStyle name="Обычный 27 16 2" xfId="44775"/>
    <cellStyle name="Обычный 27 17" xfId="14877"/>
    <cellStyle name="Обычный 27 17 2" xfId="44776"/>
    <cellStyle name="Обычный 27 18" xfId="14878"/>
    <cellStyle name="Обычный 27 18 2" xfId="44777"/>
    <cellStyle name="Обычный 27 19" xfId="14879"/>
    <cellStyle name="Обычный 27 19 2" xfId="14880"/>
    <cellStyle name="Обычный 27 19 2 2" xfId="14881"/>
    <cellStyle name="Обычный 27 19 2 2 2" xfId="44778"/>
    <cellStyle name="Обычный 27 19 2 3" xfId="44779"/>
    <cellStyle name="Обычный 27 19 3" xfId="14882"/>
    <cellStyle name="Обычный 27 19 3 2" xfId="44780"/>
    <cellStyle name="Обычный 27 19 4" xfId="44781"/>
    <cellStyle name="Обычный 27 2" xfId="14883"/>
    <cellStyle name="Обычный 27 2 2" xfId="44782"/>
    <cellStyle name="Обычный 27 20" xfId="14884"/>
    <cellStyle name="Обычный 27 20 2" xfId="14885"/>
    <cellStyle name="Обычный 27 20 2 2" xfId="14886"/>
    <cellStyle name="Обычный 27 20 2 2 2" xfId="44783"/>
    <cellStyle name="Обычный 27 20 2 3" xfId="44784"/>
    <cellStyle name="Обычный 27 20 3" xfId="14887"/>
    <cellStyle name="Обычный 27 20 3 2" xfId="44785"/>
    <cellStyle name="Обычный 27 20 4" xfId="44786"/>
    <cellStyle name="Обычный 27 21" xfId="14888"/>
    <cellStyle name="Обычный 27 21 2" xfId="14889"/>
    <cellStyle name="Обычный 27 21 2 2" xfId="14890"/>
    <cellStyle name="Обычный 27 21 2 2 2" xfId="44787"/>
    <cellStyle name="Обычный 27 21 2 3" xfId="44788"/>
    <cellStyle name="Обычный 27 21 3" xfId="14891"/>
    <cellStyle name="Обычный 27 21 3 2" xfId="44789"/>
    <cellStyle name="Обычный 27 21 4" xfId="44790"/>
    <cellStyle name="Обычный 27 22" xfId="14892"/>
    <cellStyle name="Обычный 27 22 2" xfId="44791"/>
    <cellStyle name="Обычный 27 23" xfId="14893"/>
    <cellStyle name="Обычный 27 23 2" xfId="44792"/>
    <cellStyle name="Обычный 27 24" xfId="14894"/>
    <cellStyle name="Обычный 27 24 2" xfId="44793"/>
    <cellStyle name="Обычный 27 25" xfId="14895"/>
    <cellStyle name="Обычный 27 25 2" xfId="44794"/>
    <cellStyle name="Обычный 27 26" xfId="14896"/>
    <cellStyle name="Обычный 27 26 2" xfId="44795"/>
    <cellStyle name="Обычный 27 27" xfId="14897"/>
    <cellStyle name="Обычный 27 27 2" xfId="14898"/>
    <cellStyle name="Обычный 27 27 2 2" xfId="44796"/>
    <cellStyle name="Обычный 27 27 3" xfId="44797"/>
    <cellStyle name="Обычный 27 28" xfId="14899"/>
    <cellStyle name="Обычный 27 28 2" xfId="44798"/>
    <cellStyle name="Обычный 27 29" xfId="14900"/>
    <cellStyle name="Обычный 27 29 2" xfId="44799"/>
    <cellStyle name="Обычный 27 3" xfId="14901"/>
    <cellStyle name="Обычный 27 3 2" xfId="44800"/>
    <cellStyle name="Обычный 27 30" xfId="44801"/>
    <cellStyle name="Обычный 27 4" xfId="14902"/>
    <cellStyle name="Обычный 27 4 2" xfId="14903"/>
    <cellStyle name="Обычный 27 5" xfId="14904"/>
    <cellStyle name="Обычный 27 5 2" xfId="44802"/>
    <cellStyle name="Обычный 27 6" xfId="14905"/>
    <cellStyle name="Обычный 27 6 2" xfId="44803"/>
    <cellStyle name="Обычный 27 7" xfId="14906"/>
    <cellStyle name="Обычный 27 7 2" xfId="44804"/>
    <cellStyle name="Обычный 27 8" xfId="14907"/>
    <cellStyle name="Обычный 27 8 2" xfId="44805"/>
    <cellStyle name="Обычный 27 9" xfId="14908"/>
    <cellStyle name="Обычный 27 9 2" xfId="44806"/>
    <cellStyle name="Обычный 270" xfId="59045"/>
    <cellStyle name="Обычный 271" xfId="59042"/>
    <cellStyle name="Обычный 272" xfId="59046"/>
    <cellStyle name="Обычный 273" xfId="59047"/>
    <cellStyle name="Обычный 274" xfId="59048"/>
    <cellStyle name="Обычный 275" xfId="60333"/>
    <cellStyle name="Обычный 28" xfId="14909"/>
    <cellStyle name="Обычный 28 10" xfId="14910"/>
    <cellStyle name="Обычный 28 10 2" xfId="44807"/>
    <cellStyle name="Обычный 28 11" xfId="14911"/>
    <cellStyle name="Обычный 28 11 2" xfId="44808"/>
    <cellStyle name="Обычный 28 12" xfId="14912"/>
    <cellStyle name="Обычный 28 12 2" xfId="44809"/>
    <cellStyle name="Обычный 28 13" xfId="14913"/>
    <cellStyle name="Обычный 28 13 2" xfId="44810"/>
    <cellStyle name="Обычный 28 14" xfId="14914"/>
    <cellStyle name="Обычный 28 14 2" xfId="44811"/>
    <cellStyle name="Обычный 28 15" xfId="14915"/>
    <cellStyle name="Обычный 28 15 2" xfId="44812"/>
    <cellStyle name="Обычный 28 16" xfId="14916"/>
    <cellStyle name="Обычный 28 16 2" xfId="44813"/>
    <cellStyle name="Обычный 28 17" xfId="14917"/>
    <cellStyle name="Обычный 28 17 2" xfId="44814"/>
    <cellStyle name="Обычный 28 18" xfId="14918"/>
    <cellStyle name="Обычный 28 18 2" xfId="44815"/>
    <cellStyle name="Обычный 28 19" xfId="14919"/>
    <cellStyle name="Обычный 28 19 2" xfId="14920"/>
    <cellStyle name="Обычный 28 19 2 2" xfId="14921"/>
    <cellStyle name="Обычный 28 19 2 2 2" xfId="44816"/>
    <cellStyle name="Обычный 28 19 2 3" xfId="44817"/>
    <cellStyle name="Обычный 28 19 3" xfId="14922"/>
    <cellStyle name="Обычный 28 19 3 2" xfId="44818"/>
    <cellStyle name="Обычный 28 19 4" xfId="44819"/>
    <cellStyle name="Обычный 28 2" xfId="14923"/>
    <cellStyle name="Обычный 28 2 2" xfId="44820"/>
    <cellStyle name="Обычный 28 20" xfId="14924"/>
    <cellStyle name="Обычный 28 20 2" xfId="14925"/>
    <cellStyle name="Обычный 28 20 2 2" xfId="14926"/>
    <cellStyle name="Обычный 28 20 2 2 2" xfId="44821"/>
    <cellStyle name="Обычный 28 20 2 3" xfId="44822"/>
    <cellStyle name="Обычный 28 20 3" xfId="14927"/>
    <cellStyle name="Обычный 28 20 3 2" xfId="44823"/>
    <cellStyle name="Обычный 28 20 4" xfId="44824"/>
    <cellStyle name="Обычный 28 21" xfId="14928"/>
    <cellStyle name="Обычный 28 21 2" xfId="14929"/>
    <cellStyle name="Обычный 28 21 2 2" xfId="14930"/>
    <cellStyle name="Обычный 28 21 2 2 2" xfId="44825"/>
    <cellStyle name="Обычный 28 21 2 3" xfId="44826"/>
    <cellStyle name="Обычный 28 21 3" xfId="14931"/>
    <cellStyle name="Обычный 28 21 3 2" xfId="44827"/>
    <cellStyle name="Обычный 28 21 4" xfId="44828"/>
    <cellStyle name="Обычный 28 22" xfId="14932"/>
    <cellStyle name="Обычный 28 22 2" xfId="44829"/>
    <cellStyle name="Обычный 28 23" xfId="14933"/>
    <cellStyle name="Обычный 28 23 2" xfId="44830"/>
    <cellStyle name="Обычный 28 24" xfId="14934"/>
    <cellStyle name="Обычный 28 24 2" xfId="44831"/>
    <cellStyle name="Обычный 28 25" xfId="14935"/>
    <cellStyle name="Обычный 28 25 2" xfId="44832"/>
    <cellStyle name="Обычный 28 26" xfId="14936"/>
    <cellStyle name="Обычный 28 26 2" xfId="44833"/>
    <cellStyle name="Обычный 28 27" xfId="14937"/>
    <cellStyle name="Обычный 28 27 2" xfId="14938"/>
    <cellStyle name="Обычный 28 27 2 2" xfId="44834"/>
    <cellStyle name="Обычный 28 27 3" xfId="44835"/>
    <cellStyle name="Обычный 28 28" xfId="14939"/>
    <cellStyle name="Обычный 28 28 2" xfId="44836"/>
    <cellStyle name="Обычный 28 29" xfId="14940"/>
    <cellStyle name="Обычный 28 29 2" xfId="44837"/>
    <cellStyle name="Обычный 28 3" xfId="14941"/>
    <cellStyle name="Обычный 28 3 2" xfId="44838"/>
    <cellStyle name="Обычный 28 30" xfId="44839"/>
    <cellStyle name="Обычный 28 4" xfId="14942"/>
    <cellStyle name="Обычный 28 4 2" xfId="44840"/>
    <cellStyle name="Обычный 28 5" xfId="14943"/>
    <cellStyle name="Обычный 28 5 2" xfId="44841"/>
    <cellStyle name="Обычный 28 6" xfId="14944"/>
    <cellStyle name="Обычный 28 6 2" xfId="44842"/>
    <cellStyle name="Обычный 28 7" xfId="14945"/>
    <cellStyle name="Обычный 28 7 2" xfId="44843"/>
    <cellStyle name="Обычный 28 8" xfId="14946"/>
    <cellStyle name="Обычный 28 8 2" xfId="44844"/>
    <cellStyle name="Обычный 28 9" xfId="14947"/>
    <cellStyle name="Обычный 28 9 2" xfId="44845"/>
    <cellStyle name="Обычный 29" xfId="14948"/>
    <cellStyle name="Обычный 29 10" xfId="14949"/>
    <cellStyle name="Обычный 29 10 2" xfId="44846"/>
    <cellStyle name="Обычный 29 11" xfId="14950"/>
    <cellStyle name="Обычный 29 11 2" xfId="44847"/>
    <cellStyle name="Обычный 29 12" xfId="14951"/>
    <cellStyle name="Обычный 29 12 2" xfId="44848"/>
    <cellStyle name="Обычный 29 13" xfId="14952"/>
    <cellStyle name="Обычный 29 13 2" xfId="44849"/>
    <cellStyle name="Обычный 29 14" xfId="14953"/>
    <cellStyle name="Обычный 29 14 2" xfId="44850"/>
    <cellStyle name="Обычный 29 15" xfId="14954"/>
    <cellStyle name="Обычный 29 15 2" xfId="44851"/>
    <cellStyle name="Обычный 29 16" xfId="14955"/>
    <cellStyle name="Обычный 29 16 2" xfId="44852"/>
    <cellStyle name="Обычный 29 17" xfId="14956"/>
    <cellStyle name="Обычный 29 17 2" xfId="44853"/>
    <cellStyle name="Обычный 29 18" xfId="14957"/>
    <cellStyle name="Обычный 29 18 2" xfId="44854"/>
    <cellStyle name="Обычный 29 19" xfId="14958"/>
    <cellStyle name="Обычный 29 19 2" xfId="14959"/>
    <cellStyle name="Обычный 29 19 2 2" xfId="14960"/>
    <cellStyle name="Обычный 29 19 2 2 2" xfId="44855"/>
    <cellStyle name="Обычный 29 19 2 3" xfId="44856"/>
    <cellStyle name="Обычный 29 19 3" xfId="14961"/>
    <cellStyle name="Обычный 29 19 3 2" xfId="44857"/>
    <cellStyle name="Обычный 29 19 4" xfId="44858"/>
    <cellStyle name="Обычный 29 2" xfId="14962"/>
    <cellStyle name="Обычный 29 2 2" xfId="44859"/>
    <cellStyle name="Обычный 29 20" xfId="14963"/>
    <cellStyle name="Обычный 29 20 2" xfId="14964"/>
    <cellStyle name="Обычный 29 20 2 2" xfId="14965"/>
    <cellStyle name="Обычный 29 20 2 2 2" xfId="44860"/>
    <cellStyle name="Обычный 29 20 2 3" xfId="44861"/>
    <cellStyle name="Обычный 29 20 3" xfId="14966"/>
    <cellStyle name="Обычный 29 20 3 2" xfId="44862"/>
    <cellStyle name="Обычный 29 20 4" xfId="44863"/>
    <cellStyle name="Обычный 29 21" xfId="14967"/>
    <cellStyle name="Обычный 29 21 2" xfId="14968"/>
    <cellStyle name="Обычный 29 21 2 2" xfId="14969"/>
    <cellStyle name="Обычный 29 21 2 2 2" xfId="44864"/>
    <cellStyle name="Обычный 29 21 2 3" xfId="44865"/>
    <cellStyle name="Обычный 29 21 3" xfId="14970"/>
    <cellStyle name="Обычный 29 21 3 2" xfId="44866"/>
    <cellStyle name="Обычный 29 21 4" xfId="44867"/>
    <cellStyle name="Обычный 29 22" xfId="14971"/>
    <cellStyle name="Обычный 29 22 2" xfId="44868"/>
    <cellStyle name="Обычный 29 23" xfId="14972"/>
    <cellStyle name="Обычный 29 23 2" xfId="44869"/>
    <cellStyle name="Обычный 29 24" xfId="14973"/>
    <cellStyle name="Обычный 29 24 2" xfId="44870"/>
    <cellStyle name="Обычный 29 25" xfId="14974"/>
    <cellStyle name="Обычный 29 25 2" xfId="44871"/>
    <cellStyle name="Обычный 29 26" xfId="14975"/>
    <cellStyle name="Обычный 29 26 2" xfId="44872"/>
    <cellStyle name="Обычный 29 27" xfId="14976"/>
    <cellStyle name="Обычный 29 27 2" xfId="14977"/>
    <cellStyle name="Обычный 29 27 2 2" xfId="44873"/>
    <cellStyle name="Обычный 29 27 3" xfId="44874"/>
    <cellStyle name="Обычный 29 28" xfId="14978"/>
    <cellStyle name="Обычный 29 28 2" xfId="44875"/>
    <cellStyle name="Обычный 29 29" xfId="14979"/>
    <cellStyle name="Обычный 29 29 2" xfId="44876"/>
    <cellStyle name="Обычный 29 3" xfId="14980"/>
    <cellStyle name="Обычный 29 3 2" xfId="14981"/>
    <cellStyle name="Обычный 29 30" xfId="44877"/>
    <cellStyle name="Обычный 29 4" xfId="14982"/>
    <cellStyle name="Обычный 29 4 2" xfId="14983"/>
    <cellStyle name="Обычный 29 5" xfId="14984"/>
    <cellStyle name="Обычный 29 5 2" xfId="44878"/>
    <cellStyle name="Обычный 29 6" xfId="14985"/>
    <cellStyle name="Обычный 29 6 2" xfId="44879"/>
    <cellStyle name="Обычный 29 7" xfId="14986"/>
    <cellStyle name="Обычный 29 7 2" xfId="44880"/>
    <cellStyle name="Обычный 29 8" xfId="14987"/>
    <cellStyle name="Обычный 29 8 2" xfId="44881"/>
    <cellStyle name="Обычный 29 9" xfId="14988"/>
    <cellStyle name="Обычный 29 9 2" xfId="44882"/>
    <cellStyle name="Обычный 3" xfId="13"/>
    <cellStyle name="Обычный 3 10" xfId="14989"/>
    <cellStyle name="Обычный 3 10 10" xfId="14990"/>
    <cellStyle name="Обычный 3 10 10 2" xfId="44883"/>
    <cellStyle name="Обычный 3 10 11" xfId="14991"/>
    <cellStyle name="Обычный 3 10 11 2" xfId="44884"/>
    <cellStyle name="Обычный 3 10 12" xfId="14992"/>
    <cellStyle name="Обычный 3 10 12 2" xfId="44885"/>
    <cellStyle name="Обычный 3 10 13" xfId="14993"/>
    <cellStyle name="Обычный 3 10 13 2" xfId="44886"/>
    <cellStyle name="Обычный 3 10 14" xfId="14994"/>
    <cellStyle name="Обычный 3 10 14 2" xfId="44887"/>
    <cellStyle name="Обычный 3 10 15" xfId="14995"/>
    <cellStyle name="Обычный 3 10 15 2" xfId="44888"/>
    <cellStyle name="Обычный 3 10 16" xfId="14996"/>
    <cellStyle name="Обычный 3 10 16 2" xfId="44889"/>
    <cellStyle name="Обычный 3 10 17" xfId="14997"/>
    <cellStyle name="Обычный 3 10 17 2" xfId="44890"/>
    <cellStyle name="Обычный 3 10 18" xfId="14998"/>
    <cellStyle name="Обычный 3 10 18 2" xfId="44891"/>
    <cellStyle name="Обычный 3 10 19" xfId="14999"/>
    <cellStyle name="Обычный 3 10 19 2" xfId="44892"/>
    <cellStyle name="Обычный 3 10 2" xfId="15000"/>
    <cellStyle name="Обычный 3 10 2 2" xfId="44893"/>
    <cellStyle name="Обычный 3 10 20" xfId="15001"/>
    <cellStyle name="Обычный 3 10 20 2" xfId="44894"/>
    <cellStyle name="Обычный 3 10 21" xfId="15002"/>
    <cellStyle name="Обычный 3 10 21 2" xfId="44895"/>
    <cellStyle name="Обычный 3 10 22" xfId="15003"/>
    <cellStyle name="Обычный 3 10 22 2" xfId="44896"/>
    <cellStyle name="Обычный 3 10 23" xfId="15004"/>
    <cellStyle name="Обычный 3 10 23 2" xfId="44897"/>
    <cellStyle name="Обычный 3 10 24" xfId="44898"/>
    <cellStyle name="Обычный 3 10 3" xfId="15005"/>
    <cellStyle name="Обычный 3 10 3 2" xfId="44899"/>
    <cellStyle name="Обычный 3 10 4" xfId="15006"/>
    <cellStyle name="Обычный 3 10 4 2" xfId="44900"/>
    <cellStyle name="Обычный 3 10 5" xfId="15007"/>
    <cellStyle name="Обычный 3 10 5 2" xfId="44901"/>
    <cellStyle name="Обычный 3 10 6" xfId="15008"/>
    <cellStyle name="Обычный 3 10 6 2" xfId="44902"/>
    <cellStyle name="Обычный 3 10 7" xfId="15009"/>
    <cellStyle name="Обычный 3 10 7 2" xfId="44903"/>
    <cellStyle name="Обычный 3 10 8" xfId="15010"/>
    <cellStyle name="Обычный 3 10 8 2" xfId="44904"/>
    <cellStyle name="Обычный 3 10 9" xfId="15011"/>
    <cellStyle name="Обычный 3 10 9 2" xfId="44905"/>
    <cellStyle name="Обычный 3 11" xfId="15012"/>
    <cellStyle name="Обычный 3 11 10" xfId="15013"/>
    <cellStyle name="Обычный 3 11 10 2" xfId="44906"/>
    <cellStyle name="Обычный 3 11 11" xfId="15014"/>
    <cellStyle name="Обычный 3 11 11 2" xfId="44907"/>
    <cellStyle name="Обычный 3 11 12" xfId="15015"/>
    <cellStyle name="Обычный 3 11 12 2" xfId="44908"/>
    <cellStyle name="Обычный 3 11 13" xfId="15016"/>
    <cellStyle name="Обычный 3 11 13 2" xfId="44909"/>
    <cellStyle name="Обычный 3 11 14" xfId="15017"/>
    <cellStyle name="Обычный 3 11 14 2" xfId="44910"/>
    <cellStyle name="Обычный 3 11 15" xfId="15018"/>
    <cellStyle name="Обычный 3 11 15 2" xfId="44911"/>
    <cellStyle name="Обычный 3 11 16" xfId="15019"/>
    <cellStyle name="Обычный 3 11 16 2" xfId="44912"/>
    <cellStyle name="Обычный 3 11 17" xfId="15020"/>
    <cellStyle name="Обычный 3 11 17 2" xfId="44913"/>
    <cellStyle name="Обычный 3 11 18" xfId="15021"/>
    <cellStyle name="Обычный 3 11 18 2" xfId="44914"/>
    <cellStyle name="Обычный 3 11 19" xfId="15022"/>
    <cellStyle name="Обычный 3 11 19 2" xfId="44915"/>
    <cellStyle name="Обычный 3 11 2" xfId="15023"/>
    <cellStyle name="Обычный 3 11 2 2" xfId="44916"/>
    <cellStyle name="Обычный 3 11 20" xfId="15024"/>
    <cellStyle name="Обычный 3 11 20 2" xfId="44917"/>
    <cellStyle name="Обычный 3 11 21" xfId="15025"/>
    <cellStyle name="Обычный 3 11 21 2" xfId="44918"/>
    <cellStyle name="Обычный 3 11 22" xfId="15026"/>
    <cellStyle name="Обычный 3 11 22 2" xfId="44919"/>
    <cellStyle name="Обычный 3 11 23" xfId="15027"/>
    <cellStyle name="Обычный 3 11 23 2" xfId="44920"/>
    <cellStyle name="Обычный 3 11 24" xfId="44921"/>
    <cellStyle name="Обычный 3 11 3" xfId="15028"/>
    <cellStyle name="Обычный 3 11 3 2" xfId="44922"/>
    <cellStyle name="Обычный 3 11 4" xfId="15029"/>
    <cellStyle name="Обычный 3 11 4 2" xfId="44923"/>
    <cellStyle name="Обычный 3 11 5" xfId="15030"/>
    <cellStyle name="Обычный 3 11 5 2" xfId="44924"/>
    <cellStyle name="Обычный 3 11 6" xfId="15031"/>
    <cellStyle name="Обычный 3 11 6 2" xfId="44925"/>
    <cellStyle name="Обычный 3 11 7" xfId="15032"/>
    <cellStyle name="Обычный 3 11 7 2" xfId="44926"/>
    <cellStyle name="Обычный 3 11 8" xfId="15033"/>
    <cellStyle name="Обычный 3 11 8 2" xfId="44927"/>
    <cellStyle name="Обычный 3 11 9" xfId="15034"/>
    <cellStyle name="Обычный 3 11 9 2" xfId="44928"/>
    <cellStyle name="Обычный 3 12" xfId="15035"/>
    <cellStyle name="Обычный 3 12 10" xfId="15036"/>
    <cellStyle name="Обычный 3 12 10 2" xfId="44929"/>
    <cellStyle name="Обычный 3 12 11" xfId="15037"/>
    <cellStyle name="Обычный 3 12 11 2" xfId="44930"/>
    <cellStyle name="Обычный 3 12 12" xfId="15038"/>
    <cellStyle name="Обычный 3 12 12 2" xfId="44931"/>
    <cellStyle name="Обычный 3 12 13" xfId="15039"/>
    <cellStyle name="Обычный 3 12 13 2" xfId="44932"/>
    <cellStyle name="Обычный 3 12 14" xfId="15040"/>
    <cellStyle name="Обычный 3 12 14 2" xfId="44933"/>
    <cellStyle name="Обычный 3 12 15" xfId="15041"/>
    <cellStyle name="Обычный 3 12 15 2" xfId="44934"/>
    <cellStyle name="Обычный 3 12 16" xfId="15042"/>
    <cellStyle name="Обычный 3 12 16 2" xfId="44935"/>
    <cellStyle name="Обычный 3 12 17" xfId="15043"/>
    <cellStyle name="Обычный 3 12 17 2" xfId="44936"/>
    <cellStyle name="Обычный 3 12 18" xfId="15044"/>
    <cellStyle name="Обычный 3 12 18 2" xfId="44937"/>
    <cellStyle name="Обычный 3 12 19" xfId="44938"/>
    <cellStyle name="Обычный 3 12 2" xfId="15045"/>
    <cellStyle name="Обычный 3 12 2 2" xfId="44939"/>
    <cellStyle name="Обычный 3 12 3" xfId="15046"/>
    <cellStyle name="Обычный 3 12 3 2" xfId="44940"/>
    <cellStyle name="Обычный 3 12 4" xfId="15047"/>
    <cellStyle name="Обычный 3 12 4 2" xfId="44941"/>
    <cellStyle name="Обычный 3 12 5" xfId="15048"/>
    <cellStyle name="Обычный 3 12 5 2" xfId="44942"/>
    <cellStyle name="Обычный 3 12 6" xfId="15049"/>
    <cellStyle name="Обычный 3 12 6 2" xfId="44943"/>
    <cellStyle name="Обычный 3 12 7" xfId="15050"/>
    <cellStyle name="Обычный 3 12 7 2" xfId="44944"/>
    <cellStyle name="Обычный 3 12 8" xfId="15051"/>
    <cellStyle name="Обычный 3 12 8 2" xfId="44945"/>
    <cellStyle name="Обычный 3 12 9" xfId="15052"/>
    <cellStyle name="Обычный 3 12 9 2" xfId="44946"/>
    <cellStyle name="Обычный 3 13" xfId="15053"/>
    <cellStyle name="Обычный 3 13 10" xfId="15054"/>
    <cellStyle name="Обычный 3 13 10 2" xfId="44947"/>
    <cellStyle name="Обычный 3 13 11" xfId="15055"/>
    <cellStyle name="Обычный 3 13 11 2" xfId="44948"/>
    <cellStyle name="Обычный 3 13 12" xfId="15056"/>
    <cellStyle name="Обычный 3 13 12 2" xfId="44949"/>
    <cellStyle name="Обычный 3 13 13" xfId="15057"/>
    <cellStyle name="Обычный 3 13 13 2" xfId="44950"/>
    <cellStyle name="Обычный 3 13 14" xfId="15058"/>
    <cellStyle name="Обычный 3 13 14 2" xfId="44951"/>
    <cellStyle name="Обычный 3 13 15" xfId="15059"/>
    <cellStyle name="Обычный 3 13 15 2" xfId="44952"/>
    <cellStyle name="Обычный 3 13 16" xfId="15060"/>
    <cellStyle name="Обычный 3 13 16 2" xfId="44953"/>
    <cellStyle name="Обычный 3 13 17" xfId="15061"/>
    <cellStyle name="Обычный 3 13 17 2" xfId="44954"/>
    <cellStyle name="Обычный 3 13 18" xfId="15062"/>
    <cellStyle name="Обычный 3 13 18 2" xfId="44955"/>
    <cellStyle name="Обычный 3 13 19" xfId="44956"/>
    <cellStyle name="Обычный 3 13 2" xfId="15063"/>
    <cellStyle name="Обычный 3 13 2 2" xfId="44957"/>
    <cellStyle name="Обычный 3 13 3" xfId="15064"/>
    <cellStyle name="Обычный 3 13 3 2" xfId="44958"/>
    <cellStyle name="Обычный 3 13 4" xfId="15065"/>
    <cellStyle name="Обычный 3 13 4 2" xfId="44959"/>
    <cellStyle name="Обычный 3 13 5" xfId="15066"/>
    <cellStyle name="Обычный 3 13 5 2" xfId="44960"/>
    <cellStyle name="Обычный 3 13 6" xfId="15067"/>
    <cellStyle name="Обычный 3 13 6 2" xfId="44961"/>
    <cellStyle name="Обычный 3 13 7" xfId="15068"/>
    <cellStyle name="Обычный 3 13 7 2" xfId="44962"/>
    <cellStyle name="Обычный 3 13 8" xfId="15069"/>
    <cellStyle name="Обычный 3 13 8 2" xfId="44963"/>
    <cellStyle name="Обычный 3 13 9" xfId="15070"/>
    <cellStyle name="Обычный 3 13 9 2" xfId="44964"/>
    <cellStyle name="Обычный 3 14" xfId="15071"/>
    <cellStyle name="Обычный 3 14 10" xfId="15072"/>
    <cellStyle name="Обычный 3 14 10 2" xfId="44965"/>
    <cellStyle name="Обычный 3 14 11" xfId="15073"/>
    <cellStyle name="Обычный 3 14 11 2" xfId="44966"/>
    <cellStyle name="Обычный 3 14 12" xfId="15074"/>
    <cellStyle name="Обычный 3 14 12 2" xfId="44967"/>
    <cellStyle name="Обычный 3 14 13" xfId="15075"/>
    <cellStyle name="Обычный 3 14 13 2" xfId="44968"/>
    <cellStyle name="Обычный 3 14 14" xfId="15076"/>
    <cellStyle name="Обычный 3 14 14 2" xfId="44969"/>
    <cellStyle name="Обычный 3 14 15" xfId="15077"/>
    <cellStyle name="Обычный 3 14 15 2" xfId="44970"/>
    <cellStyle name="Обычный 3 14 16" xfId="15078"/>
    <cellStyle name="Обычный 3 14 16 2" xfId="44971"/>
    <cellStyle name="Обычный 3 14 17" xfId="15079"/>
    <cellStyle name="Обычный 3 14 17 2" xfId="44972"/>
    <cellStyle name="Обычный 3 14 18" xfId="15080"/>
    <cellStyle name="Обычный 3 14 18 2" xfId="44973"/>
    <cellStyle name="Обычный 3 14 19" xfId="44974"/>
    <cellStyle name="Обычный 3 14 2" xfId="15081"/>
    <cellStyle name="Обычный 3 14 2 2" xfId="44975"/>
    <cellStyle name="Обычный 3 14 3" xfId="15082"/>
    <cellStyle name="Обычный 3 14 3 2" xfId="44976"/>
    <cellStyle name="Обычный 3 14 4" xfId="15083"/>
    <cellStyle name="Обычный 3 14 4 2" xfId="44977"/>
    <cellStyle name="Обычный 3 14 5" xfId="15084"/>
    <cellStyle name="Обычный 3 14 5 2" xfId="44978"/>
    <cellStyle name="Обычный 3 14 6" xfId="15085"/>
    <cellStyle name="Обычный 3 14 6 2" xfId="44979"/>
    <cellStyle name="Обычный 3 14 7" xfId="15086"/>
    <cellStyle name="Обычный 3 14 7 2" xfId="44980"/>
    <cellStyle name="Обычный 3 14 8" xfId="15087"/>
    <cellStyle name="Обычный 3 14 8 2" xfId="44981"/>
    <cellStyle name="Обычный 3 14 9" xfId="15088"/>
    <cellStyle name="Обычный 3 14 9 2" xfId="44982"/>
    <cellStyle name="Обычный 3 15" xfId="15089"/>
    <cellStyle name="Обычный 3 15 2" xfId="44983"/>
    <cellStyle name="Обычный 3 16" xfId="15090"/>
    <cellStyle name="Обычный 3 16 2" xfId="44984"/>
    <cellStyle name="Обычный 3 17" xfId="15091"/>
    <cellStyle name="Обычный 3 17 2" xfId="44985"/>
    <cellStyle name="Обычный 3 18" xfId="15092"/>
    <cellStyle name="Обычный 3 18 2" xfId="44986"/>
    <cellStyle name="Обычный 3 19" xfId="15093"/>
    <cellStyle name="Обычный 3 19 2" xfId="44987"/>
    <cellStyle name="Обычный 3 2" xfId="14"/>
    <cellStyle name="Обычный 3 2 10" xfId="15094"/>
    <cellStyle name="Обычный 3 2 10 2" xfId="44988"/>
    <cellStyle name="Обычный 3 2 11" xfId="15095"/>
    <cellStyle name="Обычный 3 2 11 2" xfId="44989"/>
    <cellStyle name="Обычный 3 2 12" xfId="15096"/>
    <cellStyle name="Обычный 3 2 12 2" xfId="44990"/>
    <cellStyle name="Обычный 3 2 13" xfId="15097"/>
    <cellStyle name="Обычный 3 2 13 2" xfId="44991"/>
    <cellStyle name="Обычный 3 2 14" xfId="15098"/>
    <cellStyle name="Обычный 3 2 14 2" xfId="44992"/>
    <cellStyle name="Обычный 3 2 15" xfId="15099"/>
    <cellStyle name="Обычный 3 2 15 2" xfId="44993"/>
    <cellStyle name="Обычный 3 2 16" xfId="15100"/>
    <cellStyle name="Обычный 3 2 16 2" xfId="44994"/>
    <cellStyle name="Обычный 3 2 17" xfId="15101"/>
    <cellStyle name="Обычный 3 2 17 2" xfId="44995"/>
    <cellStyle name="Обычный 3 2 18" xfId="15102"/>
    <cellStyle name="Обычный 3 2 18 2" xfId="44996"/>
    <cellStyle name="Обычный 3 2 19" xfId="15103"/>
    <cellStyle name="Обычный 3 2 19 2" xfId="44997"/>
    <cellStyle name="Обычный 3 2 2" xfId="15104"/>
    <cellStyle name="Обычный 3 2 2 10" xfId="15105"/>
    <cellStyle name="Обычный 3 2 2 10 2" xfId="44998"/>
    <cellStyle name="Обычный 3 2 2 11" xfId="15106"/>
    <cellStyle name="Обычный 3 2 2 11 2" xfId="44999"/>
    <cellStyle name="Обычный 3 2 2 12" xfId="15107"/>
    <cellStyle name="Обычный 3 2 2 12 2" xfId="45000"/>
    <cellStyle name="Обычный 3 2 2 13" xfId="15108"/>
    <cellStyle name="Обычный 3 2 2 13 2" xfId="45001"/>
    <cellStyle name="Обычный 3 2 2 14" xfId="15109"/>
    <cellStyle name="Обычный 3 2 2 14 2" xfId="45002"/>
    <cellStyle name="Обычный 3 2 2 15" xfId="15110"/>
    <cellStyle name="Обычный 3 2 2 15 2" xfId="45003"/>
    <cellStyle name="Обычный 3 2 2 16" xfId="15111"/>
    <cellStyle name="Обычный 3 2 2 16 2" xfId="45004"/>
    <cellStyle name="Обычный 3 2 2 17" xfId="15112"/>
    <cellStyle name="Обычный 3 2 2 17 2" xfId="45005"/>
    <cellStyle name="Обычный 3 2 2 18" xfId="15113"/>
    <cellStyle name="Обычный 3 2 2 18 2" xfId="45006"/>
    <cellStyle name="Обычный 3 2 2 19" xfId="15114"/>
    <cellStyle name="Обычный 3 2 2 19 2" xfId="45007"/>
    <cellStyle name="Обычный 3 2 2 2" xfId="15115"/>
    <cellStyle name="Обычный 3 2 2 2 2" xfId="45008"/>
    <cellStyle name="Обычный 3 2 2 2 3" xfId="60321"/>
    <cellStyle name="Обычный 3 2 2 20" xfId="15116"/>
    <cellStyle name="Обычный 3 2 2 20 2" xfId="45009"/>
    <cellStyle name="Обычный 3 2 2 21" xfId="15117"/>
    <cellStyle name="Обычный 3 2 2 21 2" xfId="45010"/>
    <cellStyle name="Обычный 3 2 2 22" xfId="15118"/>
    <cellStyle name="Обычный 3 2 2 22 2" xfId="45011"/>
    <cellStyle name="Обычный 3 2 2 23" xfId="15119"/>
    <cellStyle name="Обычный 3 2 2 23 2" xfId="45012"/>
    <cellStyle name="Обычный 3 2 2 24" xfId="15120"/>
    <cellStyle name="Обычный 3 2 2 24 2" xfId="45013"/>
    <cellStyle name="Обычный 3 2 2 25" xfId="15121"/>
    <cellStyle name="Обычный 3 2 2 25 2" xfId="45014"/>
    <cellStyle name="Обычный 3 2 2 26" xfId="45015"/>
    <cellStyle name="Обычный 3 2 2 3" xfId="15122"/>
    <cellStyle name="Обычный 3 2 2 3 2" xfId="45016"/>
    <cellStyle name="Обычный 3 2 2 4" xfId="15123"/>
    <cellStyle name="Обычный 3 2 2 4 2" xfId="45017"/>
    <cellStyle name="Обычный 3 2 2 5" xfId="15124"/>
    <cellStyle name="Обычный 3 2 2 5 2" xfId="45018"/>
    <cellStyle name="Обычный 3 2 2 6" xfId="15125"/>
    <cellStyle name="Обычный 3 2 2 6 2" xfId="45019"/>
    <cellStyle name="Обычный 3 2 2 7" xfId="15126"/>
    <cellStyle name="Обычный 3 2 2 7 2" xfId="45020"/>
    <cellStyle name="Обычный 3 2 2 8" xfId="15127"/>
    <cellStyle name="Обычный 3 2 2 8 2" xfId="45021"/>
    <cellStyle name="Обычный 3 2 2 9" xfId="15128"/>
    <cellStyle name="Обычный 3 2 2 9 2" xfId="45022"/>
    <cellStyle name="Обычный 3 2 20" xfId="15129"/>
    <cellStyle name="Обычный 3 2 20 2" xfId="45023"/>
    <cellStyle name="Обычный 3 2 21" xfId="15130"/>
    <cellStyle name="Обычный 3 2 21 2" xfId="45024"/>
    <cellStyle name="Обычный 3 2 22" xfId="15131"/>
    <cellStyle name="Обычный 3 2 22 2" xfId="45025"/>
    <cellStyle name="Обычный 3 2 23" xfId="15132"/>
    <cellStyle name="Обычный 3 2 23 2" xfId="45026"/>
    <cellStyle name="Обычный 3 2 24" xfId="15133"/>
    <cellStyle name="Обычный 3 2 24 2" xfId="45027"/>
    <cellStyle name="Обычный 3 2 25" xfId="15134"/>
    <cellStyle name="Обычный 3 2 25 2" xfId="45028"/>
    <cellStyle name="Обычный 3 2 26" xfId="15135"/>
    <cellStyle name="Обычный 3 2 26 2" xfId="45029"/>
    <cellStyle name="Обычный 3 2 27" xfId="15136"/>
    <cellStyle name="Обычный 3 2 27 2" xfId="45030"/>
    <cellStyle name="Обычный 3 2 28" xfId="15137"/>
    <cellStyle name="Обычный 3 2 28 2" xfId="45031"/>
    <cellStyle name="Обычный 3 2 29" xfId="15138"/>
    <cellStyle name="Обычный 3 2 29 2" xfId="45032"/>
    <cellStyle name="Обычный 3 2 3" xfId="15139"/>
    <cellStyle name="Обычный 3 2 3 2" xfId="45033"/>
    <cellStyle name="Обычный 3 2 30" xfId="15140"/>
    <cellStyle name="Обычный 3 2 30 2" xfId="45034"/>
    <cellStyle name="Обычный 3 2 31" xfId="15141"/>
    <cellStyle name="Обычный 3 2 31 2" xfId="45035"/>
    <cellStyle name="Обычный 3 2 32" xfId="15142"/>
    <cellStyle name="Обычный 3 2 32 2" xfId="45036"/>
    <cellStyle name="Обычный 3 2 33" xfId="15143"/>
    <cellStyle name="Обычный 3 2 33 2" xfId="45037"/>
    <cellStyle name="Обычный 3 2 34" xfId="15144"/>
    <cellStyle name="Обычный 3 2 34 2" xfId="45038"/>
    <cellStyle name="Обычный 3 2 35" xfId="15145"/>
    <cellStyle name="Обычный 3 2 35 2" xfId="45039"/>
    <cellStyle name="Обычный 3 2 36" xfId="15146"/>
    <cellStyle name="Обычный 3 2 36 2" xfId="45040"/>
    <cellStyle name="Обычный 3 2 37" xfId="15147"/>
    <cellStyle name="Обычный 3 2 38" xfId="15148"/>
    <cellStyle name="Обычный 3 2 39" xfId="60322"/>
    <cellStyle name="Обычный 3 2 4" xfId="15149"/>
    <cellStyle name="Обычный 3 2 4 2" xfId="45041"/>
    <cellStyle name="Обычный 3 2 5" xfId="15150"/>
    <cellStyle name="Обычный 3 2 5 2" xfId="45042"/>
    <cellStyle name="Обычный 3 2 6" xfId="15151"/>
    <cellStyle name="Обычный 3 2 6 2" xfId="45043"/>
    <cellStyle name="Обычный 3 2 7" xfId="15152"/>
    <cellStyle name="Обычный 3 2 7 2" xfId="45044"/>
    <cellStyle name="Обычный 3 2 8" xfId="15153"/>
    <cellStyle name="Обычный 3 2 8 2" xfId="45045"/>
    <cellStyle name="Обычный 3 2 9" xfId="15154"/>
    <cellStyle name="Обычный 3 2 9 2" xfId="45046"/>
    <cellStyle name="Обычный 3 2_Лист1" xfId="15155"/>
    <cellStyle name="Обычный 3 20" xfId="15156"/>
    <cellStyle name="Обычный 3 20 2" xfId="45047"/>
    <cellStyle name="Обычный 3 21" xfId="15157"/>
    <cellStyle name="Обычный 3 21 2" xfId="45048"/>
    <cellStyle name="Обычный 3 22" xfId="15158"/>
    <cellStyle name="Обычный 3 22 2" xfId="45049"/>
    <cellStyle name="Обычный 3 23" xfId="15159"/>
    <cellStyle name="Обычный 3 24" xfId="45050"/>
    <cellStyle name="Обычный 3 25" xfId="59100"/>
    <cellStyle name="Обычный 3 26" xfId="59101"/>
    <cellStyle name="Обычный 3 27" xfId="59102"/>
    <cellStyle name="Обычный 3 28" xfId="59103"/>
    <cellStyle name="Обычный 3 29" xfId="59104"/>
    <cellStyle name="Обычный 3 3" xfId="15"/>
    <cellStyle name="Обычный 3 3 10" xfId="15160"/>
    <cellStyle name="Обычный 3 3 10 2" xfId="45051"/>
    <cellStyle name="Обычный 3 3 11" xfId="15161"/>
    <cellStyle name="Обычный 3 3 11 2" xfId="45052"/>
    <cellStyle name="Обычный 3 3 12" xfId="15162"/>
    <cellStyle name="Обычный 3 3 12 2" xfId="45053"/>
    <cellStyle name="Обычный 3 3 13" xfId="15163"/>
    <cellStyle name="Обычный 3 3 13 2" xfId="45054"/>
    <cellStyle name="Обычный 3 3 14" xfId="15164"/>
    <cellStyle name="Обычный 3 3 14 2" xfId="45055"/>
    <cellStyle name="Обычный 3 3 15" xfId="15165"/>
    <cellStyle name="Обычный 3 3 15 2" xfId="45056"/>
    <cellStyle name="Обычный 3 3 16" xfId="15166"/>
    <cellStyle name="Обычный 3 3 16 2" xfId="45057"/>
    <cellStyle name="Обычный 3 3 17" xfId="15167"/>
    <cellStyle name="Обычный 3 3 17 2" xfId="45058"/>
    <cellStyle name="Обычный 3 3 18" xfId="15168"/>
    <cellStyle name="Обычный 3 3 18 2" xfId="45059"/>
    <cellStyle name="Обычный 3 3 19" xfId="15169"/>
    <cellStyle name="Обычный 3 3 19 2" xfId="45060"/>
    <cellStyle name="Обычный 3 3 2" xfId="16"/>
    <cellStyle name="Обычный 3 3 2 10" xfId="15170"/>
    <cellStyle name="Обычный 3 3 2 10 2" xfId="45061"/>
    <cellStyle name="Обычный 3 3 2 11" xfId="15171"/>
    <cellStyle name="Обычный 3 3 2 11 2" xfId="45062"/>
    <cellStyle name="Обычный 3 3 2 12" xfId="15172"/>
    <cellStyle name="Обычный 3 3 2 12 2" xfId="45063"/>
    <cellStyle name="Обычный 3 3 2 13" xfId="15173"/>
    <cellStyle name="Обычный 3 3 2 13 2" xfId="45064"/>
    <cellStyle name="Обычный 3 3 2 14" xfId="15174"/>
    <cellStyle name="Обычный 3 3 2 14 2" xfId="45065"/>
    <cellStyle name="Обычный 3 3 2 15" xfId="15175"/>
    <cellStyle name="Обычный 3 3 2 15 2" xfId="45066"/>
    <cellStyle name="Обычный 3 3 2 16" xfId="15176"/>
    <cellStyle name="Обычный 3 3 2 16 2" xfId="45067"/>
    <cellStyle name="Обычный 3 3 2 17" xfId="15177"/>
    <cellStyle name="Обычный 3 3 2 17 2" xfId="45068"/>
    <cellStyle name="Обычный 3 3 2 18" xfId="15178"/>
    <cellStyle name="Обычный 3 3 2 18 2" xfId="45069"/>
    <cellStyle name="Обычный 3 3 2 19" xfId="15179"/>
    <cellStyle name="Обычный 3 3 2 19 2" xfId="45070"/>
    <cellStyle name="Обычный 3 3 2 2" xfId="15180"/>
    <cellStyle name="Обычный 3 3 2 2 2" xfId="45071"/>
    <cellStyle name="Обычный 3 3 2 20" xfId="15181"/>
    <cellStyle name="Обычный 3 3 2 20 2" xfId="45072"/>
    <cellStyle name="Обычный 3 3 2 21" xfId="15182"/>
    <cellStyle name="Обычный 3 3 2 21 2" xfId="45073"/>
    <cellStyle name="Обычный 3 3 2 22" xfId="15183"/>
    <cellStyle name="Обычный 3 3 2 22 2" xfId="45074"/>
    <cellStyle name="Обычный 3 3 2 23" xfId="15184"/>
    <cellStyle name="Обычный 3 3 2 23 2" xfId="45075"/>
    <cellStyle name="Обычный 3 3 2 24" xfId="15185"/>
    <cellStyle name="Обычный 3 3 2 25" xfId="15186"/>
    <cellStyle name="Обычный 3 3 2 3" xfId="15187"/>
    <cellStyle name="Обычный 3 3 2 3 2" xfId="45076"/>
    <cellStyle name="Обычный 3 3 2 4" xfId="15188"/>
    <cellStyle name="Обычный 3 3 2 4 2" xfId="45077"/>
    <cellStyle name="Обычный 3 3 2 5" xfId="15189"/>
    <cellStyle name="Обычный 3 3 2 5 2" xfId="45078"/>
    <cellStyle name="Обычный 3 3 2 6" xfId="15190"/>
    <cellStyle name="Обычный 3 3 2 6 2" xfId="45079"/>
    <cellStyle name="Обычный 3 3 2 7" xfId="15191"/>
    <cellStyle name="Обычный 3 3 2 7 2" xfId="45080"/>
    <cellStyle name="Обычный 3 3 2 8" xfId="15192"/>
    <cellStyle name="Обычный 3 3 2 8 2" xfId="45081"/>
    <cellStyle name="Обычный 3 3 2 9" xfId="15193"/>
    <cellStyle name="Обычный 3 3 2 9 2" xfId="45082"/>
    <cellStyle name="Обычный 3 3 20" xfId="15194"/>
    <cellStyle name="Обычный 3 3 20 2" xfId="45083"/>
    <cellStyle name="Обычный 3 3 21" xfId="15195"/>
    <cellStyle name="Обычный 3 3 21 2" xfId="45084"/>
    <cellStyle name="Обычный 3 3 22" xfId="15196"/>
    <cellStyle name="Обычный 3 3 22 2" xfId="45085"/>
    <cellStyle name="Обычный 3 3 23" xfId="15197"/>
    <cellStyle name="Обычный 3 3 23 2" xfId="45086"/>
    <cellStyle name="Обычный 3 3 24" xfId="15198"/>
    <cellStyle name="Обычный 3 3 24 2" xfId="45087"/>
    <cellStyle name="Обычный 3 3 25" xfId="15199"/>
    <cellStyle name="Обычный 3 3 25 2" xfId="45088"/>
    <cellStyle name="Обычный 3 3 26" xfId="15200"/>
    <cellStyle name="Обычный 3 3 26 2" xfId="45089"/>
    <cellStyle name="Обычный 3 3 27" xfId="15201"/>
    <cellStyle name="Обычный 3 3 27 2" xfId="45090"/>
    <cellStyle name="Обычный 3 3 28" xfId="15202"/>
    <cellStyle name="Обычный 3 3 28 2" xfId="45091"/>
    <cellStyle name="Обычный 3 3 29" xfId="15203"/>
    <cellStyle name="Обычный 3 3 29 2" xfId="45092"/>
    <cellStyle name="Обычный 3 3 3" xfId="15204"/>
    <cellStyle name="Обычный 3 3 3 2" xfId="45093"/>
    <cellStyle name="Обычный 3 3 30" xfId="15205"/>
    <cellStyle name="Обычный 3 3 30 2" xfId="45094"/>
    <cellStyle name="Обычный 3 3 31" xfId="15206"/>
    <cellStyle name="Обычный 3 3 31 2" xfId="45095"/>
    <cellStyle name="Обычный 3 3 32" xfId="15207"/>
    <cellStyle name="Обычный 3 3 32 2" xfId="45096"/>
    <cellStyle name="Обычный 3 3 33" xfId="15208"/>
    <cellStyle name="Обычный 3 3 33 2" xfId="45097"/>
    <cellStyle name="Обычный 3 3 34" xfId="15209"/>
    <cellStyle name="Обычный 3 3 34 2" xfId="45098"/>
    <cellStyle name="Обычный 3 3 35" xfId="15210"/>
    <cellStyle name="Обычный 3 3 35 2" xfId="45099"/>
    <cellStyle name="Обычный 3 3 36" xfId="15211"/>
    <cellStyle name="Обычный 3 3 37" xfId="15212"/>
    <cellStyle name="Обычный 3 3 38" xfId="59105"/>
    <cellStyle name="Обычный 3 3 39" xfId="60323"/>
    <cellStyle name="Обычный 3 3 4" xfId="15213"/>
    <cellStyle name="Обычный 3 3 4 2" xfId="45100"/>
    <cellStyle name="Обычный 3 3 5" xfId="15214"/>
    <cellStyle name="Обычный 3 3 5 2" xfId="45101"/>
    <cellStyle name="Обычный 3 3 6" xfId="15215"/>
    <cellStyle name="Обычный 3 3 6 2" xfId="45102"/>
    <cellStyle name="Обычный 3 3 7" xfId="15216"/>
    <cellStyle name="Обычный 3 3 7 2" xfId="45103"/>
    <cellStyle name="Обычный 3 3 8" xfId="15217"/>
    <cellStyle name="Обычный 3 3 8 2" xfId="45104"/>
    <cellStyle name="Обычный 3 3 9" xfId="15218"/>
    <cellStyle name="Обычный 3 3 9 2" xfId="45105"/>
    <cellStyle name="Обычный 3 30" xfId="59106"/>
    <cellStyle name="Обычный 3 31" xfId="59107"/>
    <cellStyle name="Обычный 3 32" xfId="59108"/>
    <cellStyle name="Обычный 3 33" xfId="59109"/>
    <cellStyle name="Обычный 3 34" xfId="59110"/>
    <cellStyle name="Обычный 3 35" xfId="59111"/>
    <cellStyle name="Обычный 3 36" xfId="59112"/>
    <cellStyle name="Обычный 3 37" xfId="59113"/>
    <cellStyle name="Обычный 3 38" xfId="59114"/>
    <cellStyle name="Обычный 3 39" xfId="59115"/>
    <cellStyle name="Обычный 3 4" xfId="15219"/>
    <cellStyle name="Обычный 3 4 10" xfId="15220"/>
    <cellStyle name="Обычный 3 4 10 2" xfId="45106"/>
    <cellStyle name="Обычный 3 4 11" xfId="15221"/>
    <cellStyle name="Обычный 3 4 11 2" xfId="45107"/>
    <cellStyle name="Обычный 3 4 12" xfId="15222"/>
    <cellStyle name="Обычный 3 4 12 2" xfId="45108"/>
    <cellStyle name="Обычный 3 4 13" xfId="15223"/>
    <cellStyle name="Обычный 3 4 13 2" xfId="45109"/>
    <cellStyle name="Обычный 3 4 14" xfId="15224"/>
    <cellStyle name="Обычный 3 4 14 2" xfId="45110"/>
    <cellStyle name="Обычный 3 4 15" xfId="15225"/>
    <cellStyle name="Обычный 3 4 15 2" xfId="45111"/>
    <cellStyle name="Обычный 3 4 16" xfId="15226"/>
    <cellStyle name="Обычный 3 4 16 2" xfId="45112"/>
    <cellStyle name="Обычный 3 4 17" xfId="15227"/>
    <cellStyle name="Обычный 3 4 17 2" xfId="45113"/>
    <cellStyle name="Обычный 3 4 18" xfId="15228"/>
    <cellStyle name="Обычный 3 4 18 2" xfId="45114"/>
    <cellStyle name="Обычный 3 4 19" xfId="15229"/>
    <cellStyle name="Обычный 3 4 19 2" xfId="45115"/>
    <cellStyle name="Обычный 3 4 2" xfId="15230"/>
    <cellStyle name="Обычный 3 4 2 2" xfId="15231"/>
    <cellStyle name="Обычный 3 4 2 2 2" xfId="45116"/>
    <cellStyle name="Обычный 3 4 2 3" xfId="45117"/>
    <cellStyle name="Обычный 3 4 20" xfId="15232"/>
    <cellStyle name="Обычный 3 4 20 2" xfId="45118"/>
    <cellStyle name="Обычный 3 4 21" xfId="15233"/>
    <cellStyle name="Обычный 3 4 21 2" xfId="45119"/>
    <cellStyle name="Обычный 3 4 22" xfId="15234"/>
    <cellStyle name="Обычный 3 4 22 2" xfId="45120"/>
    <cellStyle name="Обычный 3 4 23" xfId="15235"/>
    <cellStyle name="Обычный 3 4 23 2" xfId="45121"/>
    <cellStyle name="Обычный 3 4 24" xfId="15236"/>
    <cellStyle name="Обычный 3 4 24 2" xfId="45122"/>
    <cellStyle name="Обычный 3 4 25" xfId="15237"/>
    <cellStyle name="Обычный 3 4 25 2" xfId="45123"/>
    <cellStyle name="Обычный 3 4 26" xfId="15238"/>
    <cellStyle name="Обычный 3 4 26 2" xfId="45124"/>
    <cellStyle name="Обычный 3 4 27" xfId="15239"/>
    <cellStyle name="Обычный 3 4 27 2" xfId="45125"/>
    <cellStyle name="Обычный 3 4 28" xfId="15240"/>
    <cellStyle name="Обычный 3 4 28 2" xfId="45126"/>
    <cellStyle name="Обычный 3 4 29" xfId="15241"/>
    <cellStyle name="Обычный 3 4 29 2" xfId="45127"/>
    <cellStyle name="Обычный 3 4 3" xfId="15242"/>
    <cellStyle name="Обычный 3 4 3 2" xfId="45128"/>
    <cellStyle name="Обычный 3 4 30" xfId="15243"/>
    <cellStyle name="Обычный 3 4 30 2" xfId="45129"/>
    <cellStyle name="Обычный 3 4 31" xfId="15244"/>
    <cellStyle name="Обычный 3 4 31 2" xfId="45130"/>
    <cellStyle name="Обычный 3 4 32" xfId="15245"/>
    <cellStyle name="Обычный 3 4 32 2" xfId="45131"/>
    <cellStyle name="Обычный 3 4 33" xfId="15246"/>
    <cellStyle name="Обычный 3 4 33 2" xfId="45132"/>
    <cellStyle name="Обычный 3 4 34" xfId="15247"/>
    <cellStyle name="Обычный 3 4 34 2" xfId="45133"/>
    <cellStyle name="Обычный 3 4 35" xfId="15248"/>
    <cellStyle name="Обычный 3 4 35 2" xfId="45134"/>
    <cellStyle name="Обычный 3 4 36" xfId="45135"/>
    <cellStyle name="Обычный 3 4 37" xfId="59116"/>
    <cellStyle name="Обычный 3 4 38" xfId="60324"/>
    <cellStyle name="Обычный 3 4 4" xfId="15249"/>
    <cellStyle name="Обычный 3 4 4 2" xfId="45136"/>
    <cellStyle name="Обычный 3 4 5" xfId="15250"/>
    <cellStyle name="Обычный 3 4 5 2" xfId="45137"/>
    <cellStyle name="Обычный 3 4 6" xfId="15251"/>
    <cellStyle name="Обычный 3 4 6 2" xfId="45138"/>
    <cellStyle name="Обычный 3 4 7" xfId="15252"/>
    <cellStyle name="Обычный 3 4 7 2" xfId="45139"/>
    <cellStyle name="Обычный 3 4 8" xfId="15253"/>
    <cellStyle name="Обычный 3 4 8 2" xfId="45140"/>
    <cellStyle name="Обычный 3 4 9" xfId="15254"/>
    <cellStyle name="Обычный 3 4 9 2" xfId="45141"/>
    <cellStyle name="Обычный 3 40" xfId="59117"/>
    <cellStyle name="Обычный 3 41" xfId="59118"/>
    <cellStyle name="Обычный 3 42" xfId="59119"/>
    <cellStyle name="Обычный 3 43" xfId="59120"/>
    <cellStyle name="Обычный 3 44" xfId="59121"/>
    <cellStyle name="Обычный 3 45" xfId="59122"/>
    <cellStyle name="Обычный 3 46" xfId="59123"/>
    <cellStyle name="Обычный 3 47" xfId="60325"/>
    <cellStyle name="Обычный 3 5" xfId="15255"/>
    <cellStyle name="Обычный 3 5 10" xfId="15256"/>
    <cellStyle name="Обычный 3 5 10 2" xfId="45142"/>
    <cellStyle name="Обычный 3 5 11" xfId="15257"/>
    <cellStyle name="Обычный 3 5 11 2" xfId="45143"/>
    <cellStyle name="Обычный 3 5 12" xfId="15258"/>
    <cellStyle name="Обычный 3 5 12 2" xfId="45144"/>
    <cellStyle name="Обычный 3 5 13" xfId="15259"/>
    <cellStyle name="Обычный 3 5 13 2" xfId="45145"/>
    <cellStyle name="Обычный 3 5 14" xfId="15260"/>
    <cellStyle name="Обычный 3 5 14 2" xfId="45146"/>
    <cellStyle name="Обычный 3 5 15" xfId="15261"/>
    <cellStyle name="Обычный 3 5 15 2" xfId="45147"/>
    <cellStyle name="Обычный 3 5 16" xfId="15262"/>
    <cellStyle name="Обычный 3 5 16 2" xfId="45148"/>
    <cellStyle name="Обычный 3 5 17" xfId="15263"/>
    <cellStyle name="Обычный 3 5 17 2" xfId="45149"/>
    <cellStyle name="Обычный 3 5 18" xfId="15264"/>
    <cellStyle name="Обычный 3 5 18 2" xfId="45150"/>
    <cellStyle name="Обычный 3 5 19" xfId="15265"/>
    <cellStyle name="Обычный 3 5 19 2" xfId="45151"/>
    <cellStyle name="Обычный 3 5 2" xfId="15266"/>
    <cellStyle name="Обычный 3 5 2 2" xfId="45152"/>
    <cellStyle name="Обычный 3 5 20" xfId="15267"/>
    <cellStyle name="Обычный 3 5 20 2" xfId="45153"/>
    <cellStyle name="Обычный 3 5 21" xfId="15268"/>
    <cellStyle name="Обычный 3 5 21 2" xfId="45154"/>
    <cellStyle name="Обычный 3 5 22" xfId="15269"/>
    <cellStyle name="Обычный 3 5 22 2" xfId="45155"/>
    <cellStyle name="Обычный 3 5 23" xfId="15270"/>
    <cellStyle name="Обычный 3 5 23 2" xfId="45156"/>
    <cellStyle name="Обычный 3 5 24" xfId="15271"/>
    <cellStyle name="Обычный 3 5 24 2" xfId="45157"/>
    <cellStyle name="Обычный 3 5 25" xfId="15272"/>
    <cellStyle name="Обычный 3 5 25 2" xfId="45158"/>
    <cellStyle name="Обычный 3 5 26" xfId="45159"/>
    <cellStyle name="Обычный 3 5 3" xfId="15273"/>
    <cellStyle name="Обычный 3 5 3 2" xfId="45160"/>
    <cellStyle name="Обычный 3 5 4" xfId="15274"/>
    <cellStyle name="Обычный 3 5 4 2" xfId="45161"/>
    <cellStyle name="Обычный 3 5 5" xfId="15275"/>
    <cellStyle name="Обычный 3 5 5 2" xfId="45162"/>
    <cellStyle name="Обычный 3 5 6" xfId="15276"/>
    <cellStyle name="Обычный 3 5 6 2" xfId="45163"/>
    <cellStyle name="Обычный 3 5 7" xfId="15277"/>
    <cellStyle name="Обычный 3 5 7 2" xfId="45164"/>
    <cellStyle name="Обычный 3 5 8" xfId="15278"/>
    <cellStyle name="Обычный 3 5 8 2" xfId="45165"/>
    <cellStyle name="Обычный 3 5 9" xfId="15279"/>
    <cellStyle name="Обычный 3 5 9 2" xfId="45166"/>
    <cellStyle name="Обычный 3 6" xfId="15280"/>
    <cellStyle name="Обычный 3 6 10" xfId="15281"/>
    <cellStyle name="Обычный 3 6 10 2" xfId="45167"/>
    <cellStyle name="Обычный 3 6 11" xfId="15282"/>
    <cellStyle name="Обычный 3 6 11 2" xfId="45168"/>
    <cellStyle name="Обычный 3 6 12" xfId="15283"/>
    <cellStyle name="Обычный 3 6 12 2" xfId="45169"/>
    <cellStyle name="Обычный 3 6 13" xfId="15284"/>
    <cellStyle name="Обычный 3 6 13 2" xfId="45170"/>
    <cellStyle name="Обычный 3 6 14" xfId="15285"/>
    <cellStyle name="Обычный 3 6 14 2" xfId="45171"/>
    <cellStyle name="Обычный 3 6 15" xfId="15286"/>
    <cellStyle name="Обычный 3 6 15 2" xfId="45172"/>
    <cellStyle name="Обычный 3 6 16" xfId="15287"/>
    <cellStyle name="Обычный 3 6 16 2" xfId="45173"/>
    <cellStyle name="Обычный 3 6 17" xfId="15288"/>
    <cellStyle name="Обычный 3 6 17 2" xfId="45174"/>
    <cellStyle name="Обычный 3 6 18" xfId="15289"/>
    <cellStyle name="Обычный 3 6 18 2" xfId="45175"/>
    <cellStyle name="Обычный 3 6 19" xfId="15290"/>
    <cellStyle name="Обычный 3 6 19 2" xfId="45176"/>
    <cellStyle name="Обычный 3 6 2" xfId="15291"/>
    <cellStyle name="Обычный 3 6 2 2" xfId="45177"/>
    <cellStyle name="Обычный 3 6 20" xfId="15292"/>
    <cellStyle name="Обычный 3 6 20 2" xfId="45178"/>
    <cellStyle name="Обычный 3 6 21" xfId="15293"/>
    <cellStyle name="Обычный 3 6 21 2" xfId="45179"/>
    <cellStyle name="Обычный 3 6 22" xfId="15294"/>
    <cellStyle name="Обычный 3 6 22 2" xfId="45180"/>
    <cellStyle name="Обычный 3 6 23" xfId="15295"/>
    <cellStyle name="Обычный 3 6 23 2" xfId="45181"/>
    <cellStyle name="Обычный 3 6 24" xfId="15296"/>
    <cellStyle name="Обычный 3 6 24 2" xfId="45182"/>
    <cellStyle name="Обычный 3 6 25" xfId="45183"/>
    <cellStyle name="Обычный 3 6 3" xfId="15297"/>
    <cellStyle name="Обычный 3 6 3 2" xfId="45184"/>
    <cellStyle name="Обычный 3 6 4" xfId="15298"/>
    <cellStyle name="Обычный 3 6 4 2" xfId="45185"/>
    <cellStyle name="Обычный 3 6 5" xfId="15299"/>
    <cellStyle name="Обычный 3 6 5 2" xfId="45186"/>
    <cellStyle name="Обычный 3 6 6" xfId="15300"/>
    <cellStyle name="Обычный 3 6 6 2" xfId="45187"/>
    <cellStyle name="Обычный 3 6 7" xfId="15301"/>
    <cellStyle name="Обычный 3 6 7 2" xfId="45188"/>
    <cellStyle name="Обычный 3 6 8" xfId="15302"/>
    <cellStyle name="Обычный 3 6 8 2" xfId="45189"/>
    <cellStyle name="Обычный 3 6 9" xfId="15303"/>
    <cellStyle name="Обычный 3 6 9 2" xfId="45190"/>
    <cellStyle name="Обычный 3 7" xfId="15304"/>
    <cellStyle name="Обычный 3 7 10" xfId="15305"/>
    <cellStyle name="Обычный 3 7 10 2" xfId="45191"/>
    <cellStyle name="Обычный 3 7 11" xfId="15306"/>
    <cellStyle name="Обычный 3 7 11 2" xfId="45192"/>
    <cellStyle name="Обычный 3 7 12" xfId="15307"/>
    <cellStyle name="Обычный 3 7 12 2" xfId="45193"/>
    <cellStyle name="Обычный 3 7 13" xfId="15308"/>
    <cellStyle name="Обычный 3 7 13 2" xfId="45194"/>
    <cellStyle name="Обычный 3 7 14" xfId="15309"/>
    <cellStyle name="Обычный 3 7 14 2" xfId="45195"/>
    <cellStyle name="Обычный 3 7 15" xfId="15310"/>
    <cellStyle name="Обычный 3 7 15 2" xfId="45196"/>
    <cellStyle name="Обычный 3 7 16" xfId="15311"/>
    <cellStyle name="Обычный 3 7 16 2" xfId="45197"/>
    <cellStyle name="Обычный 3 7 17" xfId="15312"/>
    <cellStyle name="Обычный 3 7 17 2" xfId="45198"/>
    <cellStyle name="Обычный 3 7 18" xfId="15313"/>
    <cellStyle name="Обычный 3 7 18 2" xfId="45199"/>
    <cellStyle name="Обычный 3 7 19" xfId="15314"/>
    <cellStyle name="Обычный 3 7 19 2" xfId="45200"/>
    <cellStyle name="Обычный 3 7 2" xfId="15315"/>
    <cellStyle name="Обычный 3 7 2 2" xfId="45201"/>
    <cellStyle name="Обычный 3 7 20" xfId="15316"/>
    <cellStyle name="Обычный 3 7 20 2" xfId="45202"/>
    <cellStyle name="Обычный 3 7 21" xfId="15317"/>
    <cellStyle name="Обычный 3 7 21 2" xfId="45203"/>
    <cellStyle name="Обычный 3 7 22" xfId="15318"/>
    <cellStyle name="Обычный 3 7 22 2" xfId="45204"/>
    <cellStyle name="Обычный 3 7 23" xfId="15319"/>
    <cellStyle name="Обычный 3 7 23 2" xfId="45205"/>
    <cellStyle name="Обычный 3 7 24" xfId="15320"/>
    <cellStyle name="Обычный 3 7 24 2" xfId="45206"/>
    <cellStyle name="Обычный 3 7 25" xfId="45207"/>
    <cellStyle name="Обычный 3 7 3" xfId="15321"/>
    <cellStyle name="Обычный 3 7 3 2" xfId="45208"/>
    <cellStyle name="Обычный 3 7 4" xfId="15322"/>
    <cellStyle name="Обычный 3 7 4 2" xfId="45209"/>
    <cellStyle name="Обычный 3 7 5" xfId="15323"/>
    <cellStyle name="Обычный 3 7 5 2" xfId="45210"/>
    <cellStyle name="Обычный 3 7 6" xfId="15324"/>
    <cellStyle name="Обычный 3 7 6 2" xfId="45211"/>
    <cellStyle name="Обычный 3 7 7" xfId="15325"/>
    <cellStyle name="Обычный 3 7 7 2" xfId="45212"/>
    <cellStyle name="Обычный 3 7 8" xfId="15326"/>
    <cellStyle name="Обычный 3 7 8 2" xfId="45213"/>
    <cellStyle name="Обычный 3 7 9" xfId="15327"/>
    <cellStyle name="Обычный 3 7 9 2" xfId="45214"/>
    <cellStyle name="Обычный 3 8" xfId="15328"/>
    <cellStyle name="Обычный 3 8 10" xfId="15329"/>
    <cellStyle name="Обычный 3 8 10 2" xfId="45215"/>
    <cellStyle name="Обычный 3 8 11" xfId="15330"/>
    <cellStyle name="Обычный 3 8 11 2" xfId="45216"/>
    <cellStyle name="Обычный 3 8 12" xfId="15331"/>
    <cellStyle name="Обычный 3 8 12 2" xfId="45217"/>
    <cellStyle name="Обычный 3 8 13" xfId="15332"/>
    <cellStyle name="Обычный 3 8 13 2" xfId="45218"/>
    <cellStyle name="Обычный 3 8 14" xfId="15333"/>
    <cellStyle name="Обычный 3 8 14 2" xfId="45219"/>
    <cellStyle name="Обычный 3 8 15" xfId="15334"/>
    <cellStyle name="Обычный 3 8 15 2" xfId="45220"/>
    <cellStyle name="Обычный 3 8 16" xfId="15335"/>
    <cellStyle name="Обычный 3 8 16 2" xfId="45221"/>
    <cellStyle name="Обычный 3 8 17" xfId="15336"/>
    <cellStyle name="Обычный 3 8 17 2" xfId="45222"/>
    <cellStyle name="Обычный 3 8 18" xfId="15337"/>
    <cellStyle name="Обычный 3 8 18 2" xfId="45223"/>
    <cellStyle name="Обычный 3 8 19" xfId="15338"/>
    <cellStyle name="Обычный 3 8 19 2" xfId="45224"/>
    <cellStyle name="Обычный 3 8 2" xfId="15339"/>
    <cellStyle name="Обычный 3 8 2 2" xfId="45225"/>
    <cellStyle name="Обычный 3 8 20" xfId="15340"/>
    <cellStyle name="Обычный 3 8 20 2" xfId="45226"/>
    <cellStyle name="Обычный 3 8 21" xfId="15341"/>
    <cellStyle name="Обычный 3 8 21 2" xfId="45227"/>
    <cellStyle name="Обычный 3 8 22" xfId="15342"/>
    <cellStyle name="Обычный 3 8 22 2" xfId="45228"/>
    <cellStyle name="Обычный 3 8 23" xfId="15343"/>
    <cellStyle name="Обычный 3 8 23 2" xfId="45229"/>
    <cellStyle name="Обычный 3 8 24" xfId="15344"/>
    <cellStyle name="Обычный 3 8 24 2" xfId="45230"/>
    <cellStyle name="Обычный 3 8 25" xfId="45231"/>
    <cellStyle name="Обычный 3 8 3" xfId="15345"/>
    <cellStyle name="Обычный 3 8 3 2" xfId="45232"/>
    <cellStyle name="Обычный 3 8 4" xfId="15346"/>
    <cellStyle name="Обычный 3 8 4 2" xfId="45233"/>
    <cellStyle name="Обычный 3 8 5" xfId="15347"/>
    <cellStyle name="Обычный 3 8 5 2" xfId="45234"/>
    <cellStyle name="Обычный 3 8 6" xfId="15348"/>
    <cellStyle name="Обычный 3 8 6 2" xfId="45235"/>
    <cellStyle name="Обычный 3 8 7" xfId="15349"/>
    <cellStyle name="Обычный 3 8 7 2" xfId="45236"/>
    <cellStyle name="Обычный 3 8 8" xfId="15350"/>
    <cellStyle name="Обычный 3 8 8 2" xfId="45237"/>
    <cellStyle name="Обычный 3 8 9" xfId="15351"/>
    <cellStyle name="Обычный 3 8 9 2" xfId="45238"/>
    <cellStyle name="Обычный 3 9" xfId="15352"/>
    <cellStyle name="Обычный 3 9 10" xfId="15353"/>
    <cellStyle name="Обычный 3 9 10 2" xfId="45239"/>
    <cellStyle name="Обычный 3 9 11" xfId="15354"/>
    <cellStyle name="Обычный 3 9 11 2" xfId="45240"/>
    <cellStyle name="Обычный 3 9 12" xfId="15355"/>
    <cellStyle name="Обычный 3 9 12 2" xfId="45241"/>
    <cellStyle name="Обычный 3 9 13" xfId="15356"/>
    <cellStyle name="Обычный 3 9 13 2" xfId="45242"/>
    <cellStyle name="Обычный 3 9 14" xfId="15357"/>
    <cellStyle name="Обычный 3 9 14 2" xfId="45243"/>
    <cellStyle name="Обычный 3 9 15" xfId="15358"/>
    <cellStyle name="Обычный 3 9 15 2" xfId="45244"/>
    <cellStyle name="Обычный 3 9 16" xfId="15359"/>
    <cellStyle name="Обычный 3 9 16 2" xfId="45245"/>
    <cellStyle name="Обычный 3 9 17" xfId="15360"/>
    <cellStyle name="Обычный 3 9 17 2" xfId="45246"/>
    <cellStyle name="Обычный 3 9 18" xfId="15361"/>
    <cellStyle name="Обычный 3 9 18 2" xfId="45247"/>
    <cellStyle name="Обычный 3 9 19" xfId="15362"/>
    <cellStyle name="Обычный 3 9 19 2" xfId="45248"/>
    <cellStyle name="Обычный 3 9 2" xfId="15363"/>
    <cellStyle name="Обычный 3 9 2 2" xfId="45249"/>
    <cellStyle name="Обычный 3 9 20" xfId="15364"/>
    <cellStyle name="Обычный 3 9 20 2" xfId="45250"/>
    <cellStyle name="Обычный 3 9 21" xfId="15365"/>
    <cellStyle name="Обычный 3 9 21 2" xfId="45251"/>
    <cellStyle name="Обычный 3 9 22" xfId="15366"/>
    <cellStyle name="Обычный 3 9 22 2" xfId="45252"/>
    <cellStyle name="Обычный 3 9 23" xfId="15367"/>
    <cellStyle name="Обычный 3 9 23 2" xfId="45253"/>
    <cellStyle name="Обычный 3 9 24" xfId="15368"/>
    <cellStyle name="Обычный 3 9 24 2" xfId="45254"/>
    <cellStyle name="Обычный 3 9 25" xfId="45255"/>
    <cellStyle name="Обычный 3 9 3" xfId="15369"/>
    <cellStyle name="Обычный 3 9 3 2" xfId="45256"/>
    <cellStyle name="Обычный 3 9 4" xfId="15370"/>
    <cellStyle name="Обычный 3 9 4 2" xfId="45257"/>
    <cellStyle name="Обычный 3 9 5" xfId="15371"/>
    <cellStyle name="Обычный 3 9 5 2" xfId="45258"/>
    <cellStyle name="Обычный 3 9 6" xfId="15372"/>
    <cellStyle name="Обычный 3 9 6 2" xfId="45259"/>
    <cellStyle name="Обычный 3 9 7" xfId="15373"/>
    <cellStyle name="Обычный 3 9 7 2" xfId="45260"/>
    <cellStyle name="Обычный 3 9 8" xfId="15374"/>
    <cellStyle name="Обычный 3 9 8 2" xfId="45261"/>
    <cellStyle name="Обычный 3 9 9" xfId="15375"/>
    <cellStyle name="Обычный 3 9 9 2" xfId="45262"/>
    <cellStyle name="Обычный 3_Лист1" xfId="15376"/>
    <cellStyle name="Обычный 30" xfId="15377"/>
    <cellStyle name="Обычный 30 10" xfId="15378"/>
    <cellStyle name="Обычный 30 10 2" xfId="45263"/>
    <cellStyle name="Обычный 30 11" xfId="15379"/>
    <cellStyle name="Обычный 30 11 2" xfId="45264"/>
    <cellStyle name="Обычный 30 12" xfId="15380"/>
    <cellStyle name="Обычный 30 12 2" xfId="45265"/>
    <cellStyle name="Обычный 30 13" xfId="15381"/>
    <cellStyle name="Обычный 30 13 2" xfId="45266"/>
    <cellStyle name="Обычный 30 14" xfId="15382"/>
    <cellStyle name="Обычный 30 14 2" xfId="45267"/>
    <cellStyle name="Обычный 30 15" xfId="15383"/>
    <cellStyle name="Обычный 30 15 2" xfId="45268"/>
    <cellStyle name="Обычный 30 16" xfId="15384"/>
    <cellStyle name="Обычный 30 16 2" xfId="45269"/>
    <cellStyle name="Обычный 30 17" xfId="15385"/>
    <cellStyle name="Обычный 30 17 2" xfId="45270"/>
    <cellStyle name="Обычный 30 18" xfId="15386"/>
    <cellStyle name="Обычный 30 18 2" xfId="45271"/>
    <cellStyle name="Обычный 30 19" xfId="15387"/>
    <cellStyle name="Обычный 30 19 2" xfId="15388"/>
    <cellStyle name="Обычный 30 19 2 2" xfId="15389"/>
    <cellStyle name="Обычный 30 19 2 2 2" xfId="45272"/>
    <cellStyle name="Обычный 30 19 2 3" xfId="45273"/>
    <cellStyle name="Обычный 30 19 3" xfId="15390"/>
    <cellStyle name="Обычный 30 19 3 2" xfId="45274"/>
    <cellStyle name="Обычный 30 19 4" xfId="45275"/>
    <cellStyle name="Обычный 30 2" xfId="15391"/>
    <cellStyle name="Обычный 30 2 2" xfId="45276"/>
    <cellStyle name="Обычный 30 20" xfId="15392"/>
    <cellStyle name="Обычный 30 20 2" xfId="15393"/>
    <cellStyle name="Обычный 30 20 2 2" xfId="15394"/>
    <cellStyle name="Обычный 30 20 2 2 2" xfId="45277"/>
    <cellStyle name="Обычный 30 20 2 3" xfId="45278"/>
    <cellStyle name="Обычный 30 20 3" xfId="15395"/>
    <cellStyle name="Обычный 30 20 3 2" xfId="45279"/>
    <cellStyle name="Обычный 30 20 4" xfId="45280"/>
    <cellStyle name="Обычный 30 21" xfId="15396"/>
    <cellStyle name="Обычный 30 21 2" xfId="15397"/>
    <cellStyle name="Обычный 30 21 2 2" xfId="15398"/>
    <cellStyle name="Обычный 30 21 2 2 2" xfId="45281"/>
    <cellStyle name="Обычный 30 21 2 3" xfId="45282"/>
    <cellStyle name="Обычный 30 21 3" xfId="15399"/>
    <cellStyle name="Обычный 30 21 3 2" xfId="45283"/>
    <cellStyle name="Обычный 30 21 4" xfId="45284"/>
    <cellStyle name="Обычный 30 22" xfId="15400"/>
    <cellStyle name="Обычный 30 22 2" xfId="45285"/>
    <cellStyle name="Обычный 30 23" xfId="15401"/>
    <cellStyle name="Обычный 30 23 2" xfId="45286"/>
    <cellStyle name="Обычный 30 24" xfId="15402"/>
    <cellStyle name="Обычный 30 24 2" xfId="45287"/>
    <cellStyle name="Обычный 30 25" xfId="15403"/>
    <cellStyle name="Обычный 30 25 2" xfId="45288"/>
    <cellStyle name="Обычный 30 26" xfId="15404"/>
    <cellStyle name="Обычный 30 26 2" xfId="45289"/>
    <cellStyle name="Обычный 30 27" xfId="15405"/>
    <cellStyle name="Обычный 30 27 2" xfId="15406"/>
    <cellStyle name="Обычный 30 27 2 2" xfId="45290"/>
    <cellStyle name="Обычный 30 27 3" xfId="45291"/>
    <cellStyle name="Обычный 30 28" xfId="15407"/>
    <cellStyle name="Обычный 30 28 2" xfId="45292"/>
    <cellStyle name="Обычный 30 29" xfId="15408"/>
    <cellStyle name="Обычный 30 29 2" xfId="45293"/>
    <cellStyle name="Обычный 30 3" xfId="15409"/>
    <cellStyle name="Обычный 30 3 2" xfId="45294"/>
    <cellStyle name="Обычный 30 30" xfId="15410"/>
    <cellStyle name="Обычный 30 30 2" xfId="45295"/>
    <cellStyle name="Обычный 30 31" xfId="45296"/>
    <cellStyle name="Обычный 30 4" xfId="15411"/>
    <cellStyle name="Обычный 30 4 2" xfId="45297"/>
    <cellStyle name="Обычный 30 5" xfId="15412"/>
    <cellStyle name="Обычный 30 5 2" xfId="45298"/>
    <cellStyle name="Обычный 30 6" xfId="15413"/>
    <cellStyle name="Обычный 30 6 2" xfId="45299"/>
    <cellStyle name="Обычный 30 7" xfId="15414"/>
    <cellStyle name="Обычный 30 7 2" xfId="45300"/>
    <cellStyle name="Обычный 30 8" xfId="15415"/>
    <cellStyle name="Обычный 30 8 2" xfId="45301"/>
    <cellStyle name="Обычный 30 9" xfId="15416"/>
    <cellStyle name="Обычный 30 9 2" xfId="45302"/>
    <cellStyle name="Обычный 31" xfId="15417"/>
    <cellStyle name="Обычный 31 10" xfId="15418"/>
    <cellStyle name="Обычный 31 10 2" xfId="45303"/>
    <cellStyle name="Обычный 31 11" xfId="15419"/>
    <cellStyle name="Обычный 31 11 2" xfId="45304"/>
    <cellStyle name="Обычный 31 12" xfId="15420"/>
    <cellStyle name="Обычный 31 12 2" xfId="45305"/>
    <cellStyle name="Обычный 31 13" xfId="15421"/>
    <cellStyle name="Обычный 31 13 2" xfId="45306"/>
    <cellStyle name="Обычный 31 14" xfId="15422"/>
    <cellStyle name="Обычный 31 14 2" xfId="45307"/>
    <cellStyle name="Обычный 31 15" xfId="15423"/>
    <cellStyle name="Обычный 31 15 2" xfId="45308"/>
    <cellStyle name="Обычный 31 16" xfId="15424"/>
    <cellStyle name="Обычный 31 16 2" xfId="45309"/>
    <cellStyle name="Обычный 31 17" xfId="15425"/>
    <cellStyle name="Обычный 31 17 2" xfId="45310"/>
    <cellStyle name="Обычный 31 18" xfId="15426"/>
    <cellStyle name="Обычный 31 18 2" xfId="45311"/>
    <cellStyle name="Обычный 31 19" xfId="15427"/>
    <cellStyle name="Обычный 31 19 2" xfId="15428"/>
    <cellStyle name="Обычный 31 19 2 2" xfId="15429"/>
    <cellStyle name="Обычный 31 19 2 2 2" xfId="45312"/>
    <cellStyle name="Обычный 31 19 2 3" xfId="45313"/>
    <cellStyle name="Обычный 31 19 3" xfId="15430"/>
    <cellStyle name="Обычный 31 19 3 2" xfId="45314"/>
    <cellStyle name="Обычный 31 19 4" xfId="45315"/>
    <cellStyle name="Обычный 31 2" xfId="15431"/>
    <cellStyle name="Обычный 31 2 2" xfId="45316"/>
    <cellStyle name="Обычный 31 20" xfId="15432"/>
    <cellStyle name="Обычный 31 20 2" xfId="15433"/>
    <cellStyle name="Обычный 31 20 2 2" xfId="15434"/>
    <cellStyle name="Обычный 31 20 2 2 2" xfId="45317"/>
    <cellStyle name="Обычный 31 20 2 3" xfId="45318"/>
    <cellStyle name="Обычный 31 20 3" xfId="15435"/>
    <cellStyle name="Обычный 31 20 3 2" xfId="45319"/>
    <cellStyle name="Обычный 31 20 4" xfId="45320"/>
    <cellStyle name="Обычный 31 21" xfId="15436"/>
    <cellStyle name="Обычный 31 21 2" xfId="15437"/>
    <cellStyle name="Обычный 31 21 2 2" xfId="15438"/>
    <cellStyle name="Обычный 31 21 2 2 2" xfId="45321"/>
    <cellStyle name="Обычный 31 21 2 3" xfId="45322"/>
    <cellStyle name="Обычный 31 21 3" xfId="15439"/>
    <cellStyle name="Обычный 31 21 3 2" xfId="45323"/>
    <cellStyle name="Обычный 31 21 4" xfId="45324"/>
    <cellStyle name="Обычный 31 22" xfId="15440"/>
    <cellStyle name="Обычный 31 22 2" xfId="45325"/>
    <cellStyle name="Обычный 31 23" xfId="15441"/>
    <cellStyle name="Обычный 31 23 2" xfId="45326"/>
    <cellStyle name="Обычный 31 24" xfId="15442"/>
    <cellStyle name="Обычный 31 24 2" xfId="45327"/>
    <cellStyle name="Обычный 31 25" xfId="15443"/>
    <cellStyle name="Обычный 31 25 2" xfId="45328"/>
    <cellStyle name="Обычный 31 26" xfId="15444"/>
    <cellStyle name="Обычный 31 26 2" xfId="45329"/>
    <cellStyle name="Обычный 31 27" xfId="15445"/>
    <cellStyle name="Обычный 31 27 2" xfId="15446"/>
    <cellStyle name="Обычный 31 27 2 2" xfId="45330"/>
    <cellStyle name="Обычный 31 27 3" xfId="45331"/>
    <cellStyle name="Обычный 31 28" xfId="15447"/>
    <cellStyle name="Обычный 31 28 2" xfId="45332"/>
    <cellStyle name="Обычный 31 29" xfId="15448"/>
    <cellStyle name="Обычный 31 29 2" xfId="45333"/>
    <cellStyle name="Обычный 31 3" xfId="15449"/>
    <cellStyle name="Обычный 31 3 2" xfId="45334"/>
    <cellStyle name="Обычный 31 30" xfId="45335"/>
    <cellStyle name="Обычный 31 4" xfId="15450"/>
    <cellStyle name="Обычный 31 4 2" xfId="15451"/>
    <cellStyle name="Обычный 31 5" xfId="15452"/>
    <cellStyle name="Обычный 31 5 2" xfId="45336"/>
    <cellStyle name="Обычный 31 6" xfId="15453"/>
    <cellStyle name="Обычный 31 6 2" xfId="45337"/>
    <cellStyle name="Обычный 31 7" xfId="15454"/>
    <cellStyle name="Обычный 31 7 2" xfId="45338"/>
    <cellStyle name="Обычный 31 8" xfId="15455"/>
    <cellStyle name="Обычный 31 8 2" xfId="45339"/>
    <cellStyle name="Обычный 31 9" xfId="15456"/>
    <cellStyle name="Обычный 31 9 2" xfId="45340"/>
    <cellStyle name="Обычный 32" xfId="15457"/>
    <cellStyle name="Обычный 32 10" xfId="15458"/>
    <cellStyle name="Обычный 32 10 2" xfId="45341"/>
    <cellStyle name="Обычный 32 11" xfId="15459"/>
    <cellStyle name="Обычный 32 11 2" xfId="45342"/>
    <cellStyle name="Обычный 32 12" xfId="15460"/>
    <cellStyle name="Обычный 32 12 2" xfId="45343"/>
    <cellStyle name="Обычный 32 13" xfId="15461"/>
    <cellStyle name="Обычный 32 13 2" xfId="45344"/>
    <cellStyle name="Обычный 32 14" xfId="15462"/>
    <cellStyle name="Обычный 32 14 2" xfId="45345"/>
    <cellStyle name="Обычный 32 15" xfId="15463"/>
    <cellStyle name="Обычный 32 15 2" xfId="45346"/>
    <cellStyle name="Обычный 32 16" xfId="15464"/>
    <cellStyle name="Обычный 32 16 2" xfId="45347"/>
    <cellStyle name="Обычный 32 17" xfId="15465"/>
    <cellStyle name="Обычный 32 17 2" xfId="45348"/>
    <cellStyle name="Обычный 32 18" xfId="15466"/>
    <cellStyle name="Обычный 32 18 2" xfId="45349"/>
    <cellStyle name="Обычный 32 19" xfId="15467"/>
    <cellStyle name="Обычный 32 19 2" xfId="15468"/>
    <cellStyle name="Обычный 32 19 2 2" xfId="15469"/>
    <cellStyle name="Обычный 32 19 2 2 2" xfId="45350"/>
    <cellStyle name="Обычный 32 19 2 3" xfId="45351"/>
    <cellStyle name="Обычный 32 19 3" xfId="15470"/>
    <cellStyle name="Обычный 32 19 3 2" xfId="45352"/>
    <cellStyle name="Обычный 32 19 4" xfId="45353"/>
    <cellStyle name="Обычный 32 2" xfId="15471"/>
    <cellStyle name="Обычный 32 2 2" xfId="45354"/>
    <cellStyle name="Обычный 32 20" xfId="15472"/>
    <cellStyle name="Обычный 32 20 2" xfId="15473"/>
    <cellStyle name="Обычный 32 20 2 2" xfId="15474"/>
    <cellStyle name="Обычный 32 20 2 2 2" xfId="45355"/>
    <cellStyle name="Обычный 32 20 2 3" xfId="45356"/>
    <cellStyle name="Обычный 32 20 3" xfId="15475"/>
    <cellStyle name="Обычный 32 20 3 2" xfId="45357"/>
    <cellStyle name="Обычный 32 20 4" xfId="45358"/>
    <cellStyle name="Обычный 32 21" xfId="15476"/>
    <cellStyle name="Обычный 32 21 2" xfId="15477"/>
    <cellStyle name="Обычный 32 21 2 2" xfId="15478"/>
    <cellStyle name="Обычный 32 21 2 2 2" xfId="45359"/>
    <cellStyle name="Обычный 32 21 2 3" xfId="45360"/>
    <cellStyle name="Обычный 32 21 3" xfId="15479"/>
    <cellStyle name="Обычный 32 21 3 2" xfId="45361"/>
    <cellStyle name="Обычный 32 21 4" xfId="45362"/>
    <cellStyle name="Обычный 32 22" xfId="15480"/>
    <cellStyle name="Обычный 32 22 2" xfId="45363"/>
    <cellStyle name="Обычный 32 23" xfId="15481"/>
    <cellStyle name="Обычный 32 23 2" xfId="45364"/>
    <cellStyle name="Обычный 32 24" xfId="15482"/>
    <cellStyle name="Обычный 32 24 2" xfId="45365"/>
    <cellStyle name="Обычный 32 25" xfId="15483"/>
    <cellStyle name="Обычный 32 25 2" xfId="45366"/>
    <cellStyle name="Обычный 32 26" xfId="15484"/>
    <cellStyle name="Обычный 32 26 2" xfId="45367"/>
    <cellStyle name="Обычный 32 27" xfId="15485"/>
    <cellStyle name="Обычный 32 27 2" xfId="15486"/>
    <cellStyle name="Обычный 32 27 2 2" xfId="45368"/>
    <cellStyle name="Обычный 32 27 3" xfId="45369"/>
    <cellStyle name="Обычный 32 28" xfId="15487"/>
    <cellStyle name="Обычный 32 28 2" xfId="45370"/>
    <cellStyle name="Обычный 32 29" xfId="15488"/>
    <cellStyle name="Обычный 32 29 2" xfId="45371"/>
    <cellStyle name="Обычный 32 3" xfId="15489"/>
    <cellStyle name="Обычный 32 3 2" xfId="45372"/>
    <cellStyle name="Обычный 32 30" xfId="45373"/>
    <cellStyle name="Обычный 32 31" xfId="60326"/>
    <cellStyle name="Обычный 32 4" xfId="15490"/>
    <cellStyle name="Обычный 32 4 2" xfId="15491"/>
    <cellStyle name="Обычный 32 5" xfId="15492"/>
    <cellStyle name="Обычный 32 5 2" xfId="45374"/>
    <cellStyle name="Обычный 32 6" xfId="15493"/>
    <cellStyle name="Обычный 32 6 2" xfId="45375"/>
    <cellStyle name="Обычный 32 7" xfId="15494"/>
    <cellStyle name="Обычный 32 7 2" xfId="45376"/>
    <cellStyle name="Обычный 32 8" xfId="15495"/>
    <cellStyle name="Обычный 32 8 2" xfId="45377"/>
    <cellStyle name="Обычный 32 9" xfId="15496"/>
    <cellStyle name="Обычный 32 9 2" xfId="45378"/>
    <cellStyle name="Обычный 33" xfId="15497"/>
    <cellStyle name="Обычный 33 10" xfId="15498"/>
    <cellStyle name="Обычный 33 10 2" xfId="45379"/>
    <cellStyle name="Обычный 33 11" xfId="15499"/>
    <cellStyle name="Обычный 33 11 2" xfId="45380"/>
    <cellStyle name="Обычный 33 12" xfId="15500"/>
    <cellStyle name="Обычный 33 12 2" xfId="45381"/>
    <cellStyle name="Обычный 33 13" xfId="15501"/>
    <cellStyle name="Обычный 33 13 2" xfId="45382"/>
    <cellStyle name="Обычный 33 14" xfId="15502"/>
    <cellStyle name="Обычный 33 14 2" xfId="45383"/>
    <cellStyle name="Обычный 33 15" xfId="15503"/>
    <cellStyle name="Обычный 33 15 2" xfId="45384"/>
    <cellStyle name="Обычный 33 16" xfId="15504"/>
    <cellStyle name="Обычный 33 16 2" xfId="45385"/>
    <cellStyle name="Обычный 33 17" xfId="15505"/>
    <cellStyle name="Обычный 33 17 2" xfId="45386"/>
    <cellStyle name="Обычный 33 18" xfId="15506"/>
    <cellStyle name="Обычный 33 18 2" xfId="45387"/>
    <cellStyle name="Обычный 33 19" xfId="15507"/>
    <cellStyle name="Обычный 33 19 2" xfId="15508"/>
    <cellStyle name="Обычный 33 19 2 2" xfId="15509"/>
    <cellStyle name="Обычный 33 19 2 2 2" xfId="45388"/>
    <cellStyle name="Обычный 33 19 2 3" xfId="45389"/>
    <cellStyle name="Обычный 33 19 3" xfId="15510"/>
    <cellStyle name="Обычный 33 19 3 2" xfId="45390"/>
    <cellStyle name="Обычный 33 19 4" xfId="45391"/>
    <cellStyle name="Обычный 33 2" xfId="15511"/>
    <cellStyle name="Обычный 33 2 2" xfId="45392"/>
    <cellStyle name="Обычный 33 20" xfId="15512"/>
    <cellStyle name="Обычный 33 20 2" xfId="15513"/>
    <cellStyle name="Обычный 33 20 2 2" xfId="15514"/>
    <cellStyle name="Обычный 33 20 2 2 2" xfId="45393"/>
    <cellStyle name="Обычный 33 20 2 3" xfId="45394"/>
    <cellStyle name="Обычный 33 20 3" xfId="15515"/>
    <cellStyle name="Обычный 33 20 3 2" xfId="45395"/>
    <cellStyle name="Обычный 33 20 4" xfId="45396"/>
    <cellStyle name="Обычный 33 21" xfId="15516"/>
    <cellStyle name="Обычный 33 21 2" xfId="15517"/>
    <cellStyle name="Обычный 33 21 2 2" xfId="15518"/>
    <cellStyle name="Обычный 33 21 2 2 2" xfId="45397"/>
    <cellStyle name="Обычный 33 21 2 3" xfId="45398"/>
    <cellStyle name="Обычный 33 21 3" xfId="15519"/>
    <cellStyle name="Обычный 33 21 3 2" xfId="45399"/>
    <cellStyle name="Обычный 33 21 4" xfId="45400"/>
    <cellStyle name="Обычный 33 22" xfId="15520"/>
    <cellStyle name="Обычный 33 22 2" xfId="45401"/>
    <cellStyle name="Обычный 33 23" xfId="15521"/>
    <cellStyle name="Обычный 33 23 2" xfId="45402"/>
    <cellStyle name="Обычный 33 24" xfId="15522"/>
    <cellStyle name="Обычный 33 24 2" xfId="45403"/>
    <cellStyle name="Обычный 33 25" xfId="15523"/>
    <cellStyle name="Обычный 33 25 2" xfId="45404"/>
    <cellStyle name="Обычный 33 26" xfId="15524"/>
    <cellStyle name="Обычный 33 26 2" xfId="45405"/>
    <cellStyle name="Обычный 33 27" xfId="15525"/>
    <cellStyle name="Обычный 33 27 2" xfId="15526"/>
    <cellStyle name="Обычный 33 27 2 2" xfId="45406"/>
    <cellStyle name="Обычный 33 27 3" xfId="45407"/>
    <cellStyle name="Обычный 33 28" xfId="15527"/>
    <cellStyle name="Обычный 33 28 2" xfId="45408"/>
    <cellStyle name="Обычный 33 29" xfId="15528"/>
    <cellStyle name="Обычный 33 29 2" xfId="45409"/>
    <cellStyle name="Обычный 33 3" xfId="15529"/>
    <cellStyle name="Обычный 33 3 2" xfId="45410"/>
    <cellStyle name="Обычный 33 30" xfId="45411"/>
    <cellStyle name="Обычный 33 4" xfId="15530"/>
    <cellStyle name="Обычный 33 4 2" xfId="15531"/>
    <cellStyle name="Обычный 33 5" xfId="15532"/>
    <cellStyle name="Обычный 33 5 2" xfId="45412"/>
    <cellStyle name="Обычный 33 6" xfId="15533"/>
    <cellStyle name="Обычный 33 6 2" xfId="45413"/>
    <cellStyle name="Обычный 33 7" xfId="15534"/>
    <cellStyle name="Обычный 33 7 2" xfId="45414"/>
    <cellStyle name="Обычный 33 8" xfId="15535"/>
    <cellStyle name="Обычный 33 8 2" xfId="45415"/>
    <cellStyle name="Обычный 33 9" xfId="15536"/>
    <cellStyle name="Обычный 33 9 2" xfId="45416"/>
    <cellStyle name="Обычный 34" xfId="15537"/>
    <cellStyle name="Обычный 34 10" xfId="15538"/>
    <cellStyle name="Обычный 34 10 2" xfId="45417"/>
    <cellStyle name="Обычный 34 11" xfId="15539"/>
    <cellStyle name="Обычный 34 11 2" xfId="45418"/>
    <cellStyle name="Обычный 34 12" xfId="15540"/>
    <cellStyle name="Обычный 34 12 2" xfId="45419"/>
    <cellStyle name="Обычный 34 13" xfId="15541"/>
    <cellStyle name="Обычный 34 13 2" xfId="45420"/>
    <cellStyle name="Обычный 34 14" xfId="15542"/>
    <cellStyle name="Обычный 34 14 2" xfId="45421"/>
    <cellStyle name="Обычный 34 15" xfId="15543"/>
    <cellStyle name="Обычный 34 15 2" xfId="45422"/>
    <cellStyle name="Обычный 34 16" xfId="15544"/>
    <cellStyle name="Обычный 34 16 2" xfId="45423"/>
    <cellStyle name="Обычный 34 17" xfId="15545"/>
    <cellStyle name="Обычный 34 17 2" xfId="45424"/>
    <cellStyle name="Обычный 34 18" xfId="15546"/>
    <cellStyle name="Обычный 34 18 2" xfId="45425"/>
    <cellStyle name="Обычный 34 19" xfId="15547"/>
    <cellStyle name="Обычный 34 19 2" xfId="15548"/>
    <cellStyle name="Обычный 34 19 2 2" xfId="15549"/>
    <cellStyle name="Обычный 34 19 2 2 2" xfId="45426"/>
    <cellStyle name="Обычный 34 19 2 3" xfId="45427"/>
    <cellStyle name="Обычный 34 19 3" xfId="15550"/>
    <cellStyle name="Обычный 34 19 3 2" xfId="45428"/>
    <cellStyle name="Обычный 34 19 4" xfId="45429"/>
    <cellStyle name="Обычный 34 2" xfId="15551"/>
    <cellStyle name="Обычный 34 2 2" xfId="45430"/>
    <cellStyle name="Обычный 34 20" xfId="15552"/>
    <cellStyle name="Обычный 34 20 2" xfId="15553"/>
    <cellStyle name="Обычный 34 20 2 2" xfId="15554"/>
    <cellStyle name="Обычный 34 20 2 2 2" xfId="45431"/>
    <cellStyle name="Обычный 34 20 2 3" xfId="45432"/>
    <cellStyle name="Обычный 34 20 3" xfId="15555"/>
    <cellStyle name="Обычный 34 20 3 2" xfId="45433"/>
    <cellStyle name="Обычный 34 20 4" xfId="45434"/>
    <cellStyle name="Обычный 34 21" xfId="15556"/>
    <cellStyle name="Обычный 34 21 2" xfId="15557"/>
    <cellStyle name="Обычный 34 21 2 2" xfId="15558"/>
    <cellStyle name="Обычный 34 21 2 2 2" xfId="45435"/>
    <cellStyle name="Обычный 34 21 2 3" xfId="45436"/>
    <cellStyle name="Обычный 34 21 3" xfId="15559"/>
    <cellStyle name="Обычный 34 21 3 2" xfId="45437"/>
    <cellStyle name="Обычный 34 21 4" xfId="45438"/>
    <cellStyle name="Обычный 34 22" xfId="15560"/>
    <cellStyle name="Обычный 34 22 2" xfId="45439"/>
    <cellStyle name="Обычный 34 23" xfId="15561"/>
    <cellStyle name="Обычный 34 23 2" xfId="45440"/>
    <cellStyle name="Обычный 34 24" xfId="15562"/>
    <cellStyle name="Обычный 34 24 2" xfId="45441"/>
    <cellStyle name="Обычный 34 25" xfId="15563"/>
    <cellStyle name="Обычный 34 25 2" xfId="45442"/>
    <cellStyle name="Обычный 34 26" xfId="15564"/>
    <cellStyle name="Обычный 34 26 2" xfId="45443"/>
    <cellStyle name="Обычный 34 27" xfId="15565"/>
    <cellStyle name="Обычный 34 27 2" xfId="15566"/>
    <cellStyle name="Обычный 34 27 2 2" xfId="45444"/>
    <cellStyle name="Обычный 34 27 3" xfId="45445"/>
    <cellStyle name="Обычный 34 28" xfId="15567"/>
    <cellStyle name="Обычный 34 28 2" xfId="45446"/>
    <cellStyle name="Обычный 34 29" xfId="15568"/>
    <cellStyle name="Обычный 34 29 2" xfId="45447"/>
    <cellStyle name="Обычный 34 3" xfId="15569"/>
    <cellStyle name="Обычный 34 3 2" xfId="45448"/>
    <cellStyle name="Обычный 34 30" xfId="45449"/>
    <cellStyle name="Обычный 34 4" xfId="15570"/>
    <cellStyle name="Обычный 34 4 2" xfId="15571"/>
    <cellStyle name="Обычный 34 5" xfId="15572"/>
    <cellStyle name="Обычный 34 5 2" xfId="45450"/>
    <cellStyle name="Обычный 34 6" xfId="15573"/>
    <cellStyle name="Обычный 34 6 2" xfId="45451"/>
    <cellStyle name="Обычный 34 7" xfId="15574"/>
    <cellStyle name="Обычный 34 7 2" xfId="45452"/>
    <cellStyle name="Обычный 34 8" xfId="15575"/>
    <cellStyle name="Обычный 34 8 2" xfId="45453"/>
    <cellStyle name="Обычный 34 9" xfId="15576"/>
    <cellStyle name="Обычный 34 9 2" xfId="45454"/>
    <cellStyle name="Обычный 35" xfId="15577"/>
    <cellStyle name="Обычный 35 2" xfId="15578"/>
    <cellStyle name="Обычный 35 2 2" xfId="15579"/>
    <cellStyle name="Обычный 35 2 2 2" xfId="15580"/>
    <cellStyle name="Обычный 35 2 2 2 2" xfId="45455"/>
    <cellStyle name="Обычный 35 2 2 3" xfId="45456"/>
    <cellStyle name="Обычный 35 2 3" xfId="15581"/>
    <cellStyle name="Обычный 35 2 3 2" xfId="45457"/>
    <cellStyle name="Обычный 35 2 4" xfId="45458"/>
    <cellStyle name="Обычный 35 3" xfId="15582"/>
    <cellStyle name="Обычный 35 3 2" xfId="15583"/>
    <cellStyle name="Обычный 35 3 2 2" xfId="15584"/>
    <cellStyle name="Обычный 35 3 2 2 2" xfId="45459"/>
    <cellStyle name="Обычный 35 3 2 3" xfId="45460"/>
    <cellStyle name="Обычный 35 3 3" xfId="15585"/>
    <cellStyle name="Обычный 35 3 3 2" xfId="45461"/>
    <cellStyle name="Обычный 35 3 4" xfId="45462"/>
    <cellStyle name="Обычный 35 4" xfId="15586"/>
    <cellStyle name="Обычный 35 4 2" xfId="15587"/>
    <cellStyle name="Обычный 35 4 2 2" xfId="15588"/>
    <cellStyle name="Обычный 35 4 2 2 2" xfId="45463"/>
    <cellStyle name="Обычный 35 4 2 3" xfId="45464"/>
    <cellStyle name="Обычный 35 4 3" xfId="15589"/>
    <cellStyle name="Обычный 35 4 3 2" xfId="45465"/>
    <cellStyle name="Обычный 35 4 4" xfId="45466"/>
    <cellStyle name="Обычный 35 5" xfId="15590"/>
    <cellStyle name="Обычный 35 5 2" xfId="15591"/>
    <cellStyle name="Обычный 35 5 2 2" xfId="45467"/>
    <cellStyle name="Обычный 35 5 3" xfId="45468"/>
    <cellStyle name="Обычный 35 6" xfId="15592"/>
    <cellStyle name="Обычный 35 6 2" xfId="45469"/>
    <cellStyle name="Обычный 35 7" xfId="15593"/>
    <cellStyle name="Обычный 35 7 2" xfId="45470"/>
    <cellStyle name="Обычный 35 8" xfId="15594"/>
    <cellStyle name="Обычный 36" xfId="32"/>
    <cellStyle name="Обычный 36 2" xfId="15595"/>
    <cellStyle name="Обычный 36 2 2" xfId="15596"/>
    <cellStyle name="Обычный 36 2 2 2" xfId="15597"/>
    <cellStyle name="Обычный 36 2 2 2 2" xfId="45471"/>
    <cellStyle name="Обычный 36 2 2 3" xfId="45472"/>
    <cellStyle name="Обычный 36 2 3" xfId="15598"/>
    <cellStyle name="Обычный 36 2 3 2" xfId="45473"/>
    <cellStyle name="Обычный 36 2 4" xfId="45474"/>
    <cellStyle name="Обычный 36 3" xfId="15599"/>
    <cellStyle name="Обычный 36 3 2" xfId="15600"/>
    <cellStyle name="Обычный 36 3 2 2" xfId="15601"/>
    <cellStyle name="Обычный 36 3 2 2 2" xfId="45475"/>
    <cellStyle name="Обычный 36 3 2 3" xfId="45476"/>
    <cellStyle name="Обычный 36 3 3" xfId="15602"/>
    <cellStyle name="Обычный 36 3 3 2" xfId="45477"/>
    <cellStyle name="Обычный 36 3 4" xfId="45478"/>
    <cellStyle name="Обычный 36 4" xfId="34"/>
    <cellStyle name="Обычный 36 4 2" xfId="15603"/>
    <cellStyle name="Обычный 36 4 2 2" xfId="15604"/>
    <cellStyle name="Обычный 36 4 2 2 2" xfId="45479"/>
    <cellStyle name="Обычный 36 4 2 3" xfId="45480"/>
    <cellStyle name="Обычный 36 4 3" xfId="15605"/>
    <cellStyle name="Обычный 36 4 3 2" xfId="45481"/>
    <cellStyle name="Обычный 36 4 4" xfId="45482"/>
    <cellStyle name="Обычный 36 5" xfId="15606"/>
    <cellStyle name="Обычный 36 5 2" xfId="15607"/>
    <cellStyle name="Обычный 36 5 2 2" xfId="45483"/>
    <cellStyle name="Обычный 36 5 3" xfId="45484"/>
    <cellStyle name="Обычный 36 6" xfId="15608"/>
    <cellStyle name="Обычный 36 6 2" xfId="45485"/>
    <cellStyle name="Обычный 36 7" xfId="15609"/>
    <cellStyle name="Обычный 36 7 2" xfId="45486"/>
    <cellStyle name="Обычный 36 8" xfId="45487"/>
    <cellStyle name="Обычный 37" xfId="15610"/>
    <cellStyle name="Обычный 37 2" xfId="15611"/>
    <cellStyle name="Обычный 37 2 2" xfId="15612"/>
    <cellStyle name="Обычный 37 2 2 2" xfId="15613"/>
    <cellStyle name="Обычный 37 2 2 2 2" xfId="45488"/>
    <cellStyle name="Обычный 37 2 2 3" xfId="45489"/>
    <cellStyle name="Обычный 37 2 3" xfId="15614"/>
    <cellStyle name="Обычный 37 2 3 2" xfId="45490"/>
    <cellStyle name="Обычный 37 2 4" xfId="45491"/>
    <cellStyle name="Обычный 37 3" xfId="15615"/>
    <cellStyle name="Обычный 37 3 2" xfId="15616"/>
    <cellStyle name="Обычный 37 3 2 2" xfId="15617"/>
    <cellStyle name="Обычный 37 3 2 2 2" xfId="45492"/>
    <cellStyle name="Обычный 37 3 2 3" xfId="45493"/>
    <cellStyle name="Обычный 37 3 3" xfId="15618"/>
    <cellStyle name="Обычный 37 3 3 2" xfId="45494"/>
    <cellStyle name="Обычный 37 3 4" xfId="45495"/>
    <cellStyle name="Обычный 37 4" xfId="15619"/>
    <cellStyle name="Обычный 37 4 2" xfId="15620"/>
    <cellStyle name="Обычный 37 4 2 2" xfId="15621"/>
    <cellStyle name="Обычный 37 4 2 2 2" xfId="45496"/>
    <cellStyle name="Обычный 37 4 2 3" xfId="45497"/>
    <cellStyle name="Обычный 37 4 3" xfId="15622"/>
    <cellStyle name="Обычный 37 4 3 2" xfId="45498"/>
    <cellStyle name="Обычный 37 4 4" xfId="45499"/>
    <cellStyle name="Обычный 37 5" xfId="15623"/>
    <cellStyle name="Обычный 37 5 2" xfId="15624"/>
    <cellStyle name="Обычный 37 5 2 2" xfId="45500"/>
    <cellStyle name="Обычный 37 5 3" xfId="45501"/>
    <cellStyle name="Обычный 37 6" xfId="15625"/>
    <cellStyle name="Обычный 37 6 2" xfId="45502"/>
    <cellStyle name="Обычный 37 7" xfId="15626"/>
    <cellStyle name="Обычный 37 7 2" xfId="45503"/>
    <cellStyle name="Обычный 37 8" xfId="45504"/>
    <cellStyle name="Обычный 38" xfId="15627"/>
    <cellStyle name="Обычный 38 2" xfId="15628"/>
    <cellStyle name="Обычный 38 2 2" xfId="15629"/>
    <cellStyle name="Обычный 38 2 2 2" xfId="15630"/>
    <cellStyle name="Обычный 38 2 2 2 2" xfId="45505"/>
    <cellStyle name="Обычный 38 2 2 3" xfId="45506"/>
    <cellStyle name="Обычный 38 2 3" xfId="15631"/>
    <cellStyle name="Обычный 38 2 3 2" xfId="45507"/>
    <cellStyle name="Обычный 38 2 4" xfId="45508"/>
    <cellStyle name="Обычный 38 3" xfId="15632"/>
    <cellStyle name="Обычный 38 3 2" xfId="15633"/>
    <cellStyle name="Обычный 38 3 2 2" xfId="15634"/>
    <cellStyle name="Обычный 38 3 2 2 2" xfId="45509"/>
    <cellStyle name="Обычный 38 3 2 3" xfId="45510"/>
    <cellStyle name="Обычный 38 3 3" xfId="15635"/>
    <cellStyle name="Обычный 38 3 3 2" xfId="45511"/>
    <cellStyle name="Обычный 38 3 4" xfId="45512"/>
    <cellStyle name="Обычный 38 4" xfId="15636"/>
    <cellStyle name="Обычный 38 4 2" xfId="15637"/>
    <cellStyle name="Обычный 38 4 2 2" xfId="15638"/>
    <cellStyle name="Обычный 38 4 2 2 2" xfId="45513"/>
    <cellStyle name="Обычный 38 4 2 3" xfId="45514"/>
    <cellStyle name="Обычный 38 4 3" xfId="15639"/>
    <cellStyle name="Обычный 38 4 3 2" xfId="45515"/>
    <cellStyle name="Обычный 38 4 4" xfId="45516"/>
    <cellStyle name="Обычный 38 5" xfId="15640"/>
    <cellStyle name="Обычный 38 5 2" xfId="15641"/>
    <cellStyle name="Обычный 38 5 2 2" xfId="45517"/>
    <cellStyle name="Обычный 38 5 3" xfId="45518"/>
    <cellStyle name="Обычный 38 6" xfId="15642"/>
    <cellStyle name="Обычный 38 6 2" xfId="45519"/>
    <cellStyle name="Обычный 38 7" xfId="15643"/>
    <cellStyle name="Обычный 38 7 2" xfId="45520"/>
    <cellStyle name="Обычный 38 8" xfId="45521"/>
    <cellStyle name="Обычный 39" xfId="15644"/>
    <cellStyle name="Обычный 39 2" xfId="15645"/>
    <cellStyle name="Обычный 39 2 2" xfId="15646"/>
    <cellStyle name="Обычный 39 2 2 2" xfId="15647"/>
    <cellStyle name="Обычный 39 2 2 2 2" xfId="45522"/>
    <cellStyle name="Обычный 39 2 2 3" xfId="45523"/>
    <cellStyle name="Обычный 39 2 3" xfId="15648"/>
    <cellStyle name="Обычный 39 2 3 2" xfId="45524"/>
    <cellStyle name="Обычный 39 2 4" xfId="45525"/>
    <cellStyle name="Обычный 39 3" xfId="15649"/>
    <cellStyle name="Обычный 39 3 2" xfId="15650"/>
    <cellStyle name="Обычный 39 3 2 2" xfId="15651"/>
    <cellStyle name="Обычный 39 3 2 2 2" xfId="45526"/>
    <cellStyle name="Обычный 39 3 2 3" xfId="45527"/>
    <cellStyle name="Обычный 39 3 3" xfId="15652"/>
    <cellStyle name="Обычный 39 3 3 2" xfId="45528"/>
    <cellStyle name="Обычный 39 3 4" xfId="45529"/>
    <cellStyle name="Обычный 39 4" xfId="15653"/>
    <cellStyle name="Обычный 39 4 2" xfId="15654"/>
    <cellStyle name="Обычный 39 4 2 2" xfId="15655"/>
    <cellStyle name="Обычный 39 4 2 2 2" xfId="45530"/>
    <cellStyle name="Обычный 39 4 2 3" xfId="45531"/>
    <cellStyle name="Обычный 39 4 3" xfId="15656"/>
    <cellStyle name="Обычный 39 4 3 2" xfId="45532"/>
    <cellStyle name="Обычный 39 4 4" xfId="45533"/>
    <cellStyle name="Обычный 39 5" xfId="15657"/>
    <cellStyle name="Обычный 39 5 2" xfId="15658"/>
    <cellStyle name="Обычный 39 5 2 2" xfId="45534"/>
    <cellStyle name="Обычный 39 5 3" xfId="45535"/>
    <cellStyle name="Обычный 39 6" xfId="15659"/>
    <cellStyle name="Обычный 39 6 2" xfId="45536"/>
    <cellStyle name="Обычный 39 7" xfId="15660"/>
    <cellStyle name="Обычный 39 7 2" xfId="45537"/>
    <cellStyle name="Обычный 39 8" xfId="45538"/>
    <cellStyle name="Обычный 4" xfId="17"/>
    <cellStyle name="Обычный 4 10" xfId="45539"/>
    <cellStyle name="Обычный 4 11" xfId="59124"/>
    <cellStyle name="Обычный 4 12" xfId="60327"/>
    <cellStyle name="Обычный 4 2" xfId="15661"/>
    <cellStyle name="Обычный 4 2 10" xfId="15662"/>
    <cellStyle name="Обычный 4 2 10 2" xfId="45540"/>
    <cellStyle name="Обычный 4 2 11" xfId="15663"/>
    <cellStyle name="Обычный 4 2 11 2" xfId="45541"/>
    <cellStyle name="Обычный 4 2 12" xfId="15664"/>
    <cellStyle name="Обычный 4 2 12 2" xfId="45542"/>
    <cellStyle name="Обычный 4 2 13" xfId="15665"/>
    <cellStyle name="Обычный 4 2 13 2" xfId="45543"/>
    <cellStyle name="Обычный 4 2 14" xfId="15666"/>
    <cellStyle name="Обычный 4 2 14 2" xfId="45544"/>
    <cellStyle name="Обычный 4 2 15" xfId="15667"/>
    <cellStyle name="Обычный 4 2 15 2" xfId="45545"/>
    <cellStyle name="Обычный 4 2 16" xfId="15668"/>
    <cellStyle name="Обычный 4 2 16 2" xfId="45546"/>
    <cellStyle name="Обычный 4 2 17" xfId="15669"/>
    <cellStyle name="Обычный 4 2 17 2" xfId="45547"/>
    <cellStyle name="Обычный 4 2 18" xfId="15670"/>
    <cellStyle name="Обычный 4 2 18 2" xfId="45548"/>
    <cellStyle name="Обычный 4 2 19" xfId="15671"/>
    <cellStyle name="Обычный 4 2 19 2" xfId="45549"/>
    <cellStyle name="Обычный 4 2 2" xfId="15672"/>
    <cellStyle name="Обычный 4 2 2 2" xfId="15673"/>
    <cellStyle name="Обычный 4 2 2 2 2" xfId="45550"/>
    <cellStyle name="Обычный 4 2 2 3" xfId="15674"/>
    <cellStyle name="Обычный 4 2 2 3 2" xfId="45551"/>
    <cellStyle name="Обычный 4 2 2 4" xfId="15675"/>
    <cellStyle name="Обычный 4 2 2 4 2" xfId="45552"/>
    <cellStyle name="Обычный 4 2 2 5" xfId="45553"/>
    <cellStyle name="Обычный 4 2 20" xfId="15676"/>
    <cellStyle name="Обычный 4 2 20 2" xfId="45554"/>
    <cellStyle name="Обычный 4 2 21" xfId="15677"/>
    <cellStyle name="Обычный 4 2 21 2" xfId="45555"/>
    <cellStyle name="Обычный 4 2 22" xfId="15678"/>
    <cellStyle name="Обычный 4 2 22 2" xfId="45556"/>
    <cellStyle name="Обычный 4 2 23" xfId="15679"/>
    <cellStyle name="Обычный 4 2 23 2" xfId="45557"/>
    <cellStyle name="Обычный 4 2 24" xfId="15680"/>
    <cellStyle name="Обычный 4 2 24 2" xfId="45558"/>
    <cellStyle name="Обычный 4 2 25" xfId="15681"/>
    <cellStyle name="Обычный 4 2 25 2" xfId="45559"/>
    <cellStyle name="Обычный 4 2 26" xfId="15682"/>
    <cellStyle name="Обычный 4 2 26 2" xfId="45560"/>
    <cellStyle name="Обычный 4 2 27" xfId="15683"/>
    <cellStyle name="Обычный 4 2 27 2" xfId="45561"/>
    <cellStyle name="Обычный 4 2 28" xfId="15684"/>
    <cellStyle name="Обычный 4 2 28 2" xfId="45562"/>
    <cellStyle name="Обычный 4 2 29" xfId="45563"/>
    <cellStyle name="Обычный 4 2 3" xfId="15685"/>
    <cellStyle name="Обычный 4 2 3 2" xfId="45564"/>
    <cellStyle name="Обычный 4 2 30" xfId="59125"/>
    <cellStyle name="Обычный 4 2 4" xfId="15686"/>
    <cellStyle name="Обычный 4 2 4 2" xfId="45565"/>
    <cellStyle name="Обычный 4 2 5" xfId="15687"/>
    <cellStyle name="Обычный 4 2 5 2" xfId="45566"/>
    <cellStyle name="Обычный 4 2 6" xfId="15688"/>
    <cellStyle name="Обычный 4 2 6 2" xfId="45567"/>
    <cellStyle name="Обычный 4 2 7" xfId="15689"/>
    <cellStyle name="Обычный 4 2 7 2" xfId="45568"/>
    <cellStyle name="Обычный 4 2 8" xfId="15690"/>
    <cellStyle name="Обычный 4 2 8 2" xfId="45569"/>
    <cellStyle name="Обычный 4 2 9" xfId="15691"/>
    <cellStyle name="Обычный 4 2 9 2" xfId="45570"/>
    <cellStyle name="Обычный 4 2_Корректировка ДПН 3 квартал (первая)(06 07 09)" xfId="15692"/>
    <cellStyle name="Обычный 4 3" xfId="15693"/>
    <cellStyle name="Обычный 4 3 10" xfId="15694"/>
    <cellStyle name="Обычный 4 3 10 2" xfId="45571"/>
    <cellStyle name="Обычный 4 3 11" xfId="15695"/>
    <cellStyle name="Обычный 4 3 11 2" xfId="45572"/>
    <cellStyle name="Обычный 4 3 12" xfId="15696"/>
    <cellStyle name="Обычный 4 3 12 2" xfId="45573"/>
    <cellStyle name="Обычный 4 3 13" xfId="15697"/>
    <cellStyle name="Обычный 4 3 13 2" xfId="45574"/>
    <cellStyle name="Обычный 4 3 14" xfId="15698"/>
    <cellStyle name="Обычный 4 3 14 2" xfId="45575"/>
    <cellStyle name="Обычный 4 3 15" xfId="15699"/>
    <cellStyle name="Обычный 4 3 15 2" xfId="45576"/>
    <cellStyle name="Обычный 4 3 16" xfId="15700"/>
    <cellStyle name="Обычный 4 3 16 2" xfId="45577"/>
    <cellStyle name="Обычный 4 3 17" xfId="15701"/>
    <cellStyle name="Обычный 4 3 17 2" xfId="45578"/>
    <cellStyle name="Обычный 4 3 18" xfId="15702"/>
    <cellStyle name="Обычный 4 3 18 2" xfId="45579"/>
    <cellStyle name="Обычный 4 3 19" xfId="15703"/>
    <cellStyle name="Обычный 4 3 19 2" xfId="45580"/>
    <cellStyle name="Обычный 4 3 2" xfId="15704"/>
    <cellStyle name="Обычный 4 3 2 2" xfId="45581"/>
    <cellStyle name="Обычный 4 3 20" xfId="15705"/>
    <cellStyle name="Обычный 4 3 20 2" xfId="45582"/>
    <cellStyle name="Обычный 4 3 21" xfId="15706"/>
    <cellStyle name="Обычный 4 3 21 2" xfId="45583"/>
    <cellStyle name="Обычный 4 3 22" xfId="15707"/>
    <cellStyle name="Обычный 4 3 22 2" xfId="45584"/>
    <cellStyle name="Обычный 4 3 23" xfId="15708"/>
    <cellStyle name="Обычный 4 3 23 2" xfId="45585"/>
    <cellStyle name="Обычный 4 3 24" xfId="15709"/>
    <cellStyle name="Обычный 4 3 24 2" xfId="45586"/>
    <cellStyle name="Обычный 4 3 25" xfId="15710"/>
    <cellStyle name="Обычный 4 3 25 2" xfId="45587"/>
    <cellStyle name="Обычный 4 3 26" xfId="15711"/>
    <cellStyle name="Обычный 4 3 26 2" xfId="45588"/>
    <cellStyle name="Обычный 4 3 27" xfId="45589"/>
    <cellStyle name="Обычный 4 3 3" xfId="15712"/>
    <cellStyle name="Обычный 4 3 3 2" xfId="45590"/>
    <cellStyle name="Обычный 4 3 4" xfId="15713"/>
    <cellStyle name="Обычный 4 3 4 2" xfId="45591"/>
    <cellStyle name="Обычный 4 3 5" xfId="15714"/>
    <cellStyle name="Обычный 4 3 5 2" xfId="45592"/>
    <cellStyle name="Обычный 4 3 6" xfId="15715"/>
    <cellStyle name="Обычный 4 3 6 2" xfId="45593"/>
    <cellStyle name="Обычный 4 3 7" xfId="15716"/>
    <cellStyle name="Обычный 4 3 7 2" xfId="45594"/>
    <cellStyle name="Обычный 4 3 8" xfId="15717"/>
    <cellStyle name="Обычный 4 3 8 2" xfId="45595"/>
    <cellStyle name="Обычный 4 3 9" xfId="15718"/>
    <cellStyle name="Обычный 4 3 9 2" xfId="45596"/>
    <cellStyle name="Обычный 4 4" xfId="15719"/>
    <cellStyle name="Обычный 4 4 2" xfId="15720"/>
    <cellStyle name="Обычный 4 4 2 2" xfId="45597"/>
    <cellStyle name="Обычный 4 4 3" xfId="15721"/>
    <cellStyle name="Обычный 4 4 3 2" xfId="45598"/>
    <cellStyle name="Обычный 4 4 4" xfId="15722"/>
    <cellStyle name="Обычный 4 4 4 2" xfId="45599"/>
    <cellStyle name="Обычный 4 4 5" xfId="45600"/>
    <cellStyle name="Обычный 4 5" xfId="15723"/>
    <cellStyle name="Обычный 4 5 2" xfId="45601"/>
    <cellStyle name="Обычный 4 6" xfId="15724"/>
    <cellStyle name="Обычный 4 6 2" xfId="45602"/>
    <cellStyle name="Обычный 4 7" xfId="15725"/>
    <cellStyle name="Обычный 4 7 2" xfId="45603"/>
    <cellStyle name="Обычный 4 8" xfId="15726"/>
    <cellStyle name="Обычный 4 8 2" xfId="45604"/>
    <cellStyle name="Обычный 4 9" xfId="15727"/>
    <cellStyle name="Обычный 4 9 2" xfId="45605"/>
    <cellStyle name="Обычный 4_Корректировка 2 квартал ДПН ОМТС Июнь (02 06 09)" xfId="15728"/>
    <cellStyle name="Обычный 40" xfId="15729"/>
    <cellStyle name="Обычный 40 2" xfId="15730"/>
    <cellStyle name="Обычный 40 2 2" xfId="15731"/>
    <cellStyle name="Обычный 40 2 2 2" xfId="15732"/>
    <cellStyle name="Обычный 40 2 2 2 2" xfId="45606"/>
    <cellStyle name="Обычный 40 2 2 3" xfId="45607"/>
    <cellStyle name="Обычный 40 2 3" xfId="15733"/>
    <cellStyle name="Обычный 40 2 3 2" xfId="45608"/>
    <cellStyle name="Обычный 40 2 4" xfId="45609"/>
    <cellStyle name="Обычный 40 3" xfId="15734"/>
    <cellStyle name="Обычный 40 3 2" xfId="15735"/>
    <cellStyle name="Обычный 40 3 2 2" xfId="15736"/>
    <cellStyle name="Обычный 40 3 2 2 2" xfId="45610"/>
    <cellStyle name="Обычный 40 3 2 3" xfId="45611"/>
    <cellStyle name="Обычный 40 3 3" xfId="15737"/>
    <cellStyle name="Обычный 40 3 3 2" xfId="45612"/>
    <cellStyle name="Обычный 40 3 4" xfId="45613"/>
    <cellStyle name="Обычный 40 4" xfId="15738"/>
    <cellStyle name="Обычный 40 4 2" xfId="15739"/>
    <cellStyle name="Обычный 40 4 2 2" xfId="15740"/>
    <cellStyle name="Обычный 40 4 2 2 2" xfId="45614"/>
    <cellStyle name="Обычный 40 4 2 3" xfId="45615"/>
    <cellStyle name="Обычный 40 4 3" xfId="15741"/>
    <cellStyle name="Обычный 40 4 3 2" xfId="45616"/>
    <cellStyle name="Обычный 40 4 4" xfId="45617"/>
    <cellStyle name="Обычный 40 5" xfId="15742"/>
    <cellStyle name="Обычный 40 5 2" xfId="15743"/>
    <cellStyle name="Обычный 40 5 2 2" xfId="45618"/>
    <cellStyle name="Обычный 40 5 3" xfId="45619"/>
    <cellStyle name="Обычный 40 6" xfId="15744"/>
    <cellStyle name="Обычный 40 6 2" xfId="45620"/>
    <cellStyle name="Обычный 40 7" xfId="15745"/>
    <cellStyle name="Обычный 40 7 2" xfId="45621"/>
    <cellStyle name="Обычный 40 8" xfId="45622"/>
    <cellStyle name="Обычный 41" xfId="15746"/>
    <cellStyle name="Обычный 41 2" xfId="15747"/>
    <cellStyle name="Обычный 41 2 2" xfId="15748"/>
    <cellStyle name="Обычный 41 2 2 2" xfId="15749"/>
    <cellStyle name="Обычный 41 2 2 2 2" xfId="45623"/>
    <cellStyle name="Обычный 41 2 2 3" xfId="45624"/>
    <cellStyle name="Обычный 41 2 3" xfId="15750"/>
    <cellStyle name="Обычный 41 2 3 2" xfId="45625"/>
    <cellStyle name="Обычный 41 2 4" xfId="45626"/>
    <cellStyle name="Обычный 41 3" xfId="15751"/>
    <cellStyle name="Обычный 41 3 2" xfId="15752"/>
    <cellStyle name="Обычный 41 3 2 2" xfId="15753"/>
    <cellStyle name="Обычный 41 3 2 2 2" xfId="45627"/>
    <cellStyle name="Обычный 41 3 2 3" xfId="45628"/>
    <cellStyle name="Обычный 41 3 3" xfId="15754"/>
    <cellStyle name="Обычный 41 3 3 2" xfId="45629"/>
    <cellStyle name="Обычный 41 3 4" xfId="45630"/>
    <cellStyle name="Обычный 41 4" xfId="15755"/>
    <cellStyle name="Обычный 41 4 2" xfId="15756"/>
    <cellStyle name="Обычный 41 4 2 2" xfId="15757"/>
    <cellStyle name="Обычный 41 4 2 2 2" xfId="45631"/>
    <cellStyle name="Обычный 41 4 2 3" xfId="45632"/>
    <cellStyle name="Обычный 41 4 3" xfId="15758"/>
    <cellStyle name="Обычный 41 4 3 2" xfId="45633"/>
    <cellStyle name="Обычный 41 4 4" xfId="45634"/>
    <cellStyle name="Обычный 41 5" xfId="15759"/>
    <cellStyle name="Обычный 41 5 2" xfId="15760"/>
    <cellStyle name="Обычный 41 5 2 2" xfId="45635"/>
    <cellStyle name="Обычный 41 5 3" xfId="45636"/>
    <cellStyle name="Обычный 41 6" xfId="15761"/>
    <cellStyle name="Обычный 41 6 2" xfId="45637"/>
    <cellStyle name="Обычный 41 7" xfId="15762"/>
    <cellStyle name="Обычный 41 7 2" xfId="45638"/>
    <cellStyle name="Обычный 41 8" xfId="45639"/>
    <cellStyle name="Обычный 42" xfId="15763"/>
    <cellStyle name="Обычный 42 2" xfId="15764"/>
    <cellStyle name="Обычный 42 2 2" xfId="15765"/>
    <cellStyle name="Обычный 42 2 2 2" xfId="15766"/>
    <cellStyle name="Обычный 42 2 2 2 2" xfId="45640"/>
    <cellStyle name="Обычный 42 2 2 3" xfId="45641"/>
    <cellStyle name="Обычный 42 2 3" xfId="15767"/>
    <cellStyle name="Обычный 42 2 3 2" xfId="45642"/>
    <cellStyle name="Обычный 42 2 4" xfId="45643"/>
    <cellStyle name="Обычный 42 3" xfId="15768"/>
    <cellStyle name="Обычный 42 3 2" xfId="15769"/>
    <cellStyle name="Обычный 42 3 2 2" xfId="15770"/>
    <cellStyle name="Обычный 42 3 2 2 2" xfId="45644"/>
    <cellStyle name="Обычный 42 3 2 3" xfId="45645"/>
    <cellStyle name="Обычный 42 3 3" xfId="15771"/>
    <cellStyle name="Обычный 42 3 3 2" xfId="45646"/>
    <cellStyle name="Обычный 42 3 4" xfId="45647"/>
    <cellStyle name="Обычный 42 4" xfId="15772"/>
    <cellStyle name="Обычный 42 4 2" xfId="15773"/>
    <cellStyle name="Обычный 42 4 2 2" xfId="15774"/>
    <cellStyle name="Обычный 42 4 2 2 2" xfId="45648"/>
    <cellStyle name="Обычный 42 4 2 3" xfId="45649"/>
    <cellStyle name="Обычный 42 4 3" xfId="15775"/>
    <cellStyle name="Обычный 42 4 3 2" xfId="45650"/>
    <cellStyle name="Обычный 42 4 4" xfId="45651"/>
    <cellStyle name="Обычный 42 5" xfId="15776"/>
    <cellStyle name="Обычный 42 5 2" xfId="15777"/>
    <cellStyle name="Обычный 42 5 2 2" xfId="45652"/>
    <cellStyle name="Обычный 42 5 3" xfId="45653"/>
    <cellStyle name="Обычный 42 6" xfId="15778"/>
    <cellStyle name="Обычный 42 6 2" xfId="45654"/>
    <cellStyle name="Обычный 42 7" xfId="15779"/>
    <cellStyle name="Обычный 42 7 2" xfId="45655"/>
    <cellStyle name="Обычный 42 8" xfId="45656"/>
    <cellStyle name="Обычный 43" xfId="15780"/>
    <cellStyle name="Обычный 43 2" xfId="15781"/>
    <cellStyle name="Обычный 43 2 2" xfId="15782"/>
    <cellStyle name="Обычный 43 2 2 2" xfId="15783"/>
    <cellStyle name="Обычный 43 2 2 2 2" xfId="45657"/>
    <cellStyle name="Обычный 43 2 2 3" xfId="45658"/>
    <cellStyle name="Обычный 43 2 3" xfId="15784"/>
    <cellStyle name="Обычный 43 2 3 2" xfId="45659"/>
    <cellStyle name="Обычный 43 2 4" xfId="45660"/>
    <cellStyle name="Обычный 43 3" xfId="15785"/>
    <cellStyle name="Обычный 43 3 2" xfId="15786"/>
    <cellStyle name="Обычный 43 3 2 2" xfId="15787"/>
    <cellStyle name="Обычный 43 3 2 2 2" xfId="45661"/>
    <cellStyle name="Обычный 43 3 2 3" xfId="45662"/>
    <cellStyle name="Обычный 43 3 3" xfId="15788"/>
    <cellStyle name="Обычный 43 3 3 2" xfId="45663"/>
    <cellStyle name="Обычный 43 3 4" xfId="45664"/>
    <cellStyle name="Обычный 43 4" xfId="15789"/>
    <cellStyle name="Обычный 43 4 2" xfId="15790"/>
    <cellStyle name="Обычный 43 4 2 2" xfId="15791"/>
    <cellStyle name="Обычный 43 4 2 2 2" xfId="45665"/>
    <cellStyle name="Обычный 43 4 2 3" xfId="45666"/>
    <cellStyle name="Обычный 43 4 3" xfId="15792"/>
    <cellStyle name="Обычный 43 4 3 2" xfId="45667"/>
    <cellStyle name="Обычный 43 4 4" xfId="45668"/>
    <cellStyle name="Обычный 43 5" xfId="15793"/>
    <cellStyle name="Обычный 43 5 2" xfId="15794"/>
    <cellStyle name="Обычный 43 5 2 2" xfId="45669"/>
    <cellStyle name="Обычный 43 5 3" xfId="45670"/>
    <cellStyle name="Обычный 43 6" xfId="15795"/>
    <cellStyle name="Обычный 43 6 2" xfId="45671"/>
    <cellStyle name="Обычный 43 7" xfId="15796"/>
    <cellStyle name="Обычный 43 7 2" xfId="45672"/>
    <cellStyle name="Обычный 43 8" xfId="45673"/>
    <cellStyle name="Обычный 44" xfId="15797"/>
    <cellStyle name="Обычный 44 2" xfId="15798"/>
    <cellStyle name="Обычный 44 2 2" xfId="15799"/>
    <cellStyle name="Обычный 44 2 2 2" xfId="15800"/>
    <cellStyle name="Обычный 44 2 2 2 2" xfId="45674"/>
    <cellStyle name="Обычный 44 2 2 3" xfId="45675"/>
    <cellStyle name="Обычный 44 2 3" xfId="15801"/>
    <cellStyle name="Обычный 44 2 3 2" xfId="45676"/>
    <cellStyle name="Обычный 44 2 4" xfId="45677"/>
    <cellStyle name="Обычный 44 3" xfId="15802"/>
    <cellStyle name="Обычный 44 3 2" xfId="15803"/>
    <cellStyle name="Обычный 44 3 2 2" xfId="15804"/>
    <cellStyle name="Обычный 44 3 2 2 2" xfId="45678"/>
    <cellStyle name="Обычный 44 3 2 3" xfId="45679"/>
    <cellStyle name="Обычный 44 3 3" xfId="15805"/>
    <cellStyle name="Обычный 44 3 3 2" xfId="45680"/>
    <cellStyle name="Обычный 44 3 4" xfId="45681"/>
    <cellStyle name="Обычный 44 4" xfId="15806"/>
    <cellStyle name="Обычный 44 4 2" xfId="15807"/>
    <cellStyle name="Обычный 44 4 2 2" xfId="15808"/>
    <cellStyle name="Обычный 44 4 2 2 2" xfId="45682"/>
    <cellStyle name="Обычный 44 4 2 3" xfId="45683"/>
    <cellStyle name="Обычный 44 4 3" xfId="15809"/>
    <cellStyle name="Обычный 44 4 3 2" xfId="45684"/>
    <cellStyle name="Обычный 44 4 4" xfId="45685"/>
    <cellStyle name="Обычный 44 5" xfId="15810"/>
    <cellStyle name="Обычный 44 5 2" xfId="15811"/>
    <cellStyle name="Обычный 44 5 2 2" xfId="45686"/>
    <cellStyle name="Обычный 44 5 3" xfId="45687"/>
    <cellStyle name="Обычный 44 6" xfId="15812"/>
    <cellStyle name="Обычный 44 6 2" xfId="45688"/>
    <cellStyle name="Обычный 44 7" xfId="15813"/>
    <cellStyle name="Обычный 44 7 2" xfId="45689"/>
    <cellStyle name="Обычный 44 8" xfId="15814"/>
    <cellStyle name="Обычный 45" xfId="15815"/>
    <cellStyle name="Обычный 45 2" xfId="15816"/>
    <cellStyle name="Обычный 45 2 2" xfId="15817"/>
    <cellStyle name="Обычный 45 2 2 2" xfId="15818"/>
    <cellStyle name="Обычный 45 2 2 2 2" xfId="45690"/>
    <cellStyle name="Обычный 45 2 2 3" xfId="45691"/>
    <cellStyle name="Обычный 45 2 3" xfId="15819"/>
    <cellStyle name="Обычный 45 2 3 2" xfId="45692"/>
    <cellStyle name="Обычный 45 2 4" xfId="45693"/>
    <cellStyle name="Обычный 45 3" xfId="15820"/>
    <cellStyle name="Обычный 45 3 2" xfId="15821"/>
    <cellStyle name="Обычный 45 3 2 2" xfId="15822"/>
    <cellStyle name="Обычный 45 3 2 2 2" xfId="45694"/>
    <cellStyle name="Обычный 45 3 2 3" xfId="45695"/>
    <cellStyle name="Обычный 45 3 3" xfId="15823"/>
    <cellStyle name="Обычный 45 3 3 2" xfId="45696"/>
    <cellStyle name="Обычный 45 3 4" xfId="45697"/>
    <cellStyle name="Обычный 45 4" xfId="15824"/>
    <cellStyle name="Обычный 45 4 2" xfId="15825"/>
    <cellStyle name="Обычный 45 4 2 2" xfId="15826"/>
    <cellStyle name="Обычный 45 4 2 2 2" xfId="45698"/>
    <cellStyle name="Обычный 45 4 2 3" xfId="45699"/>
    <cellStyle name="Обычный 45 4 3" xfId="15827"/>
    <cellStyle name="Обычный 45 4 3 2" xfId="45700"/>
    <cellStyle name="Обычный 45 4 4" xfId="45701"/>
    <cellStyle name="Обычный 45 5" xfId="15828"/>
    <cellStyle name="Обычный 45 5 2" xfId="15829"/>
    <cellStyle name="Обычный 45 5 2 2" xfId="45702"/>
    <cellStyle name="Обычный 45 5 3" xfId="45703"/>
    <cellStyle name="Обычный 45 6" xfId="15830"/>
    <cellStyle name="Обычный 45 6 2" xfId="45704"/>
    <cellStyle name="Обычный 45 7" xfId="15831"/>
    <cellStyle name="Обычный 45 7 2" xfId="45705"/>
    <cellStyle name="Обычный 45 8" xfId="45706"/>
    <cellStyle name="Обычный 46" xfId="15832"/>
    <cellStyle name="Обычный 46 2" xfId="15833"/>
    <cellStyle name="Обычный 46 2 2" xfId="15834"/>
    <cellStyle name="Обычный 46 2 2 2" xfId="15835"/>
    <cellStyle name="Обычный 46 2 2 2 2" xfId="45707"/>
    <cellStyle name="Обычный 46 2 2 3" xfId="45708"/>
    <cellStyle name="Обычный 46 2 3" xfId="15836"/>
    <cellStyle name="Обычный 46 2 3 2" xfId="45709"/>
    <cellStyle name="Обычный 46 2 4" xfId="45710"/>
    <cellStyle name="Обычный 46 3" xfId="15837"/>
    <cellStyle name="Обычный 46 3 2" xfId="15838"/>
    <cellStyle name="Обычный 46 3 2 2" xfId="15839"/>
    <cellStyle name="Обычный 46 3 2 2 2" xfId="45711"/>
    <cellStyle name="Обычный 46 3 2 3" xfId="45712"/>
    <cellStyle name="Обычный 46 3 3" xfId="15840"/>
    <cellStyle name="Обычный 46 3 3 2" xfId="45713"/>
    <cellStyle name="Обычный 46 3 4" xfId="45714"/>
    <cellStyle name="Обычный 46 4" xfId="15841"/>
    <cellStyle name="Обычный 46 4 2" xfId="15842"/>
    <cellStyle name="Обычный 46 4 2 2" xfId="15843"/>
    <cellStyle name="Обычный 46 4 2 2 2" xfId="45715"/>
    <cellStyle name="Обычный 46 4 2 3" xfId="45716"/>
    <cellStyle name="Обычный 46 4 3" xfId="15844"/>
    <cellStyle name="Обычный 46 4 3 2" xfId="45717"/>
    <cellStyle name="Обычный 46 4 4" xfId="45718"/>
    <cellStyle name="Обычный 46 5" xfId="15845"/>
    <cellStyle name="Обычный 46 5 2" xfId="15846"/>
    <cellStyle name="Обычный 46 5 2 2" xfId="45719"/>
    <cellStyle name="Обычный 46 5 3" xfId="45720"/>
    <cellStyle name="Обычный 46 6" xfId="15847"/>
    <cellStyle name="Обычный 46 6 2" xfId="45721"/>
    <cellStyle name="Обычный 46 7" xfId="15848"/>
    <cellStyle name="Обычный 46 7 2" xfId="45722"/>
    <cellStyle name="Обычный 46 8" xfId="45723"/>
    <cellStyle name="Обычный 47" xfId="15849"/>
    <cellStyle name="Обычный 47 2" xfId="15850"/>
    <cellStyle name="Обычный 47 2 2" xfId="15851"/>
    <cellStyle name="Обычный 47 2 2 2" xfId="15852"/>
    <cellStyle name="Обычный 47 2 2 2 2" xfId="45724"/>
    <cellStyle name="Обычный 47 2 2 3" xfId="45725"/>
    <cellStyle name="Обычный 47 2 3" xfId="15853"/>
    <cellStyle name="Обычный 47 2 3 2" xfId="45726"/>
    <cellStyle name="Обычный 47 2 4" xfId="45727"/>
    <cellStyle name="Обычный 47 3" xfId="15854"/>
    <cellStyle name="Обычный 47 3 2" xfId="15855"/>
    <cellStyle name="Обычный 47 3 2 2" xfId="15856"/>
    <cellStyle name="Обычный 47 3 2 2 2" xfId="45728"/>
    <cellStyle name="Обычный 47 3 2 3" xfId="45729"/>
    <cellStyle name="Обычный 47 3 3" xfId="15857"/>
    <cellStyle name="Обычный 47 3 3 2" xfId="45730"/>
    <cellStyle name="Обычный 47 3 4" xfId="45731"/>
    <cellStyle name="Обычный 47 4" xfId="15858"/>
    <cellStyle name="Обычный 47 4 2" xfId="15859"/>
    <cellStyle name="Обычный 47 4 2 2" xfId="15860"/>
    <cellStyle name="Обычный 47 4 2 2 2" xfId="45732"/>
    <cellStyle name="Обычный 47 4 2 3" xfId="45733"/>
    <cellStyle name="Обычный 47 4 3" xfId="15861"/>
    <cellStyle name="Обычный 47 4 3 2" xfId="45734"/>
    <cellStyle name="Обычный 47 4 4" xfId="45735"/>
    <cellStyle name="Обычный 47 5" xfId="15862"/>
    <cellStyle name="Обычный 47 5 2" xfId="15863"/>
    <cellStyle name="Обычный 47 5 2 2" xfId="45736"/>
    <cellStyle name="Обычный 47 5 3" xfId="45737"/>
    <cellStyle name="Обычный 47 6" xfId="15864"/>
    <cellStyle name="Обычный 47 6 2" xfId="45738"/>
    <cellStyle name="Обычный 47 7" xfId="15865"/>
    <cellStyle name="Обычный 47 7 2" xfId="45739"/>
    <cellStyle name="Обычный 47 8" xfId="45740"/>
    <cellStyle name="Обычный 48" xfId="15866"/>
    <cellStyle name="Обычный 48 2" xfId="15867"/>
    <cellStyle name="Обычный 48 2 2" xfId="15868"/>
    <cellStyle name="Обычный 48 2 2 2" xfId="15869"/>
    <cellStyle name="Обычный 48 2 2 2 2" xfId="45741"/>
    <cellStyle name="Обычный 48 2 2 3" xfId="45742"/>
    <cellStyle name="Обычный 48 2 3" xfId="15870"/>
    <cellStyle name="Обычный 48 2 3 2" xfId="45743"/>
    <cellStyle name="Обычный 48 2 4" xfId="45744"/>
    <cellStyle name="Обычный 48 3" xfId="15871"/>
    <cellStyle name="Обычный 48 3 2" xfId="15872"/>
    <cellStyle name="Обычный 48 3 2 2" xfId="15873"/>
    <cellStyle name="Обычный 48 3 2 2 2" xfId="45745"/>
    <cellStyle name="Обычный 48 3 2 3" xfId="45746"/>
    <cellStyle name="Обычный 48 3 3" xfId="15874"/>
    <cellStyle name="Обычный 48 3 3 2" xfId="45747"/>
    <cellStyle name="Обычный 48 3 4" xfId="45748"/>
    <cellStyle name="Обычный 48 4" xfId="15875"/>
    <cellStyle name="Обычный 48 4 2" xfId="15876"/>
    <cellStyle name="Обычный 48 4 2 2" xfId="15877"/>
    <cellStyle name="Обычный 48 4 2 2 2" xfId="45749"/>
    <cellStyle name="Обычный 48 4 2 3" xfId="45750"/>
    <cellStyle name="Обычный 48 4 3" xfId="15878"/>
    <cellStyle name="Обычный 48 4 3 2" xfId="45751"/>
    <cellStyle name="Обычный 48 4 4" xfId="45752"/>
    <cellStyle name="Обычный 48 5" xfId="15879"/>
    <cellStyle name="Обычный 48 5 2" xfId="15880"/>
    <cellStyle name="Обычный 48 5 2 2" xfId="45753"/>
    <cellStyle name="Обычный 48 5 3" xfId="45754"/>
    <cellStyle name="Обычный 48 6" xfId="15881"/>
    <cellStyle name="Обычный 48 6 2" xfId="45755"/>
    <cellStyle name="Обычный 48 7" xfId="15882"/>
    <cellStyle name="Обычный 48 7 2" xfId="45756"/>
    <cellStyle name="Обычный 48 8" xfId="45757"/>
    <cellStyle name="Обычный 49" xfId="15883"/>
    <cellStyle name="Обычный 49 2" xfId="15884"/>
    <cellStyle name="Обычный 49 2 2" xfId="15885"/>
    <cellStyle name="Обычный 49 2 2 2" xfId="15886"/>
    <cellStyle name="Обычный 49 2 2 2 2" xfId="45758"/>
    <cellStyle name="Обычный 49 2 2 3" xfId="45759"/>
    <cellStyle name="Обычный 49 2 3" xfId="15887"/>
    <cellStyle name="Обычный 49 2 3 2" xfId="45760"/>
    <cellStyle name="Обычный 49 2 4" xfId="45761"/>
    <cellStyle name="Обычный 49 3" xfId="15888"/>
    <cellStyle name="Обычный 49 3 2" xfId="15889"/>
    <cellStyle name="Обычный 49 3 2 2" xfId="15890"/>
    <cellStyle name="Обычный 49 3 2 2 2" xfId="45762"/>
    <cellStyle name="Обычный 49 3 2 3" xfId="45763"/>
    <cellStyle name="Обычный 49 3 3" xfId="15891"/>
    <cellStyle name="Обычный 49 3 3 2" xfId="45764"/>
    <cellStyle name="Обычный 49 3 4" xfId="45765"/>
    <cellStyle name="Обычный 49 4" xfId="15892"/>
    <cellStyle name="Обычный 49 4 2" xfId="15893"/>
    <cellStyle name="Обычный 49 4 2 2" xfId="15894"/>
    <cellStyle name="Обычный 49 4 2 2 2" xfId="45766"/>
    <cellStyle name="Обычный 49 4 2 3" xfId="45767"/>
    <cellStyle name="Обычный 49 4 3" xfId="15895"/>
    <cellStyle name="Обычный 49 4 3 2" xfId="45768"/>
    <cellStyle name="Обычный 49 4 4" xfId="45769"/>
    <cellStyle name="Обычный 49 5" xfId="15896"/>
    <cellStyle name="Обычный 49 5 2" xfId="15897"/>
    <cellStyle name="Обычный 49 5 2 2" xfId="45770"/>
    <cellStyle name="Обычный 49 5 3" xfId="45771"/>
    <cellStyle name="Обычный 49 6" xfId="15898"/>
    <cellStyle name="Обычный 49 6 2" xfId="45772"/>
    <cellStyle name="Обычный 49 7" xfId="15899"/>
    <cellStyle name="Обычный 49 7 2" xfId="45773"/>
    <cellStyle name="Обычный 49 8" xfId="45774"/>
    <cellStyle name="Обычный 5" xfId="18"/>
    <cellStyle name="Обычный 5 10" xfId="15900"/>
    <cellStyle name="Обычный 5 10 10" xfId="15901"/>
    <cellStyle name="Обычный 5 10 10 2" xfId="15902"/>
    <cellStyle name="Обычный 5 10 10 2 2" xfId="15903"/>
    <cellStyle name="Обычный 5 10 10 2 2 2" xfId="15904"/>
    <cellStyle name="Обычный 5 10 10 2 2 2 2" xfId="45775"/>
    <cellStyle name="Обычный 5 10 10 2 2 3" xfId="45776"/>
    <cellStyle name="Обычный 5 10 10 2 3" xfId="15905"/>
    <cellStyle name="Обычный 5 10 10 2 3 2" xfId="45777"/>
    <cellStyle name="Обычный 5 10 10 2 4" xfId="45778"/>
    <cellStyle name="Обычный 5 10 10 3" xfId="15906"/>
    <cellStyle name="Обычный 5 10 10 3 2" xfId="15907"/>
    <cellStyle name="Обычный 5 10 10 3 2 2" xfId="15908"/>
    <cellStyle name="Обычный 5 10 10 3 2 2 2" xfId="45779"/>
    <cellStyle name="Обычный 5 10 10 3 2 3" xfId="45780"/>
    <cellStyle name="Обычный 5 10 10 3 3" xfId="15909"/>
    <cellStyle name="Обычный 5 10 10 3 3 2" xfId="45781"/>
    <cellStyle name="Обычный 5 10 10 3 4" xfId="45782"/>
    <cellStyle name="Обычный 5 10 10 4" xfId="15910"/>
    <cellStyle name="Обычный 5 10 10 4 2" xfId="15911"/>
    <cellStyle name="Обычный 5 10 10 4 2 2" xfId="15912"/>
    <cellStyle name="Обычный 5 10 10 4 2 2 2" xfId="45783"/>
    <cellStyle name="Обычный 5 10 10 4 2 3" xfId="45784"/>
    <cellStyle name="Обычный 5 10 10 4 3" xfId="15913"/>
    <cellStyle name="Обычный 5 10 10 4 3 2" xfId="45785"/>
    <cellStyle name="Обычный 5 10 10 4 4" xfId="45786"/>
    <cellStyle name="Обычный 5 10 10 5" xfId="15914"/>
    <cellStyle name="Обычный 5 10 10 5 2" xfId="15915"/>
    <cellStyle name="Обычный 5 10 10 5 2 2" xfId="45787"/>
    <cellStyle name="Обычный 5 10 10 5 3" xfId="45788"/>
    <cellStyle name="Обычный 5 10 10 6" xfId="15916"/>
    <cellStyle name="Обычный 5 10 10 6 2" xfId="45789"/>
    <cellStyle name="Обычный 5 10 10 7" xfId="15917"/>
    <cellStyle name="Обычный 5 10 10 7 2" xfId="45790"/>
    <cellStyle name="Обычный 5 10 10 8" xfId="45791"/>
    <cellStyle name="Обычный 5 10 11" xfId="15918"/>
    <cellStyle name="Обычный 5 10 11 2" xfId="15919"/>
    <cellStyle name="Обычный 5 10 11 2 2" xfId="15920"/>
    <cellStyle name="Обычный 5 10 11 2 2 2" xfId="15921"/>
    <cellStyle name="Обычный 5 10 11 2 2 2 2" xfId="45792"/>
    <cellStyle name="Обычный 5 10 11 2 2 3" xfId="45793"/>
    <cellStyle name="Обычный 5 10 11 2 3" xfId="15922"/>
    <cellStyle name="Обычный 5 10 11 2 3 2" xfId="45794"/>
    <cellStyle name="Обычный 5 10 11 2 4" xfId="45795"/>
    <cellStyle name="Обычный 5 10 11 3" xfId="15923"/>
    <cellStyle name="Обычный 5 10 11 3 2" xfId="15924"/>
    <cellStyle name="Обычный 5 10 11 3 2 2" xfId="15925"/>
    <cellStyle name="Обычный 5 10 11 3 2 2 2" xfId="45796"/>
    <cellStyle name="Обычный 5 10 11 3 2 3" xfId="45797"/>
    <cellStyle name="Обычный 5 10 11 3 3" xfId="15926"/>
    <cellStyle name="Обычный 5 10 11 3 3 2" xfId="45798"/>
    <cellStyle name="Обычный 5 10 11 3 4" xfId="45799"/>
    <cellStyle name="Обычный 5 10 11 4" xfId="15927"/>
    <cellStyle name="Обычный 5 10 11 4 2" xfId="15928"/>
    <cellStyle name="Обычный 5 10 11 4 2 2" xfId="15929"/>
    <cellStyle name="Обычный 5 10 11 4 2 2 2" xfId="45800"/>
    <cellStyle name="Обычный 5 10 11 4 2 3" xfId="45801"/>
    <cellStyle name="Обычный 5 10 11 4 3" xfId="15930"/>
    <cellStyle name="Обычный 5 10 11 4 3 2" xfId="45802"/>
    <cellStyle name="Обычный 5 10 11 4 4" xfId="45803"/>
    <cellStyle name="Обычный 5 10 11 5" xfId="15931"/>
    <cellStyle name="Обычный 5 10 11 5 2" xfId="15932"/>
    <cellStyle name="Обычный 5 10 11 5 2 2" xfId="45804"/>
    <cellStyle name="Обычный 5 10 11 5 3" xfId="45805"/>
    <cellStyle name="Обычный 5 10 11 6" xfId="15933"/>
    <cellStyle name="Обычный 5 10 11 6 2" xfId="45806"/>
    <cellStyle name="Обычный 5 10 11 7" xfId="15934"/>
    <cellStyle name="Обычный 5 10 11 7 2" xfId="45807"/>
    <cellStyle name="Обычный 5 10 11 8" xfId="45808"/>
    <cellStyle name="Обычный 5 10 12" xfId="15935"/>
    <cellStyle name="Обычный 5 10 12 2" xfId="15936"/>
    <cellStyle name="Обычный 5 10 12 2 2" xfId="15937"/>
    <cellStyle name="Обычный 5 10 12 2 2 2" xfId="15938"/>
    <cellStyle name="Обычный 5 10 12 2 2 2 2" xfId="45809"/>
    <cellStyle name="Обычный 5 10 12 2 2 3" xfId="45810"/>
    <cellStyle name="Обычный 5 10 12 2 3" xfId="15939"/>
    <cellStyle name="Обычный 5 10 12 2 3 2" xfId="45811"/>
    <cellStyle name="Обычный 5 10 12 2 4" xfId="45812"/>
    <cellStyle name="Обычный 5 10 12 3" xfId="15940"/>
    <cellStyle name="Обычный 5 10 12 3 2" xfId="15941"/>
    <cellStyle name="Обычный 5 10 12 3 2 2" xfId="15942"/>
    <cellStyle name="Обычный 5 10 12 3 2 2 2" xfId="45813"/>
    <cellStyle name="Обычный 5 10 12 3 2 3" xfId="45814"/>
    <cellStyle name="Обычный 5 10 12 3 3" xfId="15943"/>
    <cellStyle name="Обычный 5 10 12 3 3 2" xfId="45815"/>
    <cellStyle name="Обычный 5 10 12 3 4" xfId="45816"/>
    <cellStyle name="Обычный 5 10 12 4" xfId="15944"/>
    <cellStyle name="Обычный 5 10 12 4 2" xfId="15945"/>
    <cellStyle name="Обычный 5 10 12 4 2 2" xfId="15946"/>
    <cellStyle name="Обычный 5 10 12 4 2 2 2" xfId="45817"/>
    <cellStyle name="Обычный 5 10 12 4 2 3" xfId="45818"/>
    <cellStyle name="Обычный 5 10 12 4 3" xfId="15947"/>
    <cellStyle name="Обычный 5 10 12 4 3 2" xfId="45819"/>
    <cellStyle name="Обычный 5 10 12 4 4" xfId="45820"/>
    <cellStyle name="Обычный 5 10 12 5" xfId="15948"/>
    <cellStyle name="Обычный 5 10 12 5 2" xfId="15949"/>
    <cellStyle name="Обычный 5 10 12 5 2 2" xfId="45821"/>
    <cellStyle name="Обычный 5 10 12 5 3" xfId="45822"/>
    <cellStyle name="Обычный 5 10 12 6" xfId="15950"/>
    <cellStyle name="Обычный 5 10 12 6 2" xfId="45823"/>
    <cellStyle name="Обычный 5 10 12 7" xfId="15951"/>
    <cellStyle name="Обычный 5 10 12 7 2" xfId="45824"/>
    <cellStyle name="Обычный 5 10 12 8" xfId="45825"/>
    <cellStyle name="Обычный 5 10 13" xfId="15952"/>
    <cellStyle name="Обычный 5 10 13 2" xfId="15953"/>
    <cellStyle name="Обычный 5 10 13 2 2" xfId="15954"/>
    <cellStyle name="Обычный 5 10 13 2 2 2" xfId="15955"/>
    <cellStyle name="Обычный 5 10 13 2 2 2 2" xfId="45826"/>
    <cellStyle name="Обычный 5 10 13 2 2 3" xfId="45827"/>
    <cellStyle name="Обычный 5 10 13 2 3" xfId="15956"/>
    <cellStyle name="Обычный 5 10 13 2 3 2" xfId="45828"/>
    <cellStyle name="Обычный 5 10 13 2 4" xfId="45829"/>
    <cellStyle name="Обычный 5 10 13 3" xfId="15957"/>
    <cellStyle name="Обычный 5 10 13 3 2" xfId="15958"/>
    <cellStyle name="Обычный 5 10 13 3 2 2" xfId="15959"/>
    <cellStyle name="Обычный 5 10 13 3 2 2 2" xfId="45830"/>
    <cellStyle name="Обычный 5 10 13 3 2 3" xfId="45831"/>
    <cellStyle name="Обычный 5 10 13 3 3" xfId="15960"/>
    <cellStyle name="Обычный 5 10 13 3 3 2" xfId="45832"/>
    <cellStyle name="Обычный 5 10 13 3 4" xfId="45833"/>
    <cellStyle name="Обычный 5 10 13 4" xfId="15961"/>
    <cellStyle name="Обычный 5 10 13 4 2" xfId="15962"/>
    <cellStyle name="Обычный 5 10 13 4 2 2" xfId="15963"/>
    <cellStyle name="Обычный 5 10 13 4 2 2 2" xfId="45834"/>
    <cellStyle name="Обычный 5 10 13 4 2 3" xfId="45835"/>
    <cellStyle name="Обычный 5 10 13 4 3" xfId="15964"/>
    <cellStyle name="Обычный 5 10 13 4 3 2" xfId="45836"/>
    <cellStyle name="Обычный 5 10 13 4 4" xfId="45837"/>
    <cellStyle name="Обычный 5 10 13 5" xfId="15965"/>
    <cellStyle name="Обычный 5 10 13 5 2" xfId="15966"/>
    <cellStyle name="Обычный 5 10 13 5 2 2" xfId="45838"/>
    <cellStyle name="Обычный 5 10 13 5 3" xfId="45839"/>
    <cellStyle name="Обычный 5 10 13 6" xfId="15967"/>
    <cellStyle name="Обычный 5 10 13 6 2" xfId="45840"/>
    <cellStyle name="Обычный 5 10 13 7" xfId="15968"/>
    <cellStyle name="Обычный 5 10 13 7 2" xfId="45841"/>
    <cellStyle name="Обычный 5 10 13 8" xfId="45842"/>
    <cellStyle name="Обычный 5 10 14" xfId="15969"/>
    <cellStyle name="Обычный 5 10 14 2" xfId="15970"/>
    <cellStyle name="Обычный 5 10 14 2 2" xfId="15971"/>
    <cellStyle name="Обычный 5 10 14 2 2 2" xfId="15972"/>
    <cellStyle name="Обычный 5 10 14 2 2 2 2" xfId="45843"/>
    <cellStyle name="Обычный 5 10 14 2 2 3" xfId="45844"/>
    <cellStyle name="Обычный 5 10 14 2 3" xfId="15973"/>
    <cellStyle name="Обычный 5 10 14 2 3 2" xfId="45845"/>
    <cellStyle name="Обычный 5 10 14 2 4" xfId="45846"/>
    <cellStyle name="Обычный 5 10 14 3" xfId="15974"/>
    <cellStyle name="Обычный 5 10 14 3 2" xfId="15975"/>
    <cellStyle name="Обычный 5 10 14 3 2 2" xfId="15976"/>
    <cellStyle name="Обычный 5 10 14 3 2 2 2" xfId="45847"/>
    <cellStyle name="Обычный 5 10 14 3 2 3" xfId="45848"/>
    <cellStyle name="Обычный 5 10 14 3 3" xfId="15977"/>
    <cellStyle name="Обычный 5 10 14 3 3 2" xfId="45849"/>
    <cellStyle name="Обычный 5 10 14 3 4" xfId="45850"/>
    <cellStyle name="Обычный 5 10 14 4" xfId="15978"/>
    <cellStyle name="Обычный 5 10 14 4 2" xfId="15979"/>
    <cellStyle name="Обычный 5 10 14 4 2 2" xfId="15980"/>
    <cellStyle name="Обычный 5 10 14 4 2 2 2" xfId="45851"/>
    <cellStyle name="Обычный 5 10 14 4 2 3" xfId="45852"/>
    <cellStyle name="Обычный 5 10 14 4 3" xfId="15981"/>
    <cellStyle name="Обычный 5 10 14 4 3 2" xfId="45853"/>
    <cellStyle name="Обычный 5 10 14 4 4" xfId="45854"/>
    <cellStyle name="Обычный 5 10 14 5" xfId="15982"/>
    <cellStyle name="Обычный 5 10 14 5 2" xfId="15983"/>
    <cellStyle name="Обычный 5 10 14 5 2 2" xfId="45855"/>
    <cellStyle name="Обычный 5 10 14 5 3" xfId="45856"/>
    <cellStyle name="Обычный 5 10 14 6" xfId="15984"/>
    <cellStyle name="Обычный 5 10 14 6 2" xfId="45857"/>
    <cellStyle name="Обычный 5 10 14 7" xfId="15985"/>
    <cellStyle name="Обычный 5 10 14 7 2" xfId="45858"/>
    <cellStyle name="Обычный 5 10 14 8" xfId="45859"/>
    <cellStyle name="Обычный 5 10 15" xfId="15986"/>
    <cellStyle name="Обычный 5 10 15 2" xfId="15987"/>
    <cellStyle name="Обычный 5 10 15 2 2" xfId="15988"/>
    <cellStyle name="Обычный 5 10 15 2 2 2" xfId="15989"/>
    <cellStyle name="Обычный 5 10 15 2 2 2 2" xfId="45860"/>
    <cellStyle name="Обычный 5 10 15 2 2 3" xfId="45861"/>
    <cellStyle name="Обычный 5 10 15 2 3" xfId="15990"/>
    <cellStyle name="Обычный 5 10 15 2 3 2" xfId="45862"/>
    <cellStyle name="Обычный 5 10 15 2 4" xfId="45863"/>
    <cellStyle name="Обычный 5 10 15 3" xfId="15991"/>
    <cellStyle name="Обычный 5 10 15 3 2" xfId="15992"/>
    <cellStyle name="Обычный 5 10 15 3 2 2" xfId="15993"/>
    <cellStyle name="Обычный 5 10 15 3 2 2 2" xfId="45864"/>
    <cellStyle name="Обычный 5 10 15 3 2 3" xfId="45865"/>
    <cellStyle name="Обычный 5 10 15 3 3" xfId="15994"/>
    <cellStyle name="Обычный 5 10 15 3 3 2" xfId="45866"/>
    <cellStyle name="Обычный 5 10 15 3 4" xfId="45867"/>
    <cellStyle name="Обычный 5 10 15 4" xfId="15995"/>
    <cellStyle name="Обычный 5 10 15 4 2" xfId="15996"/>
    <cellStyle name="Обычный 5 10 15 4 2 2" xfId="15997"/>
    <cellStyle name="Обычный 5 10 15 4 2 2 2" xfId="45868"/>
    <cellStyle name="Обычный 5 10 15 4 2 3" xfId="45869"/>
    <cellStyle name="Обычный 5 10 15 4 3" xfId="15998"/>
    <cellStyle name="Обычный 5 10 15 4 3 2" xfId="45870"/>
    <cellStyle name="Обычный 5 10 15 4 4" xfId="45871"/>
    <cellStyle name="Обычный 5 10 15 5" xfId="15999"/>
    <cellStyle name="Обычный 5 10 15 5 2" xfId="16000"/>
    <cellStyle name="Обычный 5 10 15 5 2 2" xfId="45872"/>
    <cellStyle name="Обычный 5 10 15 5 3" xfId="45873"/>
    <cellStyle name="Обычный 5 10 15 6" xfId="16001"/>
    <cellStyle name="Обычный 5 10 15 6 2" xfId="45874"/>
    <cellStyle name="Обычный 5 10 15 7" xfId="16002"/>
    <cellStyle name="Обычный 5 10 15 7 2" xfId="45875"/>
    <cellStyle name="Обычный 5 10 15 8" xfId="45876"/>
    <cellStyle name="Обычный 5 10 16" xfId="16003"/>
    <cellStyle name="Обычный 5 10 16 2" xfId="16004"/>
    <cellStyle name="Обычный 5 10 16 2 2" xfId="16005"/>
    <cellStyle name="Обычный 5 10 16 2 2 2" xfId="16006"/>
    <cellStyle name="Обычный 5 10 16 2 2 2 2" xfId="45877"/>
    <cellStyle name="Обычный 5 10 16 2 2 3" xfId="45878"/>
    <cellStyle name="Обычный 5 10 16 2 3" xfId="16007"/>
    <cellStyle name="Обычный 5 10 16 2 3 2" xfId="45879"/>
    <cellStyle name="Обычный 5 10 16 2 4" xfId="45880"/>
    <cellStyle name="Обычный 5 10 16 3" xfId="16008"/>
    <cellStyle name="Обычный 5 10 16 3 2" xfId="16009"/>
    <cellStyle name="Обычный 5 10 16 3 2 2" xfId="16010"/>
    <cellStyle name="Обычный 5 10 16 3 2 2 2" xfId="45881"/>
    <cellStyle name="Обычный 5 10 16 3 2 3" xfId="45882"/>
    <cellStyle name="Обычный 5 10 16 3 3" xfId="16011"/>
    <cellStyle name="Обычный 5 10 16 3 3 2" xfId="45883"/>
    <cellStyle name="Обычный 5 10 16 3 4" xfId="45884"/>
    <cellStyle name="Обычный 5 10 16 4" xfId="16012"/>
    <cellStyle name="Обычный 5 10 16 4 2" xfId="16013"/>
    <cellStyle name="Обычный 5 10 16 4 2 2" xfId="16014"/>
    <cellStyle name="Обычный 5 10 16 4 2 2 2" xfId="45885"/>
    <cellStyle name="Обычный 5 10 16 4 2 3" xfId="45886"/>
    <cellStyle name="Обычный 5 10 16 4 3" xfId="16015"/>
    <cellStyle name="Обычный 5 10 16 4 3 2" xfId="45887"/>
    <cellStyle name="Обычный 5 10 16 4 4" xfId="45888"/>
    <cellStyle name="Обычный 5 10 16 5" xfId="16016"/>
    <cellStyle name="Обычный 5 10 16 5 2" xfId="16017"/>
    <cellStyle name="Обычный 5 10 16 5 2 2" xfId="45889"/>
    <cellStyle name="Обычный 5 10 16 5 3" xfId="45890"/>
    <cellStyle name="Обычный 5 10 16 6" xfId="16018"/>
    <cellStyle name="Обычный 5 10 16 6 2" xfId="45891"/>
    <cellStyle name="Обычный 5 10 16 7" xfId="16019"/>
    <cellStyle name="Обычный 5 10 16 7 2" xfId="45892"/>
    <cellStyle name="Обычный 5 10 16 8" xfId="45893"/>
    <cellStyle name="Обычный 5 10 17" xfId="16020"/>
    <cellStyle name="Обычный 5 10 17 2" xfId="16021"/>
    <cellStyle name="Обычный 5 10 17 2 2" xfId="16022"/>
    <cellStyle name="Обычный 5 10 17 2 2 2" xfId="16023"/>
    <cellStyle name="Обычный 5 10 17 2 2 2 2" xfId="45894"/>
    <cellStyle name="Обычный 5 10 17 2 2 3" xfId="45895"/>
    <cellStyle name="Обычный 5 10 17 2 3" xfId="16024"/>
    <cellStyle name="Обычный 5 10 17 2 3 2" xfId="45896"/>
    <cellStyle name="Обычный 5 10 17 2 4" xfId="45897"/>
    <cellStyle name="Обычный 5 10 17 3" xfId="16025"/>
    <cellStyle name="Обычный 5 10 17 3 2" xfId="16026"/>
    <cellStyle name="Обычный 5 10 17 3 2 2" xfId="16027"/>
    <cellStyle name="Обычный 5 10 17 3 2 2 2" xfId="45898"/>
    <cellStyle name="Обычный 5 10 17 3 2 3" xfId="45899"/>
    <cellStyle name="Обычный 5 10 17 3 3" xfId="16028"/>
    <cellStyle name="Обычный 5 10 17 3 3 2" xfId="45900"/>
    <cellStyle name="Обычный 5 10 17 3 4" xfId="45901"/>
    <cellStyle name="Обычный 5 10 17 4" xfId="16029"/>
    <cellStyle name="Обычный 5 10 17 4 2" xfId="16030"/>
    <cellStyle name="Обычный 5 10 17 4 2 2" xfId="16031"/>
    <cellStyle name="Обычный 5 10 17 4 2 2 2" xfId="45902"/>
    <cellStyle name="Обычный 5 10 17 4 2 3" xfId="45903"/>
    <cellStyle name="Обычный 5 10 17 4 3" xfId="16032"/>
    <cellStyle name="Обычный 5 10 17 4 3 2" xfId="45904"/>
    <cellStyle name="Обычный 5 10 17 4 4" xfId="45905"/>
    <cellStyle name="Обычный 5 10 17 5" xfId="16033"/>
    <cellStyle name="Обычный 5 10 17 5 2" xfId="16034"/>
    <cellStyle name="Обычный 5 10 17 5 2 2" xfId="45906"/>
    <cellStyle name="Обычный 5 10 17 5 3" xfId="45907"/>
    <cellStyle name="Обычный 5 10 17 6" xfId="16035"/>
    <cellStyle name="Обычный 5 10 17 6 2" xfId="45908"/>
    <cellStyle name="Обычный 5 10 17 7" xfId="16036"/>
    <cellStyle name="Обычный 5 10 17 7 2" xfId="45909"/>
    <cellStyle name="Обычный 5 10 17 8" xfId="45910"/>
    <cellStyle name="Обычный 5 10 18" xfId="16037"/>
    <cellStyle name="Обычный 5 10 18 2" xfId="16038"/>
    <cellStyle name="Обычный 5 10 18 2 2" xfId="16039"/>
    <cellStyle name="Обычный 5 10 18 2 2 2" xfId="16040"/>
    <cellStyle name="Обычный 5 10 18 2 2 2 2" xfId="45911"/>
    <cellStyle name="Обычный 5 10 18 2 2 3" xfId="45912"/>
    <cellStyle name="Обычный 5 10 18 2 3" xfId="16041"/>
    <cellStyle name="Обычный 5 10 18 2 3 2" xfId="45913"/>
    <cellStyle name="Обычный 5 10 18 2 4" xfId="45914"/>
    <cellStyle name="Обычный 5 10 18 3" xfId="16042"/>
    <cellStyle name="Обычный 5 10 18 3 2" xfId="16043"/>
    <cellStyle name="Обычный 5 10 18 3 2 2" xfId="16044"/>
    <cellStyle name="Обычный 5 10 18 3 2 2 2" xfId="45915"/>
    <cellStyle name="Обычный 5 10 18 3 2 3" xfId="45916"/>
    <cellStyle name="Обычный 5 10 18 3 3" xfId="16045"/>
    <cellStyle name="Обычный 5 10 18 3 3 2" xfId="45917"/>
    <cellStyle name="Обычный 5 10 18 3 4" xfId="45918"/>
    <cellStyle name="Обычный 5 10 18 4" xfId="16046"/>
    <cellStyle name="Обычный 5 10 18 4 2" xfId="16047"/>
    <cellStyle name="Обычный 5 10 18 4 2 2" xfId="16048"/>
    <cellStyle name="Обычный 5 10 18 4 2 2 2" xfId="45919"/>
    <cellStyle name="Обычный 5 10 18 4 2 3" xfId="45920"/>
    <cellStyle name="Обычный 5 10 18 4 3" xfId="16049"/>
    <cellStyle name="Обычный 5 10 18 4 3 2" xfId="45921"/>
    <cellStyle name="Обычный 5 10 18 4 4" xfId="45922"/>
    <cellStyle name="Обычный 5 10 18 5" xfId="16050"/>
    <cellStyle name="Обычный 5 10 18 5 2" xfId="16051"/>
    <cellStyle name="Обычный 5 10 18 5 2 2" xfId="45923"/>
    <cellStyle name="Обычный 5 10 18 5 3" xfId="45924"/>
    <cellStyle name="Обычный 5 10 18 6" xfId="16052"/>
    <cellStyle name="Обычный 5 10 18 6 2" xfId="45925"/>
    <cellStyle name="Обычный 5 10 18 7" xfId="16053"/>
    <cellStyle name="Обычный 5 10 18 7 2" xfId="45926"/>
    <cellStyle name="Обычный 5 10 18 8" xfId="45927"/>
    <cellStyle name="Обычный 5 10 19" xfId="16054"/>
    <cellStyle name="Обычный 5 10 19 2" xfId="16055"/>
    <cellStyle name="Обычный 5 10 19 2 2" xfId="16056"/>
    <cellStyle name="Обычный 5 10 19 2 2 2" xfId="16057"/>
    <cellStyle name="Обычный 5 10 19 2 2 2 2" xfId="45928"/>
    <cellStyle name="Обычный 5 10 19 2 2 3" xfId="45929"/>
    <cellStyle name="Обычный 5 10 19 2 3" xfId="16058"/>
    <cellStyle name="Обычный 5 10 19 2 3 2" xfId="45930"/>
    <cellStyle name="Обычный 5 10 19 2 4" xfId="45931"/>
    <cellStyle name="Обычный 5 10 19 3" xfId="16059"/>
    <cellStyle name="Обычный 5 10 19 3 2" xfId="16060"/>
    <cellStyle name="Обычный 5 10 19 3 2 2" xfId="16061"/>
    <cellStyle name="Обычный 5 10 19 3 2 2 2" xfId="45932"/>
    <cellStyle name="Обычный 5 10 19 3 2 3" xfId="45933"/>
    <cellStyle name="Обычный 5 10 19 3 3" xfId="16062"/>
    <cellStyle name="Обычный 5 10 19 3 3 2" xfId="45934"/>
    <cellStyle name="Обычный 5 10 19 3 4" xfId="45935"/>
    <cellStyle name="Обычный 5 10 19 4" xfId="16063"/>
    <cellStyle name="Обычный 5 10 19 4 2" xfId="16064"/>
    <cellStyle name="Обычный 5 10 19 4 2 2" xfId="16065"/>
    <cellStyle name="Обычный 5 10 19 4 2 2 2" xfId="45936"/>
    <cellStyle name="Обычный 5 10 19 4 2 3" xfId="45937"/>
    <cellStyle name="Обычный 5 10 19 4 3" xfId="16066"/>
    <cellStyle name="Обычный 5 10 19 4 3 2" xfId="45938"/>
    <cellStyle name="Обычный 5 10 19 4 4" xfId="45939"/>
    <cellStyle name="Обычный 5 10 19 5" xfId="16067"/>
    <cellStyle name="Обычный 5 10 19 5 2" xfId="16068"/>
    <cellStyle name="Обычный 5 10 19 5 2 2" xfId="45940"/>
    <cellStyle name="Обычный 5 10 19 5 3" xfId="45941"/>
    <cellStyle name="Обычный 5 10 19 6" xfId="16069"/>
    <cellStyle name="Обычный 5 10 19 6 2" xfId="45942"/>
    <cellStyle name="Обычный 5 10 19 7" xfId="16070"/>
    <cellStyle name="Обычный 5 10 19 7 2" xfId="45943"/>
    <cellStyle name="Обычный 5 10 19 8" xfId="45944"/>
    <cellStyle name="Обычный 5 10 2" xfId="16071"/>
    <cellStyle name="Обычный 5 10 2 2" xfId="16072"/>
    <cellStyle name="Обычный 5 10 2 2 2" xfId="16073"/>
    <cellStyle name="Обычный 5 10 2 2 2 2" xfId="16074"/>
    <cellStyle name="Обычный 5 10 2 2 2 2 2" xfId="45945"/>
    <cellStyle name="Обычный 5 10 2 2 2 3" xfId="45946"/>
    <cellStyle name="Обычный 5 10 2 2 3" xfId="16075"/>
    <cellStyle name="Обычный 5 10 2 2 3 2" xfId="45947"/>
    <cellStyle name="Обычный 5 10 2 2 4" xfId="45948"/>
    <cellStyle name="Обычный 5 10 2 3" xfId="16076"/>
    <cellStyle name="Обычный 5 10 2 3 2" xfId="16077"/>
    <cellStyle name="Обычный 5 10 2 3 2 2" xfId="16078"/>
    <cellStyle name="Обычный 5 10 2 3 2 2 2" xfId="45949"/>
    <cellStyle name="Обычный 5 10 2 3 2 3" xfId="45950"/>
    <cellStyle name="Обычный 5 10 2 3 3" xfId="16079"/>
    <cellStyle name="Обычный 5 10 2 3 3 2" xfId="45951"/>
    <cellStyle name="Обычный 5 10 2 3 4" xfId="45952"/>
    <cellStyle name="Обычный 5 10 2 4" xfId="16080"/>
    <cellStyle name="Обычный 5 10 2 4 2" xfId="16081"/>
    <cellStyle name="Обычный 5 10 2 4 2 2" xfId="16082"/>
    <cellStyle name="Обычный 5 10 2 4 2 2 2" xfId="45953"/>
    <cellStyle name="Обычный 5 10 2 4 2 3" xfId="45954"/>
    <cellStyle name="Обычный 5 10 2 4 3" xfId="16083"/>
    <cellStyle name="Обычный 5 10 2 4 3 2" xfId="45955"/>
    <cellStyle name="Обычный 5 10 2 4 4" xfId="45956"/>
    <cellStyle name="Обычный 5 10 2 5" xfId="16084"/>
    <cellStyle name="Обычный 5 10 2 5 2" xfId="16085"/>
    <cellStyle name="Обычный 5 10 2 5 2 2" xfId="45957"/>
    <cellStyle name="Обычный 5 10 2 5 3" xfId="45958"/>
    <cellStyle name="Обычный 5 10 2 6" xfId="16086"/>
    <cellStyle name="Обычный 5 10 2 6 2" xfId="45959"/>
    <cellStyle name="Обычный 5 10 2 7" xfId="16087"/>
    <cellStyle name="Обычный 5 10 2 7 2" xfId="45960"/>
    <cellStyle name="Обычный 5 10 2 8" xfId="45961"/>
    <cellStyle name="Обычный 5 10 20" xfId="16088"/>
    <cellStyle name="Обычный 5 10 20 2" xfId="16089"/>
    <cellStyle name="Обычный 5 10 20 2 2" xfId="16090"/>
    <cellStyle name="Обычный 5 10 20 2 2 2" xfId="16091"/>
    <cellStyle name="Обычный 5 10 20 2 2 2 2" xfId="45962"/>
    <cellStyle name="Обычный 5 10 20 2 2 3" xfId="45963"/>
    <cellStyle name="Обычный 5 10 20 2 3" xfId="16092"/>
    <cellStyle name="Обычный 5 10 20 2 3 2" xfId="45964"/>
    <cellStyle name="Обычный 5 10 20 2 4" xfId="45965"/>
    <cellStyle name="Обычный 5 10 20 3" xfId="16093"/>
    <cellStyle name="Обычный 5 10 20 3 2" xfId="16094"/>
    <cellStyle name="Обычный 5 10 20 3 2 2" xfId="16095"/>
    <cellStyle name="Обычный 5 10 20 3 2 2 2" xfId="45966"/>
    <cellStyle name="Обычный 5 10 20 3 2 3" xfId="45967"/>
    <cellStyle name="Обычный 5 10 20 3 3" xfId="16096"/>
    <cellStyle name="Обычный 5 10 20 3 3 2" xfId="45968"/>
    <cellStyle name="Обычный 5 10 20 3 4" xfId="45969"/>
    <cellStyle name="Обычный 5 10 20 4" xfId="16097"/>
    <cellStyle name="Обычный 5 10 20 4 2" xfId="16098"/>
    <cellStyle name="Обычный 5 10 20 4 2 2" xfId="16099"/>
    <cellStyle name="Обычный 5 10 20 4 2 2 2" xfId="45970"/>
    <cellStyle name="Обычный 5 10 20 4 2 3" xfId="45971"/>
    <cellStyle name="Обычный 5 10 20 4 3" xfId="16100"/>
    <cellStyle name="Обычный 5 10 20 4 3 2" xfId="45972"/>
    <cellStyle name="Обычный 5 10 20 4 4" xfId="45973"/>
    <cellStyle name="Обычный 5 10 20 5" xfId="16101"/>
    <cellStyle name="Обычный 5 10 20 5 2" xfId="16102"/>
    <cellStyle name="Обычный 5 10 20 5 2 2" xfId="45974"/>
    <cellStyle name="Обычный 5 10 20 5 3" xfId="45975"/>
    <cellStyle name="Обычный 5 10 20 6" xfId="16103"/>
    <cellStyle name="Обычный 5 10 20 6 2" xfId="45976"/>
    <cellStyle name="Обычный 5 10 20 7" xfId="16104"/>
    <cellStyle name="Обычный 5 10 20 7 2" xfId="45977"/>
    <cellStyle name="Обычный 5 10 20 8" xfId="45978"/>
    <cellStyle name="Обычный 5 10 21" xfId="16105"/>
    <cellStyle name="Обычный 5 10 21 2" xfId="16106"/>
    <cellStyle name="Обычный 5 10 21 2 2" xfId="16107"/>
    <cellStyle name="Обычный 5 10 21 2 2 2" xfId="16108"/>
    <cellStyle name="Обычный 5 10 21 2 2 2 2" xfId="45979"/>
    <cellStyle name="Обычный 5 10 21 2 2 3" xfId="45980"/>
    <cellStyle name="Обычный 5 10 21 2 3" xfId="16109"/>
    <cellStyle name="Обычный 5 10 21 2 3 2" xfId="45981"/>
    <cellStyle name="Обычный 5 10 21 2 4" xfId="45982"/>
    <cellStyle name="Обычный 5 10 21 3" xfId="16110"/>
    <cellStyle name="Обычный 5 10 21 3 2" xfId="16111"/>
    <cellStyle name="Обычный 5 10 21 3 2 2" xfId="16112"/>
    <cellStyle name="Обычный 5 10 21 3 2 2 2" xfId="45983"/>
    <cellStyle name="Обычный 5 10 21 3 2 3" xfId="45984"/>
    <cellStyle name="Обычный 5 10 21 3 3" xfId="16113"/>
    <cellStyle name="Обычный 5 10 21 3 3 2" xfId="45985"/>
    <cellStyle name="Обычный 5 10 21 3 4" xfId="45986"/>
    <cellStyle name="Обычный 5 10 21 4" xfId="16114"/>
    <cellStyle name="Обычный 5 10 21 4 2" xfId="16115"/>
    <cellStyle name="Обычный 5 10 21 4 2 2" xfId="16116"/>
    <cellStyle name="Обычный 5 10 21 4 2 2 2" xfId="45987"/>
    <cellStyle name="Обычный 5 10 21 4 2 3" xfId="45988"/>
    <cellStyle name="Обычный 5 10 21 4 3" xfId="16117"/>
    <cellStyle name="Обычный 5 10 21 4 3 2" xfId="45989"/>
    <cellStyle name="Обычный 5 10 21 4 4" xfId="45990"/>
    <cellStyle name="Обычный 5 10 21 5" xfId="16118"/>
    <cellStyle name="Обычный 5 10 21 5 2" xfId="16119"/>
    <cellStyle name="Обычный 5 10 21 5 2 2" xfId="45991"/>
    <cellStyle name="Обычный 5 10 21 5 3" xfId="45992"/>
    <cellStyle name="Обычный 5 10 21 6" xfId="16120"/>
    <cellStyle name="Обычный 5 10 21 6 2" xfId="45993"/>
    <cellStyle name="Обычный 5 10 21 7" xfId="16121"/>
    <cellStyle name="Обычный 5 10 21 7 2" xfId="45994"/>
    <cellStyle name="Обычный 5 10 21 8" xfId="45995"/>
    <cellStyle name="Обычный 5 10 22" xfId="16122"/>
    <cellStyle name="Обычный 5 10 22 2" xfId="16123"/>
    <cellStyle name="Обычный 5 10 22 2 2" xfId="16124"/>
    <cellStyle name="Обычный 5 10 22 2 2 2" xfId="16125"/>
    <cellStyle name="Обычный 5 10 22 2 2 2 2" xfId="45996"/>
    <cellStyle name="Обычный 5 10 22 2 2 3" xfId="45997"/>
    <cellStyle name="Обычный 5 10 22 2 3" xfId="16126"/>
    <cellStyle name="Обычный 5 10 22 2 3 2" xfId="45998"/>
    <cellStyle name="Обычный 5 10 22 2 4" xfId="45999"/>
    <cellStyle name="Обычный 5 10 22 3" xfId="16127"/>
    <cellStyle name="Обычный 5 10 22 3 2" xfId="16128"/>
    <cellStyle name="Обычный 5 10 22 3 2 2" xfId="16129"/>
    <cellStyle name="Обычный 5 10 22 3 2 2 2" xfId="46000"/>
    <cellStyle name="Обычный 5 10 22 3 2 3" xfId="46001"/>
    <cellStyle name="Обычный 5 10 22 3 3" xfId="16130"/>
    <cellStyle name="Обычный 5 10 22 3 3 2" xfId="46002"/>
    <cellStyle name="Обычный 5 10 22 3 4" xfId="46003"/>
    <cellStyle name="Обычный 5 10 22 4" xfId="16131"/>
    <cellStyle name="Обычный 5 10 22 4 2" xfId="16132"/>
    <cellStyle name="Обычный 5 10 22 4 2 2" xfId="16133"/>
    <cellStyle name="Обычный 5 10 22 4 2 2 2" xfId="46004"/>
    <cellStyle name="Обычный 5 10 22 4 2 3" xfId="46005"/>
    <cellStyle name="Обычный 5 10 22 4 3" xfId="16134"/>
    <cellStyle name="Обычный 5 10 22 4 3 2" xfId="46006"/>
    <cellStyle name="Обычный 5 10 22 4 4" xfId="46007"/>
    <cellStyle name="Обычный 5 10 22 5" xfId="16135"/>
    <cellStyle name="Обычный 5 10 22 5 2" xfId="16136"/>
    <cellStyle name="Обычный 5 10 22 5 2 2" xfId="46008"/>
    <cellStyle name="Обычный 5 10 22 5 3" xfId="46009"/>
    <cellStyle name="Обычный 5 10 22 6" xfId="16137"/>
    <cellStyle name="Обычный 5 10 22 6 2" xfId="46010"/>
    <cellStyle name="Обычный 5 10 22 7" xfId="16138"/>
    <cellStyle name="Обычный 5 10 22 7 2" xfId="46011"/>
    <cellStyle name="Обычный 5 10 22 8" xfId="46012"/>
    <cellStyle name="Обычный 5 10 23" xfId="16139"/>
    <cellStyle name="Обычный 5 10 23 2" xfId="16140"/>
    <cellStyle name="Обычный 5 10 23 2 2" xfId="16141"/>
    <cellStyle name="Обычный 5 10 23 2 2 2" xfId="16142"/>
    <cellStyle name="Обычный 5 10 23 2 2 2 2" xfId="46013"/>
    <cellStyle name="Обычный 5 10 23 2 2 3" xfId="46014"/>
    <cellStyle name="Обычный 5 10 23 2 3" xfId="16143"/>
    <cellStyle name="Обычный 5 10 23 2 3 2" xfId="46015"/>
    <cellStyle name="Обычный 5 10 23 2 4" xfId="46016"/>
    <cellStyle name="Обычный 5 10 23 3" xfId="16144"/>
    <cellStyle name="Обычный 5 10 23 3 2" xfId="16145"/>
    <cellStyle name="Обычный 5 10 23 3 2 2" xfId="16146"/>
    <cellStyle name="Обычный 5 10 23 3 2 2 2" xfId="46017"/>
    <cellStyle name="Обычный 5 10 23 3 2 3" xfId="46018"/>
    <cellStyle name="Обычный 5 10 23 3 3" xfId="16147"/>
    <cellStyle name="Обычный 5 10 23 3 3 2" xfId="46019"/>
    <cellStyle name="Обычный 5 10 23 3 4" xfId="46020"/>
    <cellStyle name="Обычный 5 10 23 4" xfId="16148"/>
    <cellStyle name="Обычный 5 10 23 4 2" xfId="16149"/>
    <cellStyle name="Обычный 5 10 23 4 2 2" xfId="16150"/>
    <cellStyle name="Обычный 5 10 23 4 2 2 2" xfId="46021"/>
    <cellStyle name="Обычный 5 10 23 4 2 3" xfId="46022"/>
    <cellStyle name="Обычный 5 10 23 4 3" xfId="16151"/>
    <cellStyle name="Обычный 5 10 23 4 3 2" xfId="46023"/>
    <cellStyle name="Обычный 5 10 23 4 4" xfId="46024"/>
    <cellStyle name="Обычный 5 10 23 5" xfId="16152"/>
    <cellStyle name="Обычный 5 10 23 5 2" xfId="16153"/>
    <cellStyle name="Обычный 5 10 23 5 2 2" xfId="46025"/>
    <cellStyle name="Обычный 5 10 23 5 3" xfId="46026"/>
    <cellStyle name="Обычный 5 10 23 6" xfId="16154"/>
    <cellStyle name="Обычный 5 10 23 6 2" xfId="46027"/>
    <cellStyle name="Обычный 5 10 23 7" xfId="16155"/>
    <cellStyle name="Обычный 5 10 23 7 2" xfId="46028"/>
    <cellStyle name="Обычный 5 10 23 8" xfId="46029"/>
    <cellStyle name="Обычный 5 10 24" xfId="16156"/>
    <cellStyle name="Обычный 5 10 24 2" xfId="16157"/>
    <cellStyle name="Обычный 5 10 24 2 2" xfId="16158"/>
    <cellStyle name="Обычный 5 10 24 2 2 2" xfId="16159"/>
    <cellStyle name="Обычный 5 10 24 2 2 2 2" xfId="46030"/>
    <cellStyle name="Обычный 5 10 24 2 2 3" xfId="46031"/>
    <cellStyle name="Обычный 5 10 24 2 3" xfId="16160"/>
    <cellStyle name="Обычный 5 10 24 2 3 2" xfId="46032"/>
    <cellStyle name="Обычный 5 10 24 2 4" xfId="46033"/>
    <cellStyle name="Обычный 5 10 24 3" xfId="16161"/>
    <cellStyle name="Обычный 5 10 24 3 2" xfId="16162"/>
    <cellStyle name="Обычный 5 10 24 3 2 2" xfId="16163"/>
    <cellStyle name="Обычный 5 10 24 3 2 2 2" xfId="46034"/>
    <cellStyle name="Обычный 5 10 24 3 2 3" xfId="46035"/>
    <cellStyle name="Обычный 5 10 24 3 3" xfId="16164"/>
    <cellStyle name="Обычный 5 10 24 3 3 2" xfId="46036"/>
    <cellStyle name="Обычный 5 10 24 3 4" xfId="46037"/>
    <cellStyle name="Обычный 5 10 24 4" xfId="16165"/>
    <cellStyle name="Обычный 5 10 24 4 2" xfId="16166"/>
    <cellStyle name="Обычный 5 10 24 4 2 2" xfId="16167"/>
    <cellStyle name="Обычный 5 10 24 4 2 2 2" xfId="46038"/>
    <cellStyle name="Обычный 5 10 24 4 2 3" xfId="46039"/>
    <cellStyle name="Обычный 5 10 24 4 3" xfId="16168"/>
    <cellStyle name="Обычный 5 10 24 4 3 2" xfId="46040"/>
    <cellStyle name="Обычный 5 10 24 4 4" xfId="46041"/>
    <cellStyle name="Обычный 5 10 24 5" xfId="16169"/>
    <cellStyle name="Обычный 5 10 24 5 2" xfId="16170"/>
    <cellStyle name="Обычный 5 10 24 5 2 2" xfId="46042"/>
    <cellStyle name="Обычный 5 10 24 5 3" xfId="46043"/>
    <cellStyle name="Обычный 5 10 24 6" xfId="16171"/>
    <cellStyle name="Обычный 5 10 24 6 2" xfId="46044"/>
    <cellStyle name="Обычный 5 10 24 7" xfId="16172"/>
    <cellStyle name="Обычный 5 10 24 7 2" xfId="46045"/>
    <cellStyle name="Обычный 5 10 24 8" xfId="46046"/>
    <cellStyle name="Обычный 5 10 25" xfId="16173"/>
    <cellStyle name="Обычный 5 10 25 2" xfId="16174"/>
    <cellStyle name="Обычный 5 10 25 2 2" xfId="16175"/>
    <cellStyle name="Обычный 5 10 25 2 2 2" xfId="16176"/>
    <cellStyle name="Обычный 5 10 25 2 2 2 2" xfId="46047"/>
    <cellStyle name="Обычный 5 10 25 2 2 3" xfId="46048"/>
    <cellStyle name="Обычный 5 10 25 2 3" xfId="16177"/>
    <cellStyle name="Обычный 5 10 25 2 3 2" xfId="46049"/>
    <cellStyle name="Обычный 5 10 25 2 4" xfId="46050"/>
    <cellStyle name="Обычный 5 10 25 3" xfId="16178"/>
    <cellStyle name="Обычный 5 10 25 3 2" xfId="16179"/>
    <cellStyle name="Обычный 5 10 25 3 2 2" xfId="16180"/>
    <cellStyle name="Обычный 5 10 25 3 2 2 2" xfId="46051"/>
    <cellStyle name="Обычный 5 10 25 3 2 3" xfId="46052"/>
    <cellStyle name="Обычный 5 10 25 3 3" xfId="16181"/>
    <cellStyle name="Обычный 5 10 25 3 3 2" xfId="46053"/>
    <cellStyle name="Обычный 5 10 25 3 4" xfId="46054"/>
    <cellStyle name="Обычный 5 10 25 4" xfId="16182"/>
    <cellStyle name="Обычный 5 10 25 4 2" xfId="16183"/>
    <cellStyle name="Обычный 5 10 25 4 2 2" xfId="16184"/>
    <cellStyle name="Обычный 5 10 25 4 2 2 2" xfId="46055"/>
    <cellStyle name="Обычный 5 10 25 4 2 3" xfId="46056"/>
    <cellStyle name="Обычный 5 10 25 4 3" xfId="16185"/>
    <cellStyle name="Обычный 5 10 25 4 3 2" xfId="46057"/>
    <cellStyle name="Обычный 5 10 25 4 4" xfId="46058"/>
    <cellStyle name="Обычный 5 10 25 5" xfId="16186"/>
    <cellStyle name="Обычный 5 10 25 5 2" xfId="16187"/>
    <cellStyle name="Обычный 5 10 25 5 2 2" xfId="46059"/>
    <cellStyle name="Обычный 5 10 25 5 3" xfId="46060"/>
    <cellStyle name="Обычный 5 10 25 6" xfId="16188"/>
    <cellStyle name="Обычный 5 10 25 6 2" xfId="46061"/>
    <cellStyle name="Обычный 5 10 25 7" xfId="16189"/>
    <cellStyle name="Обычный 5 10 25 7 2" xfId="46062"/>
    <cellStyle name="Обычный 5 10 25 8" xfId="46063"/>
    <cellStyle name="Обычный 5 10 26" xfId="16190"/>
    <cellStyle name="Обычный 5 10 26 2" xfId="16191"/>
    <cellStyle name="Обычный 5 10 26 2 2" xfId="16192"/>
    <cellStyle name="Обычный 5 10 26 2 2 2" xfId="16193"/>
    <cellStyle name="Обычный 5 10 26 2 2 2 2" xfId="46064"/>
    <cellStyle name="Обычный 5 10 26 2 2 3" xfId="46065"/>
    <cellStyle name="Обычный 5 10 26 2 3" xfId="16194"/>
    <cellStyle name="Обычный 5 10 26 2 3 2" xfId="46066"/>
    <cellStyle name="Обычный 5 10 26 2 4" xfId="46067"/>
    <cellStyle name="Обычный 5 10 26 3" xfId="16195"/>
    <cellStyle name="Обычный 5 10 26 3 2" xfId="16196"/>
    <cellStyle name="Обычный 5 10 26 3 2 2" xfId="16197"/>
    <cellStyle name="Обычный 5 10 26 3 2 2 2" xfId="46068"/>
    <cellStyle name="Обычный 5 10 26 3 2 3" xfId="46069"/>
    <cellStyle name="Обычный 5 10 26 3 3" xfId="16198"/>
    <cellStyle name="Обычный 5 10 26 3 3 2" xfId="46070"/>
    <cellStyle name="Обычный 5 10 26 3 4" xfId="46071"/>
    <cellStyle name="Обычный 5 10 26 4" xfId="16199"/>
    <cellStyle name="Обычный 5 10 26 4 2" xfId="16200"/>
    <cellStyle name="Обычный 5 10 26 4 2 2" xfId="16201"/>
    <cellStyle name="Обычный 5 10 26 4 2 2 2" xfId="46072"/>
    <cellStyle name="Обычный 5 10 26 4 2 3" xfId="46073"/>
    <cellStyle name="Обычный 5 10 26 4 3" xfId="16202"/>
    <cellStyle name="Обычный 5 10 26 4 3 2" xfId="46074"/>
    <cellStyle name="Обычный 5 10 26 4 4" xfId="46075"/>
    <cellStyle name="Обычный 5 10 26 5" xfId="16203"/>
    <cellStyle name="Обычный 5 10 26 5 2" xfId="16204"/>
    <cellStyle name="Обычный 5 10 26 5 2 2" xfId="46076"/>
    <cellStyle name="Обычный 5 10 26 5 3" xfId="46077"/>
    <cellStyle name="Обычный 5 10 26 6" xfId="16205"/>
    <cellStyle name="Обычный 5 10 26 6 2" xfId="46078"/>
    <cellStyle name="Обычный 5 10 26 7" xfId="16206"/>
    <cellStyle name="Обычный 5 10 26 7 2" xfId="46079"/>
    <cellStyle name="Обычный 5 10 26 8" xfId="46080"/>
    <cellStyle name="Обычный 5 10 27" xfId="16207"/>
    <cellStyle name="Обычный 5 10 27 2" xfId="16208"/>
    <cellStyle name="Обычный 5 10 27 2 2" xfId="16209"/>
    <cellStyle name="Обычный 5 10 27 2 2 2" xfId="16210"/>
    <cellStyle name="Обычный 5 10 27 2 2 2 2" xfId="46081"/>
    <cellStyle name="Обычный 5 10 27 2 2 3" xfId="46082"/>
    <cellStyle name="Обычный 5 10 27 2 3" xfId="16211"/>
    <cellStyle name="Обычный 5 10 27 2 3 2" xfId="46083"/>
    <cellStyle name="Обычный 5 10 27 2 4" xfId="46084"/>
    <cellStyle name="Обычный 5 10 27 3" xfId="16212"/>
    <cellStyle name="Обычный 5 10 27 3 2" xfId="16213"/>
    <cellStyle name="Обычный 5 10 27 3 2 2" xfId="16214"/>
    <cellStyle name="Обычный 5 10 27 3 2 2 2" xfId="46085"/>
    <cellStyle name="Обычный 5 10 27 3 2 3" xfId="46086"/>
    <cellStyle name="Обычный 5 10 27 3 3" xfId="16215"/>
    <cellStyle name="Обычный 5 10 27 3 3 2" xfId="46087"/>
    <cellStyle name="Обычный 5 10 27 3 4" xfId="46088"/>
    <cellStyle name="Обычный 5 10 27 4" xfId="16216"/>
    <cellStyle name="Обычный 5 10 27 4 2" xfId="16217"/>
    <cellStyle name="Обычный 5 10 27 4 2 2" xfId="16218"/>
    <cellStyle name="Обычный 5 10 27 4 2 2 2" xfId="46089"/>
    <cellStyle name="Обычный 5 10 27 4 2 3" xfId="46090"/>
    <cellStyle name="Обычный 5 10 27 4 3" xfId="16219"/>
    <cellStyle name="Обычный 5 10 27 4 3 2" xfId="46091"/>
    <cellStyle name="Обычный 5 10 27 4 4" xfId="46092"/>
    <cellStyle name="Обычный 5 10 27 5" xfId="16220"/>
    <cellStyle name="Обычный 5 10 27 5 2" xfId="16221"/>
    <cellStyle name="Обычный 5 10 27 5 2 2" xfId="46093"/>
    <cellStyle name="Обычный 5 10 27 5 3" xfId="46094"/>
    <cellStyle name="Обычный 5 10 27 6" xfId="16222"/>
    <cellStyle name="Обычный 5 10 27 6 2" xfId="46095"/>
    <cellStyle name="Обычный 5 10 27 7" xfId="16223"/>
    <cellStyle name="Обычный 5 10 27 7 2" xfId="46096"/>
    <cellStyle name="Обычный 5 10 27 8" xfId="46097"/>
    <cellStyle name="Обычный 5 10 28" xfId="16224"/>
    <cellStyle name="Обычный 5 10 28 2" xfId="16225"/>
    <cellStyle name="Обычный 5 10 28 2 2" xfId="16226"/>
    <cellStyle name="Обычный 5 10 28 2 2 2" xfId="16227"/>
    <cellStyle name="Обычный 5 10 28 2 2 2 2" xfId="46098"/>
    <cellStyle name="Обычный 5 10 28 2 2 3" xfId="46099"/>
    <cellStyle name="Обычный 5 10 28 2 3" xfId="16228"/>
    <cellStyle name="Обычный 5 10 28 2 3 2" xfId="46100"/>
    <cellStyle name="Обычный 5 10 28 2 4" xfId="46101"/>
    <cellStyle name="Обычный 5 10 28 3" xfId="16229"/>
    <cellStyle name="Обычный 5 10 28 3 2" xfId="16230"/>
    <cellStyle name="Обычный 5 10 28 3 2 2" xfId="16231"/>
    <cellStyle name="Обычный 5 10 28 3 2 2 2" xfId="46102"/>
    <cellStyle name="Обычный 5 10 28 3 2 3" xfId="46103"/>
    <cellStyle name="Обычный 5 10 28 3 3" xfId="16232"/>
    <cellStyle name="Обычный 5 10 28 3 3 2" xfId="46104"/>
    <cellStyle name="Обычный 5 10 28 3 4" xfId="46105"/>
    <cellStyle name="Обычный 5 10 28 4" xfId="16233"/>
    <cellStyle name="Обычный 5 10 28 4 2" xfId="16234"/>
    <cellStyle name="Обычный 5 10 28 4 2 2" xfId="16235"/>
    <cellStyle name="Обычный 5 10 28 4 2 2 2" xfId="46106"/>
    <cellStyle name="Обычный 5 10 28 4 2 3" xfId="46107"/>
    <cellStyle name="Обычный 5 10 28 4 3" xfId="16236"/>
    <cellStyle name="Обычный 5 10 28 4 3 2" xfId="46108"/>
    <cellStyle name="Обычный 5 10 28 4 4" xfId="46109"/>
    <cellStyle name="Обычный 5 10 28 5" xfId="16237"/>
    <cellStyle name="Обычный 5 10 28 5 2" xfId="16238"/>
    <cellStyle name="Обычный 5 10 28 5 2 2" xfId="46110"/>
    <cellStyle name="Обычный 5 10 28 5 3" xfId="46111"/>
    <cellStyle name="Обычный 5 10 28 6" xfId="16239"/>
    <cellStyle name="Обычный 5 10 28 6 2" xfId="46112"/>
    <cellStyle name="Обычный 5 10 28 7" xfId="16240"/>
    <cellStyle name="Обычный 5 10 28 7 2" xfId="46113"/>
    <cellStyle name="Обычный 5 10 28 8" xfId="46114"/>
    <cellStyle name="Обычный 5 10 29" xfId="16241"/>
    <cellStyle name="Обычный 5 10 29 2" xfId="16242"/>
    <cellStyle name="Обычный 5 10 29 2 2" xfId="16243"/>
    <cellStyle name="Обычный 5 10 29 2 2 2" xfId="16244"/>
    <cellStyle name="Обычный 5 10 29 2 2 2 2" xfId="46115"/>
    <cellStyle name="Обычный 5 10 29 2 2 3" xfId="46116"/>
    <cellStyle name="Обычный 5 10 29 2 3" xfId="16245"/>
    <cellStyle name="Обычный 5 10 29 2 3 2" xfId="46117"/>
    <cellStyle name="Обычный 5 10 29 2 4" xfId="46118"/>
    <cellStyle name="Обычный 5 10 29 3" xfId="16246"/>
    <cellStyle name="Обычный 5 10 29 3 2" xfId="16247"/>
    <cellStyle name="Обычный 5 10 29 3 2 2" xfId="16248"/>
    <cellStyle name="Обычный 5 10 29 3 2 2 2" xfId="46119"/>
    <cellStyle name="Обычный 5 10 29 3 2 3" xfId="46120"/>
    <cellStyle name="Обычный 5 10 29 3 3" xfId="16249"/>
    <cellStyle name="Обычный 5 10 29 3 3 2" xfId="46121"/>
    <cellStyle name="Обычный 5 10 29 3 4" xfId="46122"/>
    <cellStyle name="Обычный 5 10 29 4" xfId="16250"/>
    <cellStyle name="Обычный 5 10 29 4 2" xfId="16251"/>
    <cellStyle name="Обычный 5 10 29 4 2 2" xfId="16252"/>
    <cellStyle name="Обычный 5 10 29 4 2 2 2" xfId="46123"/>
    <cellStyle name="Обычный 5 10 29 4 2 3" xfId="46124"/>
    <cellStyle name="Обычный 5 10 29 4 3" xfId="16253"/>
    <cellStyle name="Обычный 5 10 29 4 3 2" xfId="46125"/>
    <cellStyle name="Обычный 5 10 29 4 4" xfId="46126"/>
    <cellStyle name="Обычный 5 10 29 5" xfId="16254"/>
    <cellStyle name="Обычный 5 10 29 5 2" xfId="16255"/>
    <cellStyle name="Обычный 5 10 29 5 2 2" xfId="46127"/>
    <cellStyle name="Обычный 5 10 29 5 3" xfId="46128"/>
    <cellStyle name="Обычный 5 10 29 6" xfId="16256"/>
    <cellStyle name="Обычный 5 10 29 6 2" xfId="46129"/>
    <cellStyle name="Обычный 5 10 29 7" xfId="16257"/>
    <cellStyle name="Обычный 5 10 29 7 2" xfId="46130"/>
    <cellStyle name="Обычный 5 10 29 8" xfId="46131"/>
    <cellStyle name="Обычный 5 10 3" xfId="16258"/>
    <cellStyle name="Обычный 5 10 3 2" xfId="16259"/>
    <cellStyle name="Обычный 5 10 3 2 2" xfId="16260"/>
    <cellStyle name="Обычный 5 10 3 2 2 2" xfId="16261"/>
    <cellStyle name="Обычный 5 10 3 2 2 2 2" xfId="46132"/>
    <cellStyle name="Обычный 5 10 3 2 2 3" xfId="46133"/>
    <cellStyle name="Обычный 5 10 3 2 3" xfId="16262"/>
    <cellStyle name="Обычный 5 10 3 2 3 2" xfId="46134"/>
    <cellStyle name="Обычный 5 10 3 2 4" xfId="46135"/>
    <cellStyle name="Обычный 5 10 3 3" xfId="16263"/>
    <cellStyle name="Обычный 5 10 3 3 2" xfId="16264"/>
    <cellStyle name="Обычный 5 10 3 3 2 2" xfId="16265"/>
    <cellStyle name="Обычный 5 10 3 3 2 2 2" xfId="46136"/>
    <cellStyle name="Обычный 5 10 3 3 2 3" xfId="46137"/>
    <cellStyle name="Обычный 5 10 3 3 3" xfId="16266"/>
    <cellStyle name="Обычный 5 10 3 3 3 2" xfId="46138"/>
    <cellStyle name="Обычный 5 10 3 3 4" xfId="46139"/>
    <cellStyle name="Обычный 5 10 3 4" xfId="16267"/>
    <cellStyle name="Обычный 5 10 3 4 2" xfId="16268"/>
    <cellStyle name="Обычный 5 10 3 4 2 2" xfId="16269"/>
    <cellStyle name="Обычный 5 10 3 4 2 2 2" xfId="46140"/>
    <cellStyle name="Обычный 5 10 3 4 2 3" xfId="46141"/>
    <cellStyle name="Обычный 5 10 3 4 3" xfId="16270"/>
    <cellStyle name="Обычный 5 10 3 4 3 2" xfId="46142"/>
    <cellStyle name="Обычный 5 10 3 4 4" xfId="46143"/>
    <cellStyle name="Обычный 5 10 3 5" xfId="16271"/>
    <cellStyle name="Обычный 5 10 3 5 2" xfId="16272"/>
    <cellStyle name="Обычный 5 10 3 5 2 2" xfId="46144"/>
    <cellStyle name="Обычный 5 10 3 5 3" xfId="46145"/>
    <cellStyle name="Обычный 5 10 3 6" xfId="16273"/>
    <cellStyle name="Обычный 5 10 3 6 2" xfId="46146"/>
    <cellStyle name="Обычный 5 10 3 7" xfId="16274"/>
    <cellStyle name="Обычный 5 10 3 7 2" xfId="46147"/>
    <cellStyle name="Обычный 5 10 3 8" xfId="46148"/>
    <cellStyle name="Обычный 5 10 30" xfId="16275"/>
    <cellStyle name="Обычный 5 10 30 2" xfId="16276"/>
    <cellStyle name="Обычный 5 10 30 2 2" xfId="16277"/>
    <cellStyle name="Обычный 5 10 30 2 2 2" xfId="46149"/>
    <cellStyle name="Обычный 5 10 30 2 3" xfId="46150"/>
    <cellStyle name="Обычный 5 10 30 3" xfId="16278"/>
    <cellStyle name="Обычный 5 10 30 3 2" xfId="46151"/>
    <cellStyle name="Обычный 5 10 30 4" xfId="46152"/>
    <cellStyle name="Обычный 5 10 31" xfId="16279"/>
    <cellStyle name="Обычный 5 10 31 2" xfId="16280"/>
    <cellStyle name="Обычный 5 10 31 2 2" xfId="16281"/>
    <cellStyle name="Обычный 5 10 31 2 2 2" xfId="46153"/>
    <cellStyle name="Обычный 5 10 31 2 3" xfId="46154"/>
    <cellStyle name="Обычный 5 10 31 3" xfId="16282"/>
    <cellStyle name="Обычный 5 10 31 3 2" xfId="46155"/>
    <cellStyle name="Обычный 5 10 31 4" xfId="46156"/>
    <cellStyle name="Обычный 5 10 32" xfId="16283"/>
    <cellStyle name="Обычный 5 10 32 2" xfId="16284"/>
    <cellStyle name="Обычный 5 10 32 2 2" xfId="16285"/>
    <cellStyle name="Обычный 5 10 32 2 2 2" xfId="46157"/>
    <cellStyle name="Обычный 5 10 32 2 3" xfId="46158"/>
    <cellStyle name="Обычный 5 10 32 3" xfId="16286"/>
    <cellStyle name="Обычный 5 10 32 3 2" xfId="46159"/>
    <cellStyle name="Обычный 5 10 32 4" xfId="46160"/>
    <cellStyle name="Обычный 5 10 33" xfId="16287"/>
    <cellStyle name="Обычный 5 10 33 2" xfId="16288"/>
    <cellStyle name="Обычный 5 10 33 2 2" xfId="46161"/>
    <cellStyle name="Обычный 5 10 33 3" xfId="46162"/>
    <cellStyle name="Обычный 5 10 34" xfId="16289"/>
    <cellStyle name="Обычный 5 10 34 2" xfId="46163"/>
    <cellStyle name="Обычный 5 10 35" xfId="16290"/>
    <cellStyle name="Обычный 5 10 35 2" xfId="46164"/>
    <cellStyle name="Обычный 5 10 36" xfId="46165"/>
    <cellStyle name="Обычный 5 10 4" xfId="16291"/>
    <cellStyle name="Обычный 5 10 4 2" xfId="16292"/>
    <cellStyle name="Обычный 5 10 4 2 2" xfId="16293"/>
    <cellStyle name="Обычный 5 10 4 2 2 2" xfId="16294"/>
    <cellStyle name="Обычный 5 10 4 2 2 2 2" xfId="46166"/>
    <cellStyle name="Обычный 5 10 4 2 2 3" xfId="46167"/>
    <cellStyle name="Обычный 5 10 4 2 3" xfId="16295"/>
    <cellStyle name="Обычный 5 10 4 2 3 2" xfId="46168"/>
    <cellStyle name="Обычный 5 10 4 2 4" xfId="46169"/>
    <cellStyle name="Обычный 5 10 4 3" xfId="16296"/>
    <cellStyle name="Обычный 5 10 4 3 2" xfId="16297"/>
    <cellStyle name="Обычный 5 10 4 3 2 2" xfId="16298"/>
    <cellStyle name="Обычный 5 10 4 3 2 2 2" xfId="46170"/>
    <cellStyle name="Обычный 5 10 4 3 2 3" xfId="46171"/>
    <cellStyle name="Обычный 5 10 4 3 3" xfId="16299"/>
    <cellStyle name="Обычный 5 10 4 3 3 2" xfId="46172"/>
    <cellStyle name="Обычный 5 10 4 3 4" xfId="46173"/>
    <cellStyle name="Обычный 5 10 4 4" xfId="16300"/>
    <cellStyle name="Обычный 5 10 4 4 2" xfId="16301"/>
    <cellStyle name="Обычный 5 10 4 4 2 2" xfId="16302"/>
    <cellStyle name="Обычный 5 10 4 4 2 2 2" xfId="46174"/>
    <cellStyle name="Обычный 5 10 4 4 2 3" xfId="46175"/>
    <cellStyle name="Обычный 5 10 4 4 3" xfId="16303"/>
    <cellStyle name="Обычный 5 10 4 4 3 2" xfId="46176"/>
    <cellStyle name="Обычный 5 10 4 4 4" xfId="46177"/>
    <cellStyle name="Обычный 5 10 4 5" xfId="16304"/>
    <cellStyle name="Обычный 5 10 4 5 2" xfId="16305"/>
    <cellStyle name="Обычный 5 10 4 5 2 2" xfId="46178"/>
    <cellStyle name="Обычный 5 10 4 5 3" xfId="46179"/>
    <cellStyle name="Обычный 5 10 4 6" xfId="16306"/>
    <cellStyle name="Обычный 5 10 4 6 2" xfId="46180"/>
    <cellStyle name="Обычный 5 10 4 7" xfId="16307"/>
    <cellStyle name="Обычный 5 10 4 7 2" xfId="46181"/>
    <cellStyle name="Обычный 5 10 4 8" xfId="46182"/>
    <cellStyle name="Обычный 5 10 5" xfId="16308"/>
    <cellStyle name="Обычный 5 10 5 2" xfId="16309"/>
    <cellStyle name="Обычный 5 10 5 2 2" xfId="16310"/>
    <cellStyle name="Обычный 5 10 5 2 2 2" xfId="16311"/>
    <cellStyle name="Обычный 5 10 5 2 2 2 2" xfId="46183"/>
    <cellStyle name="Обычный 5 10 5 2 2 3" xfId="46184"/>
    <cellStyle name="Обычный 5 10 5 2 3" xfId="16312"/>
    <cellStyle name="Обычный 5 10 5 2 3 2" xfId="46185"/>
    <cellStyle name="Обычный 5 10 5 2 4" xfId="46186"/>
    <cellStyle name="Обычный 5 10 5 3" xfId="16313"/>
    <cellStyle name="Обычный 5 10 5 3 2" xfId="16314"/>
    <cellStyle name="Обычный 5 10 5 3 2 2" xfId="16315"/>
    <cellStyle name="Обычный 5 10 5 3 2 2 2" xfId="46187"/>
    <cellStyle name="Обычный 5 10 5 3 2 3" xfId="46188"/>
    <cellStyle name="Обычный 5 10 5 3 3" xfId="16316"/>
    <cellStyle name="Обычный 5 10 5 3 3 2" xfId="46189"/>
    <cellStyle name="Обычный 5 10 5 3 4" xfId="46190"/>
    <cellStyle name="Обычный 5 10 5 4" xfId="16317"/>
    <cellStyle name="Обычный 5 10 5 4 2" xfId="16318"/>
    <cellStyle name="Обычный 5 10 5 4 2 2" xfId="16319"/>
    <cellStyle name="Обычный 5 10 5 4 2 2 2" xfId="46191"/>
    <cellStyle name="Обычный 5 10 5 4 2 3" xfId="46192"/>
    <cellStyle name="Обычный 5 10 5 4 3" xfId="16320"/>
    <cellStyle name="Обычный 5 10 5 4 3 2" xfId="46193"/>
    <cellStyle name="Обычный 5 10 5 4 4" xfId="46194"/>
    <cellStyle name="Обычный 5 10 5 5" xfId="16321"/>
    <cellStyle name="Обычный 5 10 5 5 2" xfId="16322"/>
    <cellStyle name="Обычный 5 10 5 5 2 2" xfId="46195"/>
    <cellStyle name="Обычный 5 10 5 5 3" xfId="46196"/>
    <cellStyle name="Обычный 5 10 5 6" xfId="16323"/>
    <cellStyle name="Обычный 5 10 5 6 2" xfId="46197"/>
    <cellStyle name="Обычный 5 10 5 7" xfId="16324"/>
    <cellStyle name="Обычный 5 10 5 7 2" xfId="46198"/>
    <cellStyle name="Обычный 5 10 5 8" xfId="46199"/>
    <cellStyle name="Обычный 5 10 6" xfId="16325"/>
    <cellStyle name="Обычный 5 10 6 2" xfId="16326"/>
    <cellStyle name="Обычный 5 10 6 2 2" xfId="16327"/>
    <cellStyle name="Обычный 5 10 6 2 2 2" xfId="16328"/>
    <cellStyle name="Обычный 5 10 6 2 2 2 2" xfId="46200"/>
    <cellStyle name="Обычный 5 10 6 2 2 3" xfId="46201"/>
    <cellStyle name="Обычный 5 10 6 2 3" xfId="16329"/>
    <cellStyle name="Обычный 5 10 6 2 3 2" xfId="46202"/>
    <cellStyle name="Обычный 5 10 6 2 4" xfId="46203"/>
    <cellStyle name="Обычный 5 10 6 3" xfId="16330"/>
    <cellStyle name="Обычный 5 10 6 3 2" xfId="16331"/>
    <cellStyle name="Обычный 5 10 6 3 2 2" xfId="16332"/>
    <cellStyle name="Обычный 5 10 6 3 2 2 2" xfId="46204"/>
    <cellStyle name="Обычный 5 10 6 3 2 3" xfId="46205"/>
    <cellStyle name="Обычный 5 10 6 3 3" xfId="16333"/>
    <cellStyle name="Обычный 5 10 6 3 3 2" xfId="46206"/>
    <cellStyle name="Обычный 5 10 6 3 4" xfId="46207"/>
    <cellStyle name="Обычный 5 10 6 4" xfId="16334"/>
    <cellStyle name="Обычный 5 10 6 4 2" xfId="16335"/>
    <cellStyle name="Обычный 5 10 6 4 2 2" xfId="16336"/>
    <cellStyle name="Обычный 5 10 6 4 2 2 2" xfId="46208"/>
    <cellStyle name="Обычный 5 10 6 4 2 3" xfId="46209"/>
    <cellStyle name="Обычный 5 10 6 4 3" xfId="16337"/>
    <cellStyle name="Обычный 5 10 6 4 3 2" xfId="46210"/>
    <cellStyle name="Обычный 5 10 6 4 4" xfId="46211"/>
    <cellStyle name="Обычный 5 10 6 5" xfId="16338"/>
    <cellStyle name="Обычный 5 10 6 5 2" xfId="16339"/>
    <cellStyle name="Обычный 5 10 6 5 2 2" xfId="46212"/>
    <cellStyle name="Обычный 5 10 6 5 3" xfId="46213"/>
    <cellStyle name="Обычный 5 10 6 6" xfId="16340"/>
    <cellStyle name="Обычный 5 10 6 6 2" xfId="46214"/>
    <cellStyle name="Обычный 5 10 6 7" xfId="16341"/>
    <cellStyle name="Обычный 5 10 6 7 2" xfId="46215"/>
    <cellStyle name="Обычный 5 10 6 8" xfId="46216"/>
    <cellStyle name="Обычный 5 10 7" xfId="16342"/>
    <cellStyle name="Обычный 5 10 7 2" xfId="16343"/>
    <cellStyle name="Обычный 5 10 7 2 2" xfId="16344"/>
    <cellStyle name="Обычный 5 10 7 2 2 2" xfId="16345"/>
    <cellStyle name="Обычный 5 10 7 2 2 2 2" xfId="46217"/>
    <cellStyle name="Обычный 5 10 7 2 2 3" xfId="46218"/>
    <cellStyle name="Обычный 5 10 7 2 3" xfId="16346"/>
    <cellStyle name="Обычный 5 10 7 2 3 2" xfId="46219"/>
    <cellStyle name="Обычный 5 10 7 2 4" xfId="46220"/>
    <cellStyle name="Обычный 5 10 7 3" xfId="16347"/>
    <cellStyle name="Обычный 5 10 7 3 2" xfId="16348"/>
    <cellStyle name="Обычный 5 10 7 3 2 2" xfId="16349"/>
    <cellStyle name="Обычный 5 10 7 3 2 2 2" xfId="46221"/>
    <cellStyle name="Обычный 5 10 7 3 2 3" xfId="46222"/>
    <cellStyle name="Обычный 5 10 7 3 3" xfId="16350"/>
    <cellStyle name="Обычный 5 10 7 3 3 2" xfId="46223"/>
    <cellStyle name="Обычный 5 10 7 3 4" xfId="46224"/>
    <cellStyle name="Обычный 5 10 7 4" xfId="16351"/>
    <cellStyle name="Обычный 5 10 7 4 2" xfId="16352"/>
    <cellStyle name="Обычный 5 10 7 4 2 2" xfId="16353"/>
    <cellStyle name="Обычный 5 10 7 4 2 2 2" xfId="46225"/>
    <cellStyle name="Обычный 5 10 7 4 2 3" xfId="46226"/>
    <cellStyle name="Обычный 5 10 7 4 3" xfId="16354"/>
    <cellStyle name="Обычный 5 10 7 4 3 2" xfId="46227"/>
    <cellStyle name="Обычный 5 10 7 4 4" xfId="46228"/>
    <cellStyle name="Обычный 5 10 7 5" xfId="16355"/>
    <cellStyle name="Обычный 5 10 7 5 2" xfId="16356"/>
    <cellStyle name="Обычный 5 10 7 5 2 2" xfId="46229"/>
    <cellStyle name="Обычный 5 10 7 5 3" xfId="46230"/>
    <cellStyle name="Обычный 5 10 7 6" xfId="16357"/>
    <cellStyle name="Обычный 5 10 7 6 2" xfId="46231"/>
    <cellStyle name="Обычный 5 10 7 7" xfId="16358"/>
    <cellStyle name="Обычный 5 10 7 7 2" xfId="46232"/>
    <cellStyle name="Обычный 5 10 7 8" xfId="46233"/>
    <cellStyle name="Обычный 5 10 8" xfId="16359"/>
    <cellStyle name="Обычный 5 10 8 2" xfId="16360"/>
    <cellStyle name="Обычный 5 10 8 2 2" xfId="16361"/>
    <cellStyle name="Обычный 5 10 8 2 2 2" xfId="16362"/>
    <cellStyle name="Обычный 5 10 8 2 2 2 2" xfId="46234"/>
    <cellStyle name="Обычный 5 10 8 2 2 3" xfId="46235"/>
    <cellStyle name="Обычный 5 10 8 2 3" xfId="16363"/>
    <cellStyle name="Обычный 5 10 8 2 3 2" xfId="46236"/>
    <cellStyle name="Обычный 5 10 8 2 4" xfId="46237"/>
    <cellStyle name="Обычный 5 10 8 3" xfId="16364"/>
    <cellStyle name="Обычный 5 10 8 3 2" xfId="16365"/>
    <cellStyle name="Обычный 5 10 8 3 2 2" xfId="16366"/>
    <cellStyle name="Обычный 5 10 8 3 2 2 2" xfId="46238"/>
    <cellStyle name="Обычный 5 10 8 3 2 3" xfId="46239"/>
    <cellStyle name="Обычный 5 10 8 3 3" xfId="16367"/>
    <cellStyle name="Обычный 5 10 8 3 3 2" xfId="46240"/>
    <cellStyle name="Обычный 5 10 8 3 4" xfId="46241"/>
    <cellStyle name="Обычный 5 10 8 4" xfId="16368"/>
    <cellStyle name="Обычный 5 10 8 4 2" xfId="16369"/>
    <cellStyle name="Обычный 5 10 8 4 2 2" xfId="16370"/>
    <cellStyle name="Обычный 5 10 8 4 2 2 2" xfId="46242"/>
    <cellStyle name="Обычный 5 10 8 4 2 3" xfId="46243"/>
    <cellStyle name="Обычный 5 10 8 4 3" xfId="16371"/>
    <cellStyle name="Обычный 5 10 8 4 3 2" xfId="46244"/>
    <cellStyle name="Обычный 5 10 8 4 4" xfId="46245"/>
    <cellStyle name="Обычный 5 10 8 5" xfId="16372"/>
    <cellStyle name="Обычный 5 10 8 5 2" xfId="16373"/>
    <cellStyle name="Обычный 5 10 8 5 2 2" xfId="46246"/>
    <cellStyle name="Обычный 5 10 8 5 3" xfId="46247"/>
    <cellStyle name="Обычный 5 10 8 6" xfId="16374"/>
    <cellStyle name="Обычный 5 10 8 6 2" xfId="46248"/>
    <cellStyle name="Обычный 5 10 8 7" xfId="16375"/>
    <cellStyle name="Обычный 5 10 8 7 2" xfId="46249"/>
    <cellStyle name="Обычный 5 10 8 8" xfId="46250"/>
    <cellStyle name="Обычный 5 10 9" xfId="16376"/>
    <cellStyle name="Обычный 5 10 9 2" xfId="16377"/>
    <cellStyle name="Обычный 5 10 9 2 2" xfId="16378"/>
    <cellStyle name="Обычный 5 10 9 2 2 2" xfId="16379"/>
    <cellStyle name="Обычный 5 10 9 2 2 2 2" xfId="46251"/>
    <cellStyle name="Обычный 5 10 9 2 2 3" xfId="46252"/>
    <cellStyle name="Обычный 5 10 9 2 3" xfId="16380"/>
    <cellStyle name="Обычный 5 10 9 2 3 2" xfId="46253"/>
    <cellStyle name="Обычный 5 10 9 2 4" xfId="46254"/>
    <cellStyle name="Обычный 5 10 9 3" xfId="16381"/>
    <cellStyle name="Обычный 5 10 9 3 2" xfId="16382"/>
    <cellStyle name="Обычный 5 10 9 3 2 2" xfId="16383"/>
    <cellStyle name="Обычный 5 10 9 3 2 2 2" xfId="46255"/>
    <cellStyle name="Обычный 5 10 9 3 2 3" xfId="46256"/>
    <cellStyle name="Обычный 5 10 9 3 3" xfId="16384"/>
    <cellStyle name="Обычный 5 10 9 3 3 2" xfId="46257"/>
    <cellStyle name="Обычный 5 10 9 3 4" xfId="46258"/>
    <cellStyle name="Обычный 5 10 9 4" xfId="16385"/>
    <cellStyle name="Обычный 5 10 9 4 2" xfId="16386"/>
    <cellStyle name="Обычный 5 10 9 4 2 2" xfId="16387"/>
    <cellStyle name="Обычный 5 10 9 4 2 2 2" xfId="46259"/>
    <cellStyle name="Обычный 5 10 9 4 2 3" xfId="46260"/>
    <cellStyle name="Обычный 5 10 9 4 3" xfId="16388"/>
    <cellStyle name="Обычный 5 10 9 4 3 2" xfId="46261"/>
    <cellStyle name="Обычный 5 10 9 4 4" xfId="46262"/>
    <cellStyle name="Обычный 5 10 9 5" xfId="16389"/>
    <cellStyle name="Обычный 5 10 9 5 2" xfId="16390"/>
    <cellStyle name="Обычный 5 10 9 5 2 2" xfId="46263"/>
    <cellStyle name="Обычный 5 10 9 5 3" xfId="46264"/>
    <cellStyle name="Обычный 5 10 9 6" xfId="16391"/>
    <cellStyle name="Обычный 5 10 9 6 2" xfId="46265"/>
    <cellStyle name="Обычный 5 10 9 7" xfId="16392"/>
    <cellStyle name="Обычный 5 10 9 7 2" xfId="46266"/>
    <cellStyle name="Обычный 5 10 9 8" xfId="46267"/>
    <cellStyle name="Обычный 5 100" xfId="16393"/>
    <cellStyle name="Обычный 5 100 2" xfId="16394"/>
    <cellStyle name="Обычный 5 100 2 2" xfId="16395"/>
    <cellStyle name="Обычный 5 100 2 2 2" xfId="46268"/>
    <cellStyle name="Обычный 5 100 2 3" xfId="46269"/>
    <cellStyle name="Обычный 5 100 3" xfId="16396"/>
    <cellStyle name="Обычный 5 100 3 2" xfId="46270"/>
    <cellStyle name="Обычный 5 100 4" xfId="46271"/>
    <cellStyle name="Обычный 5 101" xfId="16397"/>
    <cellStyle name="Обычный 5 101 2" xfId="16398"/>
    <cellStyle name="Обычный 5 101 2 2" xfId="16399"/>
    <cellStyle name="Обычный 5 101 2 2 2" xfId="46272"/>
    <cellStyle name="Обычный 5 101 2 3" xfId="46273"/>
    <cellStyle name="Обычный 5 101 3" xfId="16400"/>
    <cellStyle name="Обычный 5 101 3 2" xfId="46274"/>
    <cellStyle name="Обычный 5 101 4" xfId="46275"/>
    <cellStyle name="Обычный 5 102" xfId="16401"/>
    <cellStyle name="Обычный 5 102 2" xfId="16402"/>
    <cellStyle name="Обычный 5 102 2 2" xfId="16403"/>
    <cellStyle name="Обычный 5 102 2 2 2" xfId="46276"/>
    <cellStyle name="Обычный 5 102 2 3" xfId="46277"/>
    <cellStyle name="Обычный 5 102 3" xfId="16404"/>
    <cellStyle name="Обычный 5 102 3 2" xfId="46278"/>
    <cellStyle name="Обычный 5 102 4" xfId="46279"/>
    <cellStyle name="Обычный 5 103" xfId="16405"/>
    <cellStyle name="Обычный 5 103 2" xfId="16406"/>
    <cellStyle name="Обычный 5 103 2 2" xfId="16407"/>
    <cellStyle name="Обычный 5 103 2 2 2" xfId="46280"/>
    <cellStyle name="Обычный 5 103 2 3" xfId="46281"/>
    <cellStyle name="Обычный 5 103 3" xfId="16408"/>
    <cellStyle name="Обычный 5 103 3 2" xfId="46282"/>
    <cellStyle name="Обычный 5 103 4" xfId="46283"/>
    <cellStyle name="Обычный 5 104" xfId="16409"/>
    <cellStyle name="Обычный 5 104 2" xfId="16410"/>
    <cellStyle name="Обычный 5 104 2 2" xfId="16411"/>
    <cellStyle name="Обычный 5 104 2 2 2" xfId="46284"/>
    <cellStyle name="Обычный 5 104 2 3" xfId="46285"/>
    <cellStyle name="Обычный 5 104 3" xfId="16412"/>
    <cellStyle name="Обычный 5 104 3 2" xfId="46286"/>
    <cellStyle name="Обычный 5 104 4" xfId="46287"/>
    <cellStyle name="Обычный 5 105" xfId="16413"/>
    <cellStyle name="Обычный 5 105 2" xfId="16414"/>
    <cellStyle name="Обычный 5 105 2 2" xfId="16415"/>
    <cellStyle name="Обычный 5 105 2 2 2" xfId="46288"/>
    <cellStyle name="Обычный 5 105 2 3" xfId="46289"/>
    <cellStyle name="Обычный 5 105 3" xfId="16416"/>
    <cellStyle name="Обычный 5 105 3 2" xfId="46290"/>
    <cellStyle name="Обычный 5 105 4" xfId="46291"/>
    <cellStyle name="Обычный 5 106" xfId="16417"/>
    <cellStyle name="Обычный 5 106 2" xfId="16418"/>
    <cellStyle name="Обычный 5 106 2 2" xfId="16419"/>
    <cellStyle name="Обычный 5 106 2 2 2" xfId="46292"/>
    <cellStyle name="Обычный 5 106 2 3" xfId="46293"/>
    <cellStyle name="Обычный 5 106 3" xfId="16420"/>
    <cellStyle name="Обычный 5 106 3 2" xfId="46294"/>
    <cellStyle name="Обычный 5 106 4" xfId="46295"/>
    <cellStyle name="Обычный 5 107" xfId="16421"/>
    <cellStyle name="Обычный 5 107 2" xfId="16422"/>
    <cellStyle name="Обычный 5 107 2 2" xfId="16423"/>
    <cellStyle name="Обычный 5 107 2 2 2" xfId="46296"/>
    <cellStyle name="Обычный 5 107 2 3" xfId="46297"/>
    <cellStyle name="Обычный 5 107 3" xfId="16424"/>
    <cellStyle name="Обычный 5 107 3 2" xfId="46298"/>
    <cellStyle name="Обычный 5 107 4" xfId="46299"/>
    <cellStyle name="Обычный 5 108" xfId="16425"/>
    <cellStyle name="Обычный 5 108 2" xfId="16426"/>
    <cellStyle name="Обычный 5 108 2 2" xfId="16427"/>
    <cellStyle name="Обычный 5 108 2 2 2" xfId="46300"/>
    <cellStyle name="Обычный 5 108 2 3" xfId="46301"/>
    <cellStyle name="Обычный 5 108 3" xfId="16428"/>
    <cellStyle name="Обычный 5 108 3 2" xfId="46302"/>
    <cellStyle name="Обычный 5 108 4" xfId="46303"/>
    <cellStyle name="Обычный 5 109" xfId="16429"/>
    <cellStyle name="Обычный 5 109 2" xfId="16430"/>
    <cellStyle name="Обычный 5 109 2 2" xfId="16431"/>
    <cellStyle name="Обычный 5 109 2 2 2" xfId="46304"/>
    <cellStyle name="Обычный 5 109 2 3" xfId="46305"/>
    <cellStyle name="Обычный 5 109 3" xfId="16432"/>
    <cellStyle name="Обычный 5 109 3 2" xfId="46306"/>
    <cellStyle name="Обычный 5 109 4" xfId="46307"/>
    <cellStyle name="Обычный 5 11" xfId="16433"/>
    <cellStyle name="Обычный 5 11 10" xfId="16434"/>
    <cellStyle name="Обычный 5 11 10 2" xfId="16435"/>
    <cellStyle name="Обычный 5 11 10 2 2" xfId="16436"/>
    <cellStyle name="Обычный 5 11 10 2 2 2" xfId="16437"/>
    <cellStyle name="Обычный 5 11 10 2 2 2 2" xfId="46308"/>
    <cellStyle name="Обычный 5 11 10 2 2 3" xfId="46309"/>
    <cellStyle name="Обычный 5 11 10 2 3" xfId="16438"/>
    <cellStyle name="Обычный 5 11 10 2 3 2" xfId="46310"/>
    <cellStyle name="Обычный 5 11 10 2 4" xfId="46311"/>
    <cellStyle name="Обычный 5 11 10 3" xfId="16439"/>
    <cellStyle name="Обычный 5 11 10 3 2" xfId="16440"/>
    <cellStyle name="Обычный 5 11 10 3 2 2" xfId="16441"/>
    <cellStyle name="Обычный 5 11 10 3 2 2 2" xfId="46312"/>
    <cellStyle name="Обычный 5 11 10 3 2 3" xfId="46313"/>
    <cellStyle name="Обычный 5 11 10 3 3" xfId="16442"/>
    <cellStyle name="Обычный 5 11 10 3 3 2" xfId="46314"/>
    <cellStyle name="Обычный 5 11 10 3 4" xfId="46315"/>
    <cellStyle name="Обычный 5 11 10 4" xfId="16443"/>
    <cellStyle name="Обычный 5 11 10 4 2" xfId="16444"/>
    <cellStyle name="Обычный 5 11 10 4 2 2" xfId="16445"/>
    <cellStyle name="Обычный 5 11 10 4 2 2 2" xfId="46316"/>
    <cellStyle name="Обычный 5 11 10 4 2 3" xfId="46317"/>
    <cellStyle name="Обычный 5 11 10 4 3" xfId="16446"/>
    <cellStyle name="Обычный 5 11 10 4 3 2" xfId="46318"/>
    <cellStyle name="Обычный 5 11 10 4 4" xfId="46319"/>
    <cellStyle name="Обычный 5 11 10 5" xfId="16447"/>
    <cellStyle name="Обычный 5 11 10 5 2" xfId="16448"/>
    <cellStyle name="Обычный 5 11 10 5 2 2" xfId="46320"/>
    <cellStyle name="Обычный 5 11 10 5 3" xfId="46321"/>
    <cellStyle name="Обычный 5 11 10 6" xfId="16449"/>
    <cellStyle name="Обычный 5 11 10 6 2" xfId="46322"/>
    <cellStyle name="Обычный 5 11 10 7" xfId="16450"/>
    <cellStyle name="Обычный 5 11 10 7 2" xfId="46323"/>
    <cellStyle name="Обычный 5 11 10 8" xfId="46324"/>
    <cellStyle name="Обычный 5 11 11" xfId="16451"/>
    <cellStyle name="Обычный 5 11 11 2" xfId="16452"/>
    <cellStyle name="Обычный 5 11 11 2 2" xfId="16453"/>
    <cellStyle name="Обычный 5 11 11 2 2 2" xfId="16454"/>
    <cellStyle name="Обычный 5 11 11 2 2 2 2" xfId="46325"/>
    <cellStyle name="Обычный 5 11 11 2 2 3" xfId="46326"/>
    <cellStyle name="Обычный 5 11 11 2 3" xfId="16455"/>
    <cellStyle name="Обычный 5 11 11 2 3 2" xfId="46327"/>
    <cellStyle name="Обычный 5 11 11 2 4" xfId="46328"/>
    <cellStyle name="Обычный 5 11 11 3" xfId="16456"/>
    <cellStyle name="Обычный 5 11 11 3 2" xfId="16457"/>
    <cellStyle name="Обычный 5 11 11 3 2 2" xfId="16458"/>
    <cellStyle name="Обычный 5 11 11 3 2 2 2" xfId="46329"/>
    <cellStyle name="Обычный 5 11 11 3 2 3" xfId="46330"/>
    <cellStyle name="Обычный 5 11 11 3 3" xfId="16459"/>
    <cellStyle name="Обычный 5 11 11 3 3 2" xfId="46331"/>
    <cellStyle name="Обычный 5 11 11 3 4" xfId="46332"/>
    <cellStyle name="Обычный 5 11 11 4" xfId="16460"/>
    <cellStyle name="Обычный 5 11 11 4 2" xfId="16461"/>
    <cellStyle name="Обычный 5 11 11 4 2 2" xfId="16462"/>
    <cellStyle name="Обычный 5 11 11 4 2 2 2" xfId="46333"/>
    <cellStyle name="Обычный 5 11 11 4 2 3" xfId="46334"/>
    <cellStyle name="Обычный 5 11 11 4 3" xfId="16463"/>
    <cellStyle name="Обычный 5 11 11 4 3 2" xfId="46335"/>
    <cellStyle name="Обычный 5 11 11 4 4" xfId="46336"/>
    <cellStyle name="Обычный 5 11 11 5" xfId="16464"/>
    <cellStyle name="Обычный 5 11 11 5 2" xfId="16465"/>
    <cellStyle name="Обычный 5 11 11 5 2 2" xfId="46337"/>
    <cellStyle name="Обычный 5 11 11 5 3" xfId="46338"/>
    <cellStyle name="Обычный 5 11 11 6" xfId="16466"/>
    <cellStyle name="Обычный 5 11 11 6 2" xfId="46339"/>
    <cellStyle name="Обычный 5 11 11 7" xfId="16467"/>
    <cellStyle name="Обычный 5 11 11 7 2" xfId="46340"/>
    <cellStyle name="Обычный 5 11 11 8" xfId="46341"/>
    <cellStyle name="Обычный 5 11 12" xfId="16468"/>
    <cellStyle name="Обычный 5 11 12 2" xfId="16469"/>
    <cellStyle name="Обычный 5 11 12 2 2" xfId="16470"/>
    <cellStyle name="Обычный 5 11 12 2 2 2" xfId="16471"/>
    <cellStyle name="Обычный 5 11 12 2 2 2 2" xfId="46342"/>
    <cellStyle name="Обычный 5 11 12 2 2 3" xfId="46343"/>
    <cellStyle name="Обычный 5 11 12 2 3" xfId="16472"/>
    <cellStyle name="Обычный 5 11 12 2 3 2" xfId="46344"/>
    <cellStyle name="Обычный 5 11 12 2 4" xfId="46345"/>
    <cellStyle name="Обычный 5 11 12 3" xfId="16473"/>
    <cellStyle name="Обычный 5 11 12 3 2" xfId="16474"/>
    <cellStyle name="Обычный 5 11 12 3 2 2" xfId="16475"/>
    <cellStyle name="Обычный 5 11 12 3 2 2 2" xfId="46346"/>
    <cellStyle name="Обычный 5 11 12 3 2 3" xfId="46347"/>
    <cellStyle name="Обычный 5 11 12 3 3" xfId="16476"/>
    <cellStyle name="Обычный 5 11 12 3 3 2" xfId="46348"/>
    <cellStyle name="Обычный 5 11 12 3 4" xfId="46349"/>
    <cellStyle name="Обычный 5 11 12 4" xfId="16477"/>
    <cellStyle name="Обычный 5 11 12 4 2" xfId="16478"/>
    <cellStyle name="Обычный 5 11 12 4 2 2" xfId="16479"/>
    <cellStyle name="Обычный 5 11 12 4 2 2 2" xfId="46350"/>
    <cellStyle name="Обычный 5 11 12 4 2 3" xfId="46351"/>
    <cellStyle name="Обычный 5 11 12 4 3" xfId="16480"/>
    <cellStyle name="Обычный 5 11 12 4 3 2" xfId="46352"/>
    <cellStyle name="Обычный 5 11 12 4 4" xfId="46353"/>
    <cellStyle name="Обычный 5 11 12 5" xfId="16481"/>
    <cellStyle name="Обычный 5 11 12 5 2" xfId="16482"/>
    <cellStyle name="Обычный 5 11 12 5 2 2" xfId="46354"/>
    <cellStyle name="Обычный 5 11 12 5 3" xfId="46355"/>
    <cellStyle name="Обычный 5 11 12 6" xfId="16483"/>
    <cellStyle name="Обычный 5 11 12 6 2" xfId="46356"/>
    <cellStyle name="Обычный 5 11 12 7" xfId="16484"/>
    <cellStyle name="Обычный 5 11 12 7 2" xfId="46357"/>
    <cellStyle name="Обычный 5 11 12 8" xfId="46358"/>
    <cellStyle name="Обычный 5 11 13" xfId="16485"/>
    <cellStyle name="Обычный 5 11 13 2" xfId="16486"/>
    <cellStyle name="Обычный 5 11 13 2 2" xfId="16487"/>
    <cellStyle name="Обычный 5 11 13 2 2 2" xfId="16488"/>
    <cellStyle name="Обычный 5 11 13 2 2 2 2" xfId="46359"/>
    <cellStyle name="Обычный 5 11 13 2 2 3" xfId="46360"/>
    <cellStyle name="Обычный 5 11 13 2 3" xfId="16489"/>
    <cellStyle name="Обычный 5 11 13 2 3 2" xfId="46361"/>
    <cellStyle name="Обычный 5 11 13 2 4" xfId="46362"/>
    <cellStyle name="Обычный 5 11 13 3" xfId="16490"/>
    <cellStyle name="Обычный 5 11 13 3 2" xfId="16491"/>
    <cellStyle name="Обычный 5 11 13 3 2 2" xfId="16492"/>
    <cellStyle name="Обычный 5 11 13 3 2 2 2" xfId="46363"/>
    <cellStyle name="Обычный 5 11 13 3 2 3" xfId="46364"/>
    <cellStyle name="Обычный 5 11 13 3 3" xfId="16493"/>
    <cellStyle name="Обычный 5 11 13 3 3 2" xfId="46365"/>
    <cellStyle name="Обычный 5 11 13 3 4" xfId="46366"/>
    <cellStyle name="Обычный 5 11 13 4" xfId="16494"/>
    <cellStyle name="Обычный 5 11 13 4 2" xfId="16495"/>
    <cellStyle name="Обычный 5 11 13 4 2 2" xfId="16496"/>
    <cellStyle name="Обычный 5 11 13 4 2 2 2" xfId="46367"/>
    <cellStyle name="Обычный 5 11 13 4 2 3" xfId="46368"/>
    <cellStyle name="Обычный 5 11 13 4 3" xfId="16497"/>
    <cellStyle name="Обычный 5 11 13 4 3 2" xfId="46369"/>
    <cellStyle name="Обычный 5 11 13 4 4" xfId="46370"/>
    <cellStyle name="Обычный 5 11 13 5" xfId="16498"/>
    <cellStyle name="Обычный 5 11 13 5 2" xfId="16499"/>
    <cellStyle name="Обычный 5 11 13 5 2 2" xfId="46371"/>
    <cellStyle name="Обычный 5 11 13 5 3" xfId="46372"/>
    <cellStyle name="Обычный 5 11 13 6" xfId="16500"/>
    <cellStyle name="Обычный 5 11 13 6 2" xfId="46373"/>
    <cellStyle name="Обычный 5 11 13 7" xfId="16501"/>
    <cellStyle name="Обычный 5 11 13 7 2" xfId="46374"/>
    <cellStyle name="Обычный 5 11 13 8" xfId="46375"/>
    <cellStyle name="Обычный 5 11 14" xfId="16502"/>
    <cellStyle name="Обычный 5 11 14 2" xfId="16503"/>
    <cellStyle name="Обычный 5 11 14 2 2" xfId="16504"/>
    <cellStyle name="Обычный 5 11 14 2 2 2" xfId="16505"/>
    <cellStyle name="Обычный 5 11 14 2 2 2 2" xfId="46376"/>
    <cellStyle name="Обычный 5 11 14 2 2 3" xfId="46377"/>
    <cellStyle name="Обычный 5 11 14 2 3" xfId="16506"/>
    <cellStyle name="Обычный 5 11 14 2 3 2" xfId="46378"/>
    <cellStyle name="Обычный 5 11 14 2 4" xfId="46379"/>
    <cellStyle name="Обычный 5 11 14 3" xfId="16507"/>
    <cellStyle name="Обычный 5 11 14 3 2" xfId="16508"/>
    <cellStyle name="Обычный 5 11 14 3 2 2" xfId="16509"/>
    <cellStyle name="Обычный 5 11 14 3 2 2 2" xfId="46380"/>
    <cellStyle name="Обычный 5 11 14 3 2 3" xfId="46381"/>
    <cellStyle name="Обычный 5 11 14 3 3" xfId="16510"/>
    <cellStyle name="Обычный 5 11 14 3 3 2" xfId="46382"/>
    <cellStyle name="Обычный 5 11 14 3 4" xfId="46383"/>
    <cellStyle name="Обычный 5 11 14 4" xfId="16511"/>
    <cellStyle name="Обычный 5 11 14 4 2" xfId="16512"/>
    <cellStyle name="Обычный 5 11 14 4 2 2" xfId="16513"/>
    <cellStyle name="Обычный 5 11 14 4 2 2 2" xfId="46384"/>
    <cellStyle name="Обычный 5 11 14 4 2 3" xfId="46385"/>
    <cellStyle name="Обычный 5 11 14 4 3" xfId="16514"/>
    <cellStyle name="Обычный 5 11 14 4 3 2" xfId="46386"/>
    <cellStyle name="Обычный 5 11 14 4 4" xfId="46387"/>
    <cellStyle name="Обычный 5 11 14 5" xfId="16515"/>
    <cellStyle name="Обычный 5 11 14 5 2" xfId="16516"/>
    <cellStyle name="Обычный 5 11 14 5 2 2" xfId="46388"/>
    <cellStyle name="Обычный 5 11 14 5 3" xfId="46389"/>
    <cellStyle name="Обычный 5 11 14 6" xfId="16517"/>
    <cellStyle name="Обычный 5 11 14 6 2" xfId="46390"/>
    <cellStyle name="Обычный 5 11 14 7" xfId="16518"/>
    <cellStyle name="Обычный 5 11 14 7 2" xfId="46391"/>
    <cellStyle name="Обычный 5 11 14 8" xfId="46392"/>
    <cellStyle name="Обычный 5 11 15" xfId="16519"/>
    <cellStyle name="Обычный 5 11 15 2" xfId="16520"/>
    <cellStyle name="Обычный 5 11 15 2 2" xfId="16521"/>
    <cellStyle name="Обычный 5 11 15 2 2 2" xfId="16522"/>
    <cellStyle name="Обычный 5 11 15 2 2 2 2" xfId="46393"/>
    <cellStyle name="Обычный 5 11 15 2 2 3" xfId="46394"/>
    <cellStyle name="Обычный 5 11 15 2 3" xfId="16523"/>
    <cellStyle name="Обычный 5 11 15 2 3 2" xfId="46395"/>
    <cellStyle name="Обычный 5 11 15 2 4" xfId="46396"/>
    <cellStyle name="Обычный 5 11 15 3" xfId="16524"/>
    <cellStyle name="Обычный 5 11 15 3 2" xfId="16525"/>
    <cellStyle name="Обычный 5 11 15 3 2 2" xfId="16526"/>
    <cellStyle name="Обычный 5 11 15 3 2 2 2" xfId="46397"/>
    <cellStyle name="Обычный 5 11 15 3 2 3" xfId="46398"/>
    <cellStyle name="Обычный 5 11 15 3 3" xfId="16527"/>
    <cellStyle name="Обычный 5 11 15 3 3 2" xfId="46399"/>
    <cellStyle name="Обычный 5 11 15 3 4" xfId="46400"/>
    <cellStyle name="Обычный 5 11 15 4" xfId="16528"/>
    <cellStyle name="Обычный 5 11 15 4 2" xfId="16529"/>
    <cellStyle name="Обычный 5 11 15 4 2 2" xfId="16530"/>
    <cellStyle name="Обычный 5 11 15 4 2 2 2" xfId="46401"/>
    <cellStyle name="Обычный 5 11 15 4 2 3" xfId="46402"/>
    <cellStyle name="Обычный 5 11 15 4 3" xfId="16531"/>
    <cellStyle name="Обычный 5 11 15 4 3 2" xfId="46403"/>
    <cellStyle name="Обычный 5 11 15 4 4" xfId="46404"/>
    <cellStyle name="Обычный 5 11 15 5" xfId="16532"/>
    <cellStyle name="Обычный 5 11 15 5 2" xfId="16533"/>
    <cellStyle name="Обычный 5 11 15 5 2 2" xfId="46405"/>
    <cellStyle name="Обычный 5 11 15 5 3" xfId="46406"/>
    <cellStyle name="Обычный 5 11 15 6" xfId="16534"/>
    <cellStyle name="Обычный 5 11 15 6 2" xfId="46407"/>
    <cellStyle name="Обычный 5 11 15 7" xfId="16535"/>
    <cellStyle name="Обычный 5 11 15 7 2" xfId="46408"/>
    <cellStyle name="Обычный 5 11 15 8" xfId="46409"/>
    <cellStyle name="Обычный 5 11 16" xfId="16536"/>
    <cellStyle name="Обычный 5 11 16 2" xfId="16537"/>
    <cellStyle name="Обычный 5 11 16 2 2" xfId="16538"/>
    <cellStyle name="Обычный 5 11 16 2 2 2" xfId="16539"/>
    <cellStyle name="Обычный 5 11 16 2 2 2 2" xfId="46410"/>
    <cellStyle name="Обычный 5 11 16 2 2 3" xfId="46411"/>
    <cellStyle name="Обычный 5 11 16 2 3" xfId="16540"/>
    <cellStyle name="Обычный 5 11 16 2 3 2" xfId="46412"/>
    <cellStyle name="Обычный 5 11 16 2 4" xfId="46413"/>
    <cellStyle name="Обычный 5 11 16 3" xfId="16541"/>
    <cellStyle name="Обычный 5 11 16 3 2" xfId="16542"/>
    <cellStyle name="Обычный 5 11 16 3 2 2" xfId="16543"/>
    <cellStyle name="Обычный 5 11 16 3 2 2 2" xfId="46414"/>
    <cellStyle name="Обычный 5 11 16 3 2 3" xfId="46415"/>
    <cellStyle name="Обычный 5 11 16 3 3" xfId="16544"/>
    <cellStyle name="Обычный 5 11 16 3 3 2" xfId="46416"/>
    <cellStyle name="Обычный 5 11 16 3 4" xfId="46417"/>
    <cellStyle name="Обычный 5 11 16 4" xfId="16545"/>
    <cellStyle name="Обычный 5 11 16 4 2" xfId="16546"/>
    <cellStyle name="Обычный 5 11 16 4 2 2" xfId="16547"/>
    <cellStyle name="Обычный 5 11 16 4 2 2 2" xfId="46418"/>
    <cellStyle name="Обычный 5 11 16 4 2 3" xfId="46419"/>
    <cellStyle name="Обычный 5 11 16 4 3" xfId="16548"/>
    <cellStyle name="Обычный 5 11 16 4 3 2" xfId="46420"/>
    <cellStyle name="Обычный 5 11 16 4 4" xfId="46421"/>
    <cellStyle name="Обычный 5 11 16 5" xfId="16549"/>
    <cellStyle name="Обычный 5 11 16 5 2" xfId="16550"/>
    <cellStyle name="Обычный 5 11 16 5 2 2" xfId="46422"/>
    <cellStyle name="Обычный 5 11 16 5 3" xfId="46423"/>
    <cellStyle name="Обычный 5 11 16 6" xfId="16551"/>
    <cellStyle name="Обычный 5 11 16 6 2" xfId="46424"/>
    <cellStyle name="Обычный 5 11 16 7" xfId="16552"/>
    <cellStyle name="Обычный 5 11 16 7 2" xfId="46425"/>
    <cellStyle name="Обычный 5 11 16 8" xfId="46426"/>
    <cellStyle name="Обычный 5 11 17" xfId="16553"/>
    <cellStyle name="Обычный 5 11 17 2" xfId="16554"/>
    <cellStyle name="Обычный 5 11 17 2 2" xfId="16555"/>
    <cellStyle name="Обычный 5 11 17 2 2 2" xfId="16556"/>
    <cellStyle name="Обычный 5 11 17 2 2 2 2" xfId="46427"/>
    <cellStyle name="Обычный 5 11 17 2 2 3" xfId="46428"/>
    <cellStyle name="Обычный 5 11 17 2 3" xfId="16557"/>
    <cellStyle name="Обычный 5 11 17 2 3 2" xfId="46429"/>
    <cellStyle name="Обычный 5 11 17 2 4" xfId="46430"/>
    <cellStyle name="Обычный 5 11 17 3" xfId="16558"/>
    <cellStyle name="Обычный 5 11 17 3 2" xfId="16559"/>
    <cellStyle name="Обычный 5 11 17 3 2 2" xfId="16560"/>
    <cellStyle name="Обычный 5 11 17 3 2 2 2" xfId="46431"/>
    <cellStyle name="Обычный 5 11 17 3 2 3" xfId="46432"/>
    <cellStyle name="Обычный 5 11 17 3 3" xfId="16561"/>
    <cellStyle name="Обычный 5 11 17 3 3 2" xfId="46433"/>
    <cellStyle name="Обычный 5 11 17 3 4" xfId="46434"/>
    <cellStyle name="Обычный 5 11 17 4" xfId="16562"/>
    <cellStyle name="Обычный 5 11 17 4 2" xfId="16563"/>
    <cellStyle name="Обычный 5 11 17 4 2 2" xfId="16564"/>
    <cellStyle name="Обычный 5 11 17 4 2 2 2" xfId="46435"/>
    <cellStyle name="Обычный 5 11 17 4 2 3" xfId="46436"/>
    <cellStyle name="Обычный 5 11 17 4 3" xfId="16565"/>
    <cellStyle name="Обычный 5 11 17 4 3 2" xfId="46437"/>
    <cellStyle name="Обычный 5 11 17 4 4" xfId="46438"/>
    <cellStyle name="Обычный 5 11 17 5" xfId="16566"/>
    <cellStyle name="Обычный 5 11 17 5 2" xfId="16567"/>
    <cellStyle name="Обычный 5 11 17 5 2 2" xfId="46439"/>
    <cellStyle name="Обычный 5 11 17 5 3" xfId="46440"/>
    <cellStyle name="Обычный 5 11 17 6" xfId="16568"/>
    <cellStyle name="Обычный 5 11 17 6 2" xfId="46441"/>
    <cellStyle name="Обычный 5 11 17 7" xfId="16569"/>
    <cellStyle name="Обычный 5 11 17 7 2" xfId="46442"/>
    <cellStyle name="Обычный 5 11 17 8" xfId="46443"/>
    <cellStyle name="Обычный 5 11 18" xfId="16570"/>
    <cellStyle name="Обычный 5 11 18 2" xfId="16571"/>
    <cellStyle name="Обычный 5 11 18 2 2" xfId="16572"/>
    <cellStyle name="Обычный 5 11 18 2 2 2" xfId="16573"/>
    <cellStyle name="Обычный 5 11 18 2 2 2 2" xfId="46444"/>
    <cellStyle name="Обычный 5 11 18 2 2 3" xfId="46445"/>
    <cellStyle name="Обычный 5 11 18 2 3" xfId="16574"/>
    <cellStyle name="Обычный 5 11 18 2 3 2" xfId="46446"/>
    <cellStyle name="Обычный 5 11 18 2 4" xfId="46447"/>
    <cellStyle name="Обычный 5 11 18 3" xfId="16575"/>
    <cellStyle name="Обычный 5 11 18 3 2" xfId="16576"/>
    <cellStyle name="Обычный 5 11 18 3 2 2" xfId="16577"/>
    <cellStyle name="Обычный 5 11 18 3 2 2 2" xfId="46448"/>
    <cellStyle name="Обычный 5 11 18 3 2 3" xfId="46449"/>
    <cellStyle name="Обычный 5 11 18 3 3" xfId="16578"/>
    <cellStyle name="Обычный 5 11 18 3 3 2" xfId="46450"/>
    <cellStyle name="Обычный 5 11 18 3 4" xfId="46451"/>
    <cellStyle name="Обычный 5 11 18 4" xfId="16579"/>
    <cellStyle name="Обычный 5 11 18 4 2" xfId="16580"/>
    <cellStyle name="Обычный 5 11 18 4 2 2" xfId="16581"/>
    <cellStyle name="Обычный 5 11 18 4 2 2 2" xfId="46452"/>
    <cellStyle name="Обычный 5 11 18 4 2 3" xfId="46453"/>
    <cellStyle name="Обычный 5 11 18 4 3" xfId="16582"/>
    <cellStyle name="Обычный 5 11 18 4 3 2" xfId="46454"/>
    <cellStyle name="Обычный 5 11 18 4 4" xfId="46455"/>
    <cellStyle name="Обычный 5 11 18 5" xfId="16583"/>
    <cellStyle name="Обычный 5 11 18 5 2" xfId="16584"/>
    <cellStyle name="Обычный 5 11 18 5 2 2" xfId="46456"/>
    <cellStyle name="Обычный 5 11 18 5 3" xfId="46457"/>
    <cellStyle name="Обычный 5 11 18 6" xfId="16585"/>
    <cellStyle name="Обычный 5 11 18 6 2" xfId="46458"/>
    <cellStyle name="Обычный 5 11 18 7" xfId="16586"/>
    <cellStyle name="Обычный 5 11 18 7 2" xfId="46459"/>
    <cellStyle name="Обычный 5 11 18 8" xfId="46460"/>
    <cellStyle name="Обычный 5 11 19" xfId="16587"/>
    <cellStyle name="Обычный 5 11 19 2" xfId="16588"/>
    <cellStyle name="Обычный 5 11 19 2 2" xfId="16589"/>
    <cellStyle name="Обычный 5 11 19 2 2 2" xfId="16590"/>
    <cellStyle name="Обычный 5 11 19 2 2 2 2" xfId="46461"/>
    <cellStyle name="Обычный 5 11 19 2 2 3" xfId="46462"/>
    <cellStyle name="Обычный 5 11 19 2 3" xfId="16591"/>
    <cellStyle name="Обычный 5 11 19 2 3 2" xfId="46463"/>
    <cellStyle name="Обычный 5 11 19 2 4" xfId="46464"/>
    <cellStyle name="Обычный 5 11 19 3" xfId="16592"/>
    <cellStyle name="Обычный 5 11 19 3 2" xfId="16593"/>
    <cellStyle name="Обычный 5 11 19 3 2 2" xfId="16594"/>
    <cellStyle name="Обычный 5 11 19 3 2 2 2" xfId="46465"/>
    <cellStyle name="Обычный 5 11 19 3 2 3" xfId="46466"/>
    <cellStyle name="Обычный 5 11 19 3 3" xfId="16595"/>
    <cellStyle name="Обычный 5 11 19 3 3 2" xfId="46467"/>
    <cellStyle name="Обычный 5 11 19 3 4" xfId="46468"/>
    <cellStyle name="Обычный 5 11 19 4" xfId="16596"/>
    <cellStyle name="Обычный 5 11 19 4 2" xfId="16597"/>
    <cellStyle name="Обычный 5 11 19 4 2 2" xfId="16598"/>
    <cellStyle name="Обычный 5 11 19 4 2 2 2" xfId="46469"/>
    <cellStyle name="Обычный 5 11 19 4 2 3" xfId="46470"/>
    <cellStyle name="Обычный 5 11 19 4 3" xfId="16599"/>
    <cellStyle name="Обычный 5 11 19 4 3 2" xfId="46471"/>
    <cellStyle name="Обычный 5 11 19 4 4" xfId="46472"/>
    <cellStyle name="Обычный 5 11 19 5" xfId="16600"/>
    <cellStyle name="Обычный 5 11 19 5 2" xfId="16601"/>
    <cellStyle name="Обычный 5 11 19 5 2 2" xfId="46473"/>
    <cellStyle name="Обычный 5 11 19 5 3" xfId="46474"/>
    <cellStyle name="Обычный 5 11 19 6" xfId="16602"/>
    <cellStyle name="Обычный 5 11 19 6 2" xfId="46475"/>
    <cellStyle name="Обычный 5 11 19 7" xfId="16603"/>
    <cellStyle name="Обычный 5 11 19 7 2" xfId="46476"/>
    <cellStyle name="Обычный 5 11 19 8" xfId="46477"/>
    <cellStyle name="Обычный 5 11 2" xfId="16604"/>
    <cellStyle name="Обычный 5 11 2 2" xfId="16605"/>
    <cellStyle name="Обычный 5 11 2 2 2" xfId="16606"/>
    <cellStyle name="Обычный 5 11 2 2 2 2" xfId="16607"/>
    <cellStyle name="Обычный 5 11 2 2 2 2 2" xfId="46478"/>
    <cellStyle name="Обычный 5 11 2 2 2 3" xfId="46479"/>
    <cellStyle name="Обычный 5 11 2 2 3" xfId="16608"/>
    <cellStyle name="Обычный 5 11 2 2 3 2" xfId="46480"/>
    <cellStyle name="Обычный 5 11 2 2 4" xfId="46481"/>
    <cellStyle name="Обычный 5 11 2 3" xfId="16609"/>
    <cellStyle name="Обычный 5 11 2 3 2" xfId="16610"/>
    <cellStyle name="Обычный 5 11 2 3 2 2" xfId="16611"/>
    <cellStyle name="Обычный 5 11 2 3 2 2 2" xfId="46482"/>
    <cellStyle name="Обычный 5 11 2 3 2 3" xfId="46483"/>
    <cellStyle name="Обычный 5 11 2 3 3" xfId="16612"/>
    <cellStyle name="Обычный 5 11 2 3 3 2" xfId="46484"/>
    <cellStyle name="Обычный 5 11 2 3 4" xfId="46485"/>
    <cellStyle name="Обычный 5 11 2 4" xfId="16613"/>
    <cellStyle name="Обычный 5 11 2 4 2" xfId="16614"/>
    <cellStyle name="Обычный 5 11 2 4 2 2" xfId="16615"/>
    <cellStyle name="Обычный 5 11 2 4 2 2 2" xfId="46486"/>
    <cellStyle name="Обычный 5 11 2 4 2 3" xfId="46487"/>
    <cellStyle name="Обычный 5 11 2 4 3" xfId="16616"/>
    <cellStyle name="Обычный 5 11 2 4 3 2" xfId="46488"/>
    <cellStyle name="Обычный 5 11 2 4 4" xfId="46489"/>
    <cellStyle name="Обычный 5 11 2 5" xfId="16617"/>
    <cellStyle name="Обычный 5 11 2 5 2" xfId="16618"/>
    <cellStyle name="Обычный 5 11 2 5 2 2" xfId="46490"/>
    <cellStyle name="Обычный 5 11 2 5 3" xfId="46491"/>
    <cellStyle name="Обычный 5 11 2 6" xfId="16619"/>
    <cellStyle name="Обычный 5 11 2 6 2" xfId="46492"/>
    <cellStyle name="Обычный 5 11 2 7" xfId="16620"/>
    <cellStyle name="Обычный 5 11 2 7 2" xfId="46493"/>
    <cellStyle name="Обычный 5 11 2 8" xfId="46494"/>
    <cellStyle name="Обычный 5 11 20" xfId="16621"/>
    <cellStyle name="Обычный 5 11 20 2" xfId="16622"/>
    <cellStyle name="Обычный 5 11 20 2 2" xfId="16623"/>
    <cellStyle name="Обычный 5 11 20 2 2 2" xfId="16624"/>
    <cellStyle name="Обычный 5 11 20 2 2 2 2" xfId="46495"/>
    <cellStyle name="Обычный 5 11 20 2 2 3" xfId="46496"/>
    <cellStyle name="Обычный 5 11 20 2 3" xfId="16625"/>
    <cellStyle name="Обычный 5 11 20 2 3 2" xfId="46497"/>
    <cellStyle name="Обычный 5 11 20 2 4" xfId="46498"/>
    <cellStyle name="Обычный 5 11 20 3" xfId="16626"/>
    <cellStyle name="Обычный 5 11 20 3 2" xfId="16627"/>
    <cellStyle name="Обычный 5 11 20 3 2 2" xfId="16628"/>
    <cellStyle name="Обычный 5 11 20 3 2 2 2" xfId="46499"/>
    <cellStyle name="Обычный 5 11 20 3 2 3" xfId="46500"/>
    <cellStyle name="Обычный 5 11 20 3 3" xfId="16629"/>
    <cellStyle name="Обычный 5 11 20 3 3 2" xfId="46501"/>
    <cellStyle name="Обычный 5 11 20 3 4" xfId="46502"/>
    <cellStyle name="Обычный 5 11 20 4" xfId="16630"/>
    <cellStyle name="Обычный 5 11 20 4 2" xfId="16631"/>
    <cellStyle name="Обычный 5 11 20 4 2 2" xfId="16632"/>
    <cellStyle name="Обычный 5 11 20 4 2 2 2" xfId="46503"/>
    <cellStyle name="Обычный 5 11 20 4 2 3" xfId="46504"/>
    <cellStyle name="Обычный 5 11 20 4 3" xfId="16633"/>
    <cellStyle name="Обычный 5 11 20 4 3 2" xfId="46505"/>
    <cellStyle name="Обычный 5 11 20 4 4" xfId="46506"/>
    <cellStyle name="Обычный 5 11 20 5" xfId="16634"/>
    <cellStyle name="Обычный 5 11 20 5 2" xfId="16635"/>
    <cellStyle name="Обычный 5 11 20 5 2 2" xfId="46507"/>
    <cellStyle name="Обычный 5 11 20 5 3" xfId="46508"/>
    <cellStyle name="Обычный 5 11 20 6" xfId="16636"/>
    <cellStyle name="Обычный 5 11 20 6 2" xfId="46509"/>
    <cellStyle name="Обычный 5 11 20 7" xfId="16637"/>
    <cellStyle name="Обычный 5 11 20 7 2" xfId="46510"/>
    <cellStyle name="Обычный 5 11 20 8" xfId="46511"/>
    <cellStyle name="Обычный 5 11 21" xfId="16638"/>
    <cellStyle name="Обычный 5 11 21 2" xfId="16639"/>
    <cellStyle name="Обычный 5 11 21 2 2" xfId="16640"/>
    <cellStyle name="Обычный 5 11 21 2 2 2" xfId="16641"/>
    <cellStyle name="Обычный 5 11 21 2 2 2 2" xfId="46512"/>
    <cellStyle name="Обычный 5 11 21 2 2 3" xfId="46513"/>
    <cellStyle name="Обычный 5 11 21 2 3" xfId="16642"/>
    <cellStyle name="Обычный 5 11 21 2 3 2" xfId="46514"/>
    <cellStyle name="Обычный 5 11 21 2 4" xfId="46515"/>
    <cellStyle name="Обычный 5 11 21 3" xfId="16643"/>
    <cellStyle name="Обычный 5 11 21 3 2" xfId="16644"/>
    <cellStyle name="Обычный 5 11 21 3 2 2" xfId="16645"/>
    <cellStyle name="Обычный 5 11 21 3 2 2 2" xfId="46516"/>
    <cellStyle name="Обычный 5 11 21 3 2 3" xfId="46517"/>
    <cellStyle name="Обычный 5 11 21 3 3" xfId="16646"/>
    <cellStyle name="Обычный 5 11 21 3 3 2" xfId="46518"/>
    <cellStyle name="Обычный 5 11 21 3 4" xfId="46519"/>
    <cellStyle name="Обычный 5 11 21 4" xfId="16647"/>
    <cellStyle name="Обычный 5 11 21 4 2" xfId="16648"/>
    <cellStyle name="Обычный 5 11 21 4 2 2" xfId="16649"/>
    <cellStyle name="Обычный 5 11 21 4 2 2 2" xfId="46520"/>
    <cellStyle name="Обычный 5 11 21 4 2 3" xfId="46521"/>
    <cellStyle name="Обычный 5 11 21 4 3" xfId="16650"/>
    <cellStyle name="Обычный 5 11 21 4 3 2" xfId="46522"/>
    <cellStyle name="Обычный 5 11 21 4 4" xfId="46523"/>
    <cellStyle name="Обычный 5 11 21 5" xfId="16651"/>
    <cellStyle name="Обычный 5 11 21 5 2" xfId="16652"/>
    <cellStyle name="Обычный 5 11 21 5 2 2" xfId="46524"/>
    <cellStyle name="Обычный 5 11 21 5 3" xfId="46525"/>
    <cellStyle name="Обычный 5 11 21 6" xfId="16653"/>
    <cellStyle name="Обычный 5 11 21 6 2" xfId="46526"/>
    <cellStyle name="Обычный 5 11 21 7" xfId="16654"/>
    <cellStyle name="Обычный 5 11 21 7 2" xfId="46527"/>
    <cellStyle name="Обычный 5 11 21 8" xfId="46528"/>
    <cellStyle name="Обычный 5 11 22" xfId="16655"/>
    <cellStyle name="Обычный 5 11 22 2" xfId="16656"/>
    <cellStyle name="Обычный 5 11 22 2 2" xfId="16657"/>
    <cellStyle name="Обычный 5 11 22 2 2 2" xfId="16658"/>
    <cellStyle name="Обычный 5 11 22 2 2 2 2" xfId="46529"/>
    <cellStyle name="Обычный 5 11 22 2 2 3" xfId="46530"/>
    <cellStyle name="Обычный 5 11 22 2 3" xfId="16659"/>
    <cellStyle name="Обычный 5 11 22 2 3 2" xfId="46531"/>
    <cellStyle name="Обычный 5 11 22 2 4" xfId="46532"/>
    <cellStyle name="Обычный 5 11 22 3" xfId="16660"/>
    <cellStyle name="Обычный 5 11 22 3 2" xfId="16661"/>
    <cellStyle name="Обычный 5 11 22 3 2 2" xfId="16662"/>
    <cellStyle name="Обычный 5 11 22 3 2 2 2" xfId="46533"/>
    <cellStyle name="Обычный 5 11 22 3 2 3" xfId="46534"/>
    <cellStyle name="Обычный 5 11 22 3 3" xfId="16663"/>
    <cellStyle name="Обычный 5 11 22 3 3 2" xfId="46535"/>
    <cellStyle name="Обычный 5 11 22 3 4" xfId="46536"/>
    <cellStyle name="Обычный 5 11 22 4" xfId="16664"/>
    <cellStyle name="Обычный 5 11 22 4 2" xfId="16665"/>
    <cellStyle name="Обычный 5 11 22 4 2 2" xfId="16666"/>
    <cellStyle name="Обычный 5 11 22 4 2 2 2" xfId="46537"/>
    <cellStyle name="Обычный 5 11 22 4 2 3" xfId="46538"/>
    <cellStyle name="Обычный 5 11 22 4 3" xfId="16667"/>
    <cellStyle name="Обычный 5 11 22 4 3 2" xfId="46539"/>
    <cellStyle name="Обычный 5 11 22 4 4" xfId="46540"/>
    <cellStyle name="Обычный 5 11 22 5" xfId="16668"/>
    <cellStyle name="Обычный 5 11 22 5 2" xfId="16669"/>
    <cellStyle name="Обычный 5 11 22 5 2 2" xfId="46541"/>
    <cellStyle name="Обычный 5 11 22 5 3" xfId="46542"/>
    <cellStyle name="Обычный 5 11 22 6" xfId="16670"/>
    <cellStyle name="Обычный 5 11 22 6 2" xfId="46543"/>
    <cellStyle name="Обычный 5 11 22 7" xfId="16671"/>
    <cellStyle name="Обычный 5 11 22 7 2" xfId="46544"/>
    <cellStyle name="Обычный 5 11 22 8" xfId="46545"/>
    <cellStyle name="Обычный 5 11 23" xfId="16672"/>
    <cellStyle name="Обычный 5 11 23 2" xfId="16673"/>
    <cellStyle name="Обычный 5 11 23 2 2" xfId="16674"/>
    <cellStyle name="Обычный 5 11 23 2 2 2" xfId="16675"/>
    <cellStyle name="Обычный 5 11 23 2 2 2 2" xfId="46546"/>
    <cellStyle name="Обычный 5 11 23 2 2 3" xfId="46547"/>
    <cellStyle name="Обычный 5 11 23 2 3" xfId="16676"/>
    <cellStyle name="Обычный 5 11 23 2 3 2" xfId="46548"/>
    <cellStyle name="Обычный 5 11 23 2 4" xfId="46549"/>
    <cellStyle name="Обычный 5 11 23 3" xfId="16677"/>
    <cellStyle name="Обычный 5 11 23 3 2" xfId="16678"/>
    <cellStyle name="Обычный 5 11 23 3 2 2" xfId="16679"/>
    <cellStyle name="Обычный 5 11 23 3 2 2 2" xfId="46550"/>
    <cellStyle name="Обычный 5 11 23 3 2 3" xfId="46551"/>
    <cellStyle name="Обычный 5 11 23 3 3" xfId="16680"/>
    <cellStyle name="Обычный 5 11 23 3 3 2" xfId="46552"/>
    <cellStyle name="Обычный 5 11 23 3 4" xfId="46553"/>
    <cellStyle name="Обычный 5 11 23 4" xfId="16681"/>
    <cellStyle name="Обычный 5 11 23 4 2" xfId="16682"/>
    <cellStyle name="Обычный 5 11 23 4 2 2" xfId="16683"/>
    <cellStyle name="Обычный 5 11 23 4 2 2 2" xfId="46554"/>
    <cellStyle name="Обычный 5 11 23 4 2 3" xfId="46555"/>
    <cellStyle name="Обычный 5 11 23 4 3" xfId="16684"/>
    <cellStyle name="Обычный 5 11 23 4 3 2" xfId="46556"/>
    <cellStyle name="Обычный 5 11 23 4 4" xfId="46557"/>
    <cellStyle name="Обычный 5 11 23 5" xfId="16685"/>
    <cellStyle name="Обычный 5 11 23 5 2" xfId="16686"/>
    <cellStyle name="Обычный 5 11 23 5 2 2" xfId="46558"/>
    <cellStyle name="Обычный 5 11 23 5 3" xfId="46559"/>
    <cellStyle name="Обычный 5 11 23 6" xfId="16687"/>
    <cellStyle name="Обычный 5 11 23 6 2" xfId="46560"/>
    <cellStyle name="Обычный 5 11 23 7" xfId="16688"/>
    <cellStyle name="Обычный 5 11 23 7 2" xfId="46561"/>
    <cellStyle name="Обычный 5 11 23 8" xfId="46562"/>
    <cellStyle name="Обычный 5 11 24" xfId="16689"/>
    <cellStyle name="Обычный 5 11 24 2" xfId="16690"/>
    <cellStyle name="Обычный 5 11 24 2 2" xfId="16691"/>
    <cellStyle name="Обычный 5 11 24 2 2 2" xfId="16692"/>
    <cellStyle name="Обычный 5 11 24 2 2 2 2" xfId="46563"/>
    <cellStyle name="Обычный 5 11 24 2 2 3" xfId="46564"/>
    <cellStyle name="Обычный 5 11 24 2 3" xfId="16693"/>
    <cellStyle name="Обычный 5 11 24 2 3 2" xfId="46565"/>
    <cellStyle name="Обычный 5 11 24 2 4" xfId="46566"/>
    <cellStyle name="Обычный 5 11 24 3" xfId="16694"/>
    <cellStyle name="Обычный 5 11 24 3 2" xfId="16695"/>
    <cellStyle name="Обычный 5 11 24 3 2 2" xfId="16696"/>
    <cellStyle name="Обычный 5 11 24 3 2 2 2" xfId="46567"/>
    <cellStyle name="Обычный 5 11 24 3 2 3" xfId="46568"/>
    <cellStyle name="Обычный 5 11 24 3 3" xfId="16697"/>
    <cellStyle name="Обычный 5 11 24 3 3 2" xfId="46569"/>
    <cellStyle name="Обычный 5 11 24 3 4" xfId="46570"/>
    <cellStyle name="Обычный 5 11 24 4" xfId="16698"/>
    <cellStyle name="Обычный 5 11 24 4 2" xfId="16699"/>
    <cellStyle name="Обычный 5 11 24 4 2 2" xfId="16700"/>
    <cellStyle name="Обычный 5 11 24 4 2 2 2" xfId="46571"/>
    <cellStyle name="Обычный 5 11 24 4 2 3" xfId="46572"/>
    <cellStyle name="Обычный 5 11 24 4 3" xfId="16701"/>
    <cellStyle name="Обычный 5 11 24 4 3 2" xfId="46573"/>
    <cellStyle name="Обычный 5 11 24 4 4" xfId="46574"/>
    <cellStyle name="Обычный 5 11 24 5" xfId="16702"/>
    <cellStyle name="Обычный 5 11 24 5 2" xfId="16703"/>
    <cellStyle name="Обычный 5 11 24 5 2 2" xfId="46575"/>
    <cellStyle name="Обычный 5 11 24 5 3" xfId="46576"/>
    <cellStyle name="Обычный 5 11 24 6" xfId="16704"/>
    <cellStyle name="Обычный 5 11 24 6 2" xfId="46577"/>
    <cellStyle name="Обычный 5 11 24 7" xfId="16705"/>
    <cellStyle name="Обычный 5 11 24 7 2" xfId="46578"/>
    <cellStyle name="Обычный 5 11 24 8" xfId="46579"/>
    <cellStyle name="Обычный 5 11 25" xfId="16706"/>
    <cellStyle name="Обычный 5 11 25 2" xfId="16707"/>
    <cellStyle name="Обычный 5 11 25 2 2" xfId="16708"/>
    <cellStyle name="Обычный 5 11 25 2 2 2" xfId="16709"/>
    <cellStyle name="Обычный 5 11 25 2 2 2 2" xfId="46580"/>
    <cellStyle name="Обычный 5 11 25 2 2 3" xfId="46581"/>
    <cellStyle name="Обычный 5 11 25 2 3" xfId="16710"/>
    <cellStyle name="Обычный 5 11 25 2 3 2" xfId="46582"/>
    <cellStyle name="Обычный 5 11 25 2 4" xfId="46583"/>
    <cellStyle name="Обычный 5 11 25 3" xfId="16711"/>
    <cellStyle name="Обычный 5 11 25 3 2" xfId="16712"/>
    <cellStyle name="Обычный 5 11 25 3 2 2" xfId="16713"/>
    <cellStyle name="Обычный 5 11 25 3 2 2 2" xfId="46584"/>
    <cellStyle name="Обычный 5 11 25 3 2 3" xfId="46585"/>
    <cellStyle name="Обычный 5 11 25 3 3" xfId="16714"/>
    <cellStyle name="Обычный 5 11 25 3 3 2" xfId="46586"/>
    <cellStyle name="Обычный 5 11 25 3 4" xfId="46587"/>
    <cellStyle name="Обычный 5 11 25 4" xfId="16715"/>
    <cellStyle name="Обычный 5 11 25 4 2" xfId="16716"/>
    <cellStyle name="Обычный 5 11 25 4 2 2" xfId="16717"/>
    <cellStyle name="Обычный 5 11 25 4 2 2 2" xfId="46588"/>
    <cellStyle name="Обычный 5 11 25 4 2 3" xfId="46589"/>
    <cellStyle name="Обычный 5 11 25 4 3" xfId="16718"/>
    <cellStyle name="Обычный 5 11 25 4 3 2" xfId="46590"/>
    <cellStyle name="Обычный 5 11 25 4 4" xfId="46591"/>
    <cellStyle name="Обычный 5 11 25 5" xfId="16719"/>
    <cellStyle name="Обычный 5 11 25 5 2" xfId="16720"/>
    <cellStyle name="Обычный 5 11 25 5 2 2" xfId="46592"/>
    <cellStyle name="Обычный 5 11 25 5 3" xfId="46593"/>
    <cellStyle name="Обычный 5 11 25 6" xfId="16721"/>
    <cellStyle name="Обычный 5 11 25 6 2" xfId="46594"/>
    <cellStyle name="Обычный 5 11 25 7" xfId="16722"/>
    <cellStyle name="Обычный 5 11 25 7 2" xfId="46595"/>
    <cellStyle name="Обычный 5 11 25 8" xfId="46596"/>
    <cellStyle name="Обычный 5 11 26" xfId="16723"/>
    <cellStyle name="Обычный 5 11 26 2" xfId="16724"/>
    <cellStyle name="Обычный 5 11 26 2 2" xfId="16725"/>
    <cellStyle name="Обычный 5 11 26 2 2 2" xfId="16726"/>
    <cellStyle name="Обычный 5 11 26 2 2 2 2" xfId="46597"/>
    <cellStyle name="Обычный 5 11 26 2 2 3" xfId="46598"/>
    <cellStyle name="Обычный 5 11 26 2 3" xfId="16727"/>
    <cellStyle name="Обычный 5 11 26 2 3 2" xfId="46599"/>
    <cellStyle name="Обычный 5 11 26 2 4" xfId="46600"/>
    <cellStyle name="Обычный 5 11 26 3" xfId="16728"/>
    <cellStyle name="Обычный 5 11 26 3 2" xfId="16729"/>
    <cellStyle name="Обычный 5 11 26 3 2 2" xfId="16730"/>
    <cellStyle name="Обычный 5 11 26 3 2 2 2" xfId="46601"/>
    <cellStyle name="Обычный 5 11 26 3 2 3" xfId="46602"/>
    <cellStyle name="Обычный 5 11 26 3 3" xfId="16731"/>
    <cellStyle name="Обычный 5 11 26 3 3 2" xfId="46603"/>
    <cellStyle name="Обычный 5 11 26 3 4" xfId="46604"/>
    <cellStyle name="Обычный 5 11 26 4" xfId="16732"/>
    <cellStyle name="Обычный 5 11 26 4 2" xfId="16733"/>
    <cellStyle name="Обычный 5 11 26 4 2 2" xfId="16734"/>
    <cellStyle name="Обычный 5 11 26 4 2 2 2" xfId="46605"/>
    <cellStyle name="Обычный 5 11 26 4 2 3" xfId="46606"/>
    <cellStyle name="Обычный 5 11 26 4 3" xfId="16735"/>
    <cellStyle name="Обычный 5 11 26 4 3 2" xfId="46607"/>
    <cellStyle name="Обычный 5 11 26 4 4" xfId="46608"/>
    <cellStyle name="Обычный 5 11 26 5" xfId="16736"/>
    <cellStyle name="Обычный 5 11 26 5 2" xfId="16737"/>
    <cellStyle name="Обычный 5 11 26 5 2 2" xfId="46609"/>
    <cellStyle name="Обычный 5 11 26 5 3" xfId="46610"/>
    <cellStyle name="Обычный 5 11 26 6" xfId="16738"/>
    <cellStyle name="Обычный 5 11 26 6 2" xfId="46611"/>
    <cellStyle name="Обычный 5 11 26 7" xfId="16739"/>
    <cellStyle name="Обычный 5 11 26 7 2" xfId="46612"/>
    <cellStyle name="Обычный 5 11 26 8" xfId="46613"/>
    <cellStyle name="Обычный 5 11 27" xfId="16740"/>
    <cellStyle name="Обычный 5 11 27 2" xfId="16741"/>
    <cellStyle name="Обычный 5 11 27 2 2" xfId="16742"/>
    <cellStyle name="Обычный 5 11 27 2 2 2" xfId="16743"/>
    <cellStyle name="Обычный 5 11 27 2 2 2 2" xfId="46614"/>
    <cellStyle name="Обычный 5 11 27 2 2 3" xfId="46615"/>
    <cellStyle name="Обычный 5 11 27 2 3" xfId="16744"/>
    <cellStyle name="Обычный 5 11 27 2 3 2" xfId="46616"/>
    <cellStyle name="Обычный 5 11 27 2 4" xfId="46617"/>
    <cellStyle name="Обычный 5 11 27 3" xfId="16745"/>
    <cellStyle name="Обычный 5 11 27 3 2" xfId="16746"/>
    <cellStyle name="Обычный 5 11 27 3 2 2" xfId="16747"/>
    <cellStyle name="Обычный 5 11 27 3 2 2 2" xfId="46618"/>
    <cellStyle name="Обычный 5 11 27 3 2 3" xfId="46619"/>
    <cellStyle name="Обычный 5 11 27 3 3" xfId="16748"/>
    <cellStyle name="Обычный 5 11 27 3 3 2" xfId="46620"/>
    <cellStyle name="Обычный 5 11 27 3 4" xfId="46621"/>
    <cellStyle name="Обычный 5 11 27 4" xfId="16749"/>
    <cellStyle name="Обычный 5 11 27 4 2" xfId="16750"/>
    <cellStyle name="Обычный 5 11 27 4 2 2" xfId="16751"/>
    <cellStyle name="Обычный 5 11 27 4 2 2 2" xfId="46622"/>
    <cellStyle name="Обычный 5 11 27 4 2 3" xfId="46623"/>
    <cellStyle name="Обычный 5 11 27 4 3" xfId="16752"/>
    <cellStyle name="Обычный 5 11 27 4 3 2" xfId="46624"/>
    <cellStyle name="Обычный 5 11 27 4 4" xfId="46625"/>
    <cellStyle name="Обычный 5 11 27 5" xfId="16753"/>
    <cellStyle name="Обычный 5 11 27 5 2" xfId="16754"/>
    <cellStyle name="Обычный 5 11 27 5 2 2" xfId="46626"/>
    <cellStyle name="Обычный 5 11 27 5 3" xfId="46627"/>
    <cellStyle name="Обычный 5 11 27 6" xfId="16755"/>
    <cellStyle name="Обычный 5 11 27 6 2" xfId="46628"/>
    <cellStyle name="Обычный 5 11 27 7" xfId="16756"/>
    <cellStyle name="Обычный 5 11 27 7 2" xfId="46629"/>
    <cellStyle name="Обычный 5 11 27 8" xfId="46630"/>
    <cellStyle name="Обычный 5 11 28" xfId="16757"/>
    <cellStyle name="Обычный 5 11 28 2" xfId="16758"/>
    <cellStyle name="Обычный 5 11 28 2 2" xfId="16759"/>
    <cellStyle name="Обычный 5 11 28 2 2 2" xfId="16760"/>
    <cellStyle name="Обычный 5 11 28 2 2 2 2" xfId="46631"/>
    <cellStyle name="Обычный 5 11 28 2 2 3" xfId="46632"/>
    <cellStyle name="Обычный 5 11 28 2 3" xfId="16761"/>
    <cellStyle name="Обычный 5 11 28 2 3 2" xfId="46633"/>
    <cellStyle name="Обычный 5 11 28 2 4" xfId="46634"/>
    <cellStyle name="Обычный 5 11 28 3" xfId="16762"/>
    <cellStyle name="Обычный 5 11 28 3 2" xfId="16763"/>
    <cellStyle name="Обычный 5 11 28 3 2 2" xfId="16764"/>
    <cellStyle name="Обычный 5 11 28 3 2 2 2" xfId="46635"/>
    <cellStyle name="Обычный 5 11 28 3 2 3" xfId="46636"/>
    <cellStyle name="Обычный 5 11 28 3 3" xfId="16765"/>
    <cellStyle name="Обычный 5 11 28 3 3 2" xfId="46637"/>
    <cellStyle name="Обычный 5 11 28 3 4" xfId="46638"/>
    <cellStyle name="Обычный 5 11 28 4" xfId="16766"/>
    <cellStyle name="Обычный 5 11 28 4 2" xfId="16767"/>
    <cellStyle name="Обычный 5 11 28 4 2 2" xfId="16768"/>
    <cellStyle name="Обычный 5 11 28 4 2 2 2" xfId="46639"/>
    <cellStyle name="Обычный 5 11 28 4 2 3" xfId="46640"/>
    <cellStyle name="Обычный 5 11 28 4 3" xfId="16769"/>
    <cellStyle name="Обычный 5 11 28 4 3 2" xfId="46641"/>
    <cellStyle name="Обычный 5 11 28 4 4" xfId="46642"/>
    <cellStyle name="Обычный 5 11 28 5" xfId="16770"/>
    <cellStyle name="Обычный 5 11 28 5 2" xfId="16771"/>
    <cellStyle name="Обычный 5 11 28 5 2 2" xfId="46643"/>
    <cellStyle name="Обычный 5 11 28 5 3" xfId="46644"/>
    <cellStyle name="Обычный 5 11 28 6" xfId="16772"/>
    <cellStyle name="Обычный 5 11 28 6 2" xfId="46645"/>
    <cellStyle name="Обычный 5 11 28 7" xfId="16773"/>
    <cellStyle name="Обычный 5 11 28 7 2" xfId="46646"/>
    <cellStyle name="Обычный 5 11 28 8" xfId="46647"/>
    <cellStyle name="Обычный 5 11 29" xfId="16774"/>
    <cellStyle name="Обычный 5 11 29 2" xfId="16775"/>
    <cellStyle name="Обычный 5 11 29 2 2" xfId="16776"/>
    <cellStyle name="Обычный 5 11 29 2 2 2" xfId="16777"/>
    <cellStyle name="Обычный 5 11 29 2 2 2 2" xfId="46648"/>
    <cellStyle name="Обычный 5 11 29 2 2 3" xfId="46649"/>
    <cellStyle name="Обычный 5 11 29 2 3" xfId="16778"/>
    <cellStyle name="Обычный 5 11 29 2 3 2" xfId="46650"/>
    <cellStyle name="Обычный 5 11 29 2 4" xfId="46651"/>
    <cellStyle name="Обычный 5 11 29 3" xfId="16779"/>
    <cellStyle name="Обычный 5 11 29 3 2" xfId="16780"/>
    <cellStyle name="Обычный 5 11 29 3 2 2" xfId="16781"/>
    <cellStyle name="Обычный 5 11 29 3 2 2 2" xfId="46652"/>
    <cellStyle name="Обычный 5 11 29 3 2 3" xfId="46653"/>
    <cellStyle name="Обычный 5 11 29 3 3" xfId="16782"/>
    <cellStyle name="Обычный 5 11 29 3 3 2" xfId="46654"/>
    <cellStyle name="Обычный 5 11 29 3 4" xfId="46655"/>
    <cellStyle name="Обычный 5 11 29 4" xfId="16783"/>
    <cellStyle name="Обычный 5 11 29 4 2" xfId="16784"/>
    <cellStyle name="Обычный 5 11 29 4 2 2" xfId="16785"/>
    <cellStyle name="Обычный 5 11 29 4 2 2 2" xfId="46656"/>
    <cellStyle name="Обычный 5 11 29 4 2 3" xfId="46657"/>
    <cellStyle name="Обычный 5 11 29 4 3" xfId="16786"/>
    <cellStyle name="Обычный 5 11 29 4 3 2" xfId="46658"/>
    <cellStyle name="Обычный 5 11 29 4 4" xfId="46659"/>
    <cellStyle name="Обычный 5 11 29 5" xfId="16787"/>
    <cellStyle name="Обычный 5 11 29 5 2" xfId="16788"/>
    <cellStyle name="Обычный 5 11 29 5 2 2" xfId="46660"/>
    <cellStyle name="Обычный 5 11 29 5 3" xfId="46661"/>
    <cellStyle name="Обычный 5 11 29 6" xfId="16789"/>
    <cellStyle name="Обычный 5 11 29 6 2" xfId="46662"/>
    <cellStyle name="Обычный 5 11 29 7" xfId="16790"/>
    <cellStyle name="Обычный 5 11 29 7 2" xfId="46663"/>
    <cellStyle name="Обычный 5 11 29 8" xfId="46664"/>
    <cellStyle name="Обычный 5 11 3" xfId="16791"/>
    <cellStyle name="Обычный 5 11 3 2" xfId="16792"/>
    <cellStyle name="Обычный 5 11 3 2 2" xfId="16793"/>
    <cellStyle name="Обычный 5 11 3 2 2 2" xfId="16794"/>
    <cellStyle name="Обычный 5 11 3 2 2 2 2" xfId="46665"/>
    <cellStyle name="Обычный 5 11 3 2 2 3" xfId="46666"/>
    <cellStyle name="Обычный 5 11 3 2 3" xfId="16795"/>
    <cellStyle name="Обычный 5 11 3 2 3 2" xfId="46667"/>
    <cellStyle name="Обычный 5 11 3 2 4" xfId="46668"/>
    <cellStyle name="Обычный 5 11 3 3" xfId="16796"/>
    <cellStyle name="Обычный 5 11 3 3 2" xfId="16797"/>
    <cellStyle name="Обычный 5 11 3 3 2 2" xfId="16798"/>
    <cellStyle name="Обычный 5 11 3 3 2 2 2" xfId="46669"/>
    <cellStyle name="Обычный 5 11 3 3 2 3" xfId="46670"/>
    <cellStyle name="Обычный 5 11 3 3 3" xfId="16799"/>
    <cellStyle name="Обычный 5 11 3 3 3 2" xfId="46671"/>
    <cellStyle name="Обычный 5 11 3 3 4" xfId="46672"/>
    <cellStyle name="Обычный 5 11 3 4" xfId="16800"/>
    <cellStyle name="Обычный 5 11 3 4 2" xfId="16801"/>
    <cellStyle name="Обычный 5 11 3 4 2 2" xfId="16802"/>
    <cellStyle name="Обычный 5 11 3 4 2 2 2" xfId="46673"/>
    <cellStyle name="Обычный 5 11 3 4 2 3" xfId="46674"/>
    <cellStyle name="Обычный 5 11 3 4 3" xfId="16803"/>
    <cellStyle name="Обычный 5 11 3 4 3 2" xfId="46675"/>
    <cellStyle name="Обычный 5 11 3 4 4" xfId="46676"/>
    <cellStyle name="Обычный 5 11 3 5" xfId="16804"/>
    <cellStyle name="Обычный 5 11 3 5 2" xfId="16805"/>
    <cellStyle name="Обычный 5 11 3 5 2 2" xfId="46677"/>
    <cellStyle name="Обычный 5 11 3 5 3" xfId="46678"/>
    <cellStyle name="Обычный 5 11 3 6" xfId="16806"/>
    <cellStyle name="Обычный 5 11 3 6 2" xfId="46679"/>
    <cellStyle name="Обычный 5 11 3 7" xfId="16807"/>
    <cellStyle name="Обычный 5 11 3 7 2" xfId="46680"/>
    <cellStyle name="Обычный 5 11 3 8" xfId="46681"/>
    <cellStyle name="Обычный 5 11 30" xfId="16808"/>
    <cellStyle name="Обычный 5 11 30 2" xfId="16809"/>
    <cellStyle name="Обычный 5 11 30 2 2" xfId="16810"/>
    <cellStyle name="Обычный 5 11 30 2 2 2" xfId="46682"/>
    <cellStyle name="Обычный 5 11 30 2 3" xfId="46683"/>
    <cellStyle name="Обычный 5 11 30 3" xfId="16811"/>
    <cellStyle name="Обычный 5 11 30 3 2" xfId="46684"/>
    <cellStyle name="Обычный 5 11 30 4" xfId="46685"/>
    <cellStyle name="Обычный 5 11 31" xfId="16812"/>
    <cellStyle name="Обычный 5 11 31 2" xfId="16813"/>
    <cellStyle name="Обычный 5 11 31 2 2" xfId="16814"/>
    <cellStyle name="Обычный 5 11 31 2 2 2" xfId="46686"/>
    <cellStyle name="Обычный 5 11 31 2 3" xfId="46687"/>
    <cellStyle name="Обычный 5 11 31 3" xfId="16815"/>
    <cellStyle name="Обычный 5 11 31 3 2" xfId="46688"/>
    <cellStyle name="Обычный 5 11 31 4" xfId="46689"/>
    <cellStyle name="Обычный 5 11 32" xfId="16816"/>
    <cellStyle name="Обычный 5 11 32 2" xfId="16817"/>
    <cellStyle name="Обычный 5 11 32 2 2" xfId="16818"/>
    <cellStyle name="Обычный 5 11 32 2 2 2" xfId="46690"/>
    <cellStyle name="Обычный 5 11 32 2 3" xfId="46691"/>
    <cellStyle name="Обычный 5 11 32 3" xfId="16819"/>
    <cellStyle name="Обычный 5 11 32 3 2" xfId="46692"/>
    <cellStyle name="Обычный 5 11 32 4" xfId="46693"/>
    <cellStyle name="Обычный 5 11 33" xfId="16820"/>
    <cellStyle name="Обычный 5 11 33 2" xfId="16821"/>
    <cellStyle name="Обычный 5 11 33 2 2" xfId="46694"/>
    <cellStyle name="Обычный 5 11 33 3" xfId="46695"/>
    <cellStyle name="Обычный 5 11 34" xfId="16822"/>
    <cellStyle name="Обычный 5 11 34 2" xfId="46696"/>
    <cellStyle name="Обычный 5 11 35" xfId="16823"/>
    <cellStyle name="Обычный 5 11 35 2" xfId="46697"/>
    <cellStyle name="Обычный 5 11 36" xfId="46698"/>
    <cellStyle name="Обычный 5 11 4" xfId="16824"/>
    <cellStyle name="Обычный 5 11 4 2" xfId="16825"/>
    <cellStyle name="Обычный 5 11 4 2 2" xfId="16826"/>
    <cellStyle name="Обычный 5 11 4 2 2 2" xfId="16827"/>
    <cellStyle name="Обычный 5 11 4 2 2 2 2" xfId="46699"/>
    <cellStyle name="Обычный 5 11 4 2 2 3" xfId="46700"/>
    <cellStyle name="Обычный 5 11 4 2 3" xfId="16828"/>
    <cellStyle name="Обычный 5 11 4 2 3 2" xfId="46701"/>
    <cellStyle name="Обычный 5 11 4 2 4" xfId="46702"/>
    <cellStyle name="Обычный 5 11 4 3" xfId="16829"/>
    <cellStyle name="Обычный 5 11 4 3 2" xfId="16830"/>
    <cellStyle name="Обычный 5 11 4 3 2 2" xfId="16831"/>
    <cellStyle name="Обычный 5 11 4 3 2 2 2" xfId="46703"/>
    <cellStyle name="Обычный 5 11 4 3 2 3" xfId="46704"/>
    <cellStyle name="Обычный 5 11 4 3 3" xfId="16832"/>
    <cellStyle name="Обычный 5 11 4 3 3 2" xfId="46705"/>
    <cellStyle name="Обычный 5 11 4 3 4" xfId="46706"/>
    <cellStyle name="Обычный 5 11 4 4" xfId="16833"/>
    <cellStyle name="Обычный 5 11 4 4 2" xfId="16834"/>
    <cellStyle name="Обычный 5 11 4 4 2 2" xfId="16835"/>
    <cellStyle name="Обычный 5 11 4 4 2 2 2" xfId="46707"/>
    <cellStyle name="Обычный 5 11 4 4 2 3" xfId="46708"/>
    <cellStyle name="Обычный 5 11 4 4 3" xfId="16836"/>
    <cellStyle name="Обычный 5 11 4 4 3 2" xfId="46709"/>
    <cellStyle name="Обычный 5 11 4 4 4" xfId="46710"/>
    <cellStyle name="Обычный 5 11 4 5" xfId="16837"/>
    <cellStyle name="Обычный 5 11 4 5 2" xfId="16838"/>
    <cellStyle name="Обычный 5 11 4 5 2 2" xfId="46711"/>
    <cellStyle name="Обычный 5 11 4 5 3" xfId="46712"/>
    <cellStyle name="Обычный 5 11 4 6" xfId="16839"/>
    <cellStyle name="Обычный 5 11 4 6 2" xfId="46713"/>
    <cellStyle name="Обычный 5 11 4 7" xfId="16840"/>
    <cellStyle name="Обычный 5 11 4 7 2" xfId="46714"/>
    <cellStyle name="Обычный 5 11 4 8" xfId="46715"/>
    <cellStyle name="Обычный 5 11 5" xfId="16841"/>
    <cellStyle name="Обычный 5 11 5 2" xfId="16842"/>
    <cellStyle name="Обычный 5 11 5 2 2" xfId="16843"/>
    <cellStyle name="Обычный 5 11 5 2 2 2" xfId="16844"/>
    <cellStyle name="Обычный 5 11 5 2 2 2 2" xfId="46716"/>
    <cellStyle name="Обычный 5 11 5 2 2 3" xfId="46717"/>
    <cellStyle name="Обычный 5 11 5 2 3" xfId="16845"/>
    <cellStyle name="Обычный 5 11 5 2 3 2" xfId="46718"/>
    <cellStyle name="Обычный 5 11 5 2 4" xfId="46719"/>
    <cellStyle name="Обычный 5 11 5 3" xfId="16846"/>
    <cellStyle name="Обычный 5 11 5 3 2" xfId="16847"/>
    <cellStyle name="Обычный 5 11 5 3 2 2" xfId="16848"/>
    <cellStyle name="Обычный 5 11 5 3 2 2 2" xfId="46720"/>
    <cellStyle name="Обычный 5 11 5 3 2 3" xfId="46721"/>
    <cellStyle name="Обычный 5 11 5 3 3" xfId="16849"/>
    <cellStyle name="Обычный 5 11 5 3 3 2" xfId="46722"/>
    <cellStyle name="Обычный 5 11 5 3 4" xfId="46723"/>
    <cellStyle name="Обычный 5 11 5 4" xfId="16850"/>
    <cellStyle name="Обычный 5 11 5 4 2" xfId="16851"/>
    <cellStyle name="Обычный 5 11 5 4 2 2" xfId="16852"/>
    <cellStyle name="Обычный 5 11 5 4 2 2 2" xfId="46724"/>
    <cellStyle name="Обычный 5 11 5 4 2 3" xfId="46725"/>
    <cellStyle name="Обычный 5 11 5 4 3" xfId="16853"/>
    <cellStyle name="Обычный 5 11 5 4 3 2" xfId="46726"/>
    <cellStyle name="Обычный 5 11 5 4 4" xfId="46727"/>
    <cellStyle name="Обычный 5 11 5 5" xfId="16854"/>
    <cellStyle name="Обычный 5 11 5 5 2" xfId="16855"/>
    <cellStyle name="Обычный 5 11 5 5 2 2" xfId="46728"/>
    <cellStyle name="Обычный 5 11 5 5 3" xfId="46729"/>
    <cellStyle name="Обычный 5 11 5 6" xfId="16856"/>
    <cellStyle name="Обычный 5 11 5 6 2" xfId="46730"/>
    <cellStyle name="Обычный 5 11 5 7" xfId="16857"/>
    <cellStyle name="Обычный 5 11 5 7 2" xfId="46731"/>
    <cellStyle name="Обычный 5 11 5 8" xfId="46732"/>
    <cellStyle name="Обычный 5 11 6" xfId="16858"/>
    <cellStyle name="Обычный 5 11 6 2" xfId="16859"/>
    <cellStyle name="Обычный 5 11 6 2 2" xfId="16860"/>
    <cellStyle name="Обычный 5 11 6 2 2 2" xfId="16861"/>
    <cellStyle name="Обычный 5 11 6 2 2 2 2" xfId="46733"/>
    <cellStyle name="Обычный 5 11 6 2 2 3" xfId="46734"/>
    <cellStyle name="Обычный 5 11 6 2 3" xfId="16862"/>
    <cellStyle name="Обычный 5 11 6 2 3 2" xfId="46735"/>
    <cellStyle name="Обычный 5 11 6 2 4" xfId="46736"/>
    <cellStyle name="Обычный 5 11 6 3" xfId="16863"/>
    <cellStyle name="Обычный 5 11 6 3 2" xfId="16864"/>
    <cellStyle name="Обычный 5 11 6 3 2 2" xfId="16865"/>
    <cellStyle name="Обычный 5 11 6 3 2 2 2" xfId="46737"/>
    <cellStyle name="Обычный 5 11 6 3 2 3" xfId="46738"/>
    <cellStyle name="Обычный 5 11 6 3 3" xfId="16866"/>
    <cellStyle name="Обычный 5 11 6 3 3 2" xfId="46739"/>
    <cellStyle name="Обычный 5 11 6 3 4" xfId="46740"/>
    <cellStyle name="Обычный 5 11 6 4" xfId="16867"/>
    <cellStyle name="Обычный 5 11 6 4 2" xfId="16868"/>
    <cellStyle name="Обычный 5 11 6 4 2 2" xfId="16869"/>
    <cellStyle name="Обычный 5 11 6 4 2 2 2" xfId="46741"/>
    <cellStyle name="Обычный 5 11 6 4 2 3" xfId="46742"/>
    <cellStyle name="Обычный 5 11 6 4 3" xfId="16870"/>
    <cellStyle name="Обычный 5 11 6 4 3 2" xfId="46743"/>
    <cellStyle name="Обычный 5 11 6 4 4" xfId="46744"/>
    <cellStyle name="Обычный 5 11 6 5" xfId="16871"/>
    <cellStyle name="Обычный 5 11 6 5 2" xfId="16872"/>
    <cellStyle name="Обычный 5 11 6 5 2 2" xfId="46745"/>
    <cellStyle name="Обычный 5 11 6 5 3" xfId="46746"/>
    <cellStyle name="Обычный 5 11 6 6" xfId="16873"/>
    <cellStyle name="Обычный 5 11 6 6 2" xfId="46747"/>
    <cellStyle name="Обычный 5 11 6 7" xfId="16874"/>
    <cellStyle name="Обычный 5 11 6 7 2" xfId="46748"/>
    <cellStyle name="Обычный 5 11 6 8" xfId="46749"/>
    <cellStyle name="Обычный 5 11 7" xfId="16875"/>
    <cellStyle name="Обычный 5 11 7 2" xfId="16876"/>
    <cellStyle name="Обычный 5 11 7 2 2" xfId="16877"/>
    <cellStyle name="Обычный 5 11 7 2 2 2" xfId="16878"/>
    <cellStyle name="Обычный 5 11 7 2 2 2 2" xfId="46750"/>
    <cellStyle name="Обычный 5 11 7 2 2 3" xfId="46751"/>
    <cellStyle name="Обычный 5 11 7 2 3" xfId="16879"/>
    <cellStyle name="Обычный 5 11 7 2 3 2" xfId="46752"/>
    <cellStyle name="Обычный 5 11 7 2 4" xfId="46753"/>
    <cellStyle name="Обычный 5 11 7 3" xfId="16880"/>
    <cellStyle name="Обычный 5 11 7 3 2" xfId="16881"/>
    <cellStyle name="Обычный 5 11 7 3 2 2" xfId="16882"/>
    <cellStyle name="Обычный 5 11 7 3 2 2 2" xfId="46754"/>
    <cellStyle name="Обычный 5 11 7 3 2 3" xfId="46755"/>
    <cellStyle name="Обычный 5 11 7 3 3" xfId="16883"/>
    <cellStyle name="Обычный 5 11 7 3 3 2" xfId="46756"/>
    <cellStyle name="Обычный 5 11 7 3 4" xfId="46757"/>
    <cellStyle name="Обычный 5 11 7 4" xfId="16884"/>
    <cellStyle name="Обычный 5 11 7 4 2" xfId="16885"/>
    <cellStyle name="Обычный 5 11 7 4 2 2" xfId="16886"/>
    <cellStyle name="Обычный 5 11 7 4 2 2 2" xfId="46758"/>
    <cellStyle name="Обычный 5 11 7 4 2 3" xfId="46759"/>
    <cellStyle name="Обычный 5 11 7 4 3" xfId="16887"/>
    <cellStyle name="Обычный 5 11 7 4 3 2" xfId="46760"/>
    <cellStyle name="Обычный 5 11 7 4 4" xfId="46761"/>
    <cellStyle name="Обычный 5 11 7 5" xfId="16888"/>
    <cellStyle name="Обычный 5 11 7 5 2" xfId="16889"/>
    <cellStyle name="Обычный 5 11 7 5 2 2" xfId="46762"/>
    <cellStyle name="Обычный 5 11 7 5 3" xfId="46763"/>
    <cellStyle name="Обычный 5 11 7 6" xfId="16890"/>
    <cellStyle name="Обычный 5 11 7 6 2" xfId="46764"/>
    <cellStyle name="Обычный 5 11 7 7" xfId="16891"/>
    <cellStyle name="Обычный 5 11 7 7 2" xfId="46765"/>
    <cellStyle name="Обычный 5 11 7 8" xfId="46766"/>
    <cellStyle name="Обычный 5 11 8" xfId="16892"/>
    <cellStyle name="Обычный 5 11 8 2" xfId="16893"/>
    <cellStyle name="Обычный 5 11 8 2 2" xfId="16894"/>
    <cellStyle name="Обычный 5 11 8 2 2 2" xfId="16895"/>
    <cellStyle name="Обычный 5 11 8 2 2 2 2" xfId="46767"/>
    <cellStyle name="Обычный 5 11 8 2 2 3" xfId="46768"/>
    <cellStyle name="Обычный 5 11 8 2 3" xfId="16896"/>
    <cellStyle name="Обычный 5 11 8 2 3 2" xfId="46769"/>
    <cellStyle name="Обычный 5 11 8 2 4" xfId="46770"/>
    <cellStyle name="Обычный 5 11 8 3" xfId="16897"/>
    <cellStyle name="Обычный 5 11 8 3 2" xfId="16898"/>
    <cellStyle name="Обычный 5 11 8 3 2 2" xfId="16899"/>
    <cellStyle name="Обычный 5 11 8 3 2 2 2" xfId="46771"/>
    <cellStyle name="Обычный 5 11 8 3 2 3" xfId="46772"/>
    <cellStyle name="Обычный 5 11 8 3 3" xfId="16900"/>
    <cellStyle name="Обычный 5 11 8 3 3 2" xfId="46773"/>
    <cellStyle name="Обычный 5 11 8 3 4" xfId="46774"/>
    <cellStyle name="Обычный 5 11 8 4" xfId="16901"/>
    <cellStyle name="Обычный 5 11 8 4 2" xfId="16902"/>
    <cellStyle name="Обычный 5 11 8 4 2 2" xfId="16903"/>
    <cellStyle name="Обычный 5 11 8 4 2 2 2" xfId="46775"/>
    <cellStyle name="Обычный 5 11 8 4 2 3" xfId="46776"/>
    <cellStyle name="Обычный 5 11 8 4 3" xfId="16904"/>
    <cellStyle name="Обычный 5 11 8 4 3 2" xfId="46777"/>
    <cellStyle name="Обычный 5 11 8 4 4" xfId="46778"/>
    <cellStyle name="Обычный 5 11 8 5" xfId="16905"/>
    <cellStyle name="Обычный 5 11 8 5 2" xfId="16906"/>
    <cellStyle name="Обычный 5 11 8 5 2 2" xfId="46779"/>
    <cellStyle name="Обычный 5 11 8 5 3" xfId="46780"/>
    <cellStyle name="Обычный 5 11 8 6" xfId="16907"/>
    <cellStyle name="Обычный 5 11 8 6 2" xfId="46781"/>
    <cellStyle name="Обычный 5 11 8 7" xfId="16908"/>
    <cellStyle name="Обычный 5 11 8 7 2" xfId="46782"/>
    <cellStyle name="Обычный 5 11 8 8" xfId="46783"/>
    <cellStyle name="Обычный 5 11 9" xfId="16909"/>
    <cellStyle name="Обычный 5 11 9 2" xfId="16910"/>
    <cellStyle name="Обычный 5 11 9 2 2" xfId="16911"/>
    <cellStyle name="Обычный 5 11 9 2 2 2" xfId="16912"/>
    <cellStyle name="Обычный 5 11 9 2 2 2 2" xfId="46784"/>
    <cellStyle name="Обычный 5 11 9 2 2 3" xfId="46785"/>
    <cellStyle name="Обычный 5 11 9 2 3" xfId="16913"/>
    <cellStyle name="Обычный 5 11 9 2 3 2" xfId="46786"/>
    <cellStyle name="Обычный 5 11 9 2 4" xfId="46787"/>
    <cellStyle name="Обычный 5 11 9 3" xfId="16914"/>
    <cellStyle name="Обычный 5 11 9 3 2" xfId="16915"/>
    <cellStyle name="Обычный 5 11 9 3 2 2" xfId="16916"/>
    <cellStyle name="Обычный 5 11 9 3 2 2 2" xfId="46788"/>
    <cellStyle name="Обычный 5 11 9 3 2 3" xfId="46789"/>
    <cellStyle name="Обычный 5 11 9 3 3" xfId="16917"/>
    <cellStyle name="Обычный 5 11 9 3 3 2" xfId="46790"/>
    <cellStyle name="Обычный 5 11 9 3 4" xfId="46791"/>
    <cellStyle name="Обычный 5 11 9 4" xfId="16918"/>
    <cellStyle name="Обычный 5 11 9 4 2" xfId="16919"/>
    <cellStyle name="Обычный 5 11 9 4 2 2" xfId="16920"/>
    <cellStyle name="Обычный 5 11 9 4 2 2 2" xfId="46792"/>
    <cellStyle name="Обычный 5 11 9 4 2 3" xfId="46793"/>
    <cellStyle name="Обычный 5 11 9 4 3" xfId="16921"/>
    <cellStyle name="Обычный 5 11 9 4 3 2" xfId="46794"/>
    <cellStyle name="Обычный 5 11 9 4 4" xfId="46795"/>
    <cellStyle name="Обычный 5 11 9 5" xfId="16922"/>
    <cellStyle name="Обычный 5 11 9 5 2" xfId="16923"/>
    <cellStyle name="Обычный 5 11 9 5 2 2" xfId="46796"/>
    <cellStyle name="Обычный 5 11 9 5 3" xfId="46797"/>
    <cellStyle name="Обычный 5 11 9 6" xfId="16924"/>
    <cellStyle name="Обычный 5 11 9 6 2" xfId="46798"/>
    <cellStyle name="Обычный 5 11 9 7" xfId="16925"/>
    <cellStyle name="Обычный 5 11 9 7 2" xfId="46799"/>
    <cellStyle name="Обычный 5 11 9 8" xfId="46800"/>
    <cellStyle name="Обычный 5 110" xfId="16926"/>
    <cellStyle name="Обычный 5 110 2" xfId="16927"/>
    <cellStyle name="Обычный 5 110 2 2" xfId="16928"/>
    <cellStyle name="Обычный 5 110 2 2 2" xfId="46801"/>
    <cellStyle name="Обычный 5 110 2 3" xfId="46802"/>
    <cellStyle name="Обычный 5 110 3" xfId="16929"/>
    <cellStyle name="Обычный 5 110 3 2" xfId="46803"/>
    <cellStyle name="Обычный 5 110 4" xfId="46804"/>
    <cellStyle name="Обычный 5 111" xfId="16930"/>
    <cellStyle name="Обычный 5 111 2" xfId="16931"/>
    <cellStyle name="Обычный 5 111 2 2" xfId="16932"/>
    <cellStyle name="Обычный 5 111 2 2 2" xfId="46805"/>
    <cellStyle name="Обычный 5 111 2 3" xfId="46806"/>
    <cellStyle name="Обычный 5 111 3" xfId="16933"/>
    <cellStyle name="Обычный 5 111 3 2" xfId="46807"/>
    <cellStyle name="Обычный 5 111 4" xfId="46808"/>
    <cellStyle name="Обычный 5 112" xfId="16934"/>
    <cellStyle name="Обычный 5 112 2" xfId="16935"/>
    <cellStyle name="Обычный 5 112 2 2" xfId="16936"/>
    <cellStyle name="Обычный 5 112 2 2 2" xfId="46809"/>
    <cellStyle name="Обычный 5 112 2 3" xfId="46810"/>
    <cellStyle name="Обычный 5 112 3" xfId="16937"/>
    <cellStyle name="Обычный 5 112 3 2" xfId="46811"/>
    <cellStyle name="Обычный 5 112 4" xfId="46812"/>
    <cellStyle name="Обычный 5 113" xfId="16938"/>
    <cellStyle name="Обычный 5 113 2" xfId="16939"/>
    <cellStyle name="Обычный 5 113 2 2" xfId="16940"/>
    <cellStyle name="Обычный 5 113 2 2 2" xfId="46813"/>
    <cellStyle name="Обычный 5 113 2 3" xfId="46814"/>
    <cellStyle name="Обычный 5 113 3" xfId="16941"/>
    <cellStyle name="Обычный 5 113 3 2" xfId="46815"/>
    <cellStyle name="Обычный 5 113 4" xfId="46816"/>
    <cellStyle name="Обычный 5 114" xfId="16942"/>
    <cellStyle name="Обычный 5 114 2" xfId="16943"/>
    <cellStyle name="Обычный 5 114 2 2" xfId="16944"/>
    <cellStyle name="Обычный 5 114 2 2 2" xfId="46817"/>
    <cellStyle name="Обычный 5 114 2 3" xfId="46818"/>
    <cellStyle name="Обычный 5 114 3" xfId="16945"/>
    <cellStyle name="Обычный 5 114 3 2" xfId="46819"/>
    <cellStyle name="Обычный 5 114 4" xfId="46820"/>
    <cellStyle name="Обычный 5 115" xfId="16946"/>
    <cellStyle name="Обычный 5 115 2" xfId="16947"/>
    <cellStyle name="Обычный 5 115 2 2" xfId="16948"/>
    <cellStyle name="Обычный 5 115 2 2 2" xfId="46821"/>
    <cellStyle name="Обычный 5 115 2 3" xfId="46822"/>
    <cellStyle name="Обычный 5 115 3" xfId="16949"/>
    <cellStyle name="Обычный 5 115 3 2" xfId="46823"/>
    <cellStyle name="Обычный 5 115 4" xfId="46824"/>
    <cellStyle name="Обычный 5 116" xfId="16950"/>
    <cellStyle name="Обычный 5 116 2" xfId="16951"/>
    <cellStyle name="Обычный 5 116 2 2" xfId="16952"/>
    <cellStyle name="Обычный 5 116 2 2 2" xfId="46825"/>
    <cellStyle name="Обычный 5 116 2 3" xfId="46826"/>
    <cellStyle name="Обычный 5 116 3" xfId="16953"/>
    <cellStyle name="Обычный 5 116 3 2" xfId="46827"/>
    <cellStyle name="Обычный 5 116 4" xfId="46828"/>
    <cellStyle name="Обычный 5 117" xfId="16954"/>
    <cellStyle name="Обычный 5 117 2" xfId="16955"/>
    <cellStyle name="Обычный 5 117 2 2" xfId="16956"/>
    <cellStyle name="Обычный 5 117 2 2 2" xfId="46829"/>
    <cellStyle name="Обычный 5 117 2 3" xfId="46830"/>
    <cellStyle name="Обычный 5 117 3" xfId="16957"/>
    <cellStyle name="Обычный 5 117 3 2" xfId="46831"/>
    <cellStyle name="Обычный 5 117 4" xfId="46832"/>
    <cellStyle name="Обычный 5 118" xfId="16958"/>
    <cellStyle name="Обычный 5 118 2" xfId="16959"/>
    <cellStyle name="Обычный 5 118 2 2" xfId="16960"/>
    <cellStyle name="Обычный 5 118 2 2 2" xfId="46833"/>
    <cellStyle name="Обычный 5 118 2 3" xfId="46834"/>
    <cellStyle name="Обычный 5 118 3" xfId="16961"/>
    <cellStyle name="Обычный 5 118 3 2" xfId="46835"/>
    <cellStyle name="Обычный 5 118 4" xfId="46836"/>
    <cellStyle name="Обычный 5 119" xfId="16962"/>
    <cellStyle name="Обычный 5 119 2" xfId="16963"/>
    <cellStyle name="Обычный 5 119 2 2" xfId="16964"/>
    <cellStyle name="Обычный 5 119 2 2 2" xfId="46837"/>
    <cellStyle name="Обычный 5 119 2 3" xfId="46838"/>
    <cellStyle name="Обычный 5 119 3" xfId="16965"/>
    <cellStyle name="Обычный 5 119 3 2" xfId="46839"/>
    <cellStyle name="Обычный 5 119 4" xfId="46840"/>
    <cellStyle name="Обычный 5 12" xfId="16966"/>
    <cellStyle name="Обычный 5 12 10" xfId="16967"/>
    <cellStyle name="Обычный 5 12 10 2" xfId="16968"/>
    <cellStyle name="Обычный 5 12 10 2 2" xfId="16969"/>
    <cellStyle name="Обычный 5 12 10 2 2 2" xfId="16970"/>
    <cellStyle name="Обычный 5 12 10 2 2 2 2" xfId="46841"/>
    <cellStyle name="Обычный 5 12 10 2 2 3" xfId="46842"/>
    <cellStyle name="Обычный 5 12 10 2 3" xfId="16971"/>
    <cellStyle name="Обычный 5 12 10 2 3 2" xfId="46843"/>
    <cellStyle name="Обычный 5 12 10 2 4" xfId="46844"/>
    <cellStyle name="Обычный 5 12 10 3" xfId="16972"/>
    <cellStyle name="Обычный 5 12 10 3 2" xfId="16973"/>
    <cellStyle name="Обычный 5 12 10 3 2 2" xfId="16974"/>
    <cellStyle name="Обычный 5 12 10 3 2 2 2" xfId="46845"/>
    <cellStyle name="Обычный 5 12 10 3 2 3" xfId="46846"/>
    <cellStyle name="Обычный 5 12 10 3 3" xfId="16975"/>
    <cellStyle name="Обычный 5 12 10 3 3 2" xfId="46847"/>
    <cellStyle name="Обычный 5 12 10 3 4" xfId="46848"/>
    <cellStyle name="Обычный 5 12 10 4" xfId="16976"/>
    <cellStyle name="Обычный 5 12 10 4 2" xfId="16977"/>
    <cellStyle name="Обычный 5 12 10 4 2 2" xfId="16978"/>
    <cellStyle name="Обычный 5 12 10 4 2 2 2" xfId="46849"/>
    <cellStyle name="Обычный 5 12 10 4 2 3" xfId="46850"/>
    <cellStyle name="Обычный 5 12 10 4 3" xfId="16979"/>
    <cellStyle name="Обычный 5 12 10 4 3 2" xfId="46851"/>
    <cellStyle name="Обычный 5 12 10 4 4" xfId="46852"/>
    <cellStyle name="Обычный 5 12 10 5" xfId="16980"/>
    <cellStyle name="Обычный 5 12 10 5 2" xfId="16981"/>
    <cellStyle name="Обычный 5 12 10 5 2 2" xfId="46853"/>
    <cellStyle name="Обычный 5 12 10 5 3" xfId="46854"/>
    <cellStyle name="Обычный 5 12 10 6" xfId="16982"/>
    <cellStyle name="Обычный 5 12 10 6 2" xfId="46855"/>
    <cellStyle name="Обычный 5 12 10 7" xfId="16983"/>
    <cellStyle name="Обычный 5 12 10 7 2" xfId="46856"/>
    <cellStyle name="Обычный 5 12 10 8" xfId="46857"/>
    <cellStyle name="Обычный 5 12 11" xfId="16984"/>
    <cellStyle name="Обычный 5 12 11 2" xfId="16985"/>
    <cellStyle name="Обычный 5 12 11 2 2" xfId="16986"/>
    <cellStyle name="Обычный 5 12 11 2 2 2" xfId="16987"/>
    <cellStyle name="Обычный 5 12 11 2 2 2 2" xfId="46858"/>
    <cellStyle name="Обычный 5 12 11 2 2 3" xfId="46859"/>
    <cellStyle name="Обычный 5 12 11 2 3" xfId="16988"/>
    <cellStyle name="Обычный 5 12 11 2 3 2" xfId="46860"/>
    <cellStyle name="Обычный 5 12 11 2 4" xfId="46861"/>
    <cellStyle name="Обычный 5 12 11 3" xfId="16989"/>
    <cellStyle name="Обычный 5 12 11 3 2" xfId="16990"/>
    <cellStyle name="Обычный 5 12 11 3 2 2" xfId="16991"/>
    <cellStyle name="Обычный 5 12 11 3 2 2 2" xfId="46862"/>
    <cellStyle name="Обычный 5 12 11 3 2 3" xfId="46863"/>
    <cellStyle name="Обычный 5 12 11 3 3" xfId="16992"/>
    <cellStyle name="Обычный 5 12 11 3 3 2" xfId="46864"/>
    <cellStyle name="Обычный 5 12 11 3 4" xfId="46865"/>
    <cellStyle name="Обычный 5 12 11 4" xfId="16993"/>
    <cellStyle name="Обычный 5 12 11 4 2" xfId="16994"/>
    <cellStyle name="Обычный 5 12 11 4 2 2" xfId="16995"/>
    <cellStyle name="Обычный 5 12 11 4 2 2 2" xfId="46866"/>
    <cellStyle name="Обычный 5 12 11 4 2 3" xfId="46867"/>
    <cellStyle name="Обычный 5 12 11 4 3" xfId="16996"/>
    <cellStyle name="Обычный 5 12 11 4 3 2" xfId="46868"/>
    <cellStyle name="Обычный 5 12 11 4 4" xfId="46869"/>
    <cellStyle name="Обычный 5 12 11 5" xfId="16997"/>
    <cellStyle name="Обычный 5 12 11 5 2" xfId="16998"/>
    <cellStyle name="Обычный 5 12 11 5 2 2" xfId="46870"/>
    <cellStyle name="Обычный 5 12 11 5 3" xfId="46871"/>
    <cellStyle name="Обычный 5 12 11 6" xfId="16999"/>
    <cellStyle name="Обычный 5 12 11 6 2" xfId="46872"/>
    <cellStyle name="Обычный 5 12 11 7" xfId="17000"/>
    <cellStyle name="Обычный 5 12 11 7 2" xfId="46873"/>
    <cellStyle name="Обычный 5 12 11 8" xfId="46874"/>
    <cellStyle name="Обычный 5 12 12" xfId="17001"/>
    <cellStyle name="Обычный 5 12 12 2" xfId="17002"/>
    <cellStyle name="Обычный 5 12 12 2 2" xfId="17003"/>
    <cellStyle name="Обычный 5 12 12 2 2 2" xfId="17004"/>
    <cellStyle name="Обычный 5 12 12 2 2 2 2" xfId="46875"/>
    <cellStyle name="Обычный 5 12 12 2 2 3" xfId="46876"/>
    <cellStyle name="Обычный 5 12 12 2 3" xfId="17005"/>
    <cellStyle name="Обычный 5 12 12 2 3 2" xfId="46877"/>
    <cellStyle name="Обычный 5 12 12 2 4" xfId="46878"/>
    <cellStyle name="Обычный 5 12 12 3" xfId="17006"/>
    <cellStyle name="Обычный 5 12 12 3 2" xfId="17007"/>
    <cellStyle name="Обычный 5 12 12 3 2 2" xfId="17008"/>
    <cellStyle name="Обычный 5 12 12 3 2 2 2" xfId="46879"/>
    <cellStyle name="Обычный 5 12 12 3 2 3" xfId="46880"/>
    <cellStyle name="Обычный 5 12 12 3 3" xfId="17009"/>
    <cellStyle name="Обычный 5 12 12 3 3 2" xfId="46881"/>
    <cellStyle name="Обычный 5 12 12 3 4" xfId="46882"/>
    <cellStyle name="Обычный 5 12 12 4" xfId="17010"/>
    <cellStyle name="Обычный 5 12 12 4 2" xfId="17011"/>
    <cellStyle name="Обычный 5 12 12 4 2 2" xfId="17012"/>
    <cellStyle name="Обычный 5 12 12 4 2 2 2" xfId="46883"/>
    <cellStyle name="Обычный 5 12 12 4 2 3" xfId="46884"/>
    <cellStyle name="Обычный 5 12 12 4 3" xfId="17013"/>
    <cellStyle name="Обычный 5 12 12 4 3 2" xfId="46885"/>
    <cellStyle name="Обычный 5 12 12 4 4" xfId="46886"/>
    <cellStyle name="Обычный 5 12 12 5" xfId="17014"/>
    <cellStyle name="Обычный 5 12 12 5 2" xfId="17015"/>
    <cellStyle name="Обычный 5 12 12 5 2 2" xfId="46887"/>
    <cellStyle name="Обычный 5 12 12 5 3" xfId="46888"/>
    <cellStyle name="Обычный 5 12 12 6" xfId="17016"/>
    <cellStyle name="Обычный 5 12 12 6 2" xfId="46889"/>
    <cellStyle name="Обычный 5 12 12 7" xfId="17017"/>
    <cellStyle name="Обычный 5 12 12 7 2" xfId="46890"/>
    <cellStyle name="Обычный 5 12 12 8" xfId="46891"/>
    <cellStyle name="Обычный 5 12 13" xfId="17018"/>
    <cellStyle name="Обычный 5 12 13 2" xfId="17019"/>
    <cellStyle name="Обычный 5 12 13 2 2" xfId="17020"/>
    <cellStyle name="Обычный 5 12 13 2 2 2" xfId="17021"/>
    <cellStyle name="Обычный 5 12 13 2 2 2 2" xfId="46892"/>
    <cellStyle name="Обычный 5 12 13 2 2 3" xfId="46893"/>
    <cellStyle name="Обычный 5 12 13 2 3" xfId="17022"/>
    <cellStyle name="Обычный 5 12 13 2 3 2" xfId="46894"/>
    <cellStyle name="Обычный 5 12 13 2 4" xfId="46895"/>
    <cellStyle name="Обычный 5 12 13 3" xfId="17023"/>
    <cellStyle name="Обычный 5 12 13 3 2" xfId="17024"/>
    <cellStyle name="Обычный 5 12 13 3 2 2" xfId="17025"/>
    <cellStyle name="Обычный 5 12 13 3 2 2 2" xfId="46896"/>
    <cellStyle name="Обычный 5 12 13 3 2 3" xfId="46897"/>
    <cellStyle name="Обычный 5 12 13 3 3" xfId="17026"/>
    <cellStyle name="Обычный 5 12 13 3 3 2" xfId="46898"/>
    <cellStyle name="Обычный 5 12 13 3 4" xfId="46899"/>
    <cellStyle name="Обычный 5 12 13 4" xfId="17027"/>
    <cellStyle name="Обычный 5 12 13 4 2" xfId="17028"/>
    <cellStyle name="Обычный 5 12 13 4 2 2" xfId="17029"/>
    <cellStyle name="Обычный 5 12 13 4 2 2 2" xfId="46900"/>
    <cellStyle name="Обычный 5 12 13 4 2 3" xfId="46901"/>
    <cellStyle name="Обычный 5 12 13 4 3" xfId="17030"/>
    <cellStyle name="Обычный 5 12 13 4 3 2" xfId="46902"/>
    <cellStyle name="Обычный 5 12 13 4 4" xfId="46903"/>
    <cellStyle name="Обычный 5 12 13 5" xfId="17031"/>
    <cellStyle name="Обычный 5 12 13 5 2" xfId="17032"/>
    <cellStyle name="Обычный 5 12 13 5 2 2" xfId="46904"/>
    <cellStyle name="Обычный 5 12 13 5 3" xfId="46905"/>
    <cellStyle name="Обычный 5 12 13 6" xfId="17033"/>
    <cellStyle name="Обычный 5 12 13 6 2" xfId="46906"/>
    <cellStyle name="Обычный 5 12 13 7" xfId="17034"/>
    <cellStyle name="Обычный 5 12 13 7 2" xfId="46907"/>
    <cellStyle name="Обычный 5 12 13 8" xfId="46908"/>
    <cellStyle name="Обычный 5 12 14" xfId="17035"/>
    <cellStyle name="Обычный 5 12 14 2" xfId="17036"/>
    <cellStyle name="Обычный 5 12 14 2 2" xfId="17037"/>
    <cellStyle name="Обычный 5 12 14 2 2 2" xfId="17038"/>
    <cellStyle name="Обычный 5 12 14 2 2 2 2" xfId="46909"/>
    <cellStyle name="Обычный 5 12 14 2 2 3" xfId="46910"/>
    <cellStyle name="Обычный 5 12 14 2 3" xfId="17039"/>
    <cellStyle name="Обычный 5 12 14 2 3 2" xfId="46911"/>
    <cellStyle name="Обычный 5 12 14 2 4" xfId="46912"/>
    <cellStyle name="Обычный 5 12 14 3" xfId="17040"/>
    <cellStyle name="Обычный 5 12 14 3 2" xfId="17041"/>
    <cellStyle name="Обычный 5 12 14 3 2 2" xfId="17042"/>
    <cellStyle name="Обычный 5 12 14 3 2 2 2" xfId="46913"/>
    <cellStyle name="Обычный 5 12 14 3 2 3" xfId="46914"/>
    <cellStyle name="Обычный 5 12 14 3 3" xfId="17043"/>
    <cellStyle name="Обычный 5 12 14 3 3 2" xfId="46915"/>
    <cellStyle name="Обычный 5 12 14 3 4" xfId="46916"/>
    <cellStyle name="Обычный 5 12 14 4" xfId="17044"/>
    <cellStyle name="Обычный 5 12 14 4 2" xfId="17045"/>
    <cellStyle name="Обычный 5 12 14 4 2 2" xfId="17046"/>
    <cellStyle name="Обычный 5 12 14 4 2 2 2" xfId="46917"/>
    <cellStyle name="Обычный 5 12 14 4 2 3" xfId="46918"/>
    <cellStyle name="Обычный 5 12 14 4 3" xfId="17047"/>
    <cellStyle name="Обычный 5 12 14 4 3 2" xfId="46919"/>
    <cellStyle name="Обычный 5 12 14 4 4" xfId="46920"/>
    <cellStyle name="Обычный 5 12 14 5" xfId="17048"/>
    <cellStyle name="Обычный 5 12 14 5 2" xfId="17049"/>
    <cellStyle name="Обычный 5 12 14 5 2 2" xfId="46921"/>
    <cellStyle name="Обычный 5 12 14 5 3" xfId="46922"/>
    <cellStyle name="Обычный 5 12 14 6" xfId="17050"/>
    <cellStyle name="Обычный 5 12 14 6 2" xfId="46923"/>
    <cellStyle name="Обычный 5 12 14 7" xfId="17051"/>
    <cellStyle name="Обычный 5 12 14 7 2" xfId="46924"/>
    <cellStyle name="Обычный 5 12 14 8" xfId="46925"/>
    <cellStyle name="Обычный 5 12 15" xfId="17052"/>
    <cellStyle name="Обычный 5 12 15 2" xfId="17053"/>
    <cellStyle name="Обычный 5 12 15 2 2" xfId="17054"/>
    <cellStyle name="Обычный 5 12 15 2 2 2" xfId="17055"/>
    <cellStyle name="Обычный 5 12 15 2 2 2 2" xfId="46926"/>
    <cellStyle name="Обычный 5 12 15 2 2 3" xfId="46927"/>
    <cellStyle name="Обычный 5 12 15 2 3" xfId="17056"/>
    <cellStyle name="Обычный 5 12 15 2 3 2" xfId="46928"/>
    <cellStyle name="Обычный 5 12 15 2 4" xfId="46929"/>
    <cellStyle name="Обычный 5 12 15 3" xfId="17057"/>
    <cellStyle name="Обычный 5 12 15 3 2" xfId="17058"/>
    <cellStyle name="Обычный 5 12 15 3 2 2" xfId="17059"/>
    <cellStyle name="Обычный 5 12 15 3 2 2 2" xfId="46930"/>
    <cellStyle name="Обычный 5 12 15 3 2 3" xfId="46931"/>
    <cellStyle name="Обычный 5 12 15 3 3" xfId="17060"/>
    <cellStyle name="Обычный 5 12 15 3 3 2" xfId="46932"/>
    <cellStyle name="Обычный 5 12 15 3 4" xfId="46933"/>
    <cellStyle name="Обычный 5 12 15 4" xfId="17061"/>
    <cellStyle name="Обычный 5 12 15 4 2" xfId="17062"/>
    <cellStyle name="Обычный 5 12 15 4 2 2" xfId="17063"/>
    <cellStyle name="Обычный 5 12 15 4 2 2 2" xfId="46934"/>
    <cellStyle name="Обычный 5 12 15 4 2 3" xfId="46935"/>
    <cellStyle name="Обычный 5 12 15 4 3" xfId="17064"/>
    <cellStyle name="Обычный 5 12 15 4 3 2" xfId="46936"/>
    <cellStyle name="Обычный 5 12 15 4 4" xfId="46937"/>
    <cellStyle name="Обычный 5 12 15 5" xfId="17065"/>
    <cellStyle name="Обычный 5 12 15 5 2" xfId="17066"/>
    <cellStyle name="Обычный 5 12 15 5 2 2" xfId="46938"/>
    <cellStyle name="Обычный 5 12 15 5 3" xfId="46939"/>
    <cellStyle name="Обычный 5 12 15 6" xfId="17067"/>
    <cellStyle name="Обычный 5 12 15 6 2" xfId="46940"/>
    <cellStyle name="Обычный 5 12 15 7" xfId="17068"/>
    <cellStyle name="Обычный 5 12 15 7 2" xfId="46941"/>
    <cellStyle name="Обычный 5 12 15 8" xfId="46942"/>
    <cellStyle name="Обычный 5 12 16" xfId="17069"/>
    <cellStyle name="Обычный 5 12 16 2" xfId="17070"/>
    <cellStyle name="Обычный 5 12 16 2 2" xfId="17071"/>
    <cellStyle name="Обычный 5 12 16 2 2 2" xfId="17072"/>
    <cellStyle name="Обычный 5 12 16 2 2 2 2" xfId="46943"/>
    <cellStyle name="Обычный 5 12 16 2 2 3" xfId="46944"/>
    <cellStyle name="Обычный 5 12 16 2 3" xfId="17073"/>
    <cellStyle name="Обычный 5 12 16 2 3 2" xfId="46945"/>
    <cellStyle name="Обычный 5 12 16 2 4" xfId="46946"/>
    <cellStyle name="Обычный 5 12 16 3" xfId="17074"/>
    <cellStyle name="Обычный 5 12 16 3 2" xfId="17075"/>
    <cellStyle name="Обычный 5 12 16 3 2 2" xfId="17076"/>
    <cellStyle name="Обычный 5 12 16 3 2 2 2" xfId="46947"/>
    <cellStyle name="Обычный 5 12 16 3 2 3" xfId="46948"/>
    <cellStyle name="Обычный 5 12 16 3 3" xfId="17077"/>
    <cellStyle name="Обычный 5 12 16 3 3 2" xfId="46949"/>
    <cellStyle name="Обычный 5 12 16 3 4" xfId="46950"/>
    <cellStyle name="Обычный 5 12 16 4" xfId="17078"/>
    <cellStyle name="Обычный 5 12 16 4 2" xfId="17079"/>
    <cellStyle name="Обычный 5 12 16 4 2 2" xfId="17080"/>
    <cellStyle name="Обычный 5 12 16 4 2 2 2" xfId="46951"/>
    <cellStyle name="Обычный 5 12 16 4 2 3" xfId="46952"/>
    <cellStyle name="Обычный 5 12 16 4 3" xfId="17081"/>
    <cellStyle name="Обычный 5 12 16 4 3 2" xfId="46953"/>
    <cellStyle name="Обычный 5 12 16 4 4" xfId="46954"/>
    <cellStyle name="Обычный 5 12 16 5" xfId="17082"/>
    <cellStyle name="Обычный 5 12 16 5 2" xfId="17083"/>
    <cellStyle name="Обычный 5 12 16 5 2 2" xfId="46955"/>
    <cellStyle name="Обычный 5 12 16 5 3" xfId="46956"/>
    <cellStyle name="Обычный 5 12 16 6" xfId="17084"/>
    <cellStyle name="Обычный 5 12 16 6 2" xfId="46957"/>
    <cellStyle name="Обычный 5 12 16 7" xfId="17085"/>
    <cellStyle name="Обычный 5 12 16 7 2" xfId="46958"/>
    <cellStyle name="Обычный 5 12 16 8" xfId="46959"/>
    <cellStyle name="Обычный 5 12 17" xfId="17086"/>
    <cellStyle name="Обычный 5 12 17 2" xfId="17087"/>
    <cellStyle name="Обычный 5 12 17 2 2" xfId="17088"/>
    <cellStyle name="Обычный 5 12 17 2 2 2" xfId="17089"/>
    <cellStyle name="Обычный 5 12 17 2 2 2 2" xfId="46960"/>
    <cellStyle name="Обычный 5 12 17 2 2 3" xfId="46961"/>
    <cellStyle name="Обычный 5 12 17 2 3" xfId="17090"/>
    <cellStyle name="Обычный 5 12 17 2 3 2" xfId="46962"/>
    <cellStyle name="Обычный 5 12 17 2 4" xfId="46963"/>
    <cellStyle name="Обычный 5 12 17 3" xfId="17091"/>
    <cellStyle name="Обычный 5 12 17 3 2" xfId="17092"/>
    <cellStyle name="Обычный 5 12 17 3 2 2" xfId="17093"/>
    <cellStyle name="Обычный 5 12 17 3 2 2 2" xfId="46964"/>
    <cellStyle name="Обычный 5 12 17 3 2 3" xfId="46965"/>
    <cellStyle name="Обычный 5 12 17 3 3" xfId="17094"/>
    <cellStyle name="Обычный 5 12 17 3 3 2" xfId="46966"/>
    <cellStyle name="Обычный 5 12 17 3 4" xfId="46967"/>
    <cellStyle name="Обычный 5 12 17 4" xfId="17095"/>
    <cellStyle name="Обычный 5 12 17 4 2" xfId="17096"/>
    <cellStyle name="Обычный 5 12 17 4 2 2" xfId="17097"/>
    <cellStyle name="Обычный 5 12 17 4 2 2 2" xfId="46968"/>
    <cellStyle name="Обычный 5 12 17 4 2 3" xfId="46969"/>
    <cellStyle name="Обычный 5 12 17 4 3" xfId="17098"/>
    <cellStyle name="Обычный 5 12 17 4 3 2" xfId="46970"/>
    <cellStyle name="Обычный 5 12 17 4 4" xfId="46971"/>
    <cellStyle name="Обычный 5 12 17 5" xfId="17099"/>
    <cellStyle name="Обычный 5 12 17 5 2" xfId="17100"/>
    <cellStyle name="Обычный 5 12 17 5 2 2" xfId="46972"/>
    <cellStyle name="Обычный 5 12 17 5 3" xfId="46973"/>
    <cellStyle name="Обычный 5 12 17 6" xfId="17101"/>
    <cellStyle name="Обычный 5 12 17 6 2" xfId="46974"/>
    <cellStyle name="Обычный 5 12 17 7" xfId="17102"/>
    <cellStyle name="Обычный 5 12 17 7 2" xfId="46975"/>
    <cellStyle name="Обычный 5 12 17 8" xfId="46976"/>
    <cellStyle name="Обычный 5 12 18" xfId="17103"/>
    <cellStyle name="Обычный 5 12 18 2" xfId="17104"/>
    <cellStyle name="Обычный 5 12 18 2 2" xfId="17105"/>
    <cellStyle name="Обычный 5 12 18 2 2 2" xfId="17106"/>
    <cellStyle name="Обычный 5 12 18 2 2 2 2" xfId="46977"/>
    <cellStyle name="Обычный 5 12 18 2 2 3" xfId="46978"/>
    <cellStyle name="Обычный 5 12 18 2 3" xfId="17107"/>
    <cellStyle name="Обычный 5 12 18 2 3 2" xfId="46979"/>
    <cellStyle name="Обычный 5 12 18 2 4" xfId="46980"/>
    <cellStyle name="Обычный 5 12 18 3" xfId="17108"/>
    <cellStyle name="Обычный 5 12 18 3 2" xfId="17109"/>
    <cellStyle name="Обычный 5 12 18 3 2 2" xfId="17110"/>
    <cellStyle name="Обычный 5 12 18 3 2 2 2" xfId="46981"/>
    <cellStyle name="Обычный 5 12 18 3 2 3" xfId="46982"/>
    <cellStyle name="Обычный 5 12 18 3 3" xfId="17111"/>
    <cellStyle name="Обычный 5 12 18 3 3 2" xfId="46983"/>
    <cellStyle name="Обычный 5 12 18 3 4" xfId="46984"/>
    <cellStyle name="Обычный 5 12 18 4" xfId="17112"/>
    <cellStyle name="Обычный 5 12 18 4 2" xfId="17113"/>
    <cellStyle name="Обычный 5 12 18 4 2 2" xfId="17114"/>
    <cellStyle name="Обычный 5 12 18 4 2 2 2" xfId="46985"/>
    <cellStyle name="Обычный 5 12 18 4 2 3" xfId="46986"/>
    <cellStyle name="Обычный 5 12 18 4 3" xfId="17115"/>
    <cellStyle name="Обычный 5 12 18 4 3 2" xfId="46987"/>
    <cellStyle name="Обычный 5 12 18 4 4" xfId="46988"/>
    <cellStyle name="Обычный 5 12 18 5" xfId="17116"/>
    <cellStyle name="Обычный 5 12 18 5 2" xfId="17117"/>
    <cellStyle name="Обычный 5 12 18 5 2 2" xfId="46989"/>
    <cellStyle name="Обычный 5 12 18 5 3" xfId="46990"/>
    <cellStyle name="Обычный 5 12 18 6" xfId="17118"/>
    <cellStyle name="Обычный 5 12 18 6 2" xfId="46991"/>
    <cellStyle name="Обычный 5 12 18 7" xfId="17119"/>
    <cellStyle name="Обычный 5 12 18 7 2" xfId="46992"/>
    <cellStyle name="Обычный 5 12 18 8" xfId="46993"/>
    <cellStyle name="Обычный 5 12 19" xfId="17120"/>
    <cellStyle name="Обычный 5 12 19 2" xfId="17121"/>
    <cellStyle name="Обычный 5 12 19 2 2" xfId="17122"/>
    <cellStyle name="Обычный 5 12 19 2 2 2" xfId="17123"/>
    <cellStyle name="Обычный 5 12 19 2 2 2 2" xfId="46994"/>
    <cellStyle name="Обычный 5 12 19 2 2 3" xfId="46995"/>
    <cellStyle name="Обычный 5 12 19 2 3" xfId="17124"/>
    <cellStyle name="Обычный 5 12 19 2 3 2" xfId="46996"/>
    <cellStyle name="Обычный 5 12 19 2 4" xfId="46997"/>
    <cellStyle name="Обычный 5 12 19 3" xfId="17125"/>
    <cellStyle name="Обычный 5 12 19 3 2" xfId="17126"/>
    <cellStyle name="Обычный 5 12 19 3 2 2" xfId="17127"/>
    <cellStyle name="Обычный 5 12 19 3 2 2 2" xfId="46998"/>
    <cellStyle name="Обычный 5 12 19 3 2 3" xfId="46999"/>
    <cellStyle name="Обычный 5 12 19 3 3" xfId="17128"/>
    <cellStyle name="Обычный 5 12 19 3 3 2" xfId="47000"/>
    <cellStyle name="Обычный 5 12 19 3 4" xfId="47001"/>
    <cellStyle name="Обычный 5 12 19 4" xfId="17129"/>
    <cellStyle name="Обычный 5 12 19 4 2" xfId="17130"/>
    <cellStyle name="Обычный 5 12 19 4 2 2" xfId="17131"/>
    <cellStyle name="Обычный 5 12 19 4 2 2 2" xfId="47002"/>
    <cellStyle name="Обычный 5 12 19 4 2 3" xfId="47003"/>
    <cellStyle name="Обычный 5 12 19 4 3" xfId="17132"/>
    <cellStyle name="Обычный 5 12 19 4 3 2" xfId="47004"/>
    <cellStyle name="Обычный 5 12 19 4 4" xfId="47005"/>
    <cellStyle name="Обычный 5 12 19 5" xfId="17133"/>
    <cellStyle name="Обычный 5 12 19 5 2" xfId="17134"/>
    <cellStyle name="Обычный 5 12 19 5 2 2" xfId="47006"/>
    <cellStyle name="Обычный 5 12 19 5 3" xfId="47007"/>
    <cellStyle name="Обычный 5 12 19 6" xfId="17135"/>
    <cellStyle name="Обычный 5 12 19 6 2" xfId="47008"/>
    <cellStyle name="Обычный 5 12 19 7" xfId="17136"/>
    <cellStyle name="Обычный 5 12 19 7 2" xfId="47009"/>
    <cellStyle name="Обычный 5 12 19 8" xfId="47010"/>
    <cellStyle name="Обычный 5 12 2" xfId="17137"/>
    <cellStyle name="Обычный 5 12 2 2" xfId="17138"/>
    <cellStyle name="Обычный 5 12 2 2 2" xfId="17139"/>
    <cellStyle name="Обычный 5 12 2 2 2 2" xfId="17140"/>
    <cellStyle name="Обычный 5 12 2 2 2 2 2" xfId="47011"/>
    <cellStyle name="Обычный 5 12 2 2 2 3" xfId="47012"/>
    <cellStyle name="Обычный 5 12 2 2 3" xfId="17141"/>
    <cellStyle name="Обычный 5 12 2 2 3 2" xfId="47013"/>
    <cellStyle name="Обычный 5 12 2 2 4" xfId="47014"/>
    <cellStyle name="Обычный 5 12 2 3" xfId="17142"/>
    <cellStyle name="Обычный 5 12 2 3 2" xfId="17143"/>
    <cellStyle name="Обычный 5 12 2 3 2 2" xfId="17144"/>
    <cellStyle name="Обычный 5 12 2 3 2 2 2" xfId="47015"/>
    <cellStyle name="Обычный 5 12 2 3 2 3" xfId="47016"/>
    <cellStyle name="Обычный 5 12 2 3 3" xfId="17145"/>
    <cellStyle name="Обычный 5 12 2 3 3 2" xfId="47017"/>
    <cellStyle name="Обычный 5 12 2 3 4" xfId="47018"/>
    <cellStyle name="Обычный 5 12 2 4" xfId="17146"/>
    <cellStyle name="Обычный 5 12 2 4 2" xfId="17147"/>
    <cellStyle name="Обычный 5 12 2 4 2 2" xfId="17148"/>
    <cellStyle name="Обычный 5 12 2 4 2 2 2" xfId="47019"/>
    <cellStyle name="Обычный 5 12 2 4 2 3" xfId="47020"/>
    <cellStyle name="Обычный 5 12 2 4 3" xfId="17149"/>
    <cellStyle name="Обычный 5 12 2 4 3 2" xfId="47021"/>
    <cellStyle name="Обычный 5 12 2 4 4" xfId="47022"/>
    <cellStyle name="Обычный 5 12 2 5" xfId="17150"/>
    <cellStyle name="Обычный 5 12 2 5 2" xfId="17151"/>
    <cellStyle name="Обычный 5 12 2 5 2 2" xfId="47023"/>
    <cellStyle name="Обычный 5 12 2 5 3" xfId="47024"/>
    <cellStyle name="Обычный 5 12 2 6" xfId="17152"/>
    <cellStyle name="Обычный 5 12 2 6 2" xfId="47025"/>
    <cellStyle name="Обычный 5 12 2 7" xfId="17153"/>
    <cellStyle name="Обычный 5 12 2 7 2" xfId="47026"/>
    <cellStyle name="Обычный 5 12 2 8" xfId="47027"/>
    <cellStyle name="Обычный 5 12 20" xfId="17154"/>
    <cellStyle name="Обычный 5 12 20 2" xfId="17155"/>
    <cellStyle name="Обычный 5 12 20 2 2" xfId="17156"/>
    <cellStyle name="Обычный 5 12 20 2 2 2" xfId="17157"/>
    <cellStyle name="Обычный 5 12 20 2 2 2 2" xfId="47028"/>
    <cellStyle name="Обычный 5 12 20 2 2 3" xfId="47029"/>
    <cellStyle name="Обычный 5 12 20 2 3" xfId="17158"/>
    <cellStyle name="Обычный 5 12 20 2 3 2" xfId="47030"/>
    <cellStyle name="Обычный 5 12 20 2 4" xfId="47031"/>
    <cellStyle name="Обычный 5 12 20 3" xfId="17159"/>
    <cellStyle name="Обычный 5 12 20 3 2" xfId="17160"/>
    <cellStyle name="Обычный 5 12 20 3 2 2" xfId="17161"/>
    <cellStyle name="Обычный 5 12 20 3 2 2 2" xfId="47032"/>
    <cellStyle name="Обычный 5 12 20 3 2 3" xfId="47033"/>
    <cellStyle name="Обычный 5 12 20 3 3" xfId="17162"/>
    <cellStyle name="Обычный 5 12 20 3 3 2" xfId="47034"/>
    <cellStyle name="Обычный 5 12 20 3 4" xfId="47035"/>
    <cellStyle name="Обычный 5 12 20 4" xfId="17163"/>
    <cellStyle name="Обычный 5 12 20 4 2" xfId="17164"/>
    <cellStyle name="Обычный 5 12 20 4 2 2" xfId="17165"/>
    <cellStyle name="Обычный 5 12 20 4 2 2 2" xfId="47036"/>
    <cellStyle name="Обычный 5 12 20 4 2 3" xfId="47037"/>
    <cellStyle name="Обычный 5 12 20 4 3" xfId="17166"/>
    <cellStyle name="Обычный 5 12 20 4 3 2" xfId="47038"/>
    <cellStyle name="Обычный 5 12 20 4 4" xfId="47039"/>
    <cellStyle name="Обычный 5 12 20 5" xfId="17167"/>
    <cellStyle name="Обычный 5 12 20 5 2" xfId="17168"/>
    <cellStyle name="Обычный 5 12 20 5 2 2" xfId="47040"/>
    <cellStyle name="Обычный 5 12 20 5 3" xfId="47041"/>
    <cellStyle name="Обычный 5 12 20 6" xfId="17169"/>
    <cellStyle name="Обычный 5 12 20 6 2" xfId="47042"/>
    <cellStyle name="Обычный 5 12 20 7" xfId="17170"/>
    <cellStyle name="Обычный 5 12 20 7 2" xfId="47043"/>
    <cellStyle name="Обычный 5 12 20 8" xfId="47044"/>
    <cellStyle name="Обычный 5 12 21" xfId="17171"/>
    <cellStyle name="Обычный 5 12 21 2" xfId="17172"/>
    <cellStyle name="Обычный 5 12 21 2 2" xfId="17173"/>
    <cellStyle name="Обычный 5 12 21 2 2 2" xfId="17174"/>
    <cellStyle name="Обычный 5 12 21 2 2 2 2" xfId="47045"/>
    <cellStyle name="Обычный 5 12 21 2 2 3" xfId="47046"/>
    <cellStyle name="Обычный 5 12 21 2 3" xfId="17175"/>
    <cellStyle name="Обычный 5 12 21 2 3 2" xfId="47047"/>
    <cellStyle name="Обычный 5 12 21 2 4" xfId="47048"/>
    <cellStyle name="Обычный 5 12 21 3" xfId="17176"/>
    <cellStyle name="Обычный 5 12 21 3 2" xfId="17177"/>
    <cellStyle name="Обычный 5 12 21 3 2 2" xfId="17178"/>
    <cellStyle name="Обычный 5 12 21 3 2 2 2" xfId="47049"/>
    <cellStyle name="Обычный 5 12 21 3 2 3" xfId="47050"/>
    <cellStyle name="Обычный 5 12 21 3 3" xfId="17179"/>
    <cellStyle name="Обычный 5 12 21 3 3 2" xfId="47051"/>
    <cellStyle name="Обычный 5 12 21 3 4" xfId="47052"/>
    <cellStyle name="Обычный 5 12 21 4" xfId="17180"/>
    <cellStyle name="Обычный 5 12 21 4 2" xfId="17181"/>
    <cellStyle name="Обычный 5 12 21 4 2 2" xfId="17182"/>
    <cellStyle name="Обычный 5 12 21 4 2 2 2" xfId="47053"/>
    <cellStyle name="Обычный 5 12 21 4 2 3" xfId="47054"/>
    <cellStyle name="Обычный 5 12 21 4 3" xfId="17183"/>
    <cellStyle name="Обычный 5 12 21 4 3 2" xfId="47055"/>
    <cellStyle name="Обычный 5 12 21 4 4" xfId="47056"/>
    <cellStyle name="Обычный 5 12 21 5" xfId="17184"/>
    <cellStyle name="Обычный 5 12 21 5 2" xfId="17185"/>
    <cellStyle name="Обычный 5 12 21 5 2 2" xfId="47057"/>
    <cellStyle name="Обычный 5 12 21 5 3" xfId="47058"/>
    <cellStyle name="Обычный 5 12 21 6" xfId="17186"/>
    <cellStyle name="Обычный 5 12 21 6 2" xfId="47059"/>
    <cellStyle name="Обычный 5 12 21 7" xfId="17187"/>
    <cellStyle name="Обычный 5 12 21 7 2" xfId="47060"/>
    <cellStyle name="Обычный 5 12 21 8" xfId="47061"/>
    <cellStyle name="Обычный 5 12 22" xfId="17188"/>
    <cellStyle name="Обычный 5 12 22 2" xfId="17189"/>
    <cellStyle name="Обычный 5 12 22 2 2" xfId="17190"/>
    <cellStyle name="Обычный 5 12 22 2 2 2" xfId="17191"/>
    <cellStyle name="Обычный 5 12 22 2 2 2 2" xfId="47062"/>
    <cellStyle name="Обычный 5 12 22 2 2 3" xfId="47063"/>
    <cellStyle name="Обычный 5 12 22 2 3" xfId="17192"/>
    <cellStyle name="Обычный 5 12 22 2 3 2" xfId="47064"/>
    <cellStyle name="Обычный 5 12 22 2 4" xfId="47065"/>
    <cellStyle name="Обычный 5 12 22 3" xfId="17193"/>
    <cellStyle name="Обычный 5 12 22 3 2" xfId="17194"/>
    <cellStyle name="Обычный 5 12 22 3 2 2" xfId="17195"/>
    <cellStyle name="Обычный 5 12 22 3 2 2 2" xfId="47066"/>
    <cellStyle name="Обычный 5 12 22 3 2 3" xfId="47067"/>
    <cellStyle name="Обычный 5 12 22 3 3" xfId="17196"/>
    <cellStyle name="Обычный 5 12 22 3 3 2" xfId="47068"/>
    <cellStyle name="Обычный 5 12 22 3 4" xfId="47069"/>
    <cellStyle name="Обычный 5 12 22 4" xfId="17197"/>
    <cellStyle name="Обычный 5 12 22 4 2" xfId="17198"/>
    <cellStyle name="Обычный 5 12 22 4 2 2" xfId="17199"/>
    <cellStyle name="Обычный 5 12 22 4 2 2 2" xfId="47070"/>
    <cellStyle name="Обычный 5 12 22 4 2 3" xfId="47071"/>
    <cellStyle name="Обычный 5 12 22 4 3" xfId="17200"/>
    <cellStyle name="Обычный 5 12 22 4 3 2" xfId="47072"/>
    <cellStyle name="Обычный 5 12 22 4 4" xfId="47073"/>
    <cellStyle name="Обычный 5 12 22 5" xfId="17201"/>
    <cellStyle name="Обычный 5 12 22 5 2" xfId="17202"/>
    <cellStyle name="Обычный 5 12 22 5 2 2" xfId="47074"/>
    <cellStyle name="Обычный 5 12 22 5 3" xfId="47075"/>
    <cellStyle name="Обычный 5 12 22 6" xfId="17203"/>
    <cellStyle name="Обычный 5 12 22 6 2" xfId="47076"/>
    <cellStyle name="Обычный 5 12 22 7" xfId="17204"/>
    <cellStyle name="Обычный 5 12 22 7 2" xfId="47077"/>
    <cellStyle name="Обычный 5 12 22 8" xfId="47078"/>
    <cellStyle name="Обычный 5 12 23" xfId="17205"/>
    <cellStyle name="Обычный 5 12 23 2" xfId="17206"/>
    <cellStyle name="Обычный 5 12 23 2 2" xfId="17207"/>
    <cellStyle name="Обычный 5 12 23 2 2 2" xfId="17208"/>
    <cellStyle name="Обычный 5 12 23 2 2 2 2" xfId="47079"/>
    <cellStyle name="Обычный 5 12 23 2 2 3" xfId="47080"/>
    <cellStyle name="Обычный 5 12 23 2 3" xfId="17209"/>
    <cellStyle name="Обычный 5 12 23 2 3 2" xfId="47081"/>
    <cellStyle name="Обычный 5 12 23 2 4" xfId="47082"/>
    <cellStyle name="Обычный 5 12 23 3" xfId="17210"/>
    <cellStyle name="Обычный 5 12 23 3 2" xfId="17211"/>
    <cellStyle name="Обычный 5 12 23 3 2 2" xfId="17212"/>
    <cellStyle name="Обычный 5 12 23 3 2 2 2" xfId="47083"/>
    <cellStyle name="Обычный 5 12 23 3 2 3" xfId="47084"/>
    <cellStyle name="Обычный 5 12 23 3 3" xfId="17213"/>
    <cellStyle name="Обычный 5 12 23 3 3 2" xfId="47085"/>
    <cellStyle name="Обычный 5 12 23 3 4" xfId="47086"/>
    <cellStyle name="Обычный 5 12 23 4" xfId="17214"/>
    <cellStyle name="Обычный 5 12 23 4 2" xfId="17215"/>
    <cellStyle name="Обычный 5 12 23 4 2 2" xfId="17216"/>
    <cellStyle name="Обычный 5 12 23 4 2 2 2" xfId="47087"/>
    <cellStyle name="Обычный 5 12 23 4 2 3" xfId="47088"/>
    <cellStyle name="Обычный 5 12 23 4 3" xfId="17217"/>
    <cellStyle name="Обычный 5 12 23 4 3 2" xfId="47089"/>
    <cellStyle name="Обычный 5 12 23 4 4" xfId="47090"/>
    <cellStyle name="Обычный 5 12 23 5" xfId="17218"/>
    <cellStyle name="Обычный 5 12 23 5 2" xfId="17219"/>
    <cellStyle name="Обычный 5 12 23 5 2 2" xfId="47091"/>
    <cellStyle name="Обычный 5 12 23 5 3" xfId="47092"/>
    <cellStyle name="Обычный 5 12 23 6" xfId="17220"/>
    <cellStyle name="Обычный 5 12 23 6 2" xfId="47093"/>
    <cellStyle name="Обычный 5 12 23 7" xfId="17221"/>
    <cellStyle name="Обычный 5 12 23 7 2" xfId="47094"/>
    <cellStyle name="Обычный 5 12 23 8" xfId="47095"/>
    <cellStyle name="Обычный 5 12 24" xfId="17222"/>
    <cellStyle name="Обычный 5 12 24 2" xfId="17223"/>
    <cellStyle name="Обычный 5 12 24 2 2" xfId="17224"/>
    <cellStyle name="Обычный 5 12 24 2 2 2" xfId="17225"/>
    <cellStyle name="Обычный 5 12 24 2 2 2 2" xfId="47096"/>
    <cellStyle name="Обычный 5 12 24 2 2 3" xfId="47097"/>
    <cellStyle name="Обычный 5 12 24 2 3" xfId="17226"/>
    <cellStyle name="Обычный 5 12 24 2 3 2" xfId="47098"/>
    <cellStyle name="Обычный 5 12 24 2 4" xfId="47099"/>
    <cellStyle name="Обычный 5 12 24 3" xfId="17227"/>
    <cellStyle name="Обычный 5 12 24 3 2" xfId="17228"/>
    <cellStyle name="Обычный 5 12 24 3 2 2" xfId="17229"/>
    <cellStyle name="Обычный 5 12 24 3 2 2 2" xfId="47100"/>
    <cellStyle name="Обычный 5 12 24 3 2 3" xfId="47101"/>
    <cellStyle name="Обычный 5 12 24 3 3" xfId="17230"/>
    <cellStyle name="Обычный 5 12 24 3 3 2" xfId="47102"/>
    <cellStyle name="Обычный 5 12 24 3 4" xfId="47103"/>
    <cellStyle name="Обычный 5 12 24 4" xfId="17231"/>
    <cellStyle name="Обычный 5 12 24 4 2" xfId="17232"/>
    <cellStyle name="Обычный 5 12 24 4 2 2" xfId="17233"/>
    <cellStyle name="Обычный 5 12 24 4 2 2 2" xfId="47104"/>
    <cellStyle name="Обычный 5 12 24 4 2 3" xfId="47105"/>
    <cellStyle name="Обычный 5 12 24 4 3" xfId="17234"/>
    <cellStyle name="Обычный 5 12 24 4 3 2" xfId="47106"/>
    <cellStyle name="Обычный 5 12 24 4 4" xfId="47107"/>
    <cellStyle name="Обычный 5 12 24 5" xfId="17235"/>
    <cellStyle name="Обычный 5 12 24 5 2" xfId="17236"/>
    <cellStyle name="Обычный 5 12 24 5 2 2" xfId="47108"/>
    <cellStyle name="Обычный 5 12 24 5 3" xfId="47109"/>
    <cellStyle name="Обычный 5 12 24 6" xfId="17237"/>
    <cellStyle name="Обычный 5 12 24 6 2" xfId="47110"/>
    <cellStyle name="Обычный 5 12 24 7" xfId="17238"/>
    <cellStyle name="Обычный 5 12 24 7 2" xfId="47111"/>
    <cellStyle name="Обычный 5 12 24 8" xfId="47112"/>
    <cellStyle name="Обычный 5 12 25" xfId="17239"/>
    <cellStyle name="Обычный 5 12 25 2" xfId="17240"/>
    <cellStyle name="Обычный 5 12 25 2 2" xfId="17241"/>
    <cellStyle name="Обычный 5 12 25 2 2 2" xfId="17242"/>
    <cellStyle name="Обычный 5 12 25 2 2 2 2" xfId="47113"/>
    <cellStyle name="Обычный 5 12 25 2 2 3" xfId="47114"/>
    <cellStyle name="Обычный 5 12 25 2 3" xfId="17243"/>
    <cellStyle name="Обычный 5 12 25 2 3 2" xfId="47115"/>
    <cellStyle name="Обычный 5 12 25 2 4" xfId="47116"/>
    <cellStyle name="Обычный 5 12 25 3" xfId="17244"/>
    <cellStyle name="Обычный 5 12 25 3 2" xfId="17245"/>
    <cellStyle name="Обычный 5 12 25 3 2 2" xfId="17246"/>
    <cellStyle name="Обычный 5 12 25 3 2 2 2" xfId="47117"/>
    <cellStyle name="Обычный 5 12 25 3 2 3" xfId="47118"/>
    <cellStyle name="Обычный 5 12 25 3 3" xfId="17247"/>
    <cellStyle name="Обычный 5 12 25 3 3 2" xfId="47119"/>
    <cellStyle name="Обычный 5 12 25 3 4" xfId="47120"/>
    <cellStyle name="Обычный 5 12 25 4" xfId="17248"/>
    <cellStyle name="Обычный 5 12 25 4 2" xfId="17249"/>
    <cellStyle name="Обычный 5 12 25 4 2 2" xfId="17250"/>
    <cellStyle name="Обычный 5 12 25 4 2 2 2" xfId="47121"/>
    <cellStyle name="Обычный 5 12 25 4 2 3" xfId="47122"/>
    <cellStyle name="Обычный 5 12 25 4 3" xfId="17251"/>
    <cellStyle name="Обычный 5 12 25 4 3 2" xfId="47123"/>
    <cellStyle name="Обычный 5 12 25 4 4" xfId="47124"/>
    <cellStyle name="Обычный 5 12 25 5" xfId="17252"/>
    <cellStyle name="Обычный 5 12 25 5 2" xfId="17253"/>
    <cellStyle name="Обычный 5 12 25 5 2 2" xfId="47125"/>
    <cellStyle name="Обычный 5 12 25 5 3" xfId="47126"/>
    <cellStyle name="Обычный 5 12 25 6" xfId="17254"/>
    <cellStyle name="Обычный 5 12 25 6 2" xfId="47127"/>
    <cellStyle name="Обычный 5 12 25 7" xfId="17255"/>
    <cellStyle name="Обычный 5 12 25 7 2" xfId="47128"/>
    <cellStyle name="Обычный 5 12 25 8" xfId="47129"/>
    <cellStyle name="Обычный 5 12 26" xfId="17256"/>
    <cellStyle name="Обычный 5 12 26 2" xfId="17257"/>
    <cellStyle name="Обычный 5 12 26 2 2" xfId="17258"/>
    <cellStyle name="Обычный 5 12 26 2 2 2" xfId="17259"/>
    <cellStyle name="Обычный 5 12 26 2 2 2 2" xfId="47130"/>
    <cellStyle name="Обычный 5 12 26 2 2 3" xfId="47131"/>
    <cellStyle name="Обычный 5 12 26 2 3" xfId="17260"/>
    <cellStyle name="Обычный 5 12 26 2 3 2" xfId="47132"/>
    <cellStyle name="Обычный 5 12 26 2 4" xfId="47133"/>
    <cellStyle name="Обычный 5 12 26 3" xfId="17261"/>
    <cellStyle name="Обычный 5 12 26 3 2" xfId="17262"/>
    <cellStyle name="Обычный 5 12 26 3 2 2" xfId="17263"/>
    <cellStyle name="Обычный 5 12 26 3 2 2 2" xfId="47134"/>
    <cellStyle name="Обычный 5 12 26 3 2 3" xfId="47135"/>
    <cellStyle name="Обычный 5 12 26 3 3" xfId="17264"/>
    <cellStyle name="Обычный 5 12 26 3 3 2" xfId="47136"/>
    <cellStyle name="Обычный 5 12 26 3 4" xfId="47137"/>
    <cellStyle name="Обычный 5 12 26 4" xfId="17265"/>
    <cellStyle name="Обычный 5 12 26 4 2" xfId="17266"/>
    <cellStyle name="Обычный 5 12 26 4 2 2" xfId="17267"/>
    <cellStyle name="Обычный 5 12 26 4 2 2 2" xfId="47138"/>
    <cellStyle name="Обычный 5 12 26 4 2 3" xfId="47139"/>
    <cellStyle name="Обычный 5 12 26 4 3" xfId="17268"/>
    <cellStyle name="Обычный 5 12 26 4 3 2" xfId="47140"/>
    <cellStyle name="Обычный 5 12 26 4 4" xfId="47141"/>
    <cellStyle name="Обычный 5 12 26 5" xfId="17269"/>
    <cellStyle name="Обычный 5 12 26 5 2" xfId="17270"/>
    <cellStyle name="Обычный 5 12 26 5 2 2" xfId="47142"/>
    <cellStyle name="Обычный 5 12 26 5 3" xfId="47143"/>
    <cellStyle name="Обычный 5 12 26 6" xfId="17271"/>
    <cellStyle name="Обычный 5 12 26 6 2" xfId="47144"/>
    <cellStyle name="Обычный 5 12 26 7" xfId="17272"/>
    <cellStyle name="Обычный 5 12 26 7 2" xfId="47145"/>
    <cellStyle name="Обычный 5 12 26 8" xfId="47146"/>
    <cellStyle name="Обычный 5 12 27" xfId="17273"/>
    <cellStyle name="Обычный 5 12 27 2" xfId="17274"/>
    <cellStyle name="Обычный 5 12 27 2 2" xfId="17275"/>
    <cellStyle name="Обычный 5 12 27 2 2 2" xfId="17276"/>
    <cellStyle name="Обычный 5 12 27 2 2 2 2" xfId="47147"/>
    <cellStyle name="Обычный 5 12 27 2 2 3" xfId="47148"/>
    <cellStyle name="Обычный 5 12 27 2 3" xfId="17277"/>
    <cellStyle name="Обычный 5 12 27 2 3 2" xfId="47149"/>
    <cellStyle name="Обычный 5 12 27 2 4" xfId="47150"/>
    <cellStyle name="Обычный 5 12 27 3" xfId="17278"/>
    <cellStyle name="Обычный 5 12 27 3 2" xfId="17279"/>
    <cellStyle name="Обычный 5 12 27 3 2 2" xfId="17280"/>
    <cellStyle name="Обычный 5 12 27 3 2 2 2" xfId="47151"/>
    <cellStyle name="Обычный 5 12 27 3 2 3" xfId="47152"/>
    <cellStyle name="Обычный 5 12 27 3 3" xfId="17281"/>
    <cellStyle name="Обычный 5 12 27 3 3 2" xfId="47153"/>
    <cellStyle name="Обычный 5 12 27 3 4" xfId="47154"/>
    <cellStyle name="Обычный 5 12 27 4" xfId="17282"/>
    <cellStyle name="Обычный 5 12 27 4 2" xfId="17283"/>
    <cellStyle name="Обычный 5 12 27 4 2 2" xfId="17284"/>
    <cellStyle name="Обычный 5 12 27 4 2 2 2" xfId="47155"/>
    <cellStyle name="Обычный 5 12 27 4 2 3" xfId="47156"/>
    <cellStyle name="Обычный 5 12 27 4 3" xfId="17285"/>
    <cellStyle name="Обычный 5 12 27 4 3 2" xfId="47157"/>
    <cellStyle name="Обычный 5 12 27 4 4" xfId="47158"/>
    <cellStyle name="Обычный 5 12 27 5" xfId="17286"/>
    <cellStyle name="Обычный 5 12 27 5 2" xfId="17287"/>
    <cellStyle name="Обычный 5 12 27 5 2 2" xfId="47159"/>
    <cellStyle name="Обычный 5 12 27 5 3" xfId="47160"/>
    <cellStyle name="Обычный 5 12 27 6" xfId="17288"/>
    <cellStyle name="Обычный 5 12 27 6 2" xfId="47161"/>
    <cellStyle name="Обычный 5 12 27 7" xfId="17289"/>
    <cellStyle name="Обычный 5 12 27 7 2" xfId="47162"/>
    <cellStyle name="Обычный 5 12 27 8" xfId="47163"/>
    <cellStyle name="Обычный 5 12 28" xfId="17290"/>
    <cellStyle name="Обычный 5 12 28 2" xfId="17291"/>
    <cellStyle name="Обычный 5 12 28 2 2" xfId="17292"/>
    <cellStyle name="Обычный 5 12 28 2 2 2" xfId="17293"/>
    <cellStyle name="Обычный 5 12 28 2 2 2 2" xfId="47164"/>
    <cellStyle name="Обычный 5 12 28 2 2 3" xfId="47165"/>
    <cellStyle name="Обычный 5 12 28 2 3" xfId="17294"/>
    <cellStyle name="Обычный 5 12 28 2 3 2" xfId="47166"/>
    <cellStyle name="Обычный 5 12 28 2 4" xfId="47167"/>
    <cellStyle name="Обычный 5 12 28 3" xfId="17295"/>
    <cellStyle name="Обычный 5 12 28 3 2" xfId="17296"/>
    <cellStyle name="Обычный 5 12 28 3 2 2" xfId="17297"/>
    <cellStyle name="Обычный 5 12 28 3 2 2 2" xfId="47168"/>
    <cellStyle name="Обычный 5 12 28 3 2 3" xfId="47169"/>
    <cellStyle name="Обычный 5 12 28 3 3" xfId="17298"/>
    <cellStyle name="Обычный 5 12 28 3 3 2" xfId="47170"/>
    <cellStyle name="Обычный 5 12 28 3 4" xfId="47171"/>
    <cellStyle name="Обычный 5 12 28 4" xfId="17299"/>
    <cellStyle name="Обычный 5 12 28 4 2" xfId="17300"/>
    <cellStyle name="Обычный 5 12 28 4 2 2" xfId="17301"/>
    <cellStyle name="Обычный 5 12 28 4 2 2 2" xfId="47172"/>
    <cellStyle name="Обычный 5 12 28 4 2 3" xfId="47173"/>
    <cellStyle name="Обычный 5 12 28 4 3" xfId="17302"/>
    <cellStyle name="Обычный 5 12 28 4 3 2" xfId="47174"/>
    <cellStyle name="Обычный 5 12 28 4 4" xfId="47175"/>
    <cellStyle name="Обычный 5 12 28 5" xfId="17303"/>
    <cellStyle name="Обычный 5 12 28 5 2" xfId="17304"/>
    <cellStyle name="Обычный 5 12 28 5 2 2" xfId="47176"/>
    <cellStyle name="Обычный 5 12 28 5 3" xfId="47177"/>
    <cellStyle name="Обычный 5 12 28 6" xfId="17305"/>
    <cellStyle name="Обычный 5 12 28 6 2" xfId="47178"/>
    <cellStyle name="Обычный 5 12 28 7" xfId="17306"/>
    <cellStyle name="Обычный 5 12 28 7 2" xfId="47179"/>
    <cellStyle name="Обычный 5 12 28 8" xfId="47180"/>
    <cellStyle name="Обычный 5 12 29" xfId="17307"/>
    <cellStyle name="Обычный 5 12 29 2" xfId="17308"/>
    <cellStyle name="Обычный 5 12 29 2 2" xfId="17309"/>
    <cellStyle name="Обычный 5 12 29 2 2 2" xfId="17310"/>
    <cellStyle name="Обычный 5 12 29 2 2 2 2" xfId="47181"/>
    <cellStyle name="Обычный 5 12 29 2 2 3" xfId="47182"/>
    <cellStyle name="Обычный 5 12 29 2 3" xfId="17311"/>
    <cellStyle name="Обычный 5 12 29 2 3 2" xfId="47183"/>
    <cellStyle name="Обычный 5 12 29 2 4" xfId="47184"/>
    <cellStyle name="Обычный 5 12 29 3" xfId="17312"/>
    <cellStyle name="Обычный 5 12 29 3 2" xfId="17313"/>
    <cellStyle name="Обычный 5 12 29 3 2 2" xfId="17314"/>
    <cellStyle name="Обычный 5 12 29 3 2 2 2" xfId="47185"/>
    <cellStyle name="Обычный 5 12 29 3 2 3" xfId="47186"/>
    <cellStyle name="Обычный 5 12 29 3 3" xfId="17315"/>
    <cellStyle name="Обычный 5 12 29 3 3 2" xfId="47187"/>
    <cellStyle name="Обычный 5 12 29 3 4" xfId="47188"/>
    <cellStyle name="Обычный 5 12 29 4" xfId="17316"/>
    <cellStyle name="Обычный 5 12 29 4 2" xfId="17317"/>
    <cellStyle name="Обычный 5 12 29 4 2 2" xfId="17318"/>
    <cellStyle name="Обычный 5 12 29 4 2 2 2" xfId="47189"/>
    <cellStyle name="Обычный 5 12 29 4 2 3" xfId="47190"/>
    <cellStyle name="Обычный 5 12 29 4 3" xfId="17319"/>
    <cellStyle name="Обычный 5 12 29 4 3 2" xfId="47191"/>
    <cellStyle name="Обычный 5 12 29 4 4" xfId="47192"/>
    <cellStyle name="Обычный 5 12 29 5" xfId="17320"/>
    <cellStyle name="Обычный 5 12 29 5 2" xfId="17321"/>
    <cellStyle name="Обычный 5 12 29 5 2 2" xfId="47193"/>
    <cellStyle name="Обычный 5 12 29 5 3" xfId="47194"/>
    <cellStyle name="Обычный 5 12 29 6" xfId="17322"/>
    <cellStyle name="Обычный 5 12 29 6 2" xfId="47195"/>
    <cellStyle name="Обычный 5 12 29 7" xfId="17323"/>
    <cellStyle name="Обычный 5 12 29 7 2" xfId="47196"/>
    <cellStyle name="Обычный 5 12 29 8" xfId="47197"/>
    <cellStyle name="Обычный 5 12 3" xfId="17324"/>
    <cellStyle name="Обычный 5 12 3 2" xfId="17325"/>
    <cellStyle name="Обычный 5 12 3 2 2" xfId="17326"/>
    <cellStyle name="Обычный 5 12 3 2 2 2" xfId="17327"/>
    <cellStyle name="Обычный 5 12 3 2 2 2 2" xfId="47198"/>
    <cellStyle name="Обычный 5 12 3 2 2 3" xfId="47199"/>
    <cellStyle name="Обычный 5 12 3 2 3" xfId="17328"/>
    <cellStyle name="Обычный 5 12 3 2 3 2" xfId="47200"/>
    <cellStyle name="Обычный 5 12 3 2 4" xfId="47201"/>
    <cellStyle name="Обычный 5 12 3 3" xfId="17329"/>
    <cellStyle name="Обычный 5 12 3 3 2" xfId="17330"/>
    <cellStyle name="Обычный 5 12 3 3 2 2" xfId="17331"/>
    <cellStyle name="Обычный 5 12 3 3 2 2 2" xfId="47202"/>
    <cellStyle name="Обычный 5 12 3 3 2 3" xfId="47203"/>
    <cellStyle name="Обычный 5 12 3 3 3" xfId="17332"/>
    <cellStyle name="Обычный 5 12 3 3 3 2" xfId="47204"/>
    <cellStyle name="Обычный 5 12 3 3 4" xfId="47205"/>
    <cellStyle name="Обычный 5 12 3 4" xfId="17333"/>
    <cellStyle name="Обычный 5 12 3 4 2" xfId="17334"/>
    <cellStyle name="Обычный 5 12 3 4 2 2" xfId="17335"/>
    <cellStyle name="Обычный 5 12 3 4 2 2 2" xfId="47206"/>
    <cellStyle name="Обычный 5 12 3 4 2 3" xfId="47207"/>
    <cellStyle name="Обычный 5 12 3 4 3" xfId="17336"/>
    <cellStyle name="Обычный 5 12 3 4 3 2" xfId="47208"/>
    <cellStyle name="Обычный 5 12 3 4 4" xfId="47209"/>
    <cellStyle name="Обычный 5 12 3 5" xfId="17337"/>
    <cellStyle name="Обычный 5 12 3 5 2" xfId="17338"/>
    <cellStyle name="Обычный 5 12 3 5 2 2" xfId="47210"/>
    <cellStyle name="Обычный 5 12 3 5 3" xfId="47211"/>
    <cellStyle name="Обычный 5 12 3 6" xfId="17339"/>
    <cellStyle name="Обычный 5 12 3 6 2" xfId="47212"/>
    <cellStyle name="Обычный 5 12 3 7" xfId="17340"/>
    <cellStyle name="Обычный 5 12 3 7 2" xfId="47213"/>
    <cellStyle name="Обычный 5 12 3 8" xfId="47214"/>
    <cellStyle name="Обычный 5 12 30" xfId="17341"/>
    <cellStyle name="Обычный 5 12 30 2" xfId="17342"/>
    <cellStyle name="Обычный 5 12 30 2 2" xfId="17343"/>
    <cellStyle name="Обычный 5 12 30 2 2 2" xfId="47215"/>
    <cellStyle name="Обычный 5 12 30 2 3" xfId="47216"/>
    <cellStyle name="Обычный 5 12 30 3" xfId="17344"/>
    <cellStyle name="Обычный 5 12 30 3 2" xfId="47217"/>
    <cellStyle name="Обычный 5 12 30 4" xfId="47218"/>
    <cellStyle name="Обычный 5 12 31" xfId="17345"/>
    <cellStyle name="Обычный 5 12 31 2" xfId="17346"/>
    <cellStyle name="Обычный 5 12 31 2 2" xfId="17347"/>
    <cellStyle name="Обычный 5 12 31 2 2 2" xfId="47219"/>
    <cellStyle name="Обычный 5 12 31 2 3" xfId="47220"/>
    <cellStyle name="Обычный 5 12 31 3" xfId="17348"/>
    <cellStyle name="Обычный 5 12 31 3 2" xfId="47221"/>
    <cellStyle name="Обычный 5 12 31 4" xfId="47222"/>
    <cellStyle name="Обычный 5 12 32" xfId="17349"/>
    <cellStyle name="Обычный 5 12 32 2" xfId="17350"/>
    <cellStyle name="Обычный 5 12 32 2 2" xfId="17351"/>
    <cellStyle name="Обычный 5 12 32 2 2 2" xfId="47223"/>
    <cellStyle name="Обычный 5 12 32 2 3" xfId="47224"/>
    <cellStyle name="Обычный 5 12 32 3" xfId="17352"/>
    <cellStyle name="Обычный 5 12 32 3 2" xfId="47225"/>
    <cellStyle name="Обычный 5 12 32 4" xfId="47226"/>
    <cellStyle name="Обычный 5 12 33" xfId="17353"/>
    <cellStyle name="Обычный 5 12 33 2" xfId="17354"/>
    <cellStyle name="Обычный 5 12 33 2 2" xfId="47227"/>
    <cellStyle name="Обычный 5 12 33 3" xfId="47228"/>
    <cellStyle name="Обычный 5 12 34" xfId="17355"/>
    <cellStyle name="Обычный 5 12 34 2" xfId="47229"/>
    <cellStyle name="Обычный 5 12 35" xfId="17356"/>
    <cellStyle name="Обычный 5 12 35 2" xfId="47230"/>
    <cellStyle name="Обычный 5 12 36" xfId="47231"/>
    <cellStyle name="Обычный 5 12 4" xfId="17357"/>
    <cellStyle name="Обычный 5 12 4 2" xfId="17358"/>
    <cellStyle name="Обычный 5 12 4 2 2" xfId="17359"/>
    <cellStyle name="Обычный 5 12 4 2 2 2" xfId="17360"/>
    <cellStyle name="Обычный 5 12 4 2 2 2 2" xfId="47232"/>
    <cellStyle name="Обычный 5 12 4 2 2 3" xfId="47233"/>
    <cellStyle name="Обычный 5 12 4 2 3" xfId="17361"/>
    <cellStyle name="Обычный 5 12 4 2 3 2" xfId="47234"/>
    <cellStyle name="Обычный 5 12 4 2 4" xfId="47235"/>
    <cellStyle name="Обычный 5 12 4 3" xfId="17362"/>
    <cellStyle name="Обычный 5 12 4 3 2" xfId="17363"/>
    <cellStyle name="Обычный 5 12 4 3 2 2" xfId="17364"/>
    <cellStyle name="Обычный 5 12 4 3 2 2 2" xfId="47236"/>
    <cellStyle name="Обычный 5 12 4 3 2 3" xfId="47237"/>
    <cellStyle name="Обычный 5 12 4 3 3" xfId="17365"/>
    <cellStyle name="Обычный 5 12 4 3 3 2" xfId="47238"/>
    <cellStyle name="Обычный 5 12 4 3 4" xfId="47239"/>
    <cellStyle name="Обычный 5 12 4 4" xfId="17366"/>
    <cellStyle name="Обычный 5 12 4 4 2" xfId="17367"/>
    <cellStyle name="Обычный 5 12 4 4 2 2" xfId="17368"/>
    <cellStyle name="Обычный 5 12 4 4 2 2 2" xfId="47240"/>
    <cellStyle name="Обычный 5 12 4 4 2 3" xfId="47241"/>
    <cellStyle name="Обычный 5 12 4 4 3" xfId="17369"/>
    <cellStyle name="Обычный 5 12 4 4 3 2" xfId="47242"/>
    <cellStyle name="Обычный 5 12 4 4 4" xfId="47243"/>
    <cellStyle name="Обычный 5 12 4 5" xfId="17370"/>
    <cellStyle name="Обычный 5 12 4 5 2" xfId="17371"/>
    <cellStyle name="Обычный 5 12 4 5 2 2" xfId="47244"/>
    <cellStyle name="Обычный 5 12 4 5 3" xfId="47245"/>
    <cellStyle name="Обычный 5 12 4 6" xfId="17372"/>
    <cellStyle name="Обычный 5 12 4 6 2" xfId="47246"/>
    <cellStyle name="Обычный 5 12 4 7" xfId="17373"/>
    <cellStyle name="Обычный 5 12 4 7 2" xfId="47247"/>
    <cellStyle name="Обычный 5 12 4 8" xfId="47248"/>
    <cellStyle name="Обычный 5 12 5" xfId="17374"/>
    <cellStyle name="Обычный 5 12 5 2" xfId="17375"/>
    <cellStyle name="Обычный 5 12 5 2 2" xfId="17376"/>
    <cellStyle name="Обычный 5 12 5 2 2 2" xfId="17377"/>
    <cellStyle name="Обычный 5 12 5 2 2 2 2" xfId="47249"/>
    <cellStyle name="Обычный 5 12 5 2 2 3" xfId="47250"/>
    <cellStyle name="Обычный 5 12 5 2 3" xfId="17378"/>
    <cellStyle name="Обычный 5 12 5 2 3 2" xfId="47251"/>
    <cellStyle name="Обычный 5 12 5 2 4" xfId="47252"/>
    <cellStyle name="Обычный 5 12 5 3" xfId="17379"/>
    <cellStyle name="Обычный 5 12 5 3 2" xfId="17380"/>
    <cellStyle name="Обычный 5 12 5 3 2 2" xfId="17381"/>
    <cellStyle name="Обычный 5 12 5 3 2 2 2" xfId="47253"/>
    <cellStyle name="Обычный 5 12 5 3 2 3" xfId="47254"/>
    <cellStyle name="Обычный 5 12 5 3 3" xfId="17382"/>
    <cellStyle name="Обычный 5 12 5 3 3 2" xfId="47255"/>
    <cellStyle name="Обычный 5 12 5 3 4" xfId="47256"/>
    <cellStyle name="Обычный 5 12 5 4" xfId="17383"/>
    <cellStyle name="Обычный 5 12 5 4 2" xfId="17384"/>
    <cellStyle name="Обычный 5 12 5 4 2 2" xfId="17385"/>
    <cellStyle name="Обычный 5 12 5 4 2 2 2" xfId="47257"/>
    <cellStyle name="Обычный 5 12 5 4 2 3" xfId="47258"/>
    <cellStyle name="Обычный 5 12 5 4 3" xfId="17386"/>
    <cellStyle name="Обычный 5 12 5 4 3 2" xfId="47259"/>
    <cellStyle name="Обычный 5 12 5 4 4" xfId="47260"/>
    <cellStyle name="Обычный 5 12 5 5" xfId="17387"/>
    <cellStyle name="Обычный 5 12 5 5 2" xfId="17388"/>
    <cellStyle name="Обычный 5 12 5 5 2 2" xfId="47261"/>
    <cellStyle name="Обычный 5 12 5 5 3" xfId="47262"/>
    <cellStyle name="Обычный 5 12 5 6" xfId="17389"/>
    <cellStyle name="Обычный 5 12 5 6 2" xfId="47263"/>
    <cellStyle name="Обычный 5 12 5 7" xfId="17390"/>
    <cellStyle name="Обычный 5 12 5 7 2" xfId="47264"/>
    <cellStyle name="Обычный 5 12 5 8" xfId="47265"/>
    <cellStyle name="Обычный 5 12 6" xfId="17391"/>
    <cellStyle name="Обычный 5 12 6 2" xfId="17392"/>
    <cellStyle name="Обычный 5 12 6 2 2" xfId="17393"/>
    <cellStyle name="Обычный 5 12 6 2 2 2" xfId="17394"/>
    <cellStyle name="Обычный 5 12 6 2 2 2 2" xfId="47266"/>
    <cellStyle name="Обычный 5 12 6 2 2 3" xfId="47267"/>
    <cellStyle name="Обычный 5 12 6 2 3" xfId="17395"/>
    <cellStyle name="Обычный 5 12 6 2 3 2" xfId="47268"/>
    <cellStyle name="Обычный 5 12 6 2 4" xfId="47269"/>
    <cellStyle name="Обычный 5 12 6 3" xfId="17396"/>
    <cellStyle name="Обычный 5 12 6 3 2" xfId="17397"/>
    <cellStyle name="Обычный 5 12 6 3 2 2" xfId="17398"/>
    <cellStyle name="Обычный 5 12 6 3 2 2 2" xfId="47270"/>
    <cellStyle name="Обычный 5 12 6 3 2 3" xfId="47271"/>
    <cellStyle name="Обычный 5 12 6 3 3" xfId="17399"/>
    <cellStyle name="Обычный 5 12 6 3 3 2" xfId="47272"/>
    <cellStyle name="Обычный 5 12 6 3 4" xfId="47273"/>
    <cellStyle name="Обычный 5 12 6 4" xfId="17400"/>
    <cellStyle name="Обычный 5 12 6 4 2" xfId="17401"/>
    <cellStyle name="Обычный 5 12 6 4 2 2" xfId="17402"/>
    <cellStyle name="Обычный 5 12 6 4 2 2 2" xfId="47274"/>
    <cellStyle name="Обычный 5 12 6 4 2 3" xfId="47275"/>
    <cellStyle name="Обычный 5 12 6 4 3" xfId="17403"/>
    <cellStyle name="Обычный 5 12 6 4 3 2" xfId="47276"/>
    <cellStyle name="Обычный 5 12 6 4 4" xfId="47277"/>
    <cellStyle name="Обычный 5 12 6 5" xfId="17404"/>
    <cellStyle name="Обычный 5 12 6 5 2" xfId="17405"/>
    <cellStyle name="Обычный 5 12 6 5 2 2" xfId="47278"/>
    <cellStyle name="Обычный 5 12 6 5 3" xfId="47279"/>
    <cellStyle name="Обычный 5 12 6 6" xfId="17406"/>
    <cellStyle name="Обычный 5 12 6 6 2" xfId="47280"/>
    <cellStyle name="Обычный 5 12 6 7" xfId="17407"/>
    <cellStyle name="Обычный 5 12 6 7 2" xfId="47281"/>
    <cellStyle name="Обычный 5 12 6 8" xfId="47282"/>
    <cellStyle name="Обычный 5 12 7" xfId="17408"/>
    <cellStyle name="Обычный 5 12 7 2" xfId="17409"/>
    <cellStyle name="Обычный 5 12 7 2 2" xfId="17410"/>
    <cellStyle name="Обычный 5 12 7 2 2 2" xfId="17411"/>
    <cellStyle name="Обычный 5 12 7 2 2 2 2" xfId="47283"/>
    <cellStyle name="Обычный 5 12 7 2 2 3" xfId="47284"/>
    <cellStyle name="Обычный 5 12 7 2 3" xfId="17412"/>
    <cellStyle name="Обычный 5 12 7 2 3 2" xfId="47285"/>
    <cellStyle name="Обычный 5 12 7 2 4" xfId="47286"/>
    <cellStyle name="Обычный 5 12 7 3" xfId="17413"/>
    <cellStyle name="Обычный 5 12 7 3 2" xfId="17414"/>
    <cellStyle name="Обычный 5 12 7 3 2 2" xfId="17415"/>
    <cellStyle name="Обычный 5 12 7 3 2 2 2" xfId="47287"/>
    <cellStyle name="Обычный 5 12 7 3 2 3" xfId="47288"/>
    <cellStyle name="Обычный 5 12 7 3 3" xfId="17416"/>
    <cellStyle name="Обычный 5 12 7 3 3 2" xfId="47289"/>
    <cellStyle name="Обычный 5 12 7 3 4" xfId="47290"/>
    <cellStyle name="Обычный 5 12 7 4" xfId="17417"/>
    <cellStyle name="Обычный 5 12 7 4 2" xfId="17418"/>
    <cellStyle name="Обычный 5 12 7 4 2 2" xfId="17419"/>
    <cellStyle name="Обычный 5 12 7 4 2 2 2" xfId="47291"/>
    <cellStyle name="Обычный 5 12 7 4 2 3" xfId="47292"/>
    <cellStyle name="Обычный 5 12 7 4 3" xfId="17420"/>
    <cellStyle name="Обычный 5 12 7 4 3 2" xfId="47293"/>
    <cellStyle name="Обычный 5 12 7 4 4" xfId="47294"/>
    <cellStyle name="Обычный 5 12 7 5" xfId="17421"/>
    <cellStyle name="Обычный 5 12 7 5 2" xfId="17422"/>
    <cellStyle name="Обычный 5 12 7 5 2 2" xfId="47295"/>
    <cellStyle name="Обычный 5 12 7 5 3" xfId="47296"/>
    <cellStyle name="Обычный 5 12 7 6" xfId="17423"/>
    <cellStyle name="Обычный 5 12 7 6 2" xfId="47297"/>
    <cellStyle name="Обычный 5 12 7 7" xfId="17424"/>
    <cellStyle name="Обычный 5 12 7 7 2" xfId="47298"/>
    <cellStyle name="Обычный 5 12 7 8" xfId="47299"/>
    <cellStyle name="Обычный 5 12 8" xfId="17425"/>
    <cellStyle name="Обычный 5 12 8 2" xfId="17426"/>
    <cellStyle name="Обычный 5 12 8 2 2" xfId="17427"/>
    <cellStyle name="Обычный 5 12 8 2 2 2" xfId="17428"/>
    <cellStyle name="Обычный 5 12 8 2 2 2 2" xfId="47300"/>
    <cellStyle name="Обычный 5 12 8 2 2 3" xfId="47301"/>
    <cellStyle name="Обычный 5 12 8 2 3" xfId="17429"/>
    <cellStyle name="Обычный 5 12 8 2 3 2" xfId="47302"/>
    <cellStyle name="Обычный 5 12 8 2 4" xfId="47303"/>
    <cellStyle name="Обычный 5 12 8 3" xfId="17430"/>
    <cellStyle name="Обычный 5 12 8 3 2" xfId="17431"/>
    <cellStyle name="Обычный 5 12 8 3 2 2" xfId="17432"/>
    <cellStyle name="Обычный 5 12 8 3 2 2 2" xfId="47304"/>
    <cellStyle name="Обычный 5 12 8 3 2 3" xfId="47305"/>
    <cellStyle name="Обычный 5 12 8 3 3" xfId="17433"/>
    <cellStyle name="Обычный 5 12 8 3 3 2" xfId="47306"/>
    <cellStyle name="Обычный 5 12 8 3 4" xfId="47307"/>
    <cellStyle name="Обычный 5 12 8 4" xfId="17434"/>
    <cellStyle name="Обычный 5 12 8 4 2" xfId="17435"/>
    <cellStyle name="Обычный 5 12 8 4 2 2" xfId="17436"/>
    <cellStyle name="Обычный 5 12 8 4 2 2 2" xfId="47308"/>
    <cellStyle name="Обычный 5 12 8 4 2 3" xfId="47309"/>
    <cellStyle name="Обычный 5 12 8 4 3" xfId="17437"/>
    <cellStyle name="Обычный 5 12 8 4 3 2" xfId="47310"/>
    <cellStyle name="Обычный 5 12 8 4 4" xfId="47311"/>
    <cellStyle name="Обычный 5 12 8 5" xfId="17438"/>
    <cellStyle name="Обычный 5 12 8 5 2" xfId="17439"/>
    <cellStyle name="Обычный 5 12 8 5 2 2" xfId="47312"/>
    <cellStyle name="Обычный 5 12 8 5 3" xfId="47313"/>
    <cellStyle name="Обычный 5 12 8 6" xfId="17440"/>
    <cellStyle name="Обычный 5 12 8 6 2" xfId="47314"/>
    <cellStyle name="Обычный 5 12 8 7" xfId="17441"/>
    <cellStyle name="Обычный 5 12 8 7 2" xfId="47315"/>
    <cellStyle name="Обычный 5 12 8 8" xfId="47316"/>
    <cellStyle name="Обычный 5 12 9" xfId="17442"/>
    <cellStyle name="Обычный 5 12 9 2" xfId="17443"/>
    <cellStyle name="Обычный 5 12 9 2 2" xfId="17444"/>
    <cellStyle name="Обычный 5 12 9 2 2 2" xfId="17445"/>
    <cellStyle name="Обычный 5 12 9 2 2 2 2" xfId="47317"/>
    <cellStyle name="Обычный 5 12 9 2 2 3" xfId="47318"/>
    <cellStyle name="Обычный 5 12 9 2 3" xfId="17446"/>
    <cellStyle name="Обычный 5 12 9 2 3 2" xfId="47319"/>
    <cellStyle name="Обычный 5 12 9 2 4" xfId="47320"/>
    <cellStyle name="Обычный 5 12 9 3" xfId="17447"/>
    <cellStyle name="Обычный 5 12 9 3 2" xfId="17448"/>
    <cellStyle name="Обычный 5 12 9 3 2 2" xfId="17449"/>
    <cellStyle name="Обычный 5 12 9 3 2 2 2" xfId="47321"/>
    <cellStyle name="Обычный 5 12 9 3 2 3" xfId="47322"/>
    <cellStyle name="Обычный 5 12 9 3 3" xfId="17450"/>
    <cellStyle name="Обычный 5 12 9 3 3 2" xfId="47323"/>
    <cellStyle name="Обычный 5 12 9 3 4" xfId="47324"/>
    <cellStyle name="Обычный 5 12 9 4" xfId="17451"/>
    <cellStyle name="Обычный 5 12 9 4 2" xfId="17452"/>
    <cellStyle name="Обычный 5 12 9 4 2 2" xfId="17453"/>
    <cellStyle name="Обычный 5 12 9 4 2 2 2" xfId="47325"/>
    <cellStyle name="Обычный 5 12 9 4 2 3" xfId="47326"/>
    <cellStyle name="Обычный 5 12 9 4 3" xfId="17454"/>
    <cellStyle name="Обычный 5 12 9 4 3 2" xfId="47327"/>
    <cellStyle name="Обычный 5 12 9 4 4" xfId="47328"/>
    <cellStyle name="Обычный 5 12 9 5" xfId="17455"/>
    <cellStyle name="Обычный 5 12 9 5 2" xfId="17456"/>
    <cellStyle name="Обычный 5 12 9 5 2 2" xfId="47329"/>
    <cellStyle name="Обычный 5 12 9 5 3" xfId="47330"/>
    <cellStyle name="Обычный 5 12 9 6" xfId="17457"/>
    <cellStyle name="Обычный 5 12 9 6 2" xfId="47331"/>
    <cellStyle name="Обычный 5 12 9 7" xfId="17458"/>
    <cellStyle name="Обычный 5 12 9 7 2" xfId="47332"/>
    <cellStyle name="Обычный 5 12 9 8" xfId="47333"/>
    <cellStyle name="Обычный 5 120" xfId="17459"/>
    <cellStyle name="Обычный 5 120 2" xfId="17460"/>
    <cellStyle name="Обычный 5 120 2 2" xfId="17461"/>
    <cellStyle name="Обычный 5 120 2 2 2" xfId="47334"/>
    <cellStyle name="Обычный 5 120 2 3" xfId="47335"/>
    <cellStyle name="Обычный 5 120 3" xfId="17462"/>
    <cellStyle name="Обычный 5 120 3 2" xfId="47336"/>
    <cellStyle name="Обычный 5 120 4" xfId="47337"/>
    <cellStyle name="Обычный 5 121" xfId="17463"/>
    <cellStyle name="Обычный 5 121 2" xfId="17464"/>
    <cellStyle name="Обычный 5 121 2 2" xfId="17465"/>
    <cellStyle name="Обычный 5 121 2 2 2" xfId="47338"/>
    <cellStyle name="Обычный 5 121 2 3" xfId="47339"/>
    <cellStyle name="Обычный 5 121 3" xfId="17466"/>
    <cellStyle name="Обычный 5 121 3 2" xfId="47340"/>
    <cellStyle name="Обычный 5 121 4" xfId="47341"/>
    <cellStyle name="Обычный 5 122" xfId="17467"/>
    <cellStyle name="Обычный 5 122 2" xfId="17468"/>
    <cellStyle name="Обычный 5 122 2 2" xfId="17469"/>
    <cellStyle name="Обычный 5 122 2 2 2" xfId="47342"/>
    <cellStyle name="Обычный 5 122 2 3" xfId="47343"/>
    <cellStyle name="Обычный 5 122 3" xfId="17470"/>
    <cellStyle name="Обычный 5 122 3 2" xfId="47344"/>
    <cellStyle name="Обычный 5 122 4" xfId="47345"/>
    <cellStyle name="Обычный 5 123" xfId="17471"/>
    <cellStyle name="Обычный 5 123 2" xfId="17472"/>
    <cellStyle name="Обычный 5 123 2 2" xfId="17473"/>
    <cellStyle name="Обычный 5 123 2 2 2" xfId="47346"/>
    <cellStyle name="Обычный 5 123 2 3" xfId="47347"/>
    <cellStyle name="Обычный 5 123 3" xfId="17474"/>
    <cellStyle name="Обычный 5 123 3 2" xfId="47348"/>
    <cellStyle name="Обычный 5 123 4" xfId="47349"/>
    <cellStyle name="Обычный 5 124" xfId="17475"/>
    <cellStyle name="Обычный 5 124 2" xfId="17476"/>
    <cellStyle name="Обычный 5 124 2 2" xfId="17477"/>
    <cellStyle name="Обычный 5 124 2 2 2" xfId="47350"/>
    <cellStyle name="Обычный 5 124 2 3" xfId="47351"/>
    <cellStyle name="Обычный 5 124 3" xfId="17478"/>
    <cellStyle name="Обычный 5 124 3 2" xfId="47352"/>
    <cellStyle name="Обычный 5 124 4" xfId="47353"/>
    <cellStyle name="Обычный 5 125" xfId="17479"/>
    <cellStyle name="Обычный 5 125 2" xfId="17480"/>
    <cellStyle name="Обычный 5 125 2 2" xfId="47354"/>
    <cellStyle name="Обычный 5 125 3" xfId="47355"/>
    <cellStyle name="Обычный 5 126" xfId="17481"/>
    <cellStyle name="Обычный 5 126 2" xfId="47356"/>
    <cellStyle name="Обычный 5 127" xfId="17482"/>
    <cellStyle name="Обычный 5 127 2" xfId="47357"/>
    <cellStyle name="Обычный 5 128" xfId="17483"/>
    <cellStyle name="Обычный 5 128 2" xfId="47358"/>
    <cellStyle name="Обычный 5 129" xfId="17484"/>
    <cellStyle name="Обычный 5 129 2" xfId="47359"/>
    <cellStyle name="Обычный 5 13" xfId="17485"/>
    <cellStyle name="Обычный 5 13 10" xfId="17486"/>
    <cellStyle name="Обычный 5 13 10 2" xfId="17487"/>
    <cellStyle name="Обычный 5 13 10 2 2" xfId="17488"/>
    <cellStyle name="Обычный 5 13 10 2 2 2" xfId="17489"/>
    <cellStyle name="Обычный 5 13 10 2 2 2 2" xfId="47360"/>
    <cellStyle name="Обычный 5 13 10 2 2 3" xfId="47361"/>
    <cellStyle name="Обычный 5 13 10 2 3" xfId="17490"/>
    <cellStyle name="Обычный 5 13 10 2 3 2" xfId="47362"/>
    <cellStyle name="Обычный 5 13 10 2 4" xfId="47363"/>
    <cellStyle name="Обычный 5 13 10 3" xfId="17491"/>
    <cellStyle name="Обычный 5 13 10 3 2" xfId="17492"/>
    <cellStyle name="Обычный 5 13 10 3 2 2" xfId="17493"/>
    <cellStyle name="Обычный 5 13 10 3 2 2 2" xfId="47364"/>
    <cellStyle name="Обычный 5 13 10 3 2 3" xfId="47365"/>
    <cellStyle name="Обычный 5 13 10 3 3" xfId="17494"/>
    <cellStyle name="Обычный 5 13 10 3 3 2" xfId="47366"/>
    <cellStyle name="Обычный 5 13 10 3 4" xfId="47367"/>
    <cellStyle name="Обычный 5 13 10 4" xfId="17495"/>
    <cellStyle name="Обычный 5 13 10 4 2" xfId="17496"/>
    <cellStyle name="Обычный 5 13 10 4 2 2" xfId="17497"/>
    <cellStyle name="Обычный 5 13 10 4 2 2 2" xfId="47368"/>
    <cellStyle name="Обычный 5 13 10 4 2 3" xfId="47369"/>
    <cellStyle name="Обычный 5 13 10 4 3" xfId="17498"/>
    <cellStyle name="Обычный 5 13 10 4 3 2" xfId="47370"/>
    <cellStyle name="Обычный 5 13 10 4 4" xfId="47371"/>
    <cellStyle name="Обычный 5 13 10 5" xfId="17499"/>
    <cellStyle name="Обычный 5 13 10 5 2" xfId="17500"/>
    <cellStyle name="Обычный 5 13 10 5 2 2" xfId="47372"/>
    <cellStyle name="Обычный 5 13 10 5 3" xfId="47373"/>
    <cellStyle name="Обычный 5 13 10 6" xfId="17501"/>
    <cellStyle name="Обычный 5 13 10 6 2" xfId="47374"/>
    <cellStyle name="Обычный 5 13 10 7" xfId="17502"/>
    <cellStyle name="Обычный 5 13 10 7 2" xfId="47375"/>
    <cellStyle name="Обычный 5 13 10 8" xfId="47376"/>
    <cellStyle name="Обычный 5 13 11" xfId="17503"/>
    <cellStyle name="Обычный 5 13 11 2" xfId="17504"/>
    <cellStyle name="Обычный 5 13 11 2 2" xfId="17505"/>
    <cellStyle name="Обычный 5 13 11 2 2 2" xfId="17506"/>
    <cellStyle name="Обычный 5 13 11 2 2 2 2" xfId="47377"/>
    <cellStyle name="Обычный 5 13 11 2 2 3" xfId="47378"/>
    <cellStyle name="Обычный 5 13 11 2 3" xfId="17507"/>
    <cellStyle name="Обычный 5 13 11 2 3 2" xfId="47379"/>
    <cellStyle name="Обычный 5 13 11 2 4" xfId="47380"/>
    <cellStyle name="Обычный 5 13 11 3" xfId="17508"/>
    <cellStyle name="Обычный 5 13 11 3 2" xfId="17509"/>
    <cellStyle name="Обычный 5 13 11 3 2 2" xfId="17510"/>
    <cellStyle name="Обычный 5 13 11 3 2 2 2" xfId="47381"/>
    <cellStyle name="Обычный 5 13 11 3 2 3" xfId="47382"/>
    <cellStyle name="Обычный 5 13 11 3 3" xfId="17511"/>
    <cellStyle name="Обычный 5 13 11 3 3 2" xfId="47383"/>
    <cellStyle name="Обычный 5 13 11 3 4" xfId="47384"/>
    <cellStyle name="Обычный 5 13 11 4" xfId="17512"/>
    <cellStyle name="Обычный 5 13 11 4 2" xfId="17513"/>
    <cellStyle name="Обычный 5 13 11 4 2 2" xfId="17514"/>
    <cellStyle name="Обычный 5 13 11 4 2 2 2" xfId="47385"/>
    <cellStyle name="Обычный 5 13 11 4 2 3" xfId="47386"/>
    <cellStyle name="Обычный 5 13 11 4 3" xfId="17515"/>
    <cellStyle name="Обычный 5 13 11 4 3 2" xfId="47387"/>
    <cellStyle name="Обычный 5 13 11 4 4" xfId="47388"/>
    <cellStyle name="Обычный 5 13 11 5" xfId="17516"/>
    <cellStyle name="Обычный 5 13 11 5 2" xfId="17517"/>
    <cellStyle name="Обычный 5 13 11 5 2 2" xfId="47389"/>
    <cellStyle name="Обычный 5 13 11 5 3" xfId="47390"/>
    <cellStyle name="Обычный 5 13 11 6" xfId="17518"/>
    <cellStyle name="Обычный 5 13 11 6 2" xfId="47391"/>
    <cellStyle name="Обычный 5 13 11 7" xfId="17519"/>
    <cellStyle name="Обычный 5 13 11 7 2" xfId="47392"/>
    <cellStyle name="Обычный 5 13 11 8" xfId="47393"/>
    <cellStyle name="Обычный 5 13 12" xfId="17520"/>
    <cellStyle name="Обычный 5 13 12 2" xfId="17521"/>
    <cellStyle name="Обычный 5 13 12 2 2" xfId="17522"/>
    <cellStyle name="Обычный 5 13 12 2 2 2" xfId="17523"/>
    <cellStyle name="Обычный 5 13 12 2 2 2 2" xfId="47394"/>
    <cellStyle name="Обычный 5 13 12 2 2 3" xfId="47395"/>
    <cellStyle name="Обычный 5 13 12 2 3" xfId="17524"/>
    <cellStyle name="Обычный 5 13 12 2 3 2" xfId="47396"/>
    <cellStyle name="Обычный 5 13 12 2 4" xfId="47397"/>
    <cellStyle name="Обычный 5 13 12 3" xfId="17525"/>
    <cellStyle name="Обычный 5 13 12 3 2" xfId="17526"/>
    <cellStyle name="Обычный 5 13 12 3 2 2" xfId="17527"/>
    <cellStyle name="Обычный 5 13 12 3 2 2 2" xfId="47398"/>
    <cellStyle name="Обычный 5 13 12 3 2 3" xfId="47399"/>
    <cellStyle name="Обычный 5 13 12 3 3" xfId="17528"/>
    <cellStyle name="Обычный 5 13 12 3 3 2" xfId="47400"/>
    <cellStyle name="Обычный 5 13 12 3 4" xfId="47401"/>
    <cellStyle name="Обычный 5 13 12 4" xfId="17529"/>
    <cellStyle name="Обычный 5 13 12 4 2" xfId="17530"/>
    <cellStyle name="Обычный 5 13 12 4 2 2" xfId="17531"/>
    <cellStyle name="Обычный 5 13 12 4 2 2 2" xfId="47402"/>
    <cellStyle name="Обычный 5 13 12 4 2 3" xfId="47403"/>
    <cellStyle name="Обычный 5 13 12 4 3" xfId="17532"/>
    <cellStyle name="Обычный 5 13 12 4 3 2" xfId="47404"/>
    <cellStyle name="Обычный 5 13 12 4 4" xfId="47405"/>
    <cellStyle name="Обычный 5 13 12 5" xfId="17533"/>
    <cellStyle name="Обычный 5 13 12 5 2" xfId="17534"/>
    <cellStyle name="Обычный 5 13 12 5 2 2" xfId="47406"/>
    <cellStyle name="Обычный 5 13 12 5 3" xfId="47407"/>
    <cellStyle name="Обычный 5 13 12 6" xfId="17535"/>
    <cellStyle name="Обычный 5 13 12 6 2" xfId="47408"/>
    <cellStyle name="Обычный 5 13 12 7" xfId="17536"/>
    <cellStyle name="Обычный 5 13 12 7 2" xfId="47409"/>
    <cellStyle name="Обычный 5 13 12 8" xfId="47410"/>
    <cellStyle name="Обычный 5 13 13" xfId="17537"/>
    <cellStyle name="Обычный 5 13 13 2" xfId="17538"/>
    <cellStyle name="Обычный 5 13 13 2 2" xfId="17539"/>
    <cellStyle name="Обычный 5 13 13 2 2 2" xfId="17540"/>
    <cellStyle name="Обычный 5 13 13 2 2 2 2" xfId="47411"/>
    <cellStyle name="Обычный 5 13 13 2 2 3" xfId="47412"/>
    <cellStyle name="Обычный 5 13 13 2 3" xfId="17541"/>
    <cellStyle name="Обычный 5 13 13 2 3 2" xfId="47413"/>
    <cellStyle name="Обычный 5 13 13 2 4" xfId="47414"/>
    <cellStyle name="Обычный 5 13 13 3" xfId="17542"/>
    <cellStyle name="Обычный 5 13 13 3 2" xfId="17543"/>
    <cellStyle name="Обычный 5 13 13 3 2 2" xfId="17544"/>
    <cellStyle name="Обычный 5 13 13 3 2 2 2" xfId="47415"/>
    <cellStyle name="Обычный 5 13 13 3 2 3" xfId="47416"/>
    <cellStyle name="Обычный 5 13 13 3 3" xfId="17545"/>
    <cellStyle name="Обычный 5 13 13 3 3 2" xfId="47417"/>
    <cellStyle name="Обычный 5 13 13 3 4" xfId="47418"/>
    <cellStyle name="Обычный 5 13 13 4" xfId="17546"/>
    <cellStyle name="Обычный 5 13 13 4 2" xfId="17547"/>
    <cellStyle name="Обычный 5 13 13 4 2 2" xfId="17548"/>
    <cellStyle name="Обычный 5 13 13 4 2 2 2" xfId="47419"/>
    <cellStyle name="Обычный 5 13 13 4 2 3" xfId="47420"/>
    <cellStyle name="Обычный 5 13 13 4 3" xfId="17549"/>
    <cellStyle name="Обычный 5 13 13 4 3 2" xfId="47421"/>
    <cellStyle name="Обычный 5 13 13 4 4" xfId="47422"/>
    <cellStyle name="Обычный 5 13 13 5" xfId="17550"/>
    <cellStyle name="Обычный 5 13 13 5 2" xfId="17551"/>
    <cellStyle name="Обычный 5 13 13 5 2 2" xfId="47423"/>
    <cellStyle name="Обычный 5 13 13 5 3" xfId="47424"/>
    <cellStyle name="Обычный 5 13 13 6" xfId="17552"/>
    <cellStyle name="Обычный 5 13 13 6 2" xfId="47425"/>
    <cellStyle name="Обычный 5 13 13 7" xfId="17553"/>
    <cellStyle name="Обычный 5 13 13 7 2" xfId="47426"/>
    <cellStyle name="Обычный 5 13 13 8" xfId="47427"/>
    <cellStyle name="Обычный 5 13 14" xfId="17554"/>
    <cellStyle name="Обычный 5 13 14 2" xfId="17555"/>
    <cellStyle name="Обычный 5 13 14 2 2" xfId="17556"/>
    <cellStyle name="Обычный 5 13 14 2 2 2" xfId="17557"/>
    <cellStyle name="Обычный 5 13 14 2 2 2 2" xfId="47428"/>
    <cellStyle name="Обычный 5 13 14 2 2 3" xfId="47429"/>
    <cellStyle name="Обычный 5 13 14 2 3" xfId="17558"/>
    <cellStyle name="Обычный 5 13 14 2 3 2" xfId="47430"/>
    <cellStyle name="Обычный 5 13 14 2 4" xfId="47431"/>
    <cellStyle name="Обычный 5 13 14 3" xfId="17559"/>
    <cellStyle name="Обычный 5 13 14 3 2" xfId="17560"/>
    <cellStyle name="Обычный 5 13 14 3 2 2" xfId="17561"/>
    <cellStyle name="Обычный 5 13 14 3 2 2 2" xfId="47432"/>
    <cellStyle name="Обычный 5 13 14 3 2 3" xfId="47433"/>
    <cellStyle name="Обычный 5 13 14 3 3" xfId="17562"/>
    <cellStyle name="Обычный 5 13 14 3 3 2" xfId="47434"/>
    <cellStyle name="Обычный 5 13 14 3 4" xfId="47435"/>
    <cellStyle name="Обычный 5 13 14 4" xfId="17563"/>
    <cellStyle name="Обычный 5 13 14 4 2" xfId="17564"/>
    <cellStyle name="Обычный 5 13 14 4 2 2" xfId="17565"/>
    <cellStyle name="Обычный 5 13 14 4 2 2 2" xfId="47436"/>
    <cellStyle name="Обычный 5 13 14 4 2 3" xfId="47437"/>
    <cellStyle name="Обычный 5 13 14 4 3" xfId="17566"/>
    <cellStyle name="Обычный 5 13 14 4 3 2" xfId="47438"/>
    <cellStyle name="Обычный 5 13 14 4 4" xfId="47439"/>
    <cellStyle name="Обычный 5 13 14 5" xfId="17567"/>
    <cellStyle name="Обычный 5 13 14 5 2" xfId="17568"/>
    <cellStyle name="Обычный 5 13 14 5 2 2" xfId="47440"/>
    <cellStyle name="Обычный 5 13 14 5 3" xfId="47441"/>
    <cellStyle name="Обычный 5 13 14 6" xfId="17569"/>
    <cellStyle name="Обычный 5 13 14 6 2" xfId="47442"/>
    <cellStyle name="Обычный 5 13 14 7" xfId="17570"/>
    <cellStyle name="Обычный 5 13 14 7 2" xfId="47443"/>
    <cellStyle name="Обычный 5 13 14 8" xfId="47444"/>
    <cellStyle name="Обычный 5 13 15" xfId="17571"/>
    <cellStyle name="Обычный 5 13 15 2" xfId="17572"/>
    <cellStyle name="Обычный 5 13 15 2 2" xfId="17573"/>
    <cellStyle name="Обычный 5 13 15 2 2 2" xfId="17574"/>
    <cellStyle name="Обычный 5 13 15 2 2 2 2" xfId="47445"/>
    <cellStyle name="Обычный 5 13 15 2 2 3" xfId="47446"/>
    <cellStyle name="Обычный 5 13 15 2 3" xfId="17575"/>
    <cellStyle name="Обычный 5 13 15 2 3 2" xfId="47447"/>
    <cellStyle name="Обычный 5 13 15 2 4" xfId="47448"/>
    <cellStyle name="Обычный 5 13 15 3" xfId="17576"/>
    <cellStyle name="Обычный 5 13 15 3 2" xfId="17577"/>
    <cellStyle name="Обычный 5 13 15 3 2 2" xfId="17578"/>
    <cellStyle name="Обычный 5 13 15 3 2 2 2" xfId="47449"/>
    <cellStyle name="Обычный 5 13 15 3 2 3" xfId="47450"/>
    <cellStyle name="Обычный 5 13 15 3 3" xfId="17579"/>
    <cellStyle name="Обычный 5 13 15 3 3 2" xfId="47451"/>
    <cellStyle name="Обычный 5 13 15 3 4" xfId="47452"/>
    <cellStyle name="Обычный 5 13 15 4" xfId="17580"/>
    <cellStyle name="Обычный 5 13 15 4 2" xfId="17581"/>
    <cellStyle name="Обычный 5 13 15 4 2 2" xfId="17582"/>
    <cellStyle name="Обычный 5 13 15 4 2 2 2" xfId="47453"/>
    <cellStyle name="Обычный 5 13 15 4 2 3" xfId="47454"/>
    <cellStyle name="Обычный 5 13 15 4 3" xfId="17583"/>
    <cellStyle name="Обычный 5 13 15 4 3 2" xfId="47455"/>
    <cellStyle name="Обычный 5 13 15 4 4" xfId="47456"/>
    <cellStyle name="Обычный 5 13 15 5" xfId="17584"/>
    <cellStyle name="Обычный 5 13 15 5 2" xfId="17585"/>
    <cellStyle name="Обычный 5 13 15 5 2 2" xfId="47457"/>
    <cellStyle name="Обычный 5 13 15 5 3" xfId="47458"/>
    <cellStyle name="Обычный 5 13 15 6" xfId="17586"/>
    <cellStyle name="Обычный 5 13 15 6 2" xfId="47459"/>
    <cellStyle name="Обычный 5 13 15 7" xfId="17587"/>
    <cellStyle name="Обычный 5 13 15 7 2" xfId="47460"/>
    <cellStyle name="Обычный 5 13 15 8" xfId="47461"/>
    <cellStyle name="Обычный 5 13 16" xfId="17588"/>
    <cellStyle name="Обычный 5 13 16 2" xfId="17589"/>
    <cellStyle name="Обычный 5 13 16 2 2" xfId="17590"/>
    <cellStyle name="Обычный 5 13 16 2 2 2" xfId="17591"/>
    <cellStyle name="Обычный 5 13 16 2 2 2 2" xfId="47462"/>
    <cellStyle name="Обычный 5 13 16 2 2 3" xfId="47463"/>
    <cellStyle name="Обычный 5 13 16 2 3" xfId="17592"/>
    <cellStyle name="Обычный 5 13 16 2 3 2" xfId="47464"/>
    <cellStyle name="Обычный 5 13 16 2 4" xfId="47465"/>
    <cellStyle name="Обычный 5 13 16 3" xfId="17593"/>
    <cellStyle name="Обычный 5 13 16 3 2" xfId="17594"/>
    <cellStyle name="Обычный 5 13 16 3 2 2" xfId="17595"/>
    <cellStyle name="Обычный 5 13 16 3 2 2 2" xfId="47466"/>
    <cellStyle name="Обычный 5 13 16 3 2 3" xfId="47467"/>
    <cellStyle name="Обычный 5 13 16 3 3" xfId="17596"/>
    <cellStyle name="Обычный 5 13 16 3 3 2" xfId="47468"/>
    <cellStyle name="Обычный 5 13 16 3 4" xfId="47469"/>
    <cellStyle name="Обычный 5 13 16 4" xfId="17597"/>
    <cellStyle name="Обычный 5 13 16 4 2" xfId="17598"/>
    <cellStyle name="Обычный 5 13 16 4 2 2" xfId="17599"/>
    <cellStyle name="Обычный 5 13 16 4 2 2 2" xfId="47470"/>
    <cellStyle name="Обычный 5 13 16 4 2 3" xfId="47471"/>
    <cellStyle name="Обычный 5 13 16 4 3" xfId="17600"/>
    <cellStyle name="Обычный 5 13 16 4 3 2" xfId="47472"/>
    <cellStyle name="Обычный 5 13 16 4 4" xfId="47473"/>
    <cellStyle name="Обычный 5 13 16 5" xfId="17601"/>
    <cellStyle name="Обычный 5 13 16 5 2" xfId="17602"/>
    <cellStyle name="Обычный 5 13 16 5 2 2" xfId="47474"/>
    <cellStyle name="Обычный 5 13 16 5 3" xfId="47475"/>
    <cellStyle name="Обычный 5 13 16 6" xfId="17603"/>
    <cellStyle name="Обычный 5 13 16 6 2" xfId="47476"/>
    <cellStyle name="Обычный 5 13 16 7" xfId="17604"/>
    <cellStyle name="Обычный 5 13 16 7 2" xfId="47477"/>
    <cellStyle name="Обычный 5 13 16 8" xfId="47478"/>
    <cellStyle name="Обычный 5 13 17" xfId="17605"/>
    <cellStyle name="Обычный 5 13 17 2" xfId="17606"/>
    <cellStyle name="Обычный 5 13 17 2 2" xfId="17607"/>
    <cellStyle name="Обычный 5 13 17 2 2 2" xfId="17608"/>
    <cellStyle name="Обычный 5 13 17 2 2 2 2" xfId="47479"/>
    <cellStyle name="Обычный 5 13 17 2 2 3" xfId="47480"/>
    <cellStyle name="Обычный 5 13 17 2 3" xfId="17609"/>
    <cellStyle name="Обычный 5 13 17 2 3 2" xfId="47481"/>
    <cellStyle name="Обычный 5 13 17 2 4" xfId="47482"/>
    <cellStyle name="Обычный 5 13 17 3" xfId="17610"/>
    <cellStyle name="Обычный 5 13 17 3 2" xfId="17611"/>
    <cellStyle name="Обычный 5 13 17 3 2 2" xfId="17612"/>
    <cellStyle name="Обычный 5 13 17 3 2 2 2" xfId="47483"/>
    <cellStyle name="Обычный 5 13 17 3 2 3" xfId="47484"/>
    <cellStyle name="Обычный 5 13 17 3 3" xfId="17613"/>
    <cellStyle name="Обычный 5 13 17 3 3 2" xfId="47485"/>
    <cellStyle name="Обычный 5 13 17 3 4" xfId="47486"/>
    <cellStyle name="Обычный 5 13 17 4" xfId="17614"/>
    <cellStyle name="Обычный 5 13 17 4 2" xfId="17615"/>
    <cellStyle name="Обычный 5 13 17 4 2 2" xfId="17616"/>
    <cellStyle name="Обычный 5 13 17 4 2 2 2" xfId="47487"/>
    <cellStyle name="Обычный 5 13 17 4 2 3" xfId="47488"/>
    <cellStyle name="Обычный 5 13 17 4 3" xfId="17617"/>
    <cellStyle name="Обычный 5 13 17 4 3 2" xfId="47489"/>
    <cellStyle name="Обычный 5 13 17 4 4" xfId="47490"/>
    <cellStyle name="Обычный 5 13 17 5" xfId="17618"/>
    <cellStyle name="Обычный 5 13 17 5 2" xfId="17619"/>
    <cellStyle name="Обычный 5 13 17 5 2 2" xfId="47491"/>
    <cellStyle name="Обычный 5 13 17 5 3" xfId="47492"/>
    <cellStyle name="Обычный 5 13 17 6" xfId="17620"/>
    <cellStyle name="Обычный 5 13 17 6 2" xfId="47493"/>
    <cellStyle name="Обычный 5 13 17 7" xfId="17621"/>
    <cellStyle name="Обычный 5 13 17 7 2" xfId="47494"/>
    <cellStyle name="Обычный 5 13 17 8" xfId="47495"/>
    <cellStyle name="Обычный 5 13 18" xfId="17622"/>
    <cellStyle name="Обычный 5 13 18 2" xfId="17623"/>
    <cellStyle name="Обычный 5 13 18 2 2" xfId="17624"/>
    <cellStyle name="Обычный 5 13 18 2 2 2" xfId="17625"/>
    <cellStyle name="Обычный 5 13 18 2 2 2 2" xfId="47496"/>
    <cellStyle name="Обычный 5 13 18 2 2 3" xfId="47497"/>
    <cellStyle name="Обычный 5 13 18 2 3" xfId="17626"/>
    <cellStyle name="Обычный 5 13 18 2 3 2" xfId="47498"/>
    <cellStyle name="Обычный 5 13 18 2 4" xfId="47499"/>
    <cellStyle name="Обычный 5 13 18 3" xfId="17627"/>
    <cellStyle name="Обычный 5 13 18 3 2" xfId="17628"/>
    <cellStyle name="Обычный 5 13 18 3 2 2" xfId="17629"/>
    <cellStyle name="Обычный 5 13 18 3 2 2 2" xfId="47500"/>
    <cellStyle name="Обычный 5 13 18 3 2 3" xfId="47501"/>
    <cellStyle name="Обычный 5 13 18 3 3" xfId="17630"/>
    <cellStyle name="Обычный 5 13 18 3 3 2" xfId="47502"/>
    <cellStyle name="Обычный 5 13 18 3 4" xfId="47503"/>
    <cellStyle name="Обычный 5 13 18 4" xfId="17631"/>
    <cellStyle name="Обычный 5 13 18 4 2" xfId="17632"/>
    <cellStyle name="Обычный 5 13 18 4 2 2" xfId="17633"/>
    <cellStyle name="Обычный 5 13 18 4 2 2 2" xfId="47504"/>
    <cellStyle name="Обычный 5 13 18 4 2 3" xfId="47505"/>
    <cellStyle name="Обычный 5 13 18 4 3" xfId="17634"/>
    <cellStyle name="Обычный 5 13 18 4 3 2" xfId="47506"/>
    <cellStyle name="Обычный 5 13 18 4 4" xfId="47507"/>
    <cellStyle name="Обычный 5 13 18 5" xfId="17635"/>
    <cellStyle name="Обычный 5 13 18 5 2" xfId="17636"/>
    <cellStyle name="Обычный 5 13 18 5 2 2" xfId="47508"/>
    <cellStyle name="Обычный 5 13 18 5 3" xfId="47509"/>
    <cellStyle name="Обычный 5 13 18 6" xfId="17637"/>
    <cellStyle name="Обычный 5 13 18 6 2" xfId="47510"/>
    <cellStyle name="Обычный 5 13 18 7" xfId="17638"/>
    <cellStyle name="Обычный 5 13 18 7 2" xfId="47511"/>
    <cellStyle name="Обычный 5 13 18 8" xfId="47512"/>
    <cellStyle name="Обычный 5 13 19" xfId="17639"/>
    <cellStyle name="Обычный 5 13 19 2" xfId="17640"/>
    <cellStyle name="Обычный 5 13 19 2 2" xfId="17641"/>
    <cellStyle name="Обычный 5 13 19 2 2 2" xfId="17642"/>
    <cellStyle name="Обычный 5 13 19 2 2 2 2" xfId="47513"/>
    <cellStyle name="Обычный 5 13 19 2 2 3" xfId="47514"/>
    <cellStyle name="Обычный 5 13 19 2 3" xfId="17643"/>
    <cellStyle name="Обычный 5 13 19 2 3 2" xfId="47515"/>
    <cellStyle name="Обычный 5 13 19 2 4" xfId="47516"/>
    <cellStyle name="Обычный 5 13 19 3" xfId="17644"/>
    <cellStyle name="Обычный 5 13 19 3 2" xfId="17645"/>
    <cellStyle name="Обычный 5 13 19 3 2 2" xfId="17646"/>
    <cellStyle name="Обычный 5 13 19 3 2 2 2" xfId="47517"/>
    <cellStyle name="Обычный 5 13 19 3 2 3" xfId="47518"/>
    <cellStyle name="Обычный 5 13 19 3 3" xfId="17647"/>
    <cellStyle name="Обычный 5 13 19 3 3 2" xfId="47519"/>
    <cellStyle name="Обычный 5 13 19 3 4" xfId="47520"/>
    <cellStyle name="Обычный 5 13 19 4" xfId="17648"/>
    <cellStyle name="Обычный 5 13 19 4 2" xfId="17649"/>
    <cellStyle name="Обычный 5 13 19 4 2 2" xfId="17650"/>
    <cellStyle name="Обычный 5 13 19 4 2 2 2" xfId="47521"/>
    <cellStyle name="Обычный 5 13 19 4 2 3" xfId="47522"/>
    <cellStyle name="Обычный 5 13 19 4 3" xfId="17651"/>
    <cellStyle name="Обычный 5 13 19 4 3 2" xfId="47523"/>
    <cellStyle name="Обычный 5 13 19 4 4" xfId="47524"/>
    <cellStyle name="Обычный 5 13 19 5" xfId="17652"/>
    <cellStyle name="Обычный 5 13 19 5 2" xfId="17653"/>
    <cellStyle name="Обычный 5 13 19 5 2 2" xfId="47525"/>
    <cellStyle name="Обычный 5 13 19 5 3" xfId="47526"/>
    <cellStyle name="Обычный 5 13 19 6" xfId="17654"/>
    <cellStyle name="Обычный 5 13 19 6 2" xfId="47527"/>
    <cellStyle name="Обычный 5 13 19 7" xfId="17655"/>
    <cellStyle name="Обычный 5 13 19 7 2" xfId="47528"/>
    <cellStyle name="Обычный 5 13 19 8" xfId="47529"/>
    <cellStyle name="Обычный 5 13 2" xfId="17656"/>
    <cellStyle name="Обычный 5 13 2 2" xfId="17657"/>
    <cellStyle name="Обычный 5 13 2 2 2" xfId="17658"/>
    <cellStyle name="Обычный 5 13 2 2 2 2" xfId="17659"/>
    <cellStyle name="Обычный 5 13 2 2 2 2 2" xfId="47530"/>
    <cellStyle name="Обычный 5 13 2 2 2 3" xfId="47531"/>
    <cellStyle name="Обычный 5 13 2 2 3" xfId="17660"/>
    <cellStyle name="Обычный 5 13 2 2 3 2" xfId="47532"/>
    <cellStyle name="Обычный 5 13 2 2 4" xfId="47533"/>
    <cellStyle name="Обычный 5 13 2 3" xfId="17661"/>
    <cellStyle name="Обычный 5 13 2 3 2" xfId="17662"/>
    <cellStyle name="Обычный 5 13 2 3 2 2" xfId="17663"/>
    <cellStyle name="Обычный 5 13 2 3 2 2 2" xfId="47534"/>
    <cellStyle name="Обычный 5 13 2 3 2 3" xfId="47535"/>
    <cellStyle name="Обычный 5 13 2 3 3" xfId="17664"/>
    <cellStyle name="Обычный 5 13 2 3 3 2" xfId="47536"/>
    <cellStyle name="Обычный 5 13 2 3 4" xfId="47537"/>
    <cellStyle name="Обычный 5 13 2 4" xfId="17665"/>
    <cellStyle name="Обычный 5 13 2 4 2" xfId="17666"/>
    <cellStyle name="Обычный 5 13 2 4 2 2" xfId="17667"/>
    <cellStyle name="Обычный 5 13 2 4 2 2 2" xfId="47538"/>
    <cellStyle name="Обычный 5 13 2 4 2 3" xfId="47539"/>
    <cellStyle name="Обычный 5 13 2 4 3" xfId="17668"/>
    <cellStyle name="Обычный 5 13 2 4 3 2" xfId="47540"/>
    <cellStyle name="Обычный 5 13 2 4 4" xfId="47541"/>
    <cellStyle name="Обычный 5 13 2 5" xfId="17669"/>
    <cellStyle name="Обычный 5 13 2 5 2" xfId="17670"/>
    <cellStyle name="Обычный 5 13 2 5 2 2" xfId="47542"/>
    <cellStyle name="Обычный 5 13 2 5 3" xfId="47543"/>
    <cellStyle name="Обычный 5 13 2 6" xfId="17671"/>
    <cellStyle name="Обычный 5 13 2 6 2" xfId="47544"/>
    <cellStyle name="Обычный 5 13 2 7" xfId="17672"/>
    <cellStyle name="Обычный 5 13 2 7 2" xfId="47545"/>
    <cellStyle name="Обычный 5 13 2 8" xfId="47546"/>
    <cellStyle name="Обычный 5 13 20" xfId="17673"/>
    <cellStyle name="Обычный 5 13 20 2" xfId="17674"/>
    <cellStyle name="Обычный 5 13 20 2 2" xfId="17675"/>
    <cellStyle name="Обычный 5 13 20 2 2 2" xfId="17676"/>
    <cellStyle name="Обычный 5 13 20 2 2 2 2" xfId="47547"/>
    <cellStyle name="Обычный 5 13 20 2 2 3" xfId="47548"/>
    <cellStyle name="Обычный 5 13 20 2 3" xfId="17677"/>
    <cellStyle name="Обычный 5 13 20 2 3 2" xfId="47549"/>
    <cellStyle name="Обычный 5 13 20 2 4" xfId="47550"/>
    <cellStyle name="Обычный 5 13 20 3" xfId="17678"/>
    <cellStyle name="Обычный 5 13 20 3 2" xfId="17679"/>
    <cellStyle name="Обычный 5 13 20 3 2 2" xfId="17680"/>
    <cellStyle name="Обычный 5 13 20 3 2 2 2" xfId="47551"/>
    <cellStyle name="Обычный 5 13 20 3 2 3" xfId="47552"/>
    <cellStyle name="Обычный 5 13 20 3 3" xfId="17681"/>
    <cellStyle name="Обычный 5 13 20 3 3 2" xfId="47553"/>
    <cellStyle name="Обычный 5 13 20 3 4" xfId="47554"/>
    <cellStyle name="Обычный 5 13 20 4" xfId="17682"/>
    <cellStyle name="Обычный 5 13 20 4 2" xfId="17683"/>
    <cellStyle name="Обычный 5 13 20 4 2 2" xfId="17684"/>
    <cellStyle name="Обычный 5 13 20 4 2 2 2" xfId="47555"/>
    <cellStyle name="Обычный 5 13 20 4 2 3" xfId="47556"/>
    <cellStyle name="Обычный 5 13 20 4 3" xfId="17685"/>
    <cellStyle name="Обычный 5 13 20 4 3 2" xfId="47557"/>
    <cellStyle name="Обычный 5 13 20 4 4" xfId="47558"/>
    <cellStyle name="Обычный 5 13 20 5" xfId="17686"/>
    <cellStyle name="Обычный 5 13 20 5 2" xfId="17687"/>
    <cellStyle name="Обычный 5 13 20 5 2 2" xfId="47559"/>
    <cellStyle name="Обычный 5 13 20 5 3" xfId="47560"/>
    <cellStyle name="Обычный 5 13 20 6" xfId="17688"/>
    <cellStyle name="Обычный 5 13 20 6 2" xfId="47561"/>
    <cellStyle name="Обычный 5 13 20 7" xfId="17689"/>
    <cellStyle name="Обычный 5 13 20 7 2" xfId="47562"/>
    <cellStyle name="Обычный 5 13 20 8" xfId="47563"/>
    <cellStyle name="Обычный 5 13 21" xfId="17690"/>
    <cellStyle name="Обычный 5 13 21 2" xfId="17691"/>
    <cellStyle name="Обычный 5 13 21 2 2" xfId="17692"/>
    <cellStyle name="Обычный 5 13 21 2 2 2" xfId="17693"/>
    <cellStyle name="Обычный 5 13 21 2 2 2 2" xfId="47564"/>
    <cellStyle name="Обычный 5 13 21 2 2 3" xfId="47565"/>
    <cellStyle name="Обычный 5 13 21 2 3" xfId="17694"/>
    <cellStyle name="Обычный 5 13 21 2 3 2" xfId="47566"/>
    <cellStyle name="Обычный 5 13 21 2 4" xfId="47567"/>
    <cellStyle name="Обычный 5 13 21 3" xfId="17695"/>
    <cellStyle name="Обычный 5 13 21 3 2" xfId="17696"/>
    <cellStyle name="Обычный 5 13 21 3 2 2" xfId="17697"/>
    <cellStyle name="Обычный 5 13 21 3 2 2 2" xfId="47568"/>
    <cellStyle name="Обычный 5 13 21 3 2 3" xfId="47569"/>
    <cellStyle name="Обычный 5 13 21 3 3" xfId="17698"/>
    <cellStyle name="Обычный 5 13 21 3 3 2" xfId="47570"/>
    <cellStyle name="Обычный 5 13 21 3 4" xfId="47571"/>
    <cellStyle name="Обычный 5 13 21 4" xfId="17699"/>
    <cellStyle name="Обычный 5 13 21 4 2" xfId="17700"/>
    <cellStyle name="Обычный 5 13 21 4 2 2" xfId="17701"/>
    <cellStyle name="Обычный 5 13 21 4 2 2 2" xfId="47572"/>
    <cellStyle name="Обычный 5 13 21 4 2 3" xfId="47573"/>
    <cellStyle name="Обычный 5 13 21 4 3" xfId="17702"/>
    <cellStyle name="Обычный 5 13 21 4 3 2" xfId="47574"/>
    <cellStyle name="Обычный 5 13 21 4 4" xfId="47575"/>
    <cellStyle name="Обычный 5 13 21 5" xfId="17703"/>
    <cellStyle name="Обычный 5 13 21 5 2" xfId="17704"/>
    <cellStyle name="Обычный 5 13 21 5 2 2" xfId="47576"/>
    <cellStyle name="Обычный 5 13 21 5 3" xfId="47577"/>
    <cellStyle name="Обычный 5 13 21 6" xfId="17705"/>
    <cellStyle name="Обычный 5 13 21 6 2" xfId="47578"/>
    <cellStyle name="Обычный 5 13 21 7" xfId="17706"/>
    <cellStyle name="Обычный 5 13 21 7 2" xfId="47579"/>
    <cellStyle name="Обычный 5 13 21 8" xfId="47580"/>
    <cellStyle name="Обычный 5 13 22" xfId="17707"/>
    <cellStyle name="Обычный 5 13 22 2" xfId="17708"/>
    <cellStyle name="Обычный 5 13 22 2 2" xfId="17709"/>
    <cellStyle name="Обычный 5 13 22 2 2 2" xfId="17710"/>
    <cellStyle name="Обычный 5 13 22 2 2 2 2" xfId="47581"/>
    <cellStyle name="Обычный 5 13 22 2 2 3" xfId="47582"/>
    <cellStyle name="Обычный 5 13 22 2 3" xfId="17711"/>
    <cellStyle name="Обычный 5 13 22 2 3 2" xfId="47583"/>
    <cellStyle name="Обычный 5 13 22 2 4" xfId="47584"/>
    <cellStyle name="Обычный 5 13 22 3" xfId="17712"/>
    <cellStyle name="Обычный 5 13 22 3 2" xfId="17713"/>
    <cellStyle name="Обычный 5 13 22 3 2 2" xfId="17714"/>
    <cellStyle name="Обычный 5 13 22 3 2 2 2" xfId="47585"/>
    <cellStyle name="Обычный 5 13 22 3 2 3" xfId="47586"/>
    <cellStyle name="Обычный 5 13 22 3 3" xfId="17715"/>
    <cellStyle name="Обычный 5 13 22 3 3 2" xfId="47587"/>
    <cellStyle name="Обычный 5 13 22 3 4" xfId="47588"/>
    <cellStyle name="Обычный 5 13 22 4" xfId="17716"/>
    <cellStyle name="Обычный 5 13 22 4 2" xfId="17717"/>
    <cellStyle name="Обычный 5 13 22 4 2 2" xfId="17718"/>
    <cellStyle name="Обычный 5 13 22 4 2 2 2" xfId="47589"/>
    <cellStyle name="Обычный 5 13 22 4 2 3" xfId="47590"/>
    <cellStyle name="Обычный 5 13 22 4 3" xfId="17719"/>
    <cellStyle name="Обычный 5 13 22 4 3 2" xfId="47591"/>
    <cellStyle name="Обычный 5 13 22 4 4" xfId="47592"/>
    <cellStyle name="Обычный 5 13 22 5" xfId="17720"/>
    <cellStyle name="Обычный 5 13 22 5 2" xfId="17721"/>
    <cellStyle name="Обычный 5 13 22 5 2 2" xfId="47593"/>
    <cellStyle name="Обычный 5 13 22 5 3" xfId="47594"/>
    <cellStyle name="Обычный 5 13 22 6" xfId="17722"/>
    <cellStyle name="Обычный 5 13 22 6 2" xfId="47595"/>
    <cellStyle name="Обычный 5 13 22 7" xfId="17723"/>
    <cellStyle name="Обычный 5 13 22 7 2" xfId="47596"/>
    <cellStyle name="Обычный 5 13 22 8" xfId="47597"/>
    <cellStyle name="Обычный 5 13 23" xfId="17724"/>
    <cellStyle name="Обычный 5 13 23 2" xfId="17725"/>
    <cellStyle name="Обычный 5 13 23 2 2" xfId="17726"/>
    <cellStyle name="Обычный 5 13 23 2 2 2" xfId="17727"/>
    <cellStyle name="Обычный 5 13 23 2 2 2 2" xfId="47598"/>
    <cellStyle name="Обычный 5 13 23 2 2 3" xfId="47599"/>
    <cellStyle name="Обычный 5 13 23 2 3" xfId="17728"/>
    <cellStyle name="Обычный 5 13 23 2 3 2" xfId="47600"/>
    <cellStyle name="Обычный 5 13 23 2 4" xfId="47601"/>
    <cellStyle name="Обычный 5 13 23 3" xfId="17729"/>
    <cellStyle name="Обычный 5 13 23 3 2" xfId="17730"/>
    <cellStyle name="Обычный 5 13 23 3 2 2" xfId="17731"/>
    <cellStyle name="Обычный 5 13 23 3 2 2 2" xfId="47602"/>
    <cellStyle name="Обычный 5 13 23 3 2 3" xfId="47603"/>
    <cellStyle name="Обычный 5 13 23 3 3" xfId="17732"/>
    <cellStyle name="Обычный 5 13 23 3 3 2" xfId="47604"/>
    <cellStyle name="Обычный 5 13 23 3 4" xfId="47605"/>
    <cellStyle name="Обычный 5 13 23 4" xfId="17733"/>
    <cellStyle name="Обычный 5 13 23 4 2" xfId="17734"/>
    <cellStyle name="Обычный 5 13 23 4 2 2" xfId="17735"/>
    <cellStyle name="Обычный 5 13 23 4 2 2 2" xfId="47606"/>
    <cellStyle name="Обычный 5 13 23 4 2 3" xfId="47607"/>
    <cellStyle name="Обычный 5 13 23 4 3" xfId="17736"/>
    <cellStyle name="Обычный 5 13 23 4 3 2" xfId="47608"/>
    <cellStyle name="Обычный 5 13 23 4 4" xfId="47609"/>
    <cellStyle name="Обычный 5 13 23 5" xfId="17737"/>
    <cellStyle name="Обычный 5 13 23 5 2" xfId="17738"/>
    <cellStyle name="Обычный 5 13 23 5 2 2" xfId="47610"/>
    <cellStyle name="Обычный 5 13 23 5 3" xfId="47611"/>
    <cellStyle name="Обычный 5 13 23 6" xfId="17739"/>
    <cellStyle name="Обычный 5 13 23 6 2" xfId="47612"/>
    <cellStyle name="Обычный 5 13 23 7" xfId="17740"/>
    <cellStyle name="Обычный 5 13 23 7 2" xfId="47613"/>
    <cellStyle name="Обычный 5 13 23 8" xfId="47614"/>
    <cellStyle name="Обычный 5 13 24" xfId="17741"/>
    <cellStyle name="Обычный 5 13 24 2" xfId="17742"/>
    <cellStyle name="Обычный 5 13 24 2 2" xfId="17743"/>
    <cellStyle name="Обычный 5 13 24 2 2 2" xfId="17744"/>
    <cellStyle name="Обычный 5 13 24 2 2 2 2" xfId="47615"/>
    <cellStyle name="Обычный 5 13 24 2 2 3" xfId="47616"/>
    <cellStyle name="Обычный 5 13 24 2 3" xfId="17745"/>
    <cellStyle name="Обычный 5 13 24 2 3 2" xfId="47617"/>
    <cellStyle name="Обычный 5 13 24 2 4" xfId="47618"/>
    <cellStyle name="Обычный 5 13 24 3" xfId="17746"/>
    <cellStyle name="Обычный 5 13 24 3 2" xfId="17747"/>
    <cellStyle name="Обычный 5 13 24 3 2 2" xfId="17748"/>
    <cellStyle name="Обычный 5 13 24 3 2 2 2" xfId="47619"/>
    <cellStyle name="Обычный 5 13 24 3 2 3" xfId="47620"/>
    <cellStyle name="Обычный 5 13 24 3 3" xfId="17749"/>
    <cellStyle name="Обычный 5 13 24 3 3 2" xfId="47621"/>
    <cellStyle name="Обычный 5 13 24 3 4" xfId="47622"/>
    <cellStyle name="Обычный 5 13 24 4" xfId="17750"/>
    <cellStyle name="Обычный 5 13 24 4 2" xfId="17751"/>
    <cellStyle name="Обычный 5 13 24 4 2 2" xfId="17752"/>
    <cellStyle name="Обычный 5 13 24 4 2 2 2" xfId="47623"/>
    <cellStyle name="Обычный 5 13 24 4 2 3" xfId="47624"/>
    <cellStyle name="Обычный 5 13 24 4 3" xfId="17753"/>
    <cellStyle name="Обычный 5 13 24 4 3 2" xfId="47625"/>
    <cellStyle name="Обычный 5 13 24 4 4" xfId="47626"/>
    <cellStyle name="Обычный 5 13 24 5" xfId="17754"/>
    <cellStyle name="Обычный 5 13 24 5 2" xfId="17755"/>
    <cellStyle name="Обычный 5 13 24 5 2 2" xfId="47627"/>
    <cellStyle name="Обычный 5 13 24 5 3" xfId="47628"/>
    <cellStyle name="Обычный 5 13 24 6" xfId="17756"/>
    <cellStyle name="Обычный 5 13 24 6 2" xfId="47629"/>
    <cellStyle name="Обычный 5 13 24 7" xfId="17757"/>
    <cellStyle name="Обычный 5 13 24 7 2" xfId="47630"/>
    <cellStyle name="Обычный 5 13 24 8" xfId="47631"/>
    <cellStyle name="Обычный 5 13 25" xfId="17758"/>
    <cellStyle name="Обычный 5 13 25 2" xfId="17759"/>
    <cellStyle name="Обычный 5 13 25 2 2" xfId="17760"/>
    <cellStyle name="Обычный 5 13 25 2 2 2" xfId="17761"/>
    <cellStyle name="Обычный 5 13 25 2 2 2 2" xfId="47632"/>
    <cellStyle name="Обычный 5 13 25 2 2 3" xfId="47633"/>
    <cellStyle name="Обычный 5 13 25 2 3" xfId="17762"/>
    <cellStyle name="Обычный 5 13 25 2 3 2" xfId="47634"/>
    <cellStyle name="Обычный 5 13 25 2 4" xfId="47635"/>
    <cellStyle name="Обычный 5 13 25 3" xfId="17763"/>
    <cellStyle name="Обычный 5 13 25 3 2" xfId="17764"/>
    <cellStyle name="Обычный 5 13 25 3 2 2" xfId="17765"/>
    <cellStyle name="Обычный 5 13 25 3 2 2 2" xfId="47636"/>
    <cellStyle name="Обычный 5 13 25 3 2 3" xfId="47637"/>
    <cellStyle name="Обычный 5 13 25 3 3" xfId="17766"/>
    <cellStyle name="Обычный 5 13 25 3 3 2" xfId="47638"/>
    <cellStyle name="Обычный 5 13 25 3 4" xfId="47639"/>
    <cellStyle name="Обычный 5 13 25 4" xfId="17767"/>
    <cellStyle name="Обычный 5 13 25 4 2" xfId="17768"/>
    <cellStyle name="Обычный 5 13 25 4 2 2" xfId="17769"/>
    <cellStyle name="Обычный 5 13 25 4 2 2 2" xfId="47640"/>
    <cellStyle name="Обычный 5 13 25 4 2 3" xfId="47641"/>
    <cellStyle name="Обычный 5 13 25 4 3" xfId="17770"/>
    <cellStyle name="Обычный 5 13 25 4 3 2" xfId="47642"/>
    <cellStyle name="Обычный 5 13 25 4 4" xfId="47643"/>
    <cellStyle name="Обычный 5 13 25 5" xfId="17771"/>
    <cellStyle name="Обычный 5 13 25 5 2" xfId="17772"/>
    <cellStyle name="Обычный 5 13 25 5 2 2" xfId="47644"/>
    <cellStyle name="Обычный 5 13 25 5 3" xfId="47645"/>
    <cellStyle name="Обычный 5 13 25 6" xfId="17773"/>
    <cellStyle name="Обычный 5 13 25 6 2" xfId="47646"/>
    <cellStyle name="Обычный 5 13 25 7" xfId="17774"/>
    <cellStyle name="Обычный 5 13 25 7 2" xfId="47647"/>
    <cellStyle name="Обычный 5 13 25 8" xfId="47648"/>
    <cellStyle name="Обычный 5 13 26" xfId="17775"/>
    <cellStyle name="Обычный 5 13 26 2" xfId="17776"/>
    <cellStyle name="Обычный 5 13 26 2 2" xfId="17777"/>
    <cellStyle name="Обычный 5 13 26 2 2 2" xfId="17778"/>
    <cellStyle name="Обычный 5 13 26 2 2 2 2" xfId="47649"/>
    <cellStyle name="Обычный 5 13 26 2 2 3" xfId="47650"/>
    <cellStyle name="Обычный 5 13 26 2 3" xfId="17779"/>
    <cellStyle name="Обычный 5 13 26 2 3 2" xfId="47651"/>
    <cellStyle name="Обычный 5 13 26 2 4" xfId="47652"/>
    <cellStyle name="Обычный 5 13 26 3" xfId="17780"/>
    <cellStyle name="Обычный 5 13 26 3 2" xfId="17781"/>
    <cellStyle name="Обычный 5 13 26 3 2 2" xfId="17782"/>
    <cellStyle name="Обычный 5 13 26 3 2 2 2" xfId="47653"/>
    <cellStyle name="Обычный 5 13 26 3 2 3" xfId="47654"/>
    <cellStyle name="Обычный 5 13 26 3 3" xfId="17783"/>
    <cellStyle name="Обычный 5 13 26 3 3 2" xfId="47655"/>
    <cellStyle name="Обычный 5 13 26 3 4" xfId="47656"/>
    <cellStyle name="Обычный 5 13 26 4" xfId="17784"/>
    <cellStyle name="Обычный 5 13 26 4 2" xfId="17785"/>
    <cellStyle name="Обычный 5 13 26 4 2 2" xfId="17786"/>
    <cellStyle name="Обычный 5 13 26 4 2 2 2" xfId="47657"/>
    <cellStyle name="Обычный 5 13 26 4 2 3" xfId="47658"/>
    <cellStyle name="Обычный 5 13 26 4 3" xfId="17787"/>
    <cellStyle name="Обычный 5 13 26 4 3 2" xfId="47659"/>
    <cellStyle name="Обычный 5 13 26 4 4" xfId="47660"/>
    <cellStyle name="Обычный 5 13 26 5" xfId="17788"/>
    <cellStyle name="Обычный 5 13 26 5 2" xfId="17789"/>
    <cellStyle name="Обычный 5 13 26 5 2 2" xfId="47661"/>
    <cellStyle name="Обычный 5 13 26 5 3" xfId="47662"/>
    <cellStyle name="Обычный 5 13 26 6" xfId="17790"/>
    <cellStyle name="Обычный 5 13 26 6 2" xfId="47663"/>
    <cellStyle name="Обычный 5 13 26 7" xfId="17791"/>
    <cellStyle name="Обычный 5 13 26 7 2" xfId="47664"/>
    <cellStyle name="Обычный 5 13 26 8" xfId="47665"/>
    <cellStyle name="Обычный 5 13 27" xfId="17792"/>
    <cellStyle name="Обычный 5 13 27 2" xfId="17793"/>
    <cellStyle name="Обычный 5 13 27 2 2" xfId="17794"/>
    <cellStyle name="Обычный 5 13 27 2 2 2" xfId="17795"/>
    <cellStyle name="Обычный 5 13 27 2 2 2 2" xfId="47666"/>
    <cellStyle name="Обычный 5 13 27 2 2 3" xfId="47667"/>
    <cellStyle name="Обычный 5 13 27 2 3" xfId="17796"/>
    <cellStyle name="Обычный 5 13 27 2 3 2" xfId="47668"/>
    <cellStyle name="Обычный 5 13 27 2 4" xfId="47669"/>
    <cellStyle name="Обычный 5 13 27 3" xfId="17797"/>
    <cellStyle name="Обычный 5 13 27 3 2" xfId="17798"/>
    <cellStyle name="Обычный 5 13 27 3 2 2" xfId="17799"/>
    <cellStyle name="Обычный 5 13 27 3 2 2 2" xfId="47670"/>
    <cellStyle name="Обычный 5 13 27 3 2 3" xfId="47671"/>
    <cellStyle name="Обычный 5 13 27 3 3" xfId="17800"/>
    <cellStyle name="Обычный 5 13 27 3 3 2" xfId="47672"/>
    <cellStyle name="Обычный 5 13 27 3 4" xfId="47673"/>
    <cellStyle name="Обычный 5 13 27 4" xfId="17801"/>
    <cellStyle name="Обычный 5 13 27 4 2" xfId="17802"/>
    <cellStyle name="Обычный 5 13 27 4 2 2" xfId="17803"/>
    <cellStyle name="Обычный 5 13 27 4 2 2 2" xfId="47674"/>
    <cellStyle name="Обычный 5 13 27 4 2 3" xfId="47675"/>
    <cellStyle name="Обычный 5 13 27 4 3" xfId="17804"/>
    <cellStyle name="Обычный 5 13 27 4 3 2" xfId="47676"/>
    <cellStyle name="Обычный 5 13 27 4 4" xfId="47677"/>
    <cellStyle name="Обычный 5 13 27 5" xfId="17805"/>
    <cellStyle name="Обычный 5 13 27 5 2" xfId="17806"/>
    <cellStyle name="Обычный 5 13 27 5 2 2" xfId="47678"/>
    <cellStyle name="Обычный 5 13 27 5 3" xfId="47679"/>
    <cellStyle name="Обычный 5 13 27 6" xfId="17807"/>
    <cellStyle name="Обычный 5 13 27 6 2" xfId="47680"/>
    <cellStyle name="Обычный 5 13 27 7" xfId="17808"/>
    <cellStyle name="Обычный 5 13 27 7 2" xfId="47681"/>
    <cellStyle name="Обычный 5 13 27 8" xfId="47682"/>
    <cellStyle name="Обычный 5 13 28" xfId="17809"/>
    <cellStyle name="Обычный 5 13 28 2" xfId="17810"/>
    <cellStyle name="Обычный 5 13 28 2 2" xfId="17811"/>
    <cellStyle name="Обычный 5 13 28 2 2 2" xfId="17812"/>
    <cellStyle name="Обычный 5 13 28 2 2 2 2" xfId="47683"/>
    <cellStyle name="Обычный 5 13 28 2 2 3" xfId="47684"/>
    <cellStyle name="Обычный 5 13 28 2 3" xfId="17813"/>
    <cellStyle name="Обычный 5 13 28 2 3 2" xfId="47685"/>
    <cellStyle name="Обычный 5 13 28 2 4" xfId="47686"/>
    <cellStyle name="Обычный 5 13 28 3" xfId="17814"/>
    <cellStyle name="Обычный 5 13 28 3 2" xfId="17815"/>
    <cellStyle name="Обычный 5 13 28 3 2 2" xfId="17816"/>
    <cellStyle name="Обычный 5 13 28 3 2 2 2" xfId="47687"/>
    <cellStyle name="Обычный 5 13 28 3 2 3" xfId="47688"/>
    <cellStyle name="Обычный 5 13 28 3 3" xfId="17817"/>
    <cellStyle name="Обычный 5 13 28 3 3 2" xfId="47689"/>
    <cellStyle name="Обычный 5 13 28 3 4" xfId="47690"/>
    <cellStyle name="Обычный 5 13 28 4" xfId="17818"/>
    <cellStyle name="Обычный 5 13 28 4 2" xfId="17819"/>
    <cellStyle name="Обычный 5 13 28 4 2 2" xfId="17820"/>
    <cellStyle name="Обычный 5 13 28 4 2 2 2" xfId="47691"/>
    <cellStyle name="Обычный 5 13 28 4 2 3" xfId="47692"/>
    <cellStyle name="Обычный 5 13 28 4 3" xfId="17821"/>
    <cellStyle name="Обычный 5 13 28 4 3 2" xfId="47693"/>
    <cellStyle name="Обычный 5 13 28 4 4" xfId="47694"/>
    <cellStyle name="Обычный 5 13 28 5" xfId="17822"/>
    <cellStyle name="Обычный 5 13 28 5 2" xfId="17823"/>
    <cellStyle name="Обычный 5 13 28 5 2 2" xfId="47695"/>
    <cellStyle name="Обычный 5 13 28 5 3" xfId="47696"/>
    <cellStyle name="Обычный 5 13 28 6" xfId="17824"/>
    <cellStyle name="Обычный 5 13 28 6 2" xfId="47697"/>
    <cellStyle name="Обычный 5 13 28 7" xfId="17825"/>
    <cellStyle name="Обычный 5 13 28 7 2" xfId="47698"/>
    <cellStyle name="Обычный 5 13 28 8" xfId="47699"/>
    <cellStyle name="Обычный 5 13 29" xfId="17826"/>
    <cellStyle name="Обычный 5 13 29 2" xfId="17827"/>
    <cellStyle name="Обычный 5 13 29 2 2" xfId="17828"/>
    <cellStyle name="Обычный 5 13 29 2 2 2" xfId="17829"/>
    <cellStyle name="Обычный 5 13 29 2 2 2 2" xfId="47700"/>
    <cellStyle name="Обычный 5 13 29 2 2 3" xfId="47701"/>
    <cellStyle name="Обычный 5 13 29 2 3" xfId="17830"/>
    <cellStyle name="Обычный 5 13 29 2 3 2" xfId="47702"/>
    <cellStyle name="Обычный 5 13 29 2 4" xfId="47703"/>
    <cellStyle name="Обычный 5 13 29 3" xfId="17831"/>
    <cellStyle name="Обычный 5 13 29 3 2" xfId="17832"/>
    <cellStyle name="Обычный 5 13 29 3 2 2" xfId="17833"/>
    <cellStyle name="Обычный 5 13 29 3 2 2 2" xfId="47704"/>
    <cellStyle name="Обычный 5 13 29 3 2 3" xfId="47705"/>
    <cellStyle name="Обычный 5 13 29 3 3" xfId="17834"/>
    <cellStyle name="Обычный 5 13 29 3 3 2" xfId="47706"/>
    <cellStyle name="Обычный 5 13 29 3 4" xfId="47707"/>
    <cellStyle name="Обычный 5 13 29 4" xfId="17835"/>
    <cellStyle name="Обычный 5 13 29 4 2" xfId="17836"/>
    <cellStyle name="Обычный 5 13 29 4 2 2" xfId="17837"/>
    <cellStyle name="Обычный 5 13 29 4 2 2 2" xfId="47708"/>
    <cellStyle name="Обычный 5 13 29 4 2 3" xfId="47709"/>
    <cellStyle name="Обычный 5 13 29 4 3" xfId="17838"/>
    <cellStyle name="Обычный 5 13 29 4 3 2" xfId="47710"/>
    <cellStyle name="Обычный 5 13 29 4 4" xfId="47711"/>
    <cellStyle name="Обычный 5 13 29 5" xfId="17839"/>
    <cellStyle name="Обычный 5 13 29 5 2" xfId="17840"/>
    <cellStyle name="Обычный 5 13 29 5 2 2" xfId="47712"/>
    <cellStyle name="Обычный 5 13 29 5 3" xfId="47713"/>
    <cellStyle name="Обычный 5 13 29 6" xfId="17841"/>
    <cellStyle name="Обычный 5 13 29 6 2" xfId="47714"/>
    <cellStyle name="Обычный 5 13 29 7" xfId="17842"/>
    <cellStyle name="Обычный 5 13 29 7 2" xfId="47715"/>
    <cellStyle name="Обычный 5 13 29 8" xfId="47716"/>
    <cellStyle name="Обычный 5 13 3" xfId="17843"/>
    <cellStyle name="Обычный 5 13 3 2" xfId="17844"/>
    <cellStyle name="Обычный 5 13 3 2 2" xfId="17845"/>
    <cellStyle name="Обычный 5 13 3 2 2 2" xfId="17846"/>
    <cellStyle name="Обычный 5 13 3 2 2 2 2" xfId="47717"/>
    <cellStyle name="Обычный 5 13 3 2 2 3" xfId="47718"/>
    <cellStyle name="Обычный 5 13 3 2 3" xfId="17847"/>
    <cellStyle name="Обычный 5 13 3 2 3 2" xfId="47719"/>
    <cellStyle name="Обычный 5 13 3 2 4" xfId="47720"/>
    <cellStyle name="Обычный 5 13 3 3" xfId="17848"/>
    <cellStyle name="Обычный 5 13 3 3 2" xfId="17849"/>
    <cellStyle name="Обычный 5 13 3 3 2 2" xfId="17850"/>
    <cellStyle name="Обычный 5 13 3 3 2 2 2" xfId="47721"/>
    <cellStyle name="Обычный 5 13 3 3 2 3" xfId="47722"/>
    <cellStyle name="Обычный 5 13 3 3 3" xfId="17851"/>
    <cellStyle name="Обычный 5 13 3 3 3 2" xfId="47723"/>
    <cellStyle name="Обычный 5 13 3 3 4" xfId="47724"/>
    <cellStyle name="Обычный 5 13 3 4" xfId="17852"/>
    <cellStyle name="Обычный 5 13 3 4 2" xfId="17853"/>
    <cellStyle name="Обычный 5 13 3 4 2 2" xfId="17854"/>
    <cellStyle name="Обычный 5 13 3 4 2 2 2" xfId="47725"/>
    <cellStyle name="Обычный 5 13 3 4 2 3" xfId="47726"/>
    <cellStyle name="Обычный 5 13 3 4 3" xfId="17855"/>
    <cellStyle name="Обычный 5 13 3 4 3 2" xfId="47727"/>
    <cellStyle name="Обычный 5 13 3 4 4" xfId="47728"/>
    <cellStyle name="Обычный 5 13 3 5" xfId="17856"/>
    <cellStyle name="Обычный 5 13 3 5 2" xfId="17857"/>
    <cellStyle name="Обычный 5 13 3 5 2 2" xfId="47729"/>
    <cellStyle name="Обычный 5 13 3 5 3" xfId="47730"/>
    <cellStyle name="Обычный 5 13 3 6" xfId="17858"/>
    <cellStyle name="Обычный 5 13 3 6 2" xfId="47731"/>
    <cellStyle name="Обычный 5 13 3 7" xfId="17859"/>
    <cellStyle name="Обычный 5 13 3 7 2" xfId="47732"/>
    <cellStyle name="Обычный 5 13 3 8" xfId="47733"/>
    <cellStyle name="Обычный 5 13 30" xfId="17860"/>
    <cellStyle name="Обычный 5 13 30 2" xfId="17861"/>
    <cellStyle name="Обычный 5 13 30 2 2" xfId="17862"/>
    <cellStyle name="Обычный 5 13 30 2 2 2" xfId="47734"/>
    <cellStyle name="Обычный 5 13 30 2 3" xfId="47735"/>
    <cellStyle name="Обычный 5 13 30 3" xfId="17863"/>
    <cellStyle name="Обычный 5 13 30 3 2" xfId="47736"/>
    <cellStyle name="Обычный 5 13 30 4" xfId="47737"/>
    <cellStyle name="Обычный 5 13 31" xfId="17864"/>
    <cellStyle name="Обычный 5 13 31 2" xfId="17865"/>
    <cellStyle name="Обычный 5 13 31 2 2" xfId="17866"/>
    <cellStyle name="Обычный 5 13 31 2 2 2" xfId="47738"/>
    <cellStyle name="Обычный 5 13 31 2 3" xfId="47739"/>
    <cellStyle name="Обычный 5 13 31 3" xfId="17867"/>
    <cellStyle name="Обычный 5 13 31 3 2" xfId="47740"/>
    <cellStyle name="Обычный 5 13 31 4" xfId="47741"/>
    <cellStyle name="Обычный 5 13 32" xfId="17868"/>
    <cellStyle name="Обычный 5 13 32 2" xfId="17869"/>
    <cellStyle name="Обычный 5 13 32 2 2" xfId="17870"/>
    <cellStyle name="Обычный 5 13 32 2 2 2" xfId="47742"/>
    <cellStyle name="Обычный 5 13 32 2 3" xfId="47743"/>
    <cellStyle name="Обычный 5 13 32 3" xfId="17871"/>
    <cellStyle name="Обычный 5 13 32 3 2" xfId="47744"/>
    <cellStyle name="Обычный 5 13 32 4" xfId="47745"/>
    <cellStyle name="Обычный 5 13 33" xfId="17872"/>
    <cellStyle name="Обычный 5 13 33 2" xfId="17873"/>
    <cellStyle name="Обычный 5 13 33 2 2" xfId="47746"/>
    <cellStyle name="Обычный 5 13 33 3" xfId="47747"/>
    <cellStyle name="Обычный 5 13 34" xfId="17874"/>
    <cellStyle name="Обычный 5 13 34 2" xfId="47748"/>
    <cellStyle name="Обычный 5 13 35" xfId="17875"/>
    <cellStyle name="Обычный 5 13 35 2" xfId="47749"/>
    <cellStyle name="Обычный 5 13 36" xfId="47750"/>
    <cellStyle name="Обычный 5 13 4" xfId="17876"/>
    <cellStyle name="Обычный 5 13 4 2" xfId="17877"/>
    <cellStyle name="Обычный 5 13 4 2 2" xfId="17878"/>
    <cellStyle name="Обычный 5 13 4 2 2 2" xfId="17879"/>
    <cellStyle name="Обычный 5 13 4 2 2 2 2" xfId="47751"/>
    <cellStyle name="Обычный 5 13 4 2 2 3" xfId="47752"/>
    <cellStyle name="Обычный 5 13 4 2 3" xfId="17880"/>
    <cellStyle name="Обычный 5 13 4 2 3 2" xfId="47753"/>
    <cellStyle name="Обычный 5 13 4 2 4" xfId="47754"/>
    <cellStyle name="Обычный 5 13 4 3" xfId="17881"/>
    <cellStyle name="Обычный 5 13 4 3 2" xfId="17882"/>
    <cellStyle name="Обычный 5 13 4 3 2 2" xfId="17883"/>
    <cellStyle name="Обычный 5 13 4 3 2 2 2" xfId="47755"/>
    <cellStyle name="Обычный 5 13 4 3 2 3" xfId="47756"/>
    <cellStyle name="Обычный 5 13 4 3 3" xfId="17884"/>
    <cellStyle name="Обычный 5 13 4 3 3 2" xfId="47757"/>
    <cellStyle name="Обычный 5 13 4 3 4" xfId="47758"/>
    <cellStyle name="Обычный 5 13 4 4" xfId="17885"/>
    <cellStyle name="Обычный 5 13 4 4 2" xfId="17886"/>
    <cellStyle name="Обычный 5 13 4 4 2 2" xfId="17887"/>
    <cellStyle name="Обычный 5 13 4 4 2 2 2" xfId="47759"/>
    <cellStyle name="Обычный 5 13 4 4 2 3" xfId="47760"/>
    <cellStyle name="Обычный 5 13 4 4 3" xfId="17888"/>
    <cellStyle name="Обычный 5 13 4 4 3 2" xfId="47761"/>
    <cellStyle name="Обычный 5 13 4 4 4" xfId="47762"/>
    <cellStyle name="Обычный 5 13 4 5" xfId="17889"/>
    <cellStyle name="Обычный 5 13 4 5 2" xfId="17890"/>
    <cellStyle name="Обычный 5 13 4 5 2 2" xfId="47763"/>
    <cellStyle name="Обычный 5 13 4 5 3" xfId="47764"/>
    <cellStyle name="Обычный 5 13 4 6" xfId="17891"/>
    <cellStyle name="Обычный 5 13 4 6 2" xfId="47765"/>
    <cellStyle name="Обычный 5 13 4 7" xfId="17892"/>
    <cellStyle name="Обычный 5 13 4 7 2" xfId="47766"/>
    <cellStyle name="Обычный 5 13 4 8" xfId="47767"/>
    <cellStyle name="Обычный 5 13 5" xfId="17893"/>
    <cellStyle name="Обычный 5 13 5 2" xfId="17894"/>
    <cellStyle name="Обычный 5 13 5 2 2" xfId="17895"/>
    <cellStyle name="Обычный 5 13 5 2 2 2" xfId="17896"/>
    <cellStyle name="Обычный 5 13 5 2 2 2 2" xfId="47768"/>
    <cellStyle name="Обычный 5 13 5 2 2 3" xfId="47769"/>
    <cellStyle name="Обычный 5 13 5 2 3" xfId="17897"/>
    <cellStyle name="Обычный 5 13 5 2 3 2" xfId="47770"/>
    <cellStyle name="Обычный 5 13 5 2 4" xfId="47771"/>
    <cellStyle name="Обычный 5 13 5 3" xfId="17898"/>
    <cellStyle name="Обычный 5 13 5 3 2" xfId="17899"/>
    <cellStyle name="Обычный 5 13 5 3 2 2" xfId="17900"/>
    <cellStyle name="Обычный 5 13 5 3 2 2 2" xfId="47772"/>
    <cellStyle name="Обычный 5 13 5 3 2 3" xfId="47773"/>
    <cellStyle name="Обычный 5 13 5 3 3" xfId="17901"/>
    <cellStyle name="Обычный 5 13 5 3 3 2" xfId="47774"/>
    <cellStyle name="Обычный 5 13 5 3 4" xfId="47775"/>
    <cellStyle name="Обычный 5 13 5 4" xfId="17902"/>
    <cellStyle name="Обычный 5 13 5 4 2" xfId="17903"/>
    <cellStyle name="Обычный 5 13 5 4 2 2" xfId="17904"/>
    <cellStyle name="Обычный 5 13 5 4 2 2 2" xfId="47776"/>
    <cellStyle name="Обычный 5 13 5 4 2 3" xfId="47777"/>
    <cellStyle name="Обычный 5 13 5 4 3" xfId="17905"/>
    <cellStyle name="Обычный 5 13 5 4 3 2" xfId="47778"/>
    <cellStyle name="Обычный 5 13 5 4 4" xfId="47779"/>
    <cellStyle name="Обычный 5 13 5 5" xfId="17906"/>
    <cellStyle name="Обычный 5 13 5 5 2" xfId="17907"/>
    <cellStyle name="Обычный 5 13 5 5 2 2" xfId="47780"/>
    <cellStyle name="Обычный 5 13 5 5 3" xfId="47781"/>
    <cellStyle name="Обычный 5 13 5 6" xfId="17908"/>
    <cellStyle name="Обычный 5 13 5 6 2" xfId="47782"/>
    <cellStyle name="Обычный 5 13 5 7" xfId="17909"/>
    <cellStyle name="Обычный 5 13 5 7 2" xfId="47783"/>
    <cellStyle name="Обычный 5 13 5 8" xfId="47784"/>
    <cellStyle name="Обычный 5 13 6" xfId="17910"/>
    <cellStyle name="Обычный 5 13 6 2" xfId="17911"/>
    <cellStyle name="Обычный 5 13 6 2 2" xfId="17912"/>
    <cellStyle name="Обычный 5 13 6 2 2 2" xfId="17913"/>
    <cellStyle name="Обычный 5 13 6 2 2 2 2" xfId="47785"/>
    <cellStyle name="Обычный 5 13 6 2 2 3" xfId="47786"/>
    <cellStyle name="Обычный 5 13 6 2 3" xfId="17914"/>
    <cellStyle name="Обычный 5 13 6 2 3 2" xfId="47787"/>
    <cellStyle name="Обычный 5 13 6 2 4" xfId="47788"/>
    <cellStyle name="Обычный 5 13 6 3" xfId="17915"/>
    <cellStyle name="Обычный 5 13 6 3 2" xfId="17916"/>
    <cellStyle name="Обычный 5 13 6 3 2 2" xfId="17917"/>
    <cellStyle name="Обычный 5 13 6 3 2 2 2" xfId="47789"/>
    <cellStyle name="Обычный 5 13 6 3 2 3" xfId="47790"/>
    <cellStyle name="Обычный 5 13 6 3 3" xfId="17918"/>
    <cellStyle name="Обычный 5 13 6 3 3 2" xfId="47791"/>
    <cellStyle name="Обычный 5 13 6 3 4" xfId="47792"/>
    <cellStyle name="Обычный 5 13 6 4" xfId="17919"/>
    <cellStyle name="Обычный 5 13 6 4 2" xfId="17920"/>
    <cellStyle name="Обычный 5 13 6 4 2 2" xfId="17921"/>
    <cellStyle name="Обычный 5 13 6 4 2 2 2" xfId="47793"/>
    <cellStyle name="Обычный 5 13 6 4 2 3" xfId="47794"/>
    <cellStyle name="Обычный 5 13 6 4 3" xfId="17922"/>
    <cellStyle name="Обычный 5 13 6 4 3 2" xfId="47795"/>
    <cellStyle name="Обычный 5 13 6 4 4" xfId="47796"/>
    <cellStyle name="Обычный 5 13 6 5" xfId="17923"/>
    <cellStyle name="Обычный 5 13 6 5 2" xfId="17924"/>
    <cellStyle name="Обычный 5 13 6 5 2 2" xfId="47797"/>
    <cellStyle name="Обычный 5 13 6 5 3" xfId="47798"/>
    <cellStyle name="Обычный 5 13 6 6" xfId="17925"/>
    <cellStyle name="Обычный 5 13 6 6 2" xfId="47799"/>
    <cellStyle name="Обычный 5 13 6 7" xfId="17926"/>
    <cellStyle name="Обычный 5 13 6 7 2" xfId="47800"/>
    <cellStyle name="Обычный 5 13 6 8" xfId="47801"/>
    <cellStyle name="Обычный 5 13 7" xfId="17927"/>
    <cellStyle name="Обычный 5 13 7 2" xfId="17928"/>
    <cellStyle name="Обычный 5 13 7 2 2" xfId="17929"/>
    <cellStyle name="Обычный 5 13 7 2 2 2" xfId="17930"/>
    <cellStyle name="Обычный 5 13 7 2 2 2 2" xfId="47802"/>
    <cellStyle name="Обычный 5 13 7 2 2 3" xfId="47803"/>
    <cellStyle name="Обычный 5 13 7 2 3" xfId="17931"/>
    <cellStyle name="Обычный 5 13 7 2 3 2" xfId="47804"/>
    <cellStyle name="Обычный 5 13 7 2 4" xfId="47805"/>
    <cellStyle name="Обычный 5 13 7 3" xfId="17932"/>
    <cellStyle name="Обычный 5 13 7 3 2" xfId="17933"/>
    <cellStyle name="Обычный 5 13 7 3 2 2" xfId="17934"/>
    <cellStyle name="Обычный 5 13 7 3 2 2 2" xfId="47806"/>
    <cellStyle name="Обычный 5 13 7 3 2 3" xfId="47807"/>
    <cellStyle name="Обычный 5 13 7 3 3" xfId="17935"/>
    <cellStyle name="Обычный 5 13 7 3 3 2" xfId="47808"/>
    <cellStyle name="Обычный 5 13 7 3 4" xfId="47809"/>
    <cellStyle name="Обычный 5 13 7 4" xfId="17936"/>
    <cellStyle name="Обычный 5 13 7 4 2" xfId="17937"/>
    <cellStyle name="Обычный 5 13 7 4 2 2" xfId="17938"/>
    <cellStyle name="Обычный 5 13 7 4 2 2 2" xfId="47810"/>
    <cellStyle name="Обычный 5 13 7 4 2 3" xfId="47811"/>
    <cellStyle name="Обычный 5 13 7 4 3" xfId="17939"/>
    <cellStyle name="Обычный 5 13 7 4 3 2" xfId="47812"/>
    <cellStyle name="Обычный 5 13 7 4 4" xfId="47813"/>
    <cellStyle name="Обычный 5 13 7 5" xfId="17940"/>
    <cellStyle name="Обычный 5 13 7 5 2" xfId="17941"/>
    <cellStyle name="Обычный 5 13 7 5 2 2" xfId="47814"/>
    <cellStyle name="Обычный 5 13 7 5 3" xfId="47815"/>
    <cellStyle name="Обычный 5 13 7 6" xfId="17942"/>
    <cellStyle name="Обычный 5 13 7 6 2" xfId="47816"/>
    <cellStyle name="Обычный 5 13 7 7" xfId="17943"/>
    <cellStyle name="Обычный 5 13 7 7 2" xfId="47817"/>
    <cellStyle name="Обычный 5 13 7 8" xfId="47818"/>
    <cellStyle name="Обычный 5 13 8" xfId="17944"/>
    <cellStyle name="Обычный 5 13 8 2" xfId="17945"/>
    <cellStyle name="Обычный 5 13 8 2 2" xfId="17946"/>
    <cellStyle name="Обычный 5 13 8 2 2 2" xfId="17947"/>
    <cellStyle name="Обычный 5 13 8 2 2 2 2" xfId="47819"/>
    <cellStyle name="Обычный 5 13 8 2 2 3" xfId="47820"/>
    <cellStyle name="Обычный 5 13 8 2 3" xfId="17948"/>
    <cellStyle name="Обычный 5 13 8 2 3 2" xfId="47821"/>
    <cellStyle name="Обычный 5 13 8 2 4" xfId="47822"/>
    <cellStyle name="Обычный 5 13 8 3" xfId="17949"/>
    <cellStyle name="Обычный 5 13 8 3 2" xfId="17950"/>
    <cellStyle name="Обычный 5 13 8 3 2 2" xfId="17951"/>
    <cellStyle name="Обычный 5 13 8 3 2 2 2" xfId="47823"/>
    <cellStyle name="Обычный 5 13 8 3 2 3" xfId="47824"/>
    <cellStyle name="Обычный 5 13 8 3 3" xfId="17952"/>
    <cellStyle name="Обычный 5 13 8 3 3 2" xfId="47825"/>
    <cellStyle name="Обычный 5 13 8 3 4" xfId="47826"/>
    <cellStyle name="Обычный 5 13 8 4" xfId="17953"/>
    <cellStyle name="Обычный 5 13 8 4 2" xfId="17954"/>
    <cellStyle name="Обычный 5 13 8 4 2 2" xfId="17955"/>
    <cellStyle name="Обычный 5 13 8 4 2 2 2" xfId="47827"/>
    <cellStyle name="Обычный 5 13 8 4 2 3" xfId="47828"/>
    <cellStyle name="Обычный 5 13 8 4 3" xfId="17956"/>
    <cellStyle name="Обычный 5 13 8 4 3 2" xfId="47829"/>
    <cellStyle name="Обычный 5 13 8 4 4" xfId="47830"/>
    <cellStyle name="Обычный 5 13 8 5" xfId="17957"/>
    <cellStyle name="Обычный 5 13 8 5 2" xfId="17958"/>
    <cellStyle name="Обычный 5 13 8 5 2 2" xfId="47831"/>
    <cellStyle name="Обычный 5 13 8 5 3" xfId="47832"/>
    <cellStyle name="Обычный 5 13 8 6" xfId="17959"/>
    <cellStyle name="Обычный 5 13 8 6 2" xfId="47833"/>
    <cellStyle name="Обычный 5 13 8 7" xfId="17960"/>
    <cellStyle name="Обычный 5 13 8 7 2" xfId="47834"/>
    <cellStyle name="Обычный 5 13 8 8" xfId="47835"/>
    <cellStyle name="Обычный 5 13 9" xfId="17961"/>
    <cellStyle name="Обычный 5 13 9 2" xfId="17962"/>
    <cellStyle name="Обычный 5 13 9 2 2" xfId="17963"/>
    <cellStyle name="Обычный 5 13 9 2 2 2" xfId="17964"/>
    <cellStyle name="Обычный 5 13 9 2 2 2 2" xfId="47836"/>
    <cellStyle name="Обычный 5 13 9 2 2 3" xfId="47837"/>
    <cellStyle name="Обычный 5 13 9 2 3" xfId="17965"/>
    <cellStyle name="Обычный 5 13 9 2 3 2" xfId="47838"/>
    <cellStyle name="Обычный 5 13 9 2 4" xfId="47839"/>
    <cellStyle name="Обычный 5 13 9 3" xfId="17966"/>
    <cellStyle name="Обычный 5 13 9 3 2" xfId="17967"/>
    <cellStyle name="Обычный 5 13 9 3 2 2" xfId="17968"/>
    <cellStyle name="Обычный 5 13 9 3 2 2 2" xfId="47840"/>
    <cellStyle name="Обычный 5 13 9 3 2 3" xfId="47841"/>
    <cellStyle name="Обычный 5 13 9 3 3" xfId="17969"/>
    <cellStyle name="Обычный 5 13 9 3 3 2" xfId="47842"/>
    <cellStyle name="Обычный 5 13 9 3 4" xfId="47843"/>
    <cellStyle name="Обычный 5 13 9 4" xfId="17970"/>
    <cellStyle name="Обычный 5 13 9 4 2" xfId="17971"/>
    <cellStyle name="Обычный 5 13 9 4 2 2" xfId="17972"/>
    <cellStyle name="Обычный 5 13 9 4 2 2 2" xfId="47844"/>
    <cellStyle name="Обычный 5 13 9 4 2 3" xfId="47845"/>
    <cellStyle name="Обычный 5 13 9 4 3" xfId="17973"/>
    <cellStyle name="Обычный 5 13 9 4 3 2" xfId="47846"/>
    <cellStyle name="Обычный 5 13 9 4 4" xfId="47847"/>
    <cellStyle name="Обычный 5 13 9 5" xfId="17974"/>
    <cellStyle name="Обычный 5 13 9 5 2" xfId="17975"/>
    <cellStyle name="Обычный 5 13 9 5 2 2" xfId="47848"/>
    <cellStyle name="Обычный 5 13 9 5 3" xfId="47849"/>
    <cellStyle name="Обычный 5 13 9 6" xfId="17976"/>
    <cellStyle name="Обычный 5 13 9 6 2" xfId="47850"/>
    <cellStyle name="Обычный 5 13 9 7" xfId="17977"/>
    <cellStyle name="Обычный 5 13 9 7 2" xfId="47851"/>
    <cellStyle name="Обычный 5 13 9 8" xfId="47852"/>
    <cellStyle name="Обычный 5 130" xfId="47853"/>
    <cellStyle name="Обычный 5 14" xfId="17978"/>
    <cellStyle name="Обычный 5 14 10" xfId="17979"/>
    <cellStyle name="Обычный 5 14 10 2" xfId="17980"/>
    <cellStyle name="Обычный 5 14 10 2 2" xfId="17981"/>
    <cellStyle name="Обычный 5 14 10 2 2 2" xfId="17982"/>
    <cellStyle name="Обычный 5 14 10 2 2 2 2" xfId="47854"/>
    <cellStyle name="Обычный 5 14 10 2 2 3" xfId="47855"/>
    <cellStyle name="Обычный 5 14 10 2 3" xfId="17983"/>
    <cellStyle name="Обычный 5 14 10 2 3 2" xfId="47856"/>
    <cellStyle name="Обычный 5 14 10 2 4" xfId="47857"/>
    <cellStyle name="Обычный 5 14 10 3" xfId="17984"/>
    <cellStyle name="Обычный 5 14 10 3 2" xfId="17985"/>
    <cellStyle name="Обычный 5 14 10 3 2 2" xfId="17986"/>
    <cellStyle name="Обычный 5 14 10 3 2 2 2" xfId="47858"/>
    <cellStyle name="Обычный 5 14 10 3 2 3" xfId="47859"/>
    <cellStyle name="Обычный 5 14 10 3 3" xfId="17987"/>
    <cellStyle name="Обычный 5 14 10 3 3 2" xfId="47860"/>
    <cellStyle name="Обычный 5 14 10 3 4" xfId="47861"/>
    <cellStyle name="Обычный 5 14 10 4" xfId="17988"/>
    <cellStyle name="Обычный 5 14 10 4 2" xfId="17989"/>
    <cellStyle name="Обычный 5 14 10 4 2 2" xfId="17990"/>
    <cellStyle name="Обычный 5 14 10 4 2 2 2" xfId="47862"/>
    <cellStyle name="Обычный 5 14 10 4 2 3" xfId="47863"/>
    <cellStyle name="Обычный 5 14 10 4 3" xfId="17991"/>
    <cellStyle name="Обычный 5 14 10 4 3 2" xfId="47864"/>
    <cellStyle name="Обычный 5 14 10 4 4" xfId="47865"/>
    <cellStyle name="Обычный 5 14 10 5" xfId="17992"/>
    <cellStyle name="Обычный 5 14 10 5 2" xfId="17993"/>
    <cellStyle name="Обычный 5 14 10 5 2 2" xfId="47866"/>
    <cellStyle name="Обычный 5 14 10 5 3" xfId="47867"/>
    <cellStyle name="Обычный 5 14 10 6" xfId="17994"/>
    <cellStyle name="Обычный 5 14 10 6 2" xfId="47868"/>
    <cellStyle name="Обычный 5 14 10 7" xfId="17995"/>
    <cellStyle name="Обычный 5 14 10 7 2" xfId="47869"/>
    <cellStyle name="Обычный 5 14 10 8" xfId="47870"/>
    <cellStyle name="Обычный 5 14 11" xfId="17996"/>
    <cellStyle name="Обычный 5 14 11 2" xfId="17997"/>
    <cellStyle name="Обычный 5 14 11 2 2" xfId="17998"/>
    <cellStyle name="Обычный 5 14 11 2 2 2" xfId="17999"/>
    <cellStyle name="Обычный 5 14 11 2 2 2 2" xfId="47871"/>
    <cellStyle name="Обычный 5 14 11 2 2 3" xfId="47872"/>
    <cellStyle name="Обычный 5 14 11 2 3" xfId="18000"/>
    <cellStyle name="Обычный 5 14 11 2 3 2" xfId="47873"/>
    <cellStyle name="Обычный 5 14 11 2 4" xfId="47874"/>
    <cellStyle name="Обычный 5 14 11 3" xfId="18001"/>
    <cellStyle name="Обычный 5 14 11 3 2" xfId="18002"/>
    <cellStyle name="Обычный 5 14 11 3 2 2" xfId="18003"/>
    <cellStyle name="Обычный 5 14 11 3 2 2 2" xfId="47875"/>
    <cellStyle name="Обычный 5 14 11 3 2 3" xfId="47876"/>
    <cellStyle name="Обычный 5 14 11 3 3" xfId="18004"/>
    <cellStyle name="Обычный 5 14 11 3 3 2" xfId="47877"/>
    <cellStyle name="Обычный 5 14 11 3 4" xfId="47878"/>
    <cellStyle name="Обычный 5 14 11 4" xfId="18005"/>
    <cellStyle name="Обычный 5 14 11 4 2" xfId="18006"/>
    <cellStyle name="Обычный 5 14 11 4 2 2" xfId="18007"/>
    <cellStyle name="Обычный 5 14 11 4 2 2 2" xfId="47879"/>
    <cellStyle name="Обычный 5 14 11 4 2 3" xfId="47880"/>
    <cellStyle name="Обычный 5 14 11 4 3" xfId="18008"/>
    <cellStyle name="Обычный 5 14 11 4 3 2" xfId="47881"/>
    <cellStyle name="Обычный 5 14 11 4 4" xfId="47882"/>
    <cellStyle name="Обычный 5 14 11 5" xfId="18009"/>
    <cellStyle name="Обычный 5 14 11 5 2" xfId="18010"/>
    <cellStyle name="Обычный 5 14 11 5 2 2" xfId="47883"/>
    <cellStyle name="Обычный 5 14 11 5 3" xfId="47884"/>
    <cellStyle name="Обычный 5 14 11 6" xfId="18011"/>
    <cellStyle name="Обычный 5 14 11 6 2" xfId="47885"/>
    <cellStyle name="Обычный 5 14 11 7" xfId="18012"/>
    <cellStyle name="Обычный 5 14 11 7 2" xfId="47886"/>
    <cellStyle name="Обычный 5 14 11 8" xfId="47887"/>
    <cellStyle name="Обычный 5 14 12" xfId="18013"/>
    <cellStyle name="Обычный 5 14 12 2" xfId="18014"/>
    <cellStyle name="Обычный 5 14 12 2 2" xfId="18015"/>
    <cellStyle name="Обычный 5 14 12 2 2 2" xfId="18016"/>
    <cellStyle name="Обычный 5 14 12 2 2 2 2" xfId="47888"/>
    <cellStyle name="Обычный 5 14 12 2 2 3" xfId="47889"/>
    <cellStyle name="Обычный 5 14 12 2 3" xfId="18017"/>
    <cellStyle name="Обычный 5 14 12 2 3 2" xfId="47890"/>
    <cellStyle name="Обычный 5 14 12 2 4" xfId="47891"/>
    <cellStyle name="Обычный 5 14 12 3" xfId="18018"/>
    <cellStyle name="Обычный 5 14 12 3 2" xfId="18019"/>
    <cellStyle name="Обычный 5 14 12 3 2 2" xfId="18020"/>
    <cellStyle name="Обычный 5 14 12 3 2 2 2" xfId="47892"/>
    <cellStyle name="Обычный 5 14 12 3 2 3" xfId="47893"/>
    <cellStyle name="Обычный 5 14 12 3 3" xfId="18021"/>
    <cellStyle name="Обычный 5 14 12 3 3 2" xfId="47894"/>
    <cellStyle name="Обычный 5 14 12 3 4" xfId="47895"/>
    <cellStyle name="Обычный 5 14 12 4" xfId="18022"/>
    <cellStyle name="Обычный 5 14 12 4 2" xfId="18023"/>
    <cellStyle name="Обычный 5 14 12 4 2 2" xfId="18024"/>
    <cellStyle name="Обычный 5 14 12 4 2 2 2" xfId="47896"/>
    <cellStyle name="Обычный 5 14 12 4 2 3" xfId="47897"/>
    <cellStyle name="Обычный 5 14 12 4 3" xfId="18025"/>
    <cellStyle name="Обычный 5 14 12 4 3 2" xfId="47898"/>
    <cellStyle name="Обычный 5 14 12 4 4" xfId="47899"/>
    <cellStyle name="Обычный 5 14 12 5" xfId="18026"/>
    <cellStyle name="Обычный 5 14 12 5 2" xfId="18027"/>
    <cellStyle name="Обычный 5 14 12 5 2 2" xfId="47900"/>
    <cellStyle name="Обычный 5 14 12 5 3" xfId="47901"/>
    <cellStyle name="Обычный 5 14 12 6" xfId="18028"/>
    <cellStyle name="Обычный 5 14 12 6 2" xfId="47902"/>
    <cellStyle name="Обычный 5 14 12 7" xfId="18029"/>
    <cellStyle name="Обычный 5 14 12 7 2" xfId="47903"/>
    <cellStyle name="Обычный 5 14 12 8" xfId="47904"/>
    <cellStyle name="Обычный 5 14 13" xfId="18030"/>
    <cellStyle name="Обычный 5 14 13 2" xfId="18031"/>
    <cellStyle name="Обычный 5 14 13 2 2" xfId="18032"/>
    <cellStyle name="Обычный 5 14 13 2 2 2" xfId="18033"/>
    <cellStyle name="Обычный 5 14 13 2 2 2 2" xfId="47905"/>
    <cellStyle name="Обычный 5 14 13 2 2 3" xfId="47906"/>
    <cellStyle name="Обычный 5 14 13 2 3" xfId="18034"/>
    <cellStyle name="Обычный 5 14 13 2 3 2" xfId="47907"/>
    <cellStyle name="Обычный 5 14 13 2 4" xfId="47908"/>
    <cellStyle name="Обычный 5 14 13 3" xfId="18035"/>
    <cellStyle name="Обычный 5 14 13 3 2" xfId="18036"/>
    <cellStyle name="Обычный 5 14 13 3 2 2" xfId="18037"/>
    <cellStyle name="Обычный 5 14 13 3 2 2 2" xfId="47909"/>
    <cellStyle name="Обычный 5 14 13 3 2 3" xfId="47910"/>
    <cellStyle name="Обычный 5 14 13 3 3" xfId="18038"/>
    <cellStyle name="Обычный 5 14 13 3 3 2" xfId="47911"/>
    <cellStyle name="Обычный 5 14 13 3 4" xfId="47912"/>
    <cellStyle name="Обычный 5 14 13 4" xfId="18039"/>
    <cellStyle name="Обычный 5 14 13 4 2" xfId="18040"/>
    <cellStyle name="Обычный 5 14 13 4 2 2" xfId="18041"/>
    <cellStyle name="Обычный 5 14 13 4 2 2 2" xfId="47913"/>
    <cellStyle name="Обычный 5 14 13 4 2 3" xfId="47914"/>
    <cellStyle name="Обычный 5 14 13 4 3" xfId="18042"/>
    <cellStyle name="Обычный 5 14 13 4 3 2" xfId="47915"/>
    <cellStyle name="Обычный 5 14 13 4 4" xfId="47916"/>
    <cellStyle name="Обычный 5 14 13 5" xfId="18043"/>
    <cellStyle name="Обычный 5 14 13 5 2" xfId="18044"/>
    <cellStyle name="Обычный 5 14 13 5 2 2" xfId="47917"/>
    <cellStyle name="Обычный 5 14 13 5 3" xfId="47918"/>
    <cellStyle name="Обычный 5 14 13 6" xfId="18045"/>
    <cellStyle name="Обычный 5 14 13 6 2" xfId="47919"/>
    <cellStyle name="Обычный 5 14 13 7" xfId="18046"/>
    <cellStyle name="Обычный 5 14 13 7 2" xfId="47920"/>
    <cellStyle name="Обычный 5 14 13 8" xfId="47921"/>
    <cellStyle name="Обычный 5 14 14" xfId="18047"/>
    <cellStyle name="Обычный 5 14 14 2" xfId="18048"/>
    <cellStyle name="Обычный 5 14 14 2 2" xfId="18049"/>
    <cellStyle name="Обычный 5 14 14 2 2 2" xfId="18050"/>
    <cellStyle name="Обычный 5 14 14 2 2 2 2" xfId="47922"/>
    <cellStyle name="Обычный 5 14 14 2 2 3" xfId="47923"/>
    <cellStyle name="Обычный 5 14 14 2 3" xfId="18051"/>
    <cellStyle name="Обычный 5 14 14 2 3 2" xfId="47924"/>
    <cellStyle name="Обычный 5 14 14 2 4" xfId="47925"/>
    <cellStyle name="Обычный 5 14 14 3" xfId="18052"/>
    <cellStyle name="Обычный 5 14 14 3 2" xfId="18053"/>
    <cellStyle name="Обычный 5 14 14 3 2 2" xfId="18054"/>
    <cellStyle name="Обычный 5 14 14 3 2 2 2" xfId="47926"/>
    <cellStyle name="Обычный 5 14 14 3 2 3" xfId="47927"/>
    <cellStyle name="Обычный 5 14 14 3 3" xfId="18055"/>
    <cellStyle name="Обычный 5 14 14 3 3 2" xfId="47928"/>
    <cellStyle name="Обычный 5 14 14 3 4" xfId="47929"/>
    <cellStyle name="Обычный 5 14 14 4" xfId="18056"/>
    <cellStyle name="Обычный 5 14 14 4 2" xfId="18057"/>
    <cellStyle name="Обычный 5 14 14 4 2 2" xfId="18058"/>
    <cellStyle name="Обычный 5 14 14 4 2 2 2" xfId="47930"/>
    <cellStyle name="Обычный 5 14 14 4 2 3" xfId="47931"/>
    <cellStyle name="Обычный 5 14 14 4 3" xfId="18059"/>
    <cellStyle name="Обычный 5 14 14 4 3 2" xfId="47932"/>
    <cellStyle name="Обычный 5 14 14 4 4" xfId="47933"/>
    <cellStyle name="Обычный 5 14 14 5" xfId="18060"/>
    <cellStyle name="Обычный 5 14 14 5 2" xfId="18061"/>
    <cellStyle name="Обычный 5 14 14 5 2 2" xfId="47934"/>
    <cellStyle name="Обычный 5 14 14 5 3" xfId="47935"/>
    <cellStyle name="Обычный 5 14 14 6" xfId="18062"/>
    <cellStyle name="Обычный 5 14 14 6 2" xfId="47936"/>
    <cellStyle name="Обычный 5 14 14 7" xfId="18063"/>
    <cellStyle name="Обычный 5 14 14 7 2" xfId="47937"/>
    <cellStyle name="Обычный 5 14 14 8" xfId="47938"/>
    <cellStyle name="Обычный 5 14 15" xfId="18064"/>
    <cellStyle name="Обычный 5 14 15 2" xfId="18065"/>
    <cellStyle name="Обычный 5 14 15 2 2" xfId="18066"/>
    <cellStyle name="Обычный 5 14 15 2 2 2" xfId="18067"/>
    <cellStyle name="Обычный 5 14 15 2 2 2 2" xfId="47939"/>
    <cellStyle name="Обычный 5 14 15 2 2 3" xfId="47940"/>
    <cellStyle name="Обычный 5 14 15 2 3" xfId="18068"/>
    <cellStyle name="Обычный 5 14 15 2 3 2" xfId="47941"/>
    <cellStyle name="Обычный 5 14 15 2 4" xfId="47942"/>
    <cellStyle name="Обычный 5 14 15 3" xfId="18069"/>
    <cellStyle name="Обычный 5 14 15 3 2" xfId="18070"/>
    <cellStyle name="Обычный 5 14 15 3 2 2" xfId="18071"/>
    <cellStyle name="Обычный 5 14 15 3 2 2 2" xfId="47943"/>
    <cellStyle name="Обычный 5 14 15 3 2 3" xfId="47944"/>
    <cellStyle name="Обычный 5 14 15 3 3" xfId="18072"/>
    <cellStyle name="Обычный 5 14 15 3 3 2" xfId="47945"/>
    <cellStyle name="Обычный 5 14 15 3 4" xfId="47946"/>
    <cellStyle name="Обычный 5 14 15 4" xfId="18073"/>
    <cellStyle name="Обычный 5 14 15 4 2" xfId="18074"/>
    <cellStyle name="Обычный 5 14 15 4 2 2" xfId="18075"/>
    <cellStyle name="Обычный 5 14 15 4 2 2 2" xfId="47947"/>
    <cellStyle name="Обычный 5 14 15 4 2 3" xfId="47948"/>
    <cellStyle name="Обычный 5 14 15 4 3" xfId="18076"/>
    <cellStyle name="Обычный 5 14 15 4 3 2" xfId="47949"/>
    <cellStyle name="Обычный 5 14 15 4 4" xfId="47950"/>
    <cellStyle name="Обычный 5 14 15 5" xfId="18077"/>
    <cellStyle name="Обычный 5 14 15 5 2" xfId="18078"/>
    <cellStyle name="Обычный 5 14 15 5 2 2" xfId="47951"/>
    <cellStyle name="Обычный 5 14 15 5 3" xfId="47952"/>
    <cellStyle name="Обычный 5 14 15 6" xfId="18079"/>
    <cellStyle name="Обычный 5 14 15 6 2" xfId="47953"/>
    <cellStyle name="Обычный 5 14 15 7" xfId="18080"/>
    <cellStyle name="Обычный 5 14 15 7 2" xfId="47954"/>
    <cellStyle name="Обычный 5 14 15 8" xfId="47955"/>
    <cellStyle name="Обычный 5 14 16" xfId="18081"/>
    <cellStyle name="Обычный 5 14 16 2" xfId="18082"/>
    <cellStyle name="Обычный 5 14 16 2 2" xfId="18083"/>
    <cellStyle name="Обычный 5 14 16 2 2 2" xfId="18084"/>
    <cellStyle name="Обычный 5 14 16 2 2 2 2" xfId="47956"/>
    <cellStyle name="Обычный 5 14 16 2 2 3" xfId="47957"/>
    <cellStyle name="Обычный 5 14 16 2 3" xfId="18085"/>
    <cellStyle name="Обычный 5 14 16 2 3 2" xfId="47958"/>
    <cellStyle name="Обычный 5 14 16 2 4" xfId="47959"/>
    <cellStyle name="Обычный 5 14 16 3" xfId="18086"/>
    <cellStyle name="Обычный 5 14 16 3 2" xfId="18087"/>
    <cellStyle name="Обычный 5 14 16 3 2 2" xfId="18088"/>
    <cellStyle name="Обычный 5 14 16 3 2 2 2" xfId="47960"/>
    <cellStyle name="Обычный 5 14 16 3 2 3" xfId="47961"/>
    <cellStyle name="Обычный 5 14 16 3 3" xfId="18089"/>
    <cellStyle name="Обычный 5 14 16 3 3 2" xfId="47962"/>
    <cellStyle name="Обычный 5 14 16 3 4" xfId="47963"/>
    <cellStyle name="Обычный 5 14 16 4" xfId="18090"/>
    <cellStyle name="Обычный 5 14 16 4 2" xfId="18091"/>
    <cellStyle name="Обычный 5 14 16 4 2 2" xfId="18092"/>
    <cellStyle name="Обычный 5 14 16 4 2 2 2" xfId="47964"/>
    <cellStyle name="Обычный 5 14 16 4 2 3" xfId="47965"/>
    <cellStyle name="Обычный 5 14 16 4 3" xfId="18093"/>
    <cellStyle name="Обычный 5 14 16 4 3 2" xfId="47966"/>
    <cellStyle name="Обычный 5 14 16 4 4" xfId="47967"/>
    <cellStyle name="Обычный 5 14 16 5" xfId="18094"/>
    <cellStyle name="Обычный 5 14 16 5 2" xfId="18095"/>
    <cellStyle name="Обычный 5 14 16 5 2 2" xfId="47968"/>
    <cellStyle name="Обычный 5 14 16 5 3" xfId="47969"/>
    <cellStyle name="Обычный 5 14 16 6" xfId="18096"/>
    <cellStyle name="Обычный 5 14 16 6 2" xfId="47970"/>
    <cellStyle name="Обычный 5 14 16 7" xfId="18097"/>
    <cellStyle name="Обычный 5 14 16 7 2" xfId="47971"/>
    <cellStyle name="Обычный 5 14 16 8" xfId="47972"/>
    <cellStyle name="Обычный 5 14 17" xfId="18098"/>
    <cellStyle name="Обычный 5 14 17 2" xfId="18099"/>
    <cellStyle name="Обычный 5 14 17 2 2" xfId="18100"/>
    <cellStyle name="Обычный 5 14 17 2 2 2" xfId="18101"/>
    <cellStyle name="Обычный 5 14 17 2 2 2 2" xfId="47973"/>
    <cellStyle name="Обычный 5 14 17 2 2 3" xfId="47974"/>
    <cellStyle name="Обычный 5 14 17 2 3" xfId="18102"/>
    <cellStyle name="Обычный 5 14 17 2 3 2" xfId="47975"/>
    <cellStyle name="Обычный 5 14 17 2 4" xfId="47976"/>
    <cellStyle name="Обычный 5 14 17 3" xfId="18103"/>
    <cellStyle name="Обычный 5 14 17 3 2" xfId="18104"/>
    <cellStyle name="Обычный 5 14 17 3 2 2" xfId="18105"/>
    <cellStyle name="Обычный 5 14 17 3 2 2 2" xfId="47977"/>
    <cellStyle name="Обычный 5 14 17 3 2 3" xfId="47978"/>
    <cellStyle name="Обычный 5 14 17 3 3" xfId="18106"/>
    <cellStyle name="Обычный 5 14 17 3 3 2" xfId="47979"/>
    <cellStyle name="Обычный 5 14 17 3 4" xfId="47980"/>
    <cellStyle name="Обычный 5 14 17 4" xfId="18107"/>
    <cellStyle name="Обычный 5 14 17 4 2" xfId="18108"/>
    <cellStyle name="Обычный 5 14 17 4 2 2" xfId="18109"/>
    <cellStyle name="Обычный 5 14 17 4 2 2 2" xfId="47981"/>
    <cellStyle name="Обычный 5 14 17 4 2 3" xfId="47982"/>
    <cellStyle name="Обычный 5 14 17 4 3" xfId="18110"/>
    <cellStyle name="Обычный 5 14 17 4 3 2" xfId="47983"/>
    <cellStyle name="Обычный 5 14 17 4 4" xfId="47984"/>
    <cellStyle name="Обычный 5 14 17 5" xfId="18111"/>
    <cellStyle name="Обычный 5 14 17 5 2" xfId="18112"/>
    <cellStyle name="Обычный 5 14 17 5 2 2" xfId="47985"/>
    <cellStyle name="Обычный 5 14 17 5 3" xfId="47986"/>
    <cellStyle name="Обычный 5 14 17 6" xfId="18113"/>
    <cellStyle name="Обычный 5 14 17 6 2" xfId="47987"/>
    <cellStyle name="Обычный 5 14 17 7" xfId="18114"/>
    <cellStyle name="Обычный 5 14 17 7 2" xfId="47988"/>
    <cellStyle name="Обычный 5 14 17 8" xfId="47989"/>
    <cellStyle name="Обычный 5 14 18" xfId="18115"/>
    <cellStyle name="Обычный 5 14 18 2" xfId="18116"/>
    <cellStyle name="Обычный 5 14 18 2 2" xfId="18117"/>
    <cellStyle name="Обычный 5 14 18 2 2 2" xfId="18118"/>
    <cellStyle name="Обычный 5 14 18 2 2 2 2" xfId="47990"/>
    <cellStyle name="Обычный 5 14 18 2 2 3" xfId="47991"/>
    <cellStyle name="Обычный 5 14 18 2 3" xfId="18119"/>
    <cellStyle name="Обычный 5 14 18 2 3 2" xfId="47992"/>
    <cellStyle name="Обычный 5 14 18 2 4" xfId="47993"/>
    <cellStyle name="Обычный 5 14 18 3" xfId="18120"/>
    <cellStyle name="Обычный 5 14 18 3 2" xfId="18121"/>
    <cellStyle name="Обычный 5 14 18 3 2 2" xfId="18122"/>
    <cellStyle name="Обычный 5 14 18 3 2 2 2" xfId="47994"/>
    <cellStyle name="Обычный 5 14 18 3 2 3" xfId="47995"/>
    <cellStyle name="Обычный 5 14 18 3 3" xfId="18123"/>
    <cellStyle name="Обычный 5 14 18 3 3 2" xfId="47996"/>
    <cellStyle name="Обычный 5 14 18 3 4" xfId="47997"/>
    <cellStyle name="Обычный 5 14 18 4" xfId="18124"/>
    <cellStyle name="Обычный 5 14 18 4 2" xfId="18125"/>
    <cellStyle name="Обычный 5 14 18 4 2 2" xfId="18126"/>
    <cellStyle name="Обычный 5 14 18 4 2 2 2" xfId="47998"/>
    <cellStyle name="Обычный 5 14 18 4 2 3" xfId="47999"/>
    <cellStyle name="Обычный 5 14 18 4 3" xfId="18127"/>
    <cellStyle name="Обычный 5 14 18 4 3 2" xfId="48000"/>
    <cellStyle name="Обычный 5 14 18 4 4" xfId="48001"/>
    <cellStyle name="Обычный 5 14 18 5" xfId="18128"/>
    <cellStyle name="Обычный 5 14 18 5 2" xfId="18129"/>
    <cellStyle name="Обычный 5 14 18 5 2 2" xfId="48002"/>
    <cellStyle name="Обычный 5 14 18 5 3" xfId="48003"/>
    <cellStyle name="Обычный 5 14 18 6" xfId="18130"/>
    <cellStyle name="Обычный 5 14 18 6 2" xfId="48004"/>
    <cellStyle name="Обычный 5 14 18 7" xfId="18131"/>
    <cellStyle name="Обычный 5 14 18 7 2" xfId="48005"/>
    <cellStyle name="Обычный 5 14 18 8" xfId="48006"/>
    <cellStyle name="Обычный 5 14 19" xfId="18132"/>
    <cellStyle name="Обычный 5 14 19 2" xfId="18133"/>
    <cellStyle name="Обычный 5 14 19 2 2" xfId="18134"/>
    <cellStyle name="Обычный 5 14 19 2 2 2" xfId="18135"/>
    <cellStyle name="Обычный 5 14 19 2 2 2 2" xfId="48007"/>
    <cellStyle name="Обычный 5 14 19 2 2 3" xfId="48008"/>
    <cellStyle name="Обычный 5 14 19 2 3" xfId="18136"/>
    <cellStyle name="Обычный 5 14 19 2 3 2" xfId="48009"/>
    <cellStyle name="Обычный 5 14 19 2 4" xfId="48010"/>
    <cellStyle name="Обычный 5 14 19 3" xfId="18137"/>
    <cellStyle name="Обычный 5 14 19 3 2" xfId="18138"/>
    <cellStyle name="Обычный 5 14 19 3 2 2" xfId="18139"/>
    <cellStyle name="Обычный 5 14 19 3 2 2 2" xfId="48011"/>
    <cellStyle name="Обычный 5 14 19 3 2 3" xfId="48012"/>
    <cellStyle name="Обычный 5 14 19 3 3" xfId="18140"/>
    <cellStyle name="Обычный 5 14 19 3 3 2" xfId="48013"/>
    <cellStyle name="Обычный 5 14 19 3 4" xfId="48014"/>
    <cellStyle name="Обычный 5 14 19 4" xfId="18141"/>
    <cellStyle name="Обычный 5 14 19 4 2" xfId="18142"/>
    <cellStyle name="Обычный 5 14 19 4 2 2" xfId="18143"/>
    <cellStyle name="Обычный 5 14 19 4 2 2 2" xfId="48015"/>
    <cellStyle name="Обычный 5 14 19 4 2 3" xfId="48016"/>
    <cellStyle name="Обычный 5 14 19 4 3" xfId="18144"/>
    <cellStyle name="Обычный 5 14 19 4 3 2" xfId="48017"/>
    <cellStyle name="Обычный 5 14 19 4 4" xfId="48018"/>
    <cellStyle name="Обычный 5 14 19 5" xfId="18145"/>
    <cellStyle name="Обычный 5 14 19 5 2" xfId="18146"/>
    <cellStyle name="Обычный 5 14 19 5 2 2" xfId="48019"/>
    <cellStyle name="Обычный 5 14 19 5 3" xfId="48020"/>
    <cellStyle name="Обычный 5 14 19 6" xfId="18147"/>
    <cellStyle name="Обычный 5 14 19 6 2" xfId="48021"/>
    <cellStyle name="Обычный 5 14 19 7" xfId="18148"/>
    <cellStyle name="Обычный 5 14 19 7 2" xfId="48022"/>
    <cellStyle name="Обычный 5 14 19 8" xfId="48023"/>
    <cellStyle name="Обычный 5 14 2" xfId="18149"/>
    <cellStyle name="Обычный 5 14 2 2" xfId="18150"/>
    <cellStyle name="Обычный 5 14 2 2 2" xfId="18151"/>
    <cellStyle name="Обычный 5 14 2 2 2 2" xfId="18152"/>
    <cellStyle name="Обычный 5 14 2 2 2 2 2" xfId="48024"/>
    <cellStyle name="Обычный 5 14 2 2 2 3" xfId="48025"/>
    <cellStyle name="Обычный 5 14 2 2 3" xfId="18153"/>
    <cellStyle name="Обычный 5 14 2 2 3 2" xfId="48026"/>
    <cellStyle name="Обычный 5 14 2 2 4" xfId="48027"/>
    <cellStyle name="Обычный 5 14 2 3" xfId="18154"/>
    <cellStyle name="Обычный 5 14 2 3 2" xfId="18155"/>
    <cellStyle name="Обычный 5 14 2 3 2 2" xfId="18156"/>
    <cellStyle name="Обычный 5 14 2 3 2 2 2" xfId="48028"/>
    <cellStyle name="Обычный 5 14 2 3 2 3" xfId="48029"/>
    <cellStyle name="Обычный 5 14 2 3 3" xfId="18157"/>
    <cellStyle name="Обычный 5 14 2 3 3 2" xfId="48030"/>
    <cellStyle name="Обычный 5 14 2 3 4" xfId="48031"/>
    <cellStyle name="Обычный 5 14 2 4" xfId="18158"/>
    <cellStyle name="Обычный 5 14 2 4 2" xfId="18159"/>
    <cellStyle name="Обычный 5 14 2 4 2 2" xfId="18160"/>
    <cellStyle name="Обычный 5 14 2 4 2 2 2" xfId="48032"/>
    <cellStyle name="Обычный 5 14 2 4 2 3" xfId="48033"/>
    <cellStyle name="Обычный 5 14 2 4 3" xfId="18161"/>
    <cellStyle name="Обычный 5 14 2 4 3 2" xfId="48034"/>
    <cellStyle name="Обычный 5 14 2 4 4" xfId="48035"/>
    <cellStyle name="Обычный 5 14 2 5" xfId="18162"/>
    <cellStyle name="Обычный 5 14 2 5 2" xfId="18163"/>
    <cellStyle name="Обычный 5 14 2 5 2 2" xfId="48036"/>
    <cellStyle name="Обычный 5 14 2 5 3" xfId="48037"/>
    <cellStyle name="Обычный 5 14 2 6" xfId="18164"/>
    <cellStyle name="Обычный 5 14 2 6 2" xfId="48038"/>
    <cellStyle name="Обычный 5 14 2 7" xfId="18165"/>
    <cellStyle name="Обычный 5 14 2 7 2" xfId="48039"/>
    <cellStyle name="Обычный 5 14 2 8" xfId="48040"/>
    <cellStyle name="Обычный 5 14 20" xfId="18166"/>
    <cellStyle name="Обычный 5 14 20 2" xfId="18167"/>
    <cellStyle name="Обычный 5 14 20 2 2" xfId="18168"/>
    <cellStyle name="Обычный 5 14 20 2 2 2" xfId="18169"/>
    <cellStyle name="Обычный 5 14 20 2 2 2 2" xfId="48041"/>
    <cellStyle name="Обычный 5 14 20 2 2 3" xfId="48042"/>
    <cellStyle name="Обычный 5 14 20 2 3" xfId="18170"/>
    <cellStyle name="Обычный 5 14 20 2 3 2" xfId="48043"/>
    <cellStyle name="Обычный 5 14 20 2 4" xfId="48044"/>
    <cellStyle name="Обычный 5 14 20 3" xfId="18171"/>
    <cellStyle name="Обычный 5 14 20 3 2" xfId="18172"/>
    <cellStyle name="Обычный 5 14 20 3 2 2" xfId="18173"/>
    <cellStyle name="Обычный 5 14 20 3 2 2 2" xfId="48045"/>
    <cellStyle name="Обычный 5 14 20 3 2 3" xfId="48046"/>
    <cellStyle name="Обычный 5 14 20 3 3" xfId="18174"/>
    <cellStyle name="Обычный 5 14 20 3 3 2" xfId="48047"/>
    <cellStyle name="Обычный 5 14 20 3 4" xfId="48048"/>
    <cellStyle name="Обычный 5 14 20 4" xfId="18175"/>
    <cellStyle name="Обычный 5 14 20 4 2" xfId="18176"/>
    <cellStyle name="Обычный 5 14 20 4 2 2" xfId="18177"/>
    <cellStyle name="Обычный 5 14 20 4 2 2 2" xfId="48049"/>
    <cellStyle name="Обычный 5 14 20 4 2 3" xfId="48050"/>
    <cellStyle name="Обычный 5 14 20 4 3" xfId="18178"/>
    <cellStyle name="Обычный 5 14 20 4 3 2" xfId="48051"/>
    <cellStyle name="Обычный 5 14 20 4 4" xfId="48052"/>
    <cellStyle name="Обычный 5 14 20 5" xfId="18179"/>
    <cellStyle name="Обычный 5 14 20 5 2" xfId="18180"/>
    <cellStyle name="Обычный 5 14 20 5 2 2" xfId="48053"/>
    <cellStyle name="Обычный 5 14 20 5 3" xfId="48054"/>
    <cellStyle name="Обычный 5 14 20 6" xfId="18181"/>
    <cellStyle name="Обычный 5 14 20 6 2" xfId="48055"/>
    <cellStyle name="Обычный 5 14 20 7" xfId="18182"/>
    <cellStyle name="Обычный 5 14 20 7 2" xfId="48056"/>
    <cellStyle name="Обычный 5 14 20 8" xfId="48057"/>
    <cellStyle name="Обычный 5 14 21" xfId="18183"/>
    <cellStyle name="Обычный 5 14 21 2" xfId="18184"/>
    <cellStyle name="Обычный 5 14 21 2 2" xfId="18185"/>
    <cellStyle name="Обычный 5 14 21 2 2 2" xfId="18186"/>
    <cellStyle name="Обычный 5 14 21 2 2 2 2" xfId="48058"/>
    <cellStyle name="Обычный 5 14 21 2 2 3" xfId="48059"/>
    <cellStyle name="Обычный 5 14 21 2 3" xfId="18187"/>
    <cellStyle name="Обычный 5 14 21 2 3 2" xfId="48060"/>
    <cellStyle name="Обычный 5 14 21 2 4" xfId="48061"/>
    <cellStyle name="Обычный 5 14 21 3" xfId="18188"/>
    <cellStyle name="Обычный 5 14 21 3 2" xfId="18189"/>
    <cellStyle name="Обычный 5 14 21 3 2 2" xfId="18190"/>
    <cellStyle name="Обычный 5 14 21 3 2 2 2" xfId="48062"/>
    <cellStyle name="Обычный 5 14 21 3 2 3" xfId="48063"/>
    <cellStyle name="Обычный 5 14 21 3 3" xfId="18191"/>
    <cellStyle name="Обычный 5 14 21 3 3 2" xfId="48064"/>
    <cellStyle name="Обычный 5 14 21 3 4" xfId="48065"/>
    <cellStyle name="Обычный 5 14 21 4" xfId="18192"/>
    <cellStyle name="Обычный 5 14 21 4 2" xfId="18193"/>
    <cellStyle name="Обычный 5 14 21 4 2 2" xfId="18194"/>
    <cellStyle name="Обычный 5 14 21 4 2 2 2" xfId="48066"/>
    <cellStyle name="Обычный 5 14 21 4 2 3" xfId="48067"/>
    <cellStyle name="Обычный 5 14 21 4 3" xfId="18195"/>
    <cellStyle name="Обычный 5 14 21 4 3 2" xfId="48068"/>
    <cellStyle name="Обычный 5 14 21 4 4" xfId="48069"/>
    <cellStyle name="Обычный 5 14 21 5" xfId="18196"/>
    <cellStyle name="Обычный 5 14 21 5 2" xfId="18197"/>
    <cellStyle name="Обычный 5 14 21 5 2 2" xfId="48070"/>
    <cellStyle name="Обычный 5 14 21 5 3" xfId="48071"/>
    <cellStyle name="Обычный 5 14 21 6" xfId="18198"/>
    <cellStyle name="Обычный 5 14 21 6 2" xfId="48072"/>
    <cellStyle name="Обычный 5 14 21 7" xfId="18199"/>
    <cellStyle name="Обычный 5 14 21 7 2" xfId="48073"/>
    <cellStyle name="Обычный 5 14 21 8" xfId="48074"/>
    <cellStyle name="Обычный 5 14 22" xfId="18200"/>
    <cellStyle name="Обычный 5 14 22 2" xfId="18201"/>
    <cellStyle name="Обычный 5 14 22 2 2" xfId="18202"/>
    <cellStyle name="Обычный 5 14 22 2 2 2" xfId="18203"/>
    <cellStyle name="Обычный 5 14 22 2 2 2 2" xfId="48075"/>
    <cellStyle name="Обычный 5 14 22 2 2 3" xfId="48076"/>
    <cellStyle name="Обычный 5 14 22 2 3" xfId="18204"/>
    <cellStyle name="Обычный 5 14 22 2 3 2" xfId="48077"/>
    <cellStyle name="Обычный 5 14 22 2 4" xfId="48078"/>
    <cellStyle name="Обычный 5 14 22 3" xfId="18205"/>
    <cellStyle name="Обычный 5 14 22 3 2" xfId="18206"/>
    <cellStyle name="Обычный 5 14 22 3 2 2" xfId="18207"/>
    <cellStyle name="Обычный 5 14 22 3 2 2 2" xfId="48079"/>
    <cellStyle name="Обычный 5 14 22 3 2 3" xfId="48080"/>
    <cellStyle name="Обычный 5 14 22 3 3" xfId="18208"/>
    <cellStyle name="Обычный 5 14 22 3 3 2" xfId="48081"/>
    <cellStyle name="Обычный 5 14 22 3 4" xfId="48082"/>
    <cellStyle name="Обычный 5 14 22 4" xfId="18209"/>
    <cellStyle name="Обычный 5 14 22 4 2" xfId="18210"/>
    <cellStyle name="Обычный 5 14 22 4 2 2" xfId="18211"/>
    <cellStyle name="Обычный 5 14 22 4 2 2 2" xfId="48083"/>
    <cellStyle name="Обычный 5 14 22 4 2 3" xfId="48084"/>
    <cellStyle name="Обычный 5 14 22 4 3" xfId="18212"/>
    <cellStyle name="Обычный 5 14 22 4 3 2" xfId="48085"/>
    <cellStyle name="Обычный 5 14 22 4 4" xfId="48086"/>
    <cellStyle name="Обычный 5 14 22 5" xfId="18213"/>
    <cellStyle name="Обычный 5 14 22 5 2" xfId="18214"/>
    <cellStyle name="Обычный 5 14 22 5 2 2" xfId="48087"/>
    <cellStyle name="Обычный 5 14 22 5 3" xfId="48088"/>
    <cellStyle name="Обычный 5 14 22 6" xfId="18215"/>
    <cellStyle name="Обычный 5 14 22 6 2" xfId="48089"/>
    <cellStyle name="Обычный 5 14 22 7" xfId="18216"/>
    <cellStyle name="Обычный 5 14 22 7 2" xfId="48090"/>
    <cellStyle name="Обычный 5 14 22 8" xfId="48091"/>
    <cellStyle name="Обычный 5 14 23" xfId="18217"/>
    <cellStyle name="Обычный 5 14 23 2" xfId="18218"/>
    <cellStyle name="Обычный 5 14 23 2 2" xfId="18219"/>
    <cellStyle name="Обычный 5 14 23 2 2 2" xfId="18220"/>
    <cellStyle name="Обычный 5 14 23 2 2 2 2" xfId="48092"/>
    <cellStyle name="Обычный 5 14 23 2 2 3" xfId="48093"/>
    <cellStyle name="Обычный 5 14 23 2 3" xfId="18221"/>
    <cellStyle name="Обычный 5 14 23 2 3 2" xfId="48094"/>
    <cellStyle name="Обычный 5 14 23 2 4" xfId="48095"/>
    <cellStyle name="Обычный 5 14 23 3" xfId="18222"/>
    <cellStyle name="Обычный 5 14 23 3 2" xfId="18223"/>
    <cellStyle name="Обычный 5 14 23 3 2 2" xfId="18224"/>
    <cellStyle name="Обычный 5 14 23 3 2 2 2" xfId="48096"/>
    <cellStyle name="Обычный 5 14 23 3 2 3" xfId="48097"/>
    <cellStyle name="Обычный 5 14 23 3 3" xfId="18225"/>
    <cellStyle name="Обычный 5 14 23 3 3 2" xfId="48098"/>
    <cellStyle name="Обычный 5 14 23 3 4" xfId="48099"/>
    <cellStyle name="Обычный 5 14 23 4" xfId="18226"/>
    <cellStyle name="Обычный 5 14 23 4 2" xfId="18227"/>
    <cellStyle name="Обычный 5 14 23 4 2 2" xfId="18228"/>
    <cellStyle name="Обычный 5 14 23 4 2 2 2" xfId="48100"/>
    <cellStyle name="Обычный 5 14 23 4 2 3" xfId="48101"/>
    <cellStyle name="Обычный 5 14 23 4 3" xfId="18229"/>
    <cellStyle name="Обычный 5 14 23 4 3 2" xfId="48102"/>
    <cellStyle name="Обычный 5 14 23 4 4" xfId="48103"/>
    <cellStyle name="Обычный 5 14 23 5" xfId="18230"/>
    <cellStyle name="Обычный 5 14 23 5 2" xfId="18231"/>
    <cellStyle name="Обычный 5 14 23 5 2 2" xfId="48104"/>
    <cellStyle name="Обычный 5 14 23 5 3" xfId="48105"/>
    <cellStyle name="Обычный 5 14 23 6" xfId="18232"/>
    <cellStyle name="Обычный 5 14 23 6 2" xfId="48106"/>
    <cellStyle name="Обычный 5 14 23 7" xfId="18233"/>
    <cellStyle name="Обычный 5 14 23 7 2" xfId="48107"/>
    <cellStyle name="Обычный 5 14 23 8" xfId="48108"/>
    <cellStyle name="Обычный 5 14 24" xfId="18234"/>
    <cellStyle name="Обычный 5 14 24 2" xfId="18235"/>
    <cellStyle name="Обычный 5 14 24 2 2" xfId="18236"/>
    <cellStyle name="Обычный 5 14 24 2 2 2" xfId="18237"/>
    <cellStyle name="Обычный 5 14 24 2 2 2 2" xfId="48109"/>
    <cellStyle name="Обычный 5 14 24 2 2 3" xfId="48110"/>
    <cellStyle name="Обычный 5 14 24 2 3" xfId="18238"/>
    <cellStyle name="Обычный 5 14 24 2 3 2" xfId="48111"/>
    <cellStyle name="Обычный 5 14 24 2 4" xfId="48112"/>
    <cellStyle name="Обычный 5 14 24 3" xfId="18239"/>
    <cellStyle name="Обычный 5 14 24 3 2" xfId="18240"/>
    <cellStyle name="Обычный 5 14 24 3 2 2" xfId="18241"/>
    <cellStyle name="Обычный 5 14 24 3 2 2 2" xfId="48113"/>
    <cellStyle name="Обычный 5 14 24 3 2 3" xfId="48114"/>
    <cellStyle name="Обычный 5 14 24 3 3" xfId="18242"/>
    <cellStyle name="Обычный 5 14 24 3 3 2" xfId="48115"/>
    <cellStyle name="Обычный 5 14 24 3 4" xfId="48116"/>
    <cellStyle name="Обычный 5 14 24 4" xfId="18243"/>
    <cellStyle name="Обычный 5 14 24 4 2" xfId="18244"/>
    <cellStyle name="Обычный 5 14 24 4 2 2" xfId="18245"/>
    <cellStyle name="Обычный 5 14 24 4 2 2 2" xfId="48117"/>
    <cellStyle name="Обычный 5 14 24 4 2 3" xfId="48118"/>
    <cellStyle name="Обычный 5 14 24 4 3" xfId="18246"/>
    <cellStyle name="Обычный 5 14 24 4 3 2" xfId="48119"/>
    <cellStyle name="Обычный 5 14 24 4 4" xfId="48120"/>
    <cellStyle name="Обычный 5 14 24 5" xfId="18247"/>
    <cellStyle name="Обычный 5 14 24 5 2" xfId="18248"/>
    <cellStyle name="Обычный 5 14 24 5 2 2" xfId="48121"/>
    <cellStyle name="Обычный 5 14 24 5 3" xfId="48122"/>
    <cellStyle name="Обычный 5 14 24 6" xfId="18249"/>
    <cellStyle name="Обычный 5 14 24 6 2" xfId="48123"/>
    <cellStyle name="Обычный 5 14 24 7" xfId="18250"/>
    <cellStyle name="Обычный 5 14 24 7 2" xfId="48124"/>
    <cellStyle name="Обычный 5 14 24 8" xfId="48125"/>
    <cellStyle name="Обычный 5 14 25" xfId="18251"/>
    <cellStyle name="Обычный 5 14 25 2" xfId="18252"/>
    <cellStyle name="Обычный 5 14 25 2 2" xfId="18253"/>
    <cellStyle name="Обычный 5 14 25 2 2 2" xfId="18254"/>
    <cellStyle name="Обычный 5 14 25 2 2 2 2" xfId="48126"/>
    <cellStyle name="Обычный 5 14 25 2 2 3" xfId="48127"/>
    <cellStyle name="Обычный 5 14 25 2 3" xfId="18255"/>
    <cellStyle name="Обычный 5 14 25 2 3 2" xfId="48128"/>
    <cellStyle name="Обычный 5 14 25 2 4" xfId="48129"/>
    <cellStyle name="Обычный 5 14 25 3" xfId="18256"/>
    <cellStyle name="Обычный 5 14 25 3 2" xfId="18257"/>
    <cellStyle name="Обычный 5 14 25 3 2 2" xfId="18258"/>
    <cellStyle name="Обычный 5 14 25 3 2 2 2" xfId="48130"/>
    <cellStyle name="Обычный 5 14 25 3 2 3" xfId="48131"/>
    <cellStyle name="Обычный 5 14 25 3 3" xfId="18259"/>
    <cellStyle name="Обычный 5 14 25 3 3 2" xfId="48132"/>
    <cellStyle name="Обычный 5 14 25 3 4" xfId="48133"/>
    <cellStyle name="Обычный 5 14 25 4" xfId="18260"/>
    <cellStyle name="Обычный 5 14 25 4 2" xfId="18261"/>
    <cellStyle name="Обычный 5 14 25 4 2 2" xfId="18262"/>
    <cellStyle name="Обычный 5 14 25 4 2 2 2" xfId="48134"/>
    <cellStyle name="Обычный 5 14 25 4 2 3" xfId="48135"/>
    <cellStyle name="Обычный 5 14 25 4 3" xfId="18263"/>
    <cellStyle name="Обычный 5 14 25 4 3 2" xfId="48136"/>
    <cellStyle name="Обычный 5 14 25 4 4" xfId="48137"/>
    <cellStyle name="Обычный 5 14 25 5" xfId="18264"/>
    <cellStyle name="Обычный 5 14 25 5 2" xfId="18265"/>
    <cellStyle name="Обычный 5 14 25 5 2 2" xfId="48138"/>
    <cellStyle name="Обычный 5 14 25 5 3" xfId="48139"/>
    <cellStyle name="Обычный 5 14 25 6" xfId="18266"/>
    <cellStyle name="Обычный 5 14 25 6 2" xfId="48140"/>
    <cellStyle name="Обычный 5 14 25 7" xfId="18267"/>
    <cellStyle name="Обычный 5 14 25 7 2" xfId="48141"/>
    <cellStyle name="Обычный 5 14 25 8" xfId="48142"/>
    <cellStyle name="Обычный 5 14 26" xfId="18268"/>
    <cellStyle name="Обычный 5 14 26 2" xfId="18269"/>
    <cellStyle name="Обычный 5 14 26 2 2" xfId="18270"/>
    <cellStyle name="Обычный 5 14 26 2 2 2" xfId="18271"/>
    <cellStyle name="Обычный 5 14 26 2 2 2 2" xfId="48143"/>
    <cellStyle name="Обычный 5 14 26 2 2 3" xfId="48144"/>
    <cellStyle name="Обычный 5 14 26 2 3" xfId="18272"/>
    <cellStyle name="Обычный 5 14 26 2 3 2" xfId="48145"/>
    <cellStyle name="Обычный 5 14 26 2 4" xfId="48146"/>
    <cellStyle name="Обычный 5 14 26 3" xfId="18273"/>
    <cellStyle name="Обычный 5 14 26 3 2" xfId="18274"/>
    <cellStyle name="Обычный 5 14 26 3 2 2" xfId="18275"/>
    <cellStyle name="Обычный 5 14 26 3 2 2 2" xfId="48147"/>
    <cellStyle name="Обычный 5 14 26 3 2 3" xfId="48148"/>
    <cellStyle name="Обычный 5 14 26 3 3" xfId="18276"/>
    <cellStyle name="Обычный 5 14 26 3 3 2" xfId="48149"/>
    <cellStyle name="Обычный 5 14 26 3 4" xfId="48150"/>
    <cellStyle name="Обычный 5 14 26 4" xfId="18277"/>
    <cellStyle name="Обычный 5 14 26 4 2" xfId="18278"/>
    <cellStyle name="Обычный 5 14 26 4 2 2" xfId="18279"/>
    <cellStyle name="Обычный 5 14 26 4 2 2 2" xfId="48151"/>
    <cellStyle name="Обычный 5 14 26 4 2 3" xfId="48152"/>
    <cellStyle name="Обычный 5 14 26 4 3" xfId="18280"/>
    <cellStyle name="Обычный 5 14 26 4 3 2" xfId="48153"/>
    <cellStyle name="Обычный 5 14 26 4 4" xfId="48154"/>
    <cellStyle name="Обычный 5 14 26 5" xfId="18281"/>
    <cellStyle name="Обычный 5 14 26 5 2" xfId="18282"/>
    <cellStyle name="Обычный 5 14 26 5 2 2" xfId="48155"/>
    <cellStyle name="Обычный 5 14 26 5 3" xfId="48156"/>
    <cellStyle name="Обычный 5 14 26 6" xfId="18283"/>
    <cellStyle name="Обычный 5 14 26 6 2" xfId="48157"/>
    <cellStyle name="Обычный 5 14 26 7" xfId="18284"/>
    <cellStyle name="Обычный 5 14 26 7 2" xfId="48158"/>
    <cellStyle name="Обычный 5 14 26 8" xfId="48159"/>
    <cellStyle name="Обычный 5 14 27" xfId="18285"/>
    <cellStyle name="Обычный 5 14 27 2" xfId="18286"/>
    <cellStyle name="Обычный 5 14 27 2 2" xfId="18287"/>
    <cellStyle name="Обычный 5 14 27 2 2 2" xfId="18288"/>
    <cellStyle name="Обычный 5 14 27 2 2 2 2" xfId="48160"/>
    <cellStyle name="Обычный 5 14 27 2 2 3" xfId="48161"/>
    <cellStyle name="Обычный 5 14 27 2 3" xfId="18289"/>
    <cellStyle name="Обычный 5 14 27 2 3 2" xfId="48162"/>
    <cellStyle name="Обычный 5 14 27 2 4" xfId="48163"/>
    <cellStyle name="Обычный 5 14 27 3" xfId="18290"/>
    <cellStyle name="Обычный 5 14 27 3 2" xfId="18291"/>
    <cellStyle name="Обычный 5 14 27 3 2 2" xfId="18292"/>
    <cellStyle name="Обычный 5 14 27 3 2 2 2" xfId="48164"/>
    <cellStyle name="Обычный 5 14 27 3 2 3" xfId="48165"/>
    <cellStyle name="Обычный 5 14 27 3 3" xfId="18293"/>
    <cellStyle name="Обычный 5 14 27 3 3 2" xfId="48166"/>
    <cellStyle name="Обычный 5 14 27 3 4" xfId="48167"/>
    <cellStyle name="Обычный 5 14 27 4" xfId="18294"/>
    <cellStyle name="Обычный 5 14 27 4 2" xfId="18295"/>
    <cellStyle name="Обычный 5 14 27 4 2 2" xfId="18296"/>
    <cellStyle name="Обычный 5 14 27 4 2 2 2" xfId="48168"/>
    <cellStyle name="Обычный 5 14 27 4 2 3" xfId="48169"/>
    <cellStyle name="Обычный 5 14 27 4 3" xfId="18297"/>
    <cellStyle name="Обычный 5 14 27 4 3 2" xfId="48170"/>
    <cellStyle name="Обычный 5 14 27 4 4" xfId="48171"/>
    <cellStyle name="Обычный 5 14 27 5" xfId="18298"/>
    <cellStyle name="Обычный 5 14 27 5 2" xfId="18299"/>
    <cellStyle name="Обычный 5 14 27 5 2 2" xfId="48172"/>
    <cellStyle name="Обычный 5 14 27 5 3" xfId="48173"/>
    <cellStyle name="Обычный 5 14 27 6" xfId="18300"/>
    <cellStyle name="Обычный 5 14 27 6 2" xfId="48174"/>
    <cellStyle name="Обычный 5 14 27 7" xfId="18301"/>
    <cellStyle name="Обычный 5 14 27 7 2" xfId="48175"/>
    <cellStyle name="Обычный 5 14 27 8" xfId="48176"/>
    <cellStyle name="Обычный 5 14 28" xfId="18302"/>
    <cellStyle name="Обычный 5 14 28 2" xfId="18303"/>
    <cellStyle name="Обычный 5 14 28 2 2" xfId="18304"/>
    <cellStyle name="Обычный 5 14 28 2 2 2" xfId="18305"/>
    <cellStyle name="Обычный 5 14 28 2 2 2 2" xfId="48177"/>
    <cellStyle name="Обычный 5 14 28 2 2 3" xfId="48178"/>
    <cellStyle name="Обычный 5 14 28 2 3" xfId="18306"/>
    <cellStyle name="Обычный 5 14 28 2 3 2" xfId="48179"/>
    <cellStyle name="Обычный 5 14 28 2 4" xfId="48180"/>
    <cellStyle name="Обычный 5 14 28 3" xfId="18307"/>
    <cellStyle name="Обычный 5 14 28 3 2" xfId="18308"/>
    <cellStyle name="Обычный 5 14 28 3 2 2" xfId="18309"/>
    <cellStyle name="Обычный 5 14 28 3 2 2 2" xfId="48181"/>
    <cellStyle name="Обычный 5 14 28 3 2 3" xfId="48182"/>
    <cellStyle name="Обычный 5 14 28 3 3" xfId="18310"/>
    <cellStyle name="Обычный 5 14 28 3 3 2" xfId="48183"/>
    <cellStyle name="Обычный 5 14 28 3 4" xfId="48184"/>
    <cellStyle name="Обычный 5 14 28 4" xfId="18311"/>
    <cellStyle name="Обычный 5 14 28 4 2" xfId="18312"/>
    <cellStyle name="Обычный 5 14 28 4 2 2" xfId="18313"/>
    <cellStyle name="Обычный 5 14 28 4 2 2 2" xfId="48185"/>
    <cellStyle name="Обычный 5 14 28 4 2 3" xfId="48186"/>
    <cellStyle name="Обычный 5 14 28 4 3" xfId="18314"/>
    <cellStyle name="Обычный 5 14 28 4 3 2" xfId="48187"/>
    <cellStyle name="Обычный 5 14 28 4 4" xfId="48188"/>
    <cellStyle name="Обычный 5 14 28 5" xfId="18315"/>
    <cellStyle name="Обычный 5 14 28 5 2" xfId="18316"/>
    <cellStyle name="Обычный 5 14 28 5 2 2" xfId="48189"/>
    <cellStyle name="Обычный 5 14 28 5 3" xfId="48190"/>
    <cellStyle name="Обычный 5 14 28 6" xfId="18317"/>
    <cellStyle name="Обычный 5 14 28 6 2" xfId="48191"/>
    <cellStyle name="Обычный 5 14 28 7" xfId="18318"/>
    <cellStyle name="Обычный 5 14 28 7 2" xfId="48192"/>
    <cellStyle name="Обычный 5 14 28 8" xfId="48193"/>
    <cellStyle name="Обычный 5 14 29" xfId="18319"/>
    <cellStyle name="Обычный 5 14 29 2" xfId="18320"/>
    <cellStyle name="Обычный 5 14 29 2 2" xfId="18321"/>
    <cellStyle name="Обычный 5 14 29 2 2 2" xfId="18322"/>
    <cellStyle name="Обычный 5 14 29 2 2 2 2" xfId="48194"/>
    <cellStyle name="Обычный 5 14 29 2 2 3" xfId="48195"/>
    <cellStyle name="Обычный 5 14 29 2 3" xfId="18323"/>
    <cellStyle name="Обычный 5 14 29 2 3 2" xfId="48196"/>
    <cellStyle name="Обычный 5 14 29 2 4" xfId="48197"/>
    <cellStyle name="Обычный 5 14 29 3" xfId="18324"/>
    <cellStyle name="Обычный 5 14 29 3 2" xfId="18325"/>
    <cellStyle name="Обычный 5 14 29 3 2 2" xfId="18326"/>
    <cellStyle name="Обычный 5 14 29 3 2 2 2" xfId="48198"/>
    <cellStyle name="Обычный 5 14 29 3 2 3" xfId="48199"/>
    <cellStyle name="Обычный 5 14 29 3 3" xfId="18327"/>
    <cellStyle name="Обычный 5 14 29 3 3 2" xfId="48200"/>
    <cellStyle name="Обычный 5 14 29 3 4" xfId="48201"/>
    <cellStyle name="Обычный 5 14 29 4" xfId="18328"/>
    <cellStyle name="Обычный 5 14 29 4 2" xfId="18329"/>
    <cellStyle name="Обычный 5 14 29 4 2 2" xfId="18330"/>
    <cellStyle name="Обычный 5 14 29 4 2 2 2" xfId="48202"/>
    <cellStyle name="Обычный 5 14 29 4 2 3" xfId="48203"/>
    <cellStyle name="Обычный 5 14 29 4 3" xfId="18331"/>
    <cellStyle name="Обычный 5 14 29 4 3 2" xfId="48204"/>
    <cellStyle name="Обычный 5 14 29 4 4" xfId="48205"/>
    <cellStyle name="Обычный 5 14 29 5" xfId="18332"/>
    <cellStyle name="Обычный 5 14 29 5 2" xfId="18333"/>
    <cellStyle name="Обычный 5 14 29 5 2 2" xfId="48206"/>
    <cellStyle name="Обычный 5 14 29 5 3" xfId="48207"/>
    <cellStyle name="Обычный 5 14 29 6" xfId="18334"/>
    <cellStyle name="Обычный 5 14 29 6 2" xfId="48208"/>
    <cellStyle name="Обычный 5 14 29 7" xfId="18335"/>
    <cellStyle name="Обычный 5 14 29 7 2" xfId="48209"/>
    <cellStyle name="Обычный 5 14 29 8" xfId="48210"/>
    <cellStyle name="Обычный 5 14 3" xfId="18336"/>
    <cellStyle name="Обычный 5 14 3 2" xfId="18337"/>
    <cellStyle name="Обычный 5 14 3 2 2" xfId="18338"/>
    <cellStyle name="Обычный 5 14 3 2 2 2" xfId="18339"/>
    <cellStyle name="Обычный 5 14 3 2 2 2 2" xfId="48211"/>
    <cellStyle name="Обычный 5 14 3 2 2 3" xfId="48212"/>
    <cellStyle name="Обычный 5 14 3 2 3" xfId="18340"/>
    <cellStyle name="Обычный 5 14 3 2 3 2" xfId="48213"/>
    <cellStyle name="Обычный 5 14 3 2 4" xfId="48214"/>
    <cellStyle name="Обычный 5 14 3 3" xfId="18341"/>
    <cellStyle name="Обычный 5 14 3 3 2" xfId="18342"/>
    <cellStyle name="Обычный 5 14 3 3 2 2" xfId="18343"/>
    <cellStyle name="Обычный 5 14 3 3 2 2 2" xfId="48215"/>
    <cellStyle name="Обычный 5 14 3 3 2 3" xfId="48216"/>
    <cellStyle name="Обычный 5 14 3 3 3" xfId="18344"/>
    <cellStyle name="Обычный 5 14 3 3 3 2" xfId="48217"/>
    <cellStyle name="Обычный 5 14 3 3 4" xfId="48218"/>
    <cellStyle name="Обычный 5 14 3 4" xfId="18345"/>
    <cellStyle name="Обычный 5 14 3 4 2" xfId="18346"/>
    <cellStyle name="Обычный 5 14 3 4 2 2" xfId="18347"/>
    <cellStyle name="Обычный 5 14 3 4 2 2 2" xfId="48219"/>
    <cellStyle name="Обычный 5 14 3 4 2 3" xfId="48220"/>
    <cellStyle name="Обычный 5 14 3 4 3" xfId="18348"/>
    <cellStyle name="Обычный 5 14 3 4 3 2" xfId="48221"/>
    <cellStyle name="Обычный 5 14 3 4 4" xfId="48222"/>
    <cellStyle name="Обычный 5 14 3 5" xfId="18349"/>
    <cellStyle name="Обычный 5 14 3 5 2" xfId="18350"/>
    <cellStyle name="Обычный 5 14 3 5 2 2" xfId="48223"/>
    <cellStyle name="Обычный 5 14 3 5 3" xfId="48224"/>
    <cellStyle name="Обычный 5 14 3 6" xfId="18351"/>
    <cellStyle name="Обычный 5 14 3 6 2" xfId="48225"/>
    <cellStyle name="Обычный 5 14 3 7" xfId="18352"/>
    <cellStyle name="Обычный 5 14 3 7 2" xfId="48226"/>
    <cellStyle name="Обычный 5 14 3 8" xfId="48227"/>
    <cellStyle name="Обычный 5 14 30" xfId="18353"/>
    <cellStyle name="Обычный 5 14 30 2" xfId="18354"/>
    <cellStyle name="Обычный 5 14 30 2 2" xfId="18355"/>
    <cellStyle name="Обычный 5 14 30 2 2 2" xfId="48228"/>
    <cellStyle name="Обычный 5 14 30 2 3" xfId="48229"/>
    <cellStyle name="Обычный 5 14 30 3" xfId="18356"/>
    <cellStyle name="Обычный 5 14 30 3 2" xfId="48230"/>
    <cellStyle name="Обычный 5 14 30 4" xfId="48231"/>
    <cellStyle name="Обычный 5 14 31" xfId="18357"/>
    <cellStyle name="Обычный 5 14 31 2" xfId="18358"/>
    <cellStyle name="Обычный 5 14 31 2 2" xfId="18359"/>
    <cellStyle name="Обычный 5 14 31 2 2 2" xfId="48232"/>
    <cellStyle name="Обычный 5 14 31 2 3" xfId="48233"/>
    <cellStyle name="Обычный 5 14 31 3" xfId="18360"/>
    <cellStyle name="Обычный 5 14 31 3 2" xfId="48234"/>
    <cellStyle name="Обычный 5 14 31 4" xfId="48235"/>
    <cellStyle name="Обычный 5 14 32" xfId="18361"/>
    <cellStyle name="Обычный 5 14 32 2" xfId="18362"/>
    <cellStyle name="Обычный 5 14 32 2 2" xfId="18363"/>
    <cellStyle name="Обычный 5 14 32 2 2 2" xfId="48236"/>
    <cellStyle name="Обычный 5 14 32 2 3" xfId="48237"/>
    <cellStyle name="Обычный 5 14 32 3" xfId="18364"/>
    <cellStyle name="Обычный 5 14 32 3 2" xfId="48238"/>
    <cellStyle name="Обычный 5 14 32 4" xfId="48239"/>
    <cellStyle name="Обычный 5 14 33" xfId="18365"/>
    <cellStyle name="Обычный 5 14 33 2" xfId="18366"/>
    <cellStyle name="Обычный 5 14 33 2 2" xfId="48240"/>
    <cellStyle name="Обычный 5 14 33 3" xfId="48241"/>
    <cellStyle name="Обычный 5 14 34" xfId="18367"/>
    <cellStyle name="Обычный 5 14 34 2" xfId="48242"/>
    <cellStyle name="Обычный 5 14 35" xfId="18368"/>
    <cellStyle name="Обычный 5 14 35 2" xfId="48243"/>
    <cellStyle name="Обычный 5 14 36" xfId="48244"/>
    <cellStyle name="Обычный 5 14 4" xfId="18369"/>
    <cellStyle name="Обычный 5 14 4 2" xfId="18370"/>
    <cellStyle name="Обычный 5 14 4 2 2" xfId="18371"/>
    <cellStyle name="Обычный 5 14 4 2 2 2" xfId="18372"/>
    <cellStyle name="Обычный 5 14 4 2 2 2 2" xfId="48245"/>
    <cellStyle name="Обычный 5 14 4 2 2 3" xfId="48246"/>
    <cellStyle name="Обычный 5 14 4 2 3" xfId="18373"/>
    <cellStyle name="Обычный 5 14 4 2 3 2" xfId="48247"/>
    <cellStyle name="Обычный 5 14 4 2 4" xfId="48248"/>
    <cellStyle name="Обычный 5 14 4 3" xfId="18374"/>
    <cellStyle name="Обычный 5 14 4 3 2" xfId="18375"/>
    <cellStyle name="Обычный 5 14 4 3 2 2" xfId="18376"/>
    <cellStyle name="Обычный 5 14 4 3 2 2 2" xfId="48249"/>
    <cellStyle name="Обычный 5 14 4 3 2 3" xfId="48250"/>
    <cellStyle name="Обычный 5 14 4 3 3" xfId="18377"/>
    <cellStyle name="Обычный 5 14 4 3 3 2" xfId="48251"/>
    <cellStyle name="Обычный 5 14 4 3 4" xfId="48252"/>
    <cellStyle name="Обычный 5 14 4 4" xfId="18378"/>
    <cellStyle name="Обычный 5 14 4 4 2" xfId="18379"/>
    <cellStyle name="Обычный 5 14 4 4 2 2" xfId="18380"/>
    <cellStyle name="Обычный 5 14 4 4 2 2 2" xfId="48253"/>
    <cellStyle name="Обычный 5 14 4 4 2 3" xfId="48254"/>
    <cellStyle name="Обычный 5 14 4 4 3" xfId="18381"/>
    <cellStyle name="Обычный 5 14 4 4 3 2" xfId="48255"/>
    <cellStyle name="Обычный 5 14 4 4 4" xfId="48256"/>
    <cellStyle name="Обычный 5 14 4 5" xfId="18382"/>
    <cellStyle name="Обычный 5 14 4 5 2" xfId="18383"/>
    <cellStyle name="Обычный 5 14 4 5 2 2" xfId="48257"/>
    <cellStyle name="Обычный 5 14 4 5 3" xfId="48258"/>
    <cellStyle name="Обычный 5 14 4 6" xfId="18384"/>
    <cellStyle name="Обычный 5 14 4 6 2" xfId="48259"/>
    <cellStyle name="Обычный 5 14 4 7" xfId="18385"/>
    <cellStyle name="Обычный 5 14 4 7 2" xfId="48260"/>
    <cellStyle name="Обычный 5 14 4 8" xfId="48261"/>
    <cellStyle name="Обычный 5 14 5" xfId="18386"/>
    <cellStyle name="Обычный 5 14 5 2" xfId="18387"/>
    <cellStyle name="Обычный 5 14 5 2 2" xfId="18388"/>
    <cellStyle name="Обычный 5 14 5 2 2 2" xfId="18389"/>
    <cellStyle name="Обычный 5 14 5 2 2 2 2" xfId="48262"/>
    <cellStyle name="Обычный 5 14 5 2 2 3" xfId="48263"/>
    <cellStyle name="Обычный 5 14 5 2 3" xfId="18390"/>
    <cellStyle name="Обычный 5 14 5 2 3 2" xfId="48264"/>
    <cellStyle name="Обычный 5 14 5 2 4" xfId="48265"/>
    <cellStyle name="Обычный 5 14 5 3" xfId="18391"/>
    <cellStyle name="Обычный 5 14 5 3 2" xfId="18392"/>
    <cellStyle name="Обычный 5 14 5 3 2 2" xfId="18393"/>
    <cellStyle name="Обычный 5 14 5 3 2 2 2" xfId="48266"/>
    <cellStyle name="Обычный 5 14 5 3 2 3" xfId="48267"/>
    <cellStyle name="Обычный 5 14 5 3 3" xfId="18394"/>
    <cellStyle name="Обычный 5 14 5 3 3 2" xfId="48268"/>
    <cellStyle name="Обычный 5 14 5 3 4" xfId="48269"/>
    <cellStyle name="Обычный 5 14 5 4" xfId="18395"/>
    <cellStyle name="Обычный 5 14 5 4 2" xfId="18396"/>
    <cellStyle name="Обычный 5 14 5 4 2 2" xfId="18397"/>
    <cellStyle name="Обычный 5 14 5 4 2 2 2" xfId="48270"/>
    <cellStyle name="Обычный 5 14 5 4 2 3" xfId="48271"/>
    <cellStyle name="Обычный 5 14 5 4 3" xfId="18398"/>
    <cellStyle name="Обычный 5 14 5 4 3 2" xfId="48272"/>
    <cellStyle name="Обычный 5 14 5 4 4" xfId="48273"/>
    <cellStyle name="Обычный 5 14 5 5" xfId="18399"/>
    <cellStyle name="Обычный 5 14 5 5 2" xfId="18400"/>
    <cellStyle name="Обычный 5 14 5 5 2 2" xfId="48274"/>
    <cellStyle name="Обычный 5 14 5 5 3" xfId="48275"/>
    <cellStyle name="Обычный 5 14 5 6" xfId="18401"/>
    <cellStyle name="Обычный 5 14 5 6 2" xfId="48276"/>
    <cellStyle name="Обычный 5 14 5 7" xfId="18402"/>
    <cellStyle name="Обычный 5 14 5 7 2" xfId="48277"/>
    <cellStyle name="Обычный 5 14 5 8" xfId="48278"/>
    <cellStyle name="Обычный 5 14 6" xfId="18403"/>
    <cellStyle name="Обычный 5 14 6 2" xfId="18404"/>
    <cellStyle name="Обычный 5 14 6 2 2" xfId="18405"/>
    <cellStyle name="Обычный 5 14 6 2 2 2" xfId="18406"/>
    <cellStyle name="Обычный 5 14 6 2 2 2 2" xfId="48279"/>
    <cellStyle name="Обычный 5 14 6 2 2 3" xfId="48280"/>
    <cellStyle name="Обычный 5 14 6 2 3" xfId="18407"/>
    <cellStyle name="Обычный 5 14 6 2 3 2" xfId="48281"/>
    <cellStyle name="Обычный 5 14 6 2 4" xfId="48282"/>
    <cellStyle name="Обычный 5 14 6 3" xfId="18408"/>
    <cellStyle name="Обычный 5 14 6 3 2" xfId="18409"/>
    <cellStyle name="Обычный 5 14 6 3 2 2" xfId="18410"/>
    <cellStyle name="Обычный 5 14 6 3 2 2 2" xfId="48283"/>
    <cellStyle name="Обычный 5 14 6 3 2 3" xfId="48284"/>
    <cellStyle name="Обычный 5 14 6 3 3" xfId="18411"/>
    <cellStyle name="Обычный 5 14 6 3 3 2" xfId="48285"/>
    <cellStyle name="Обычный 5 14 6 3 4" xfId="48286"/>
    <cellStyle name="Обычный 5 14 6 4" xfId="18412"/>
    <cellStyle name="Обычный 5 14 6 4 2" xfId="18413"/>
    <cellStyle name="Обычный 5 14 6 4 2 2" xfId="18414"/>
    <cellStyle name="Обычный 5 14 6 4 2 2 2" xfId="48287"/>
    <cellStyle name="Обычный 5 14 6 4 2 3" xfId="48288"/>
    <cellStyle name="Обычный 5 14 6 4 3" xfId="18415"/>
    <cellStyle name="Обычный 5 14 6 4 3 2" xfId="48289"/>
    <cellStyle name="Обычный 5 14 6 4 4" xfId="48290"/>
    <cellStyle name="Обычный 5 14 6 5" xfId="18416"/>
    <cellStyle name="Обычный 5 14 6 5 2" xfId="18417"/>
    <cellStyle name="Обычный 5 14 6 5 2 2" xfId="48291"/>
    <cellStyle name="Обычный 5 14 6 5 3" xfId="48292"/>
    <cellStyle name="Обычный 5 14 6 6" xfId="18418"/>
    <cellStyle name="Обычный 5 14 6 6 2" xfId="48293"/>
    <cellStyle name="Обычный 5 14 6 7" xfId="18419"/>
    <cellStyle name="Обычный 5 14 6 7 2" xfId="48294"/>
    <cellStyle name="Обычный 5 14 6 8" xfId="48295"/>
    <cellStyle name="Обычный 5 14 7" xfId="18420"/>
    <cellStyle name="Обычный 5 14 7 2" xfId="18421"/>
    <cellStyle name="Обычный 5 14 7 2 2" xfId="18422"/>
    <cellStyle name="Обычный 5 14 7 2 2 2" xfId="18423"/>
    <cellStyle name="Обычный 5 14 7 2 2 2 2" xfId="48296"/>
    <cellStyle name="Обычный 5 14 7 2 2 3" xfId="48297"/>
    <cellStyle name="Обычный 5 14 7 2 3" xfId="18424"/>
    <cellStyle name="Обычный 5 14 7 2 3 2" xfId="48298"/>
    <cellStyle name="Обычный 5 14 7 2 4" xfId="48299"/>
    <cellStyle name="Обычный 5 14 7 3" xfId="18425"/>
    <cellStyle name="Обычный 5 14 7 3 2" xfId="18426"/>
    <cellStyle name="Обычный 5 14 7 3 2 2" xfId="18427"/>
    <cellStyle name="Обычный 5 14 7 3 2 2 2" xfId="48300"/>
    <cellStyle name="Обычный 5 14 7 3 2 3" xfId="48301"/>
    <cellStyle name="Обычный 5 14 7 3 3" xfId="18428"/>
    <cellStyle name="Обычный 5 14 7 3 3 2" xfId="48302"/>
    <cellStyle name="Обычный 5 14 7 3 4" xfId="48303"/>
    <cellStyle name="Обычный 5 14 7 4" xfId="18429"/>
    <cellStyle name="Обычный 5 14 7 4 2" xfId="18430"/>
    <cellStyle name="Обычный 5 14 7 4 2 2" xfId="18431"/>
    <cellStyle name="Обычный 5 14 7 4 2 2 2" xfId="48304"/>
    <cellStyle name="Обычный 5 14 7 4 2 3" xfId="48305"/>
    <cellStyle name="Обычный 5 14 7 4 3" xfId="18432"/>
    <cellStyle name="Обычный 5 14 7 4 3 2" xfId="48306"/>
    <cellStyle name="Обычный 5 14 7 4 4" xfId="48307"/>
    <cellStyle name="Обычный 5 14 7 5" xfId="18433"/>
    <cellStyle name="Обычный 5 14 7 5 2" xfId="18434"/>
    <cellStyle name="Обычный 5 14 7 5 2 2" xfId="48308"/>
    <cellStyle name="Обычный 5 14 7 5 3" xfId="48309"/>
    <cellStyle name="Обычный 5 14 7 6" xfId="18435"/>
    <cellStyle name="Обычный 5 14 7 6 2" xfId="48310"/>
    <cellStyle name="Обычный 5 14 7 7" xfId="18436"/>
    <cellStyle name="Обычный 5 14 7 7 2" xfId="48311"/>
    <cellStyle name="Обычный 5 14 7 8" xfId="48312"/>
    <cellStyle name="Обычный 5 14 8" xfId="18437"/>
    <cellStyle name="Обычный 5 14 8 2" xfId="18438"/>
    <cellStyle name="Обычный 5 14 8 2 2" xfId="18439"/>
    <cellStyle name="Обычный 5 14 8 2 2 2" xfId="18440"/>
    <cellStyle name="Обычный 5 14 8 2 2 2 2" xfId="48313"/>
    <cellStyle name="Обычный 5 14 8 2 2 3" xfId="48314"/>
    <cellStyle name="Обычный 5 14 8 2 3" xfId="18441"/>
    <cellStyle name="Обычный 5 14 8 2 3 2" xfId="48315"/>
    <cellStyle name="Обычный 5 14 8 2 4" xfId="48316"/>
    <cellStyle name="Обычный 5 14 8 3" xfId="18442"/>
    <cellStyle name="Обычный 5 14 8 3 2" xfId="18443"/>
    <cellStyle name="Обычный 5 14 8 3 2 2" xfId="18444"/>
    <cellStyle name="Обычный 5 14 8 3 2 2 2" xfId="48317"/>
    <cellStyle name="Обычный 5 14 8 3 2 3" xfId="48318"/>
    <cellStyle name="Обычный 5 14 8 3 3" xfId="18445"/>
    <cellStyle name="Обычный 5 14 8 3 3 2" xfId="48319"/>
    <cellStyle name="Обычный 5 14 8 3 4" xfId="48320"/>
    <cellStyle name="Обычный 5 14 8 4" xfId="18446"/>
    <cellStyle name="Обычный 5 14 8 4 2" xfId="18447"/>
    <cellStyle name="Обычный 5 14 8 4 2 2" xfId="18448"/>
    <cellStyle name="Обычный 5 14 8 4 2 2 2" xfId="48321"/>
    <cellStyle name="Обычный 5 14 8 4 2 3" xfId="48322"/>
    <cellStyle name="Обычный 5 14 8 4 3" xfId="18449"/>
    <cellStyle name="Обычный 5 14 8 4 3 2" xfId="48323"/>
    <cellStyle name="Обычный 5 14 8 4 4" xfId="48324"/>
    <cellStyle name="Обычный 5 14 8 5" xfId="18450"/>
    <cellStyle name="Обычный 5 14 8 5 2" xfId="18451"/>
    <cellStyle name="Обычный 5 14 8 5 2 2" xfId="48325"/>
    <cellStyle name="Обычный 5 14 8 5 3" xfId="48326"/>
    <cellStyle name="Обычный 5 14 8 6" xfId="18452"/>
    <cellStyle name="Обычный 5 14 8 6 2" xfId="48327"/>
    <cellStyle name="Обычный 5 14 8 7" xfId="18453"/>
    <cellStyle name="Обычный 5 14 8 7 2" xfId="48328"/>
    <cellStyle name="Обычный 5 14 8 8" xfId="48329"/>
    <cellStyle name="Обычный 5 14 9" xfId="18454"/>
    <cellStyle name="Обычный 5 14 9 2" xfId="18455"/>
    <cellStyle name="Обычный 5 14 9 2 2" xfId="18456"/>
    <cellStyle name="Обычный 5 14 9 2 2 2" xfId="18457"/>
    <cellStyle name="Обычный 5 14 9 2 2 2 2" xfId="48330"/>
    <cellStyle name="Обычный 5 14 9 2 2 3" xfId="48331"/>
    <cellStyle name="Обычный 5 14 9 2 3" xfId="18458"/>
    <cellStyle name="Обычный 5 14 9 2 3 2" xfId="48332"/>
    <cellStyle name="Обычный 5 14 9 2 4" xfId="48333"/>
    <cellStyle name="Обычный 5 14 9 3" xfId="18459"/>
    <cellStyle name="Обычный 5 14 9 3 2" xfId="18460"/>
    <cellStyle name="Обычный 5 14 9 3 2 2" xfId="18461"/>
    <cellStyle name="Обычный 5 14 9 3 2 2 2" xfId="48334"/>
    <cellStyle name="Обычный 5 14 9 3 2 3" xfId="48335"/>
    <cellStyle name="Обычный 5 14 9 3 3" xfId="18462"/>
    <cellStyle name="Обычный 5 14 9 3 3 2" xfId="48336"/>
    <cellStyle name="Обычный 5 14 9 3 4" xfId="48337"/>
    <cellStyle name="Обычный 5 14 9 4" xfId="18463"/>
    <cellStyle name="Обычный 5 14 9 4 2" xfId="18464"/>
    <cellStyle name="Обычный 5 14 9 4 2 2" xfId="18465"/>
    <cellStyle name="Обычный 5 14 9 4 2 2 2" xfId="48338"/>
    <cellStyle name="Обычный 5 14 9 4 2 3" xfId="48339"/>
    <cellStyle name="Обычный 5 14 9 4 3" xfId="18466"/>
    <cellStyle name="Обычный 5 14 9 4 3 2" xfId="48340"/>
    <cellStyle name="Обычный 5 14 9 4 4" xfId="48341"/>
    <cellStyle name="Обычный 5 14 9 5" xfId="18467"/>
    <cellStyle name="Обычный 5 14 9 5 2" xfId="18468"/>
    <cellStyle name="Обычный 5 14 9 5 2 2" xfId="48342"/>
    <cellStyle name="Обычный 5 14 9 5 3" xfId="48343"/>
    <cellStyle name="Обычный 5 14 9 6" xfId="18469"/>
    <cellStyle name="Обычный 5 14 9 6 2" xfId="48344"/>
    <cellStyle name="Обычный 5 14 9 7" xfId="18470"/>
    <cellStyle name="Обычный 5 14 9 7 2" xfId="48345"/>
    <cellStyle name="Обычный 5 14 9 8" xfId="48346"/>
    <cellStyle name="Обычный 5 15" xfId="18471"/>
    <cellStyle name="Обычный 5 15 10" xfId="18472"/>
    <cellStyle name="Обычный 5 15 10 2" xfId="18473"/>
    <cellStyle name="Обычный 5 15 10 2 2" xfId="18474"/>
    <cellStyle name="Обычный 5 15 10 2 2 2" xfId="18475"/>
    <cellStyle name="Обычный 5 15 10 2 2 2 2" xfId="48347"/>
    <cellStyle name="Обычный 5 15 10 2 2 3" xfId="48348"/>
    <cellStyle name="Обычный 5 15 10 2 3" xfId="18476"/>
    <cellStyle name="Обычный 5 15 10 2 3 2" xfId="48349"/>
    <cellStyle name="Обычный 5 15 10 2 4" xfId="48350"/>
    <cellStyle name="Обычный 5 15 10 3" xfId="18477"/>
    <cellStyle name="Обычный 5 15 10 3 2" xfId="18478"/>
    <cellStyle name="Обычный 5 15 10 3 2 2" xfId="18479"/>
    <cellStyle name="Обычный 5 15 10 3 2 2 2" xfId="48351"/>
    <cellStyle name="Обычный 5 15 10 3 2 3" xfId="48352"/>
    <cellStyle name="Обычный 5 15 10 3 3" xfId="18480"/>
    <cellStyle name="Обычный 5 15 10 3 3 2" xfId="48353"/>
    <cellStyle name="Обычный 5 15 10 3 4" xfId="48354"/>
    <cellStyle name="Обычный 5 15 10 4" xfId="18481"/>
    <cellStyle name="Обычный 5 15 10 4 2" xfId="18482"/>
    <cellStyle name="Обычный 5 15 10 4 2 2" xfId="18483"/>
    <cellStyle name="Обычный 5 15 10 4 2 2 2" xfId="48355"/>
    <cellStyle name="Обычный 5 15 10 4 2 3" xfId="48356"/>
    <cellStyle name="Обычный 5 15 10 4 3" xfId="18484"/>
    <cellStyle name="Обычный 5 15 10 4 3 2" xfId="48357"/>
    <cellStyle name="Обычный 5 15 10 4 4" xfId="48358"/>
    <cellStyle name="Обычный 5 15 10 5" xfId="18485"/>
    <cellStyle name="Обычный 5 15 10 5 2" xfId="18486"/>
    <cellStyle name="Обычный 5 15 10 5 2 2" xfId="48359"/>
    <cellStyle name="Обычный 5 15 10 5 3" xfId="48360"/>
    <cellStyle name="Обычный 5 15 10 6" xfId="18487"/>
    <cellStyle name="Обычный 5 15 10 6 2" xfId="48361"/>
    <cellStyle name="Обычный 5 15 10 7" xfId="18488"/>
    <cellStyle name="Обычный 5 15 10 7 2" xfId="48362"/>
    <cellStyle name="Обычный 5 15 10 8" xfId="48363"/>
    <cellStyle name="Обычный 5 15 11" xfId="18489"/>
    <cellStyle name="Обычный 5 15 11 2" xfId="18490"/>
    <cellStyle name="Обычный 5 15 11 2 2" xfId="18491"/>
    <cellStyle name="Обычный 5 15 11 2 2 2" xfId="18492"/>
    <cellStyle name="Обычный 5 15 11 2 2 2 2" xfId="48364"/>
    <cellStyle name="Обычный 5 15 11 2 2 3" xfId="48365"/>
    <cellStyle name="Обычный 5 15 11 2 3" xfId="18493"/>
    <cellStyle name="Обычный 5 15 11 2 3 2" xfId="48366"/>
    <cellStyle name="Обычный 5 15 11 2 4" xfId="48367"/>
    <cellStyle name="Обычный 5 15 11 3" xfId="18494"/>
    <cellStyle name="Обычный 5 15 11 3 2" xfId="18495"/>
    <cellStyle name="Обычный 5 15 11 3 2 2" xfId="18496"/>
    <cellStyle name="Обычный 5 15 11 3 2 2 2" xfId="48368"/>
    <cellStyle name="Обычный 5 15 11 3 2 3" xfId="48369"/>
    <cellStyle name="Обычный 5 15 11 3 3" xfId="18497"/>
    <cellStyle name="Обычный 5 15 11 3 3 2" xfId="48370"/>
    <cellStyle name="Обычный 5 15 11 3 4" xfId="48371"/>
    <cellStyle name="Обычный 5 15 11 4" xfId="18498"/>
    <cellStyle name="Обычный 5 15 11 4 2" xfId="18499"/>
    <cellStyle name="Обычный 5 15 11 4 2 2" xfId="18500"/>
    <cellStyle name="Обычный 5 15 11 4 2 2 2" xfId="48372"/>
    <cellStyle name="Обычный 5 15 11 4 2 3" xfId="48373"/>
    <cellStyle name="Обычный 5 15 11 4 3" xfId="18501"/>
    <cellStyle name="Обычный 5 15 11 4 3 2" xfId="48374"/>
    <cellStyle name="Обычный 5 15 11 4 4" xfId="48375"/>
    <cellStyle name="Обычный 5 15 11 5" xfId="18502"/>
    <cellStyle name="Обычный 5 15 11 5 2" xfId="18503"/>
    <cellStyle name="Обычный 5 15 11 5 2 2" xfId="48376"/>
    <cellStyle name="Обычный 5 15 11 5 3" xfId="48377"/>
    <cellStyle name="Обычный 5 15 11 6" xfId="18504"/>
    <cellStyle name="Обычный 5 15 11 6 2" xfId="48378"/>
    <cellStyle name="Обычный 5 15 11 7" xfId="18505"/>
    <cellStyle name="Обычный 5 15 11 7 2" xfId="48379"/>
    <cellStyle name="Обычный 5 15 11 8" xfId="48380"/>
    <cellStyle name="Обычный 5 15 12" xfId="18506"/>
    <cellStyle name="Обычный 5 15 12 2" xfId="18507"/>
    <cellStyle name="Обычный 5 15 12 2 2" xfId="18508"/>
    <cellStyle name="Обычный 5 15 12 2 2 2" xfId="18509"/>
    <cellStyle name="Обычный 5 15 12 2 2 2 2" xfId="48381"/>
    <cellStyle name="Обычный 5 15 12 2 2 3" xfId="48382"/>
    <cellStyle name="Обычный 5 15 12 2 3" xfId="18510"/>
    <cellStyle name="Обычный 5 15 12 2 3 2" xfId="48383"/>
    <cellStyle name="Обычный 5 15 12 2 4" xfId="48384"/>
    <cellStyle name="Обычный 5 15 12 3" xfId="18511"/>
    <cellStyle name="Обычный 5 15 12 3 2" xfId="18512"/>
    <cellStyle name="Обычный 5 15 12 3 2 2" xfId="18513"/>
    <cellStyle name="Обычный 5 15 12 3 2 2 2" xfId="48385"/>
    <cellStyle name="Обычный 5 15 12 3 2 3" xfId="48386"/>
    <cellStyle name="Обычный 5 15 12 3 3" xfId="18514"/>
    <cellStyle name="Обычный 5 15 12 3 3 2" xfId="48387"/>
    <cellStyle name="Обычный 5 15 12 3 4" xfId="48388"/>
    <cellStyle name="Обычный 5 15 12 4" xfId="18515"/>
    <cellStyle name="Обычный 5 15 12 4 2" xfId="18516"/>
    <cellStyle name="Обычный 5 15 12 4 2 2" xfId="18517"/>
    <cellStyle name="Обычный 5 15 12 4 2 2 2" xfId="48389"/>
    <cellStyle name="Обычный 5 15 12 4 2 3" xfId="48390"/>
    <cellStyle name="Обычный 5 15 12 4 3" xfId="18518"/>
    <cellStyle name="Обычный 5 15 12 4 3 2" xfId="48391"/>
    <cellStyle name="Обычный 5 15 12 4 4" xfId="48392"/>
    <cellStyle name="Обычный 5 15 12 5" xfId="18519"/>
    <cellStyle name="Обычный 5 15 12 5 2" xfId="18520"/>
    <cellStyle name="Обычный 5 15 12 5 2 2" xfId="48393"/>
    <cellStyle name="Обычный 5 15 12 5 3" xfId="48394"/>
    <cellStyle name="Обычный 5 15 12 6" xfId="18521"/>
    <cellStyle name="Обычный 5 15 12 6 2" xfId="48395"/>
    <cellStyle name="Обычный 5 15 12 7" xfId="18522"/>
    <cellStyle name="Обычный 5 15 12 7 2" xfId="48396"/>
    <cellStyle name="Обычный 5 15 12 8" xfId="48397"/>
    <cellStyle name="Обычный 5 15 13" xfId="18523"/>
    <cellStyle name="Обычный 5 15 13 2" xfId="18524"/>
    <cellStyle name="Обычный 5 15 13 2 2" xfId="18525"/>
    <cellStyle name="Обычный 5 15 13 2 2 2" xfId="18526"/>
    <cellStyle name="Обычный 5 15 13 2 2 2 2" xfId="48398"/>
    <cellStyle name="Обычный 5 15 13 2 2 3" xfId="48399"/>
    <cellStyle name="Обычный 5 15 13 2 3" xfId="18527"/>
    <cellStyle name="Обычный 5 15 13 2 3 2" xfId="48400"/>
    <cellStyle name="Обычный 5 15 13 2 4" xfId="48401"/>
    <cellStyle name="Обычный 5 15 13 3" xfId="18528"/>
    <cellStyle name="Обычный 5 15 13 3 2" xfId="18529"/>
    <cellStyle name="Обычный 5 15 13 3 2 2" xfId="18530"/>
    <cellStyle name="Обычный 5 15 13 3 2 2 2" xfId="48402"/>
    <cellStyle name="Обычный 5 15 13 3 2 3" xfId="48403"/>
    <cellStyle name="Обычный 5 15 13 3 3" xfId="18531"/>
    <cellStyle name="Обычный 5 15 13 3 3 2" xfId="48404"/>
    <cellStyle name="Обычный 5 15 13 3 4" xfId="48405"/>
    <cellStyle name="Обычный 5 15 13 4" xfId="18532"/>
    <cellStyle name="Обычный 5 15 13 4 2" xfId="18533"/>
    <cellStyle name="Обычный 5 15 13 4 2 2" xfId="18534"/>
    <cellStyle name="Обычный 5 15 13 4 2 2 2" xfId="48406"/>
    <cellStyle name="Обычный 5 15 13 4 2 3" xfId="48407"/>
    <cellStyle name="Обычный 5 15 13 4 3" xfId="18535"/>
    <cellStyle name="Обычный 5 15 13 4 3 2" xfId="48408"/>
    <cellStyle name="Обычный 5 15 13 4 4" xfId="48409"/>
    <cellStyle name="Обычный 5 15 13 5" xfId="18536"/>
    <cellStyle name="Обычный 5 15 13 5 2" xfId="18537"/>
    <cellStyle name="Обычный 5 15 13 5 2 2" xfId="48410"/>
    <cellStyle name="Обычный 5 15 13 5 3" xfId="48411"/>
    <cellStyle name="Обычный 5 15 13 6" xfId="18538"/>
    <cellStyle name="Обычный 5 15 13 6 2" xfId="48412"/>
    <cellStyle name="Обычный 5 15 13 7" xfId="18539"/>
    <cellStyle name="Обычный 5 15 13 7 2" xfId="48413"/>
    <cellStyle name="Обычный 5 15 13 8" xfId="48414"/>
    <cellStyle name="Обычный 5 15 14" xfId="18540"/>
    <cellStyle name="Обычный 5 15 14 2" xfId="18541"/>
    <cellStyle name="Обычный 5 15 14 2 2" xfId="18542"/>
    <cellStyle name="Обычный 5 15 14 2 2 2" xfId="18543"/>
    <cellStyle name="Обычный 5 15 14 2 2 2 2" xfId="48415"/>
    <cellStyle name="Обычный 5 15 14 2 2 3" xfId="48416"/>
    <cellStyle name="Обычный 5 15 14 2 3" xfId="18544"/>
    <cellStyle name="Обычный 5 15 14 2 3 2" xfId="48417"/>
    <cellStyle name="Обычный 5 15 14 2 4" xfId="48418"/>
    <cellStyle name="Обычный 5 15 14 3" xfId="18545"/>
    <cellStyle name="Обычный 5 15 14 3 2" xfId="18546"/>
    <cellStyle name="Обычный 5 15 14 3 2 2" xfId="18547"/>
    <cellStyle name="Обычный 5 15 14 3 2 2 2" xfId="48419"/>
    <cellStyle name="Обычный 5 15 14 3 2 3" xfId="48420"/>
    <cellStyle name="Обычный 5 15 14 3 3" xfId="18548"/>
    <cellStyle name="Обычный 5 15 14 3 3 2" xfId="48421"/>
    <cellStyle name="Обычный 5 15 14 3 4" xfId="48422"/>
    <cellStyle name="Обычный 5 15 14 4" xfId="18549"/>
    <cellStyle name="Обычный 5 15 14 4 2" xfId="18550"/>
    <cellStyle name="Обычный 5 15 14 4 2 2" xfId="18551"/>
    <cellStyle name="Обычный 5 15 14 4 2 2 2" xfId="48423"/>
    <cellStyle name="Обычный 5 15 14 4 2 3" xfId="48424"/>
    <cellStyle name="Обычный 5 15 14 4 3" xfId="18552"/>
    <cellStyle name="Обычный 5 15 14 4 3 2" xfId="48425"/>
    <cellStyle name="Обычный 5 15 14 4 4" xfId="48426"/>
    <cellStyle name="Обычный 5 15 14 5" xfId="18553"/>
    <cellStyle name="Обычный 5 15 14 5 2" xfId="18554"/>
    <cellStyle name="Обычный 5 15 14 5 2 2" xfId="48427"/>
    <cellStyle name="Обычный 5 15 14 5 3" xfId="48428"/>
    <cellStyle name="Обычный 5 15 14 6" xfId="18555"/>
    <cellStyle name="Обычный 5 15 14 6 2" xfId="48429"/>
    <cellStyle name="Обычный 5 15 14 7" xfId="18556"/>
    <cellStyle name="Обычный 5 15 14 7 2" xfId="48430"/>
    <cellStyle name="Обычный 5 15 14 8" xfId="48431"/>
    <cellStyle name="Обычный 5 15 15" xfId="18557"/>
    <cellStyle name="Обычный 5 15 15 2" xfId="18558"/>
    <cellStyle name="Обычный 5 15 15 2 2" xfId="18559"/>
    <cellStyle name="Обычный 5 15 15 2 2 2" xfId="18560"/>
    <cellStyle name="Обычный 5 15 15 2 2 2 2" xfId="48432"/>
    <cellStyle name="Обычный 5 15 15 2 2 3" xfId="48433"/>
    <cellStyle name="Обычный 5 15 15 2 3" xfId="18561"/>
    <cellStyle name="Обычный 5 15 15 2 3 2" xfId="48434"/>
    <cellStyle name="Обычный 5 15 15 2 4" xfId="48435"/>
    <cellStyle name="Обычный 5 15 15 3" xfId="18562"/>
    <cellStyle name="Обычный 5 15 15 3 2" xfId="18563"/>
    <cellStyle name="Обычный 5 15 15 3 2 2" xfId="18564"/>
    <cellStyle name="Обычный 5 15 15 3 2 2 2" xfId="48436"/>
    <cellStyle name="Обычный 5 15 15 3 2 3" xfId="48437"/>
    <cellStyle name="Обычный 5 15 15 3 3" xfId="18565"/>
    <cellStyle name="Обычный 5 15 15 3 3 2" xfId="48438"/>
    <cellStyle name="Обычный 5 15 15 3 4" xfId="48439"/>
    <cellStyle name="Обычный 5 15 15 4" xfId="18566"/>
    <cellStyle name="Обычный 5 15 15 4 2" xfId="18567"/>
    <cellStyle name="Обычный 5 15 15 4 2 2" xfId="18568"/>
    <cellStyle name="Обычный 5 15 15 4 2 2 2" xfId="48440"/>
    <cellStyle name="Обычный 5 15 15 4 2 3" xfId="48441"/>
    <cellStyle name="Обычный 5 15 15 4 3" xfId="18569"/>
    <cellStyle name="Обычный 5 15 15 4 3 2" xfId="48442"/>
    <cellStyle name="Обычный 5 15 15 4 4" xfId="48443"/>
    <cellStyle name="Обычный 5 15 15 5" xfId="18570"/>
    <cellStyle name="Обычный 5 15 15 5 2" xfId="18571"/>
    <cellStyle name="Обычный 5 15 15 5 2 2" xfId="48444"/>
    <cellStyle name="Обычный 5 15 15 5 3" xfId="48445"/>
    <cellStyle name="Обычный 5 15 15 6" xfId="18572"/>
    <cellStyle name="Обычный 5 15 15 6 2" xfId="48446"/>
    <cellStyle name="Обычный 5 15 15 7" xfId="18573"/>
    <cellStyle name="Обычный 5 15 15 7 2" xfId="48447"/>
    <cellStyle name="Обычный 5 15 15 8" xfId="48448"/>
    <cellStyle name="Обычный 5 15 16" xfId="18574"/>
    <cellStyle name="Обычный 5 15 16 2" xfId="18575"/>
    <cellStyle name="Обычный 5 15 16 2 2" xfId="18576"/>
    <cellStyle name="Обычный 5 15 16 2 2 2" xfId="18577"/>
    <cellStyle name="Обычный 5 15 16 2 2 2 2" xfId="48449"/>
    <cellStyle name="Обычный 5 15 16 2 2 3" xfId="48450"/>
    <cellStyle name="Обычный 5 15 16 2 3" xfId="18578"/>
    <cellStyle name="Обычный 5 15 16 2 3 2" xfId="48451"/>
    <cellStyle name="Обычный 5 15 16 2 4" xfId="48452"/>
    <cellStyle name="Обычный 5 15 16 3" xfId="18579"/>
    <cellStyle name="Обычный 5 15 16 3 2" xfId="18580"/>
    <cellStyle name="Обычный 5 15 16 3 2 2" xfId="18581"/>
    <cellStyle name="Обычный 5 15 16 3 2 2 2" xfId="48453"/>
    <cellStyle name="Обычный 5 15 16 3 2 3" xfId="48454"/>
    <cellStyle name="Обычный 5 15 16 3 3" xfId="18582"/>
    <cellStyle name="Обычный 5 15 16 3 3 2" xfId="48455"/>
    <cellStyle name="Обычный 5 15 16 3 4" xfId="48456"/>
    <cellStyle name="Обычный 5 15 16 4" xfId="18583"/>
    <cellStyle name="Обычный 5 15 16 4 2" xfId="18584"/>
    <cellStyle name="Обычный 5 15 16 4 2 2" xfId="18585"/>
    <cellStyle name="Обычный 5 15 16 4 2 2 2" xfId="48457"/>
    <cellStyle name="Обычный 5 15 16 4 2 3" xfId="48458"/>
    <cellStyle name="Обычный 5 15 16 4 3" xfId="18586"/>
    <cellStyle name="Обычный 5 15 16 4 3 2" xfId="48459"/>
    <cellStyle name="Обычный 5 15 16 4 4" xfId="48460"/>
    <cellStyle name="Обычный 5 15 16 5" xfId="18587"/>
    <cellStyle name="Обычный 5 15 16 5 2" xfId="18588"/>
    <cellStyle name="Обычный 5 15 16 5 2 2" xfId="48461"/>
    <cellStyle name="Обычный 5 15 16 5 3" xfId="48462"/>
    <cellStyle name="Обычный 5 15 16 6" xfId="18589"/>
    <cellStyle name="Обычный 5 15 16 6 2" xfId="48463"/>
    <cellStyle name="Обычный 5 15 16 7" xfId="18590"/>
    <cellStyle name="Обычный 5 15 16 7 2" xfId="48464"/>
    <cellStyle name="Обычный 5 15 16 8" xfId="48465"/>
    <cellStyle name="Обычный 5 15 17" xfId="18591"/>
    <cellStyle name="Обычный 5 15 17 2" xfId="18592"/>
    <cellStyle name="Обычный 5 15 17 2 2" xfId="18593"/>
    <cellStyle name="Обычный 5 15 17 2 2 2" xfId="18594"/>
    <cellStyle name="Обычный 5 15 17 2 2 2 2" xfId="48466"/>
    <cellStyle name="Обычный 5 15 17 2 2 3" xfId="48467"/>
    <cellStyle name="Обычный 5 15 17 2 3" xfId="18595"/>
    <cellStyle name="Обычный 5 15 17 2 3 2" xfId="48468"/>
    <cellStyle name="Обычный 5 15 17 2 4" xfId="48469"/>
    <cellStyle name="Обычный 5 15 17 3" xfId="18596"/>
    <cellStyle name="Обычный 5 15 17 3 2" xfId="18597"/>
    <cellStyle name="Обычный 5 15 17 3 2 2" xfId="18598"/>
    <cellStyle name="Обычный 5 15 17 3 2 2 2" xfId="48470"/>
    <cellStyle name="Обычный 5 15 17 3 2 3" xfId="48471"/>
    <cellStyle name="Обычный 5 15 17 3 3" xfId="18599"/>
    <cellStyle name="Обычный 5 15 17 3 3 2" xfId="48472"/>
    <cellStyle name="Обычный 5 15 17 3 4" xfId="48473"/>
    <cellStyle name="Обычный 5 15 17 4" xfId="18600"/>
    <cellStyle name="Обычный 5 15 17 4 2" xfId="18601"/>
    <cellStyle name="Обычный 5 15 17 4 2 2" xfId="18602"/>
    <cellStyle name="Обычный 5 15 17 4 2 2 2" xfId="48474"/>
    <cellStyle name="Обычный 5 15 17 4 2 3" xfId="48475"/>
    <cellStyle name="Обычный 5 15 17 4 3" xfId="18603"/>
    <cellStyle name="Обычный 5 15 17 4 3 2" xfId="48476"/>
    <cellStyle name="Обычный 5 15 17 4 4" xfId="48477"/>
    <cellStyle name="Обычный 5 15 17 5" xfId="18604"/>
    <cellStyle name="Обычный 5 15 17 5 2" xfId="18605"/>
    <cellStyle name="Обычный 5 15 17 5 2 2" xfId="48478"/>
    <cellStyle name="Обычный 5 15 17 5 3" xfId="48479"/>
    <cellStyle name="Обычный 5 15 17 6" xfId="18606"/>
    <cellStyle name="Обычный 5 15 17 6 2" xfId="48480"/>
    <cellStyle name="Обычный 5 15 17 7" xfId="18607"/>
    <cellStyle name="Обычный 5 15 17 7 2" xfId="48481"/>
    <cellStyle name="Обычный 5 15 17 8" xfId="48482"/>
    <cellStyle name="Обычный 5 15 18" xfId="18608"/>
    <cellStyle name="Обычный 5 15 18 2" xfId="18609"/>
    <cellStyle name="Обычный 5 15 18 2 2" xfId="18610"/>
    <cellStyle name="Обычный 5 15 18 2 2 2" xfId="18611"/>
    <cellStyle name="Обычный 5 15 18 2 2 2 2" xfId="48483"/>
    <cellStyle name="Обычный 5 15 18 2 2 3" xfId="48484"/>
    <cellStyle name="Обычный 5 15 18 2 3" xfId="18612"/>
    <cellStyle name="Обычный 5 15 18 2 3 2" xfId="48485"/>
    <cellStyle name="Обычный 5 15 18 2 4" xfId="48486"/>
    <cellStyle name="Обычный 5 15 18 3" xfId="18613"/>
    <cellStyle name="Обычный 5 15 18 3 2" xfId="18614"/>
    <cellStyle name="Обычный 5 15 18 3 2 2" xfId="18615"/>
    <cellStyle name="Обычный 5 15 18 3 2 2 2" xfId="48487"/>
    <cellStyle name="Обычный 5 15 18 3 2 3" xfId="48488"/>
    <cellStyle name="Обычный 5 15 18 3 3" xfId="18616"/>
    <cellStyle name="Обычный 5 15 18 3 3 2" xfId="48489"/>
    <cellStyle name="Обычный 5 15 18 3 4" xfId="48490"/>
    <cellStyle name="Обычный 5 15 18 4" xfId="18617"/>
    <cellStyle name="Обычный 5 15 18 4 2" xfId="18618"/>
    <cellStyle name="Обычный 5 15 18 4 2 2" xfId="18619"/>
    <cellStyle name="Обычный 5 15 18 4 2 2 2" xfId="48491"/>
    <cellStyle name="Обычный 5 15 18 4 2 3" xfId="48492"/>
    <cellStyle name="Обычный 5 15 18 4 3" xfId="18620"/>
    <cellStyle name="Обычный 5 15 18 4 3 2" xfId="48493"/>
    <cellStyle name="Обычный 5 15 18 4 4" xfId="48494"/>
    <cellStyle name="Обычный 5 15 18 5" xfId="18621"/>
    <cellStyle name="Обычный 5 15 18 5 2" xfId="18622"/>
    <cellStyle name="Обычный 5 15 18 5 2 2" xfId="48495"/>
    <cellStyle name="Обычный 5 15 18 5 3" xfId="48496"/>
    <cellStyle name="Обычный 5 15 18 6" xfId="18623"/>
    <cellStyle name="Обычный 5 15 18 6 2" xfId="48497"/>
    <cellStyle name="Обычный 5 15 18 7" xfId="18624"/>
    <cellStyle name="Обычный 5 15 18 7 2" xfId="48498"/>
    <cellStyle name="Обычный 5 15 18 8" xfId="48499"/>
    <cellStyle name="Обычный 5 15 19" xfId="18625"/>
    <cellStyle name="Обычный 5 15 19 2" xfId="18626"/>
    <cellStyle name="Обычный 5 15 19 2 2" xfId="18627"/>
    <cellStyle name="Обычный 5 15 19 2 2 2" xfId="18628"/>
    <cellStyle name="Обычный 5 15 19 2 2 2 2" xfId="48500"/>
    <cellStyle name="Обычный 5 15 19 2 2 3" xfId="48501"/>
    <cellStyle name="Обычный 5 15 19 2 3" xfId="18629"/>
    <cellStyle name="Обычный 5 15 19 2 3 2" xfId="48502"/>
    <cellStyle name="Обычный 5 15 19 2 4" xfId="48503"/>
    <cellStyle name="Обычный 5 15 19 3" xfId="18630"/>
    <cellStyle name="Обычный 5 15 19 3 2" xfId="18631"/>
    <cellStyle name="Обычный 5 15 19 3 2 2" xfId="18632"/>
    <cellStyle name="Обычный 5 15 19 3 2 2 2" xfId="48504"/>
    <cellStyle name="Обычный 5 15 19 3 2 3" xfId="48505"/>
    <cellStyle name="Обычный 5 15 19 3 3" xfId="18633"/>
    <cellStyle name="Обычный 5 15 19 3 3 2" xfId="48506"/>
    <cellStyle name="Обычный 5 15 19 3 4" xfId="48507"/>
    <cellStyle name="Обычный 5 15 19 4" xfId="18634"/>
    <cellStyle name="Обычный 5 15 19 4 2" xfId="18635"/>
    <cellStyle name="Обычный 5 15 19 4 2 2" xfId="18636"/>
    <cellStyle name="Обычный 5 15 19 4 2 2 2" xfId="48508"/>
    <cellStyle name="Обычный 5 15 19 4 2 3" xfId="48509"/>
    <cellStyle name="Обычный 5 15 19 4 3" xfId="18637"/>
    <cellStyle name="Обычный 5 15 19 4 3 2" xfId="48510"/>
    <cellStyle name="Обычный 5 15 19 4 4" xfId="48511"/>
    <cellStyle name="Обычный 5 15 19 5" xfId="18638"/>
    <cellStyle name="Обычный 5 15 19 5 2" xfId="18639"/>
    <cellStyle name="Обычный 5 15 19 5 2 2" xfId="48512"/>
    <cellStyle name="Обычный 5 15 19 5 3" xfId="48513"/>
    <cellStyle name="Обычный 5 15 19 6" xfId="18640"/>
    <cellStyle name="Обычный 5 15 19 6 2" xfId="48514"/>
    <cellStyle name="Обычный 5 15 19 7" xfId="18641"/>
    <cellStyle name="Обычный 5 15 19 7 2" xfId="48515"/>
    <cellStyle name="Обычный 5 15 19 8" xfId="48516"/>
    <cellStyle name="Обычный 5 15 2" xfId="18642"/>
    <cellStyle name="Обычный 5 15 2 2" xfId="18643"/>
    <cellStyle name="Обычный 5 15 2 2 2" xfId="18644"/>
    <cellStyle name="Обычный 5 15 2 2 2 2" xfId="18645"/>
    <cellStyle name="Обычный 5 15 2 2 2 2 2" xfId="48517"/>
    <cellStyle name="Обычный 5 15 2 2 2 3" xfId="48518"/>
    <cellStyle name="Обычный 5 15 2 2 3" xfId="18646"/>
    <cellStyle name="Обычный 5 15 2 2 3 2" xfId="48519"/>
    <cellStyle name="Обычный 5 15 2 2 4" xfId="48520"/>
    <cellStyle name="Обычный 5 15 2 3" xfId="18647"/>
    <cellStyle name="Обычный 5 15 2 3 2" xfId="18648"/>
    <cellStyle name="Обычный 5 15 2 3 2 2" xfId="18649"/>
    <cellStyle name="Обычный 5 15 2 3 2 2 2" xfId="48521"/>
    <cellStyle name="Обычный 5 15 2 3 2 3" xfId="48522"/>
    <cellStyle name="Обычный 5 15 2 3 3" xfId="18650"/>
    <cellStyle name="Обычный 5 15 2 3 3 2" xfId="48523"/>
    <cellStyle name="Обычный 5 15 2 3 4" xfId="48524"/>
    <cellStyle name="Обычный 5 15 2 4" xfId="18651"/>
    <cellStyle name="Обычный 5 15 2 4 2" xfId="18652"/>
    <cellStyle name="Обычный 5 15 2 4 2 2" xfId="18653"/>
    <cellStyle name="Обычный 5 15 2 4 2 2 2" xfId="48525"/>
    <cellStyle name="Обычный 5 15 2 4 2 3" xfId="48526"/>
    <cellStyle name="Обычный 5 15 2 4 3" xfId="18654"/>
    <cellStyle name="Обычный 5 15 2 4 3 2" xfId="48527"/>
    <cellStyle name="Обычный 5 15 2 4 4" xfId="48528"/>
    <cellStyle name="Обычный 5 15 2 5" xfId="18655"/>
    <cellStyle name="Обычный 5 15 2 5 2" xfId="18656"/>
    <cellStyle name="Обычный 5 15 2 5 2 2" xfId="48529"/>
    <cellStyle name="Обычный 5 15 2 5 3" xfId="48530"/>
    <cellStyle name="Обычный 5 15 2 6" xfId="18657"/>
    <cellStyle name="Обычный 5 15 2 6 2" xfId="48531"/>
    <cellStyle name="Обычный 5 15 2 7" xfId="18658"/>
    <cellStyle name="Обычный 5 15 2 7 2" xfId="48532"/>
    <cellStyle name="Обычный 5 15 2 8" xfId="48533"/>
    <cellStyle name="Обычный 5 15 20" xfId="18659"/>
    <cellStyle name="Обычный 5 15 20 2" xfId="18660"/>
    <cellStyle name="Обычный 5 15 20 2 2" xfId="18661"/>
    <cellStyle name="Обычный 5 15 20 2 2 2" xfId="18662"/>
    <cellStyle name="Обычный 5 15 20 2 2 2 2" xfId="48534"/>
    <cellStyle name="Обычный 5 15 20 2 2 3" xfId="48535"/>
    <cellStyle name="Обычный 5 15 20 2 3" xfId="18663"/>
    <cellStyle name="Обычный 5 15 20 2 3 2" xfId="48536"/>
    <cellStyle name="Обычный 5 15 20 2 4" xfId="48537"/>
    <cellStyle name="Обычный 5 15 20 3" xfId="18664"/>
    <cellStyle name="Обычный 5 15 20 3 2" xfId="18665"/>
    <cellStyle name="Обычный 5 15 20 3 2 2" xfId="18666"/>
    <cellStyle name="Обычный 5 15 20 3 2 2 2" xfId="48538"/>
    <cellStyle name="Обычный 5 15 20 3 2 3" xfId="48539"/>
    <cellStyle name="Обычный 5 15 20 3 3" xfId="18667"/>
    <cellStyle name="Обычный 5 15 20 3 3 2" xfId="48540"/>
    <cellStyle name="Обычный 5 15 20 3 4" xfId="48541"/>
    <cellStyle name="Обычный 5 15 20 4" xfId="18668"/>
    <cellStyle name="Обычный 5 15 20 4 2" xfId="18669"/>
    <cellStyle name="Обычный 5 15 20 4 2 2" xfId="18670"/>
    <cellStyle name="Обычный 5 15 20 4 2 2 2" xfId="48542"/>
    <cellStyle name="Обычный 5 15 20 4 2 3" xfId="48543"/>
    <cellStyle name="Обычный 5 15 20 4 3" xfId="18671"/>
    <cellStyle name="Обычный 5 15 20 4 3 2" xfId="48544"/>
    <cellStyle name="Обычный 5 15 20 4 4" xfId="48545"/>
    <cellStyle name="Обычный 5 15 20 5" xfId="18672"/>
    <cellStyle name="Обычный 5 15 20 5 2" xfId="18673"/>
    <cellStyle name="Обычный 5 15 20 5 2 2" xfId="48546"/>
    <cellStyle name="Обычный 5 15 20 5 3" xfId="48547"/>
    <cellStyle name="Обычный 5 15 20 6" xfId="18674"/>
    <cellStyle name="Обычный 5 15 20 6 2" xfId="48548"/>
    <cellStyle name="Обычный 5 15 20 7" xfId="18675"/>
    <cellStyle name="Обычный 5 15 20 7 2" xfId="48549"/>
    <cellStyle name="Обычный 5 15 20 8" xfId="48550"/>
    <cellStyle name="Обычный 5 15 21" xfId="18676"/>
    <cellStyle name="Обычный 5 15 21 2" xfId="18677"/>
    <cellStyle name="Обычный 5 15 21 2 2" xfId="18678"/>
    <cellStyle name="Обычный 5 15 21 2 2 2" xfId="18679"/>
    <cellStyle name="Обычный 5 15 21 2 2 2 2" xfId="48551"/>
    <cellStyle name="Обычный 5 15 21 2 2 3" xfId="48552"/>
    <cellStyle name="Обычный 5 15 21 2 3" xfId="18680"/>
    <cellStyle name="Обычный 5 15 21 2 3 2" xfId="48553"/>
    <cellStyle name="Обычный 5 15 21 2 4" xfId="48554"/>
    <cellStyle name="Обычный 5 15 21 3" xfId="18681"/>
    <cellStyle name="Обычный 5 15 21 3 2" xfId="18682"/>
    <cellStyle name="Обычный 5 15 21 3 2 2" xfId="18683"/>
    <cellStyle name="Обычный 5 15 21 3 2 2 2" xfId="48555"/>
    <cellStyle name="Обычный 5 15 21 3 2 3" xfId="48556"/>
    <cellStyle name="Обычный 5 15 21 3 3" xfId="18684"/>
    <cellStyle name="Обычный 5 15 21 3 3 2" xfId="48557"/>
    <cellStyle name="Обычный 5 15 21 3 4" xfId="48558"/>
    <cellStyle name="Обычный 5 15 21 4" xfId="18685"/>
    <cellStyle name="Обычный 5 15 21 4 2" xfId="18686"/>
    <cellStyle name="Обычный 5 15 21 4 2 2" xfId="18687"/>
    <cellStyle name="Обычный 5 15 21 4 2 2 2" xfId="48559"/>
    <cellStyle name="Обычный 5 15 21 4 2 3" xfId="48560"/>
    <cellStyle name="Обычный 5 15 21 4 3" xfId="18688"/>
    <cellStyle name="Обычный 5 15 21 4 3 2" xfId="48561"/>
    <cellStyle name="Обычный 5 15 21 4 4" xfId="48562"/>
    <cellStyle name="Обычный 5 15 21 5" xfId="18689"/>
    <cellStyle name="Обычный 5 15 21 5 2" xfId="18690"/>
    <cellStyle name="Обычный 5 15 21 5 2 2" xfId="48563"/>
    <cellStyle name="Обычный 5 15 21 5 3" xfId="48564"/>
    <cellStyle name="Обычный 5 15 21 6" xfId="18691"/>
    <cellStyle name="Обычный 5 15 21 6 2" xfId="48565"/>
    <cellStyle name="Обычный 5 15 21 7" xfId="18692"/>
    <cellStyle name="Обычный 5 15 21 7 2" xfId="48566"/>
    <cellStyle name="Обычный 5 15 21 8" xfId="48567"/>
    <cellStyle name="Обычный 5 15 22" xfId="18693"/>
    <cellStyle name="Обычный 5 15 22 2" xfId="18694"/>
    <cellStyle name="Обычный 5 15 22 2 2" xfId="18695"/>
    <cellStyle name="Обычный 5 15 22 2 2 2" xfId="18696"/>
    <cellStyle name="Обычный 5 15 22 2 2 2 2" xfId="48568"/>
    <cellStyle name="Обычный 5 15 22 2 2 3" xfId="48569"/>
    <cellStyle name="Обычный 5 15 22 2 3" xfId="18697"/>
    <cellStyle name="Обычный 5 15 22 2 3 2" xfId="48570"/>
    <cellStyle name="Обычный 5 15 22 2 4" xfId="48571"/>
    <cellStyle name="Обычный 5 15 22 3" xfId="18698"/>
    <cellStyle name="Обычный 5 15 22 3 2" xfId="18699"/>
    <cellStyle name="Обычный 5 15 22 3 2 2" xfId="18700"/>
    <cellStyle name="Обычный 5 15 22 3 2 2 2" xfId="48572"/>
    <cellStyle name="Обычный 5 15 22 3 2 3" xfId="48573"/>
    <cellStyle name="Обычный 5 15 22 3 3" xfId="18701"/>
    <cellStyle name="Обычный 5 15 22 3 3 2" xfId="48574"/>
    <cellStyle name="Обычный 5 15 22 3 4" xfId="48575"/>
    <cellStyle name="Обычный 5 15 22 4" xfId="18702"/>
    <cellStyle name="Обычный 5 15 22 4 2" xfId="18703"/>
    <cellStyle name="Обычный 5 15 22 4 2 2" xfId="18704"/>
    <cellStyle name="Обычный 5 15 22 4 2 2 2" xfId="48576"/>
    <cellStyle name="Обычный 5 15 22 4 2 3" xfId="48577"/>
    <cellStyle name="Обычный 5 15 22 4 3" xfId="18705"/>
    <cellStyle name="Обычный 5 15 22 4 3 2" xfId="48578"/>
    <cellStyle name="Обычный 5 15 22 4 4" xfId="48579"/>
    <cellStyle name="Обычный 5 15 22 5" xfId="18706"/>
    <cellStyle name="Обычный 5 15 22 5 2" xfId="18707"/>
    <cellStyle name="Обычный 5 15 22 5 2 2" xfId="48580"/>
    <cellStyle name="Обычный 5 15 22 5 3" xfId="48581"/>
    <cellStyle name="Обычный 5 15 22 6" xfId="18708"/>
    <cellStyle name="Обычный 5 15 22 6 2" xfId="48582"/>
    <cellStyle name="Обычный 5 15 22 7" xfId="18709"/>
    <cellStyle name="Обычный 5 15 22 7 2" xfId="48583"/>
    <cellStyle name="Обычный 5 15 22 8" xfId="48584"/>
    <cellStyle name="Обычный 5 15 23" xfId="18710"/>
    <cellStyle name="Обычный 5 15 23 2" xfId="18711"/>
    <cellStyle name="Обычный 5 15 23 2 2" xfId="18712"/>
    <cellStyle name="Обычный 5 15 23 2 2 2" xfId="18713"/>
    <cellStyle name="Обычный 5 15 23 2 2 2 2" xfId="48585"/>
    <cellStyle name="Обычный 5 15 23 2 2 3" xfId="48586"/>
    <cellStyle name="Обычный 5 15 23 2 3" xfId="18714"/>
    <cellStyle name="Обычный 5 15 23 2 3 2" xfId="48587"/>
    <cellStyle name="Обычный 5 15 23 2 4" xfId="48588"/>
    <cellStyle name="Обычный 5 15 23 3" xfId="18715"/>
    <cellStyle name="Обычный 5 15 23 3 2" xfId="18716"/>
    <cellStyle name="Обычный 5 15 23 3 2 2" xfId="18717"/>
    <cellStyle name="Обычный 5 15 23 3 2 2 2" xfId="48589"/>
    <cellStyle name="Обычный 5 15 23 3 2 3" xfId="48590"/>
    <cellStyle name="Обычный 5 15 23 3 3" xfId="18718"/>
    <cellStyle name="Обычный 5 15 23 3 3 2" xfId="48591"/>
    <cellStyle name="Обычный 5 15 23 3 4" xfId="48592"/>
    <cellStyle name="Обычный 5 15 23 4" xfId="18719"/>
    <cellStyle name="Обычный 5 15 23 4 2" xfId="18720"/>
    <cellStyle name="Обычный 5 15 23 4 2 2" xfId="18721"/>
    <cellStyle name="Обычный 5 15 23 4 2 2 2" xfId="48593"/>
    <cellStyle name="Обычный 5 15 23 4 2 3" xfId="48594"/>
    <cellStyle name="Обычный 5 15 23 4 3" xfId="18722"/>
    <cellStyle name="Обычный 5 15 23 4 3 2" xfId="48595"/>
    <cellStyle name="Обычный 5 15 23 4 4" xfId="48596"/>
    <cellStyle name="Обычный 5 15 23 5" xfId="18723"/>
    <cellStyle name="Обычный 5 15 23 5 2" xfId="18724"/>
    <cellStyle name="Обычный 5 15 23 5 2 2" xfId="48597"/>
    <cellStyle name="Обычный 5 15 23 5 3" xfId="48598"/>
    <cellStyle name="Обычный 5 15 23 6" xfId="18725"/>
    <cellStyle name="Обычный 5 15 23 6 2" xfId="48599"/>
    <cellStyle name="Обычный 5 15 23 7" xfId="18726"/>
    <cellStyle name="Обычный 5 15 23 7 2" xfId="48600"/>
    <cellStyle name="Обычный 5 15 23 8" xfId="48601"/>
    <cellStyle name="Обычный 5 15 24" xfId="18727"/>
    <cellStyle name="Обычный 5 15 24 2" xfId="18728"/>
    <cellStyle name="Обычный 5 15 24 2 2" xfId="18729"/>
    <cellStyle name="Обычный 5 15 24 2 2 2" xfId="18730"/>
    <cellStyle name="Обычный 5 15 24 2 2 2 2" xfId="48602"/>
    <cellStyle name="Обычный 5 15 24 2 2 3" xfId="48603"/>
    <cellStyle name="Обычный 5 15 24 2 3" xfId="18731"/>
    <cellStyle name="Обычный 5 15 24 2 3 2" xfId="48604"/>
    <cellStyle name="Обычный 5 15 24 2 4" xfId="48605"/>
    <cellStyle name="Обычный 5 15 24 3" xfId="18732"/>
    <cellStyle name="Обычный 5 15 24 3 2" xfId="18733"/>
    <cellStyle name="Обычный 5 15 24 3 2 2" xfId="18734"/>
    <cellStyle name="Обычный 5 15 24 3 2 2 2" xfId="48606"/>
    <cellStyle name="Обычный 5 15 24 3 2 3" xfId="48607"/>
    <cellStyle name="Обычный 5 15 24 3 3" xfId="18735"/>
    <cellStyle name="Обычный 5 15 24 3 3 2" xfId="48608"/>
    <cellStyle name="Обычный 5 15 24 3 4" xfId="48609"/>
    <cellStyle name="Обычный 5 15 24 4" xfId="18736"/>
    <cellStyle name="Обычный 5 15 24 4 2" xfId="18737"/>
    <cellStyle name="Обычный 5 15 24 4 2 2" xfId="18738"/>
    <cellStyle name="Обычный 5 15 24 4 2 2 2" xfId="48610"/>
    <cellStyle name="Обычный 5 15 24 4 2 3" xfId="48611"/>
    <cellStyle name="Обычный 5 15 24 4 3" xfId="18739"/>
    <cellStyle name="Обычный 5 15 24 4 3 2" xfId="48612"/>
    <cellStyle name="Обычный 5 15 24 4 4" xfId="48613"/>
    <cellStyle name="Обычный 5 15 24 5" xfId="18740"/>
    <cellStyle name="Обычный 5 15 24 5 2" xfId="18741"/>
    <cellStyle name="Обычный 5 15 24 5 2 2" xfId="48614"/>
    <cellStyle name="Обычный 5 15 24 5 3" xfId="48615"/>
    <cellStyle name="Обычный 5 15 24 6" xfId="18742"/>
    <cellStyle name="Обычный 5 15 24 6 2" xfId="48616"/>
    <cellStyle name="Обычный 5 15 24 7" xfId="18743"/>
    <cellStyle name="Обычный 5 15 24 7 2" xfId="48617"/>
    <cellStyle name="Обычный 5 15 24 8" xfId="48618"/>
    <cellStyle name="Обычный 5 15 25" xfId="18744"/>
    <cellStyle name="Обычный 5 15 25 2" xfId="18745"/>
    <cellStyle name="Обычный 5 15 25 2 2" xfId="18746"/>
    <cellStyle name="Обычный 5 15 25 2 2 2" xfId="18747"/>
    <cellStyle name="Обычный 5 15 25 2 2 2 2" xfId="48619"/>
    <cellStyle name="Обычный 5 15 25 2 2 3" xfId="48620"/>
    <cellStyle name="Обычный 5 15 25 2 3" xfId="18748"/>
    <cellStyle name="Обычный 5 15 25 2 3 2" xfId="48621"/>
    <cellStyle name="Обычный 5 15 25 2 4" xfId="48622"/>
    <cellStyle name="Обычный 5 15 25 3" xfId="18749"/>
    <cellStyle name="Обычный 5 15 25 3 2" xfId="18750"/>
    <cellStyle name="Обычный 5 15 25 3 2 2" xfId="18751"/>
    <cellStyle name="Обычный 5 15 25 3 2 2 2" xfId="48623"/>
    <cellStyle name="Обычный 5 15 25 3 2 3" xfId="48624"/>
    <cellStyle name="Обычный 5 15 25 3 3" xfId="18752"/>
    <cellStyle name="Обычный 5 15 25 3 3 2" xfId="48625"/>
    <cellStyle name="Обычный 5 15 25 3 4" xfId="48626"/>
    <cellStyle name="Обычный 5 15 25 4" xfId="18753"/>
    <cellStyle name="Обычный 5 15 25 4 2" xfId="18754"/>
    <cellStyle name="Обычный 5 15 25 4 2 2" xfId="18755"/>
    <cellStyle name="Обычный 5 15 25 4 2 2 2" xfId="48627"/>
    <cellStyle name="Обычный 5 15 25 4 2 3" xfId="48628"/>
    <cellStyle name="Обычный 5 15 25 4 3" xfId="18756"/>
    <cellStyle name="Обычный 5 15 25 4 3 2" xfId="48629"/>
    <cellStyle name="Обычный 5 15 25 4 4" xfId="48630"/>
    <cellStyle name="Обычный 5 15 25 5" xfId="18757"/>
    <cellStyle name="Обычный 5 15 25 5 2" xfId="18758"/>
    <cellStyle name="Обычный 5 15 25 5 2 2" xfId="48631"/>
    <cellStyle name="Обычный 5 15 25 5 3" xfId="48632"/>
    <cellStyle name="Обычный 5 15 25 6" xfId="18759"/>
    <cellStyle name="Обычный 5 15 25 6 2" xfId="48633"/>
    <cellStyle name="Обычный 5 15 25 7" xfId="18760"/>
    <cellStyle name="Обычный 5 15 25 7 2" xfId="48634"/>
    <cellStyle name="Обычный 5 15 25 8" xfId="48635"/>
    <cellStyle name="Обычный 5 15 26" xfId="18761"/>
    <cellStyle name="Обычный 5 15 26 2" xfId="18762"/>
    <cellStyle name="Обычный 5 15 26 2 2" xfId="18763"/>
    <cellStyle name="Обычный 5 15 26 2 2 2" xfId="18764"/>
    <cellStyle name="Обычный 5 15 26 2 2 2 2" xfId="48636"/>
    <cellStyle name="Обычный 5 15 26 2 2 3" xfId="48637"/>
    <cellStyle name="Обычный 5 15 26 2 3" xfId="18765"/>
    <cellStyle name="Обычный 5 15 26 2 3 2" xfId="48638"/>
    <cellStyle name="Обычный 5 15 26 2 4" xfId="48639"/>
    <cellStyle name="Обычный 5 15 26 3" xfId="18766"/>
    <cellStyle name="Обычный 5 15 26 3 2" xfId="18767"/>
    <cellStyle name="Обычный 5 15 26 3 2 2" xfId="18768"/>
    <cellStyle name="Обычный 5 15 26 3 2 2 2" xfId="48640"/>
    <cellStyle name="Обычный 5 15 26 3 2 3" xfId="48641"/>
    <cellStyle name="Обычный 5 15 26 3 3" xfId="18769"/>
    <cellStyle name="Обычный 5 15 26 3 3 2" xfId="48642"/>
    <cellStyle name="Обычный 5 15 26 3 4" xfId="48643"/>
    <cellStyle name="Обычный 5 15 26 4" xfId="18770"/>
    <cellStyle name="Обычный 5 15 26 4 2" xfId="18771"/>
    <cellStyle name="Обычный 5 15 26 4 2 2" xfId="18772"/>
    <cellStyle name="Обычный 5 15 26 4 2 2 2" xfId="48644"/>
    <cellStyle name="Обычный 5 15 26 4 2 3" xfId="48645"/>
    <cellStyle name="Обычный 5 15 26 4 3" xfId="18773"/>
    <cellStyle name="Обычный 5 15 26 4 3 2" xfId="48646"/>
    <cellStyle name="Обычный 5 15 26 4 4" xfId="48647"/>
    <cellStyle name="Обычный 5 15 26 5" xfId="18774"/>
    <cellStyle name="Обычный 5 15 26 5 2" xfId="18775"/>
    <cellStyle name="Обычный 5 15 26 5 2 2" xfId="48648"/>
    <cellStyle name="Обычный 5 15 26 5 3" xfId="48649"/>
    <cellStyle name="Обычный 5 15 26 6" xfId="18776"/>
    <cellStyle name="Обычный 5 15 26 6 2" xfId="48650"/>
    <cellStyle name="Обычный 5 15 26 7" xfId="18777"/>
    <cellStyle name="Обычный 5 15 26 7 2" xfId="48651"/>
    <cellStyle name="Обычный 5 15 26 8" xfId="48652"/>
    <cellStyle name="Обычный 5 15 27" xfId="18778"/>
    <cellStyle name="Обычный 5 15 27 2" xfId="18779"/>
    <cellStyle name="Обычный 5 15 27 2 2" xfId="18780"/>
    <cellStyle name="Обычный 5 15 27 2 2 2" xfId="18781"/>
    <cellStyle name="Обычный 5 15 27 2 2 2 2" xfId="48653"/>
    <cellStyle name="Обычный 5 15 27 2 2 3" xfId="48654"/>
    <cellStyle name="Обычный 5 15 27 2 3" xfId="18782"/>
    <cellStyle name="Обычный 5 15 27 2 3 2" xfId="48655"/>
    <cellStyle name="Обычный 5 15 27 2 4" xfId="48656"/>
    <cellStyle name="Обычный 5 15 27 3" xfId="18783"/>
    <cellStyle name="Обычный 5 15 27 3 2" xfId="18784"/>
    <cellStyle name="Обычный 5 15 27 3 2 2" xfId="18785"/>
    <cellStyle name="Обычный 5 15 27 3 2 2 2" xfId="48657"/>
    <cellStyle name="Обычный 5 15 27 3 2 3" xfId="48658"/>
    <cellStyle name="Обычный 5 15 27 3 3" xfId="18786"/>
    <cellStyle name="Обычный 5 15 27 3 3 2" xfId="48659"/>
    <cellStyle name="Обычный 5 15 27 3 4" xfId="48660"/>
    <cellStyle name="Обычный 5 15 27 4" xfId="18787"/>
    <cellStyle name="Обычный 5 15 27 4 2" xfId="18788"/>
    <cellStyle name="Обычный 5 15 27 4 2 2" xfId="18789"/>
    <cellStyle name="Обычный 5 15 27 4 2 2 2" xfId="48661"/>
    <cellStyle name="Обычный 5 15 27 4 2 3" xfId="48662"/>
    <cellStyle name="Обычный 5 15 27 4 3" xfId="18790"/>
    <cellStyle name="Обычный 5 15 27 4 3 2" xfId="48663"/>
    <cellStyle name="Обычный 5 15 27 4 4" xfId="48664"/>
    <cellStyle name="Обычный 5 15 27 5" xfId="18791"/>
    <cellStyle name="Обычный 5 15 27 5 2" xfId="18792"/>
    <cellStyle name="Обычный 5 15 27 5 2 2" xfId="48665"/>
    <cellStyle name="Обычный 5 15 27 5 3" xfId="48666"/>
    <cellStyle name="Обычный 5 15 27 6" xfId="18793"/>
    <cellStyle name="Обычный 5 15 27 6 2" xfId="48667"/>
    <cellStyle name="Обычный 5 15 27 7" xfId="18794"/>
    <cellStyle name="Обычный 5 15 27 7 2" xfId="48668"/>
    <cellStyle name="Обычный 5 15 27 8" xfId="48669"/>
    <cellStyle name="Обычный 5 15 28" xfId="18795"/>
    <cellStyle name="Обычный 5 15 28 2" xfId="18796"/>
    <cellStyle name="Обычный 5 15 28 2 2" xfId="18797"/>
    <cellStyle name="Обычный 5 15 28 2 2 2" xfId="18798"/>
    <cellStyle name="Обычный 5 15 28 2 2 2 2" xfId="48670"/>
    <cellStyle name="Обычный 5 15 28 2 2 3" xfId="48671"/>
    <cellStyle name="Обычный 5 15 28 2 3" xfId="18799"/>
    <cellStyle name="Обычный 5 15 28 2 3 2" xfId="48672"/>
    <cellStyle name="Обычный 5 15 28 2 4" xfId="48673"/>
    <cellStyle name="Обычный 5 15 28 3" xfId="18800"/>
    <cellStyle name="Обычный 5 15 28 3 2" xfId="18801"/>
    <cellStyle name="Обычный 5 15 28 3 2 2" xfId="18802"/>
    <cellStyle name="Обычный 5 15 28 3 2 2 2" xfId="48674"/>
    <cellStyle name="Обычный 5 15 28 3 2 3" xfId="48675"/>
    <cellStyle name="Обычный 5 15 28 3 3" xfId="18803"/>
    <cellStyle name="Обычный 5 15 28 3 3 2" xfId="48676"/>
    <cellStyle name="Обычный 5 15 28 3 4" xfId="48677"/>
    <cellStyle name="Обычный 5 15 28 4" xfId="18804"/>
    <cellStyle name="Обычный 5 15 28 4 2" xfId="18805"/>
    <cellStyle name="Обычный 5 15 28 4 2 2" xfId="18806"/>
    <cellStyle name="Обычный 5 15 28 4 2 2 2" xfId="48678"/>
    <cellStyle name="Обычный 5 15 28 4 2 3" xfId="48679"/>
    <cellStyle name="Обычный 5 15 28 4 3" xfId="18807"/>
    <cellStyle name="Обычный 5 15 28 4 3 2" xfId="48680"/>
    <cellStyle name="Обычный 5 15 28 4 4" xfId="48681"/>
    <cellStyle name="Обычный 5 15 28 5" xfId="18808"/>
    <cellStyle name="Обычный 5 15 28 5 2" xfId="18809"/>
    <cellStyle name="Обычный 5 15 28 5 2 2" xfId="48682"/>
    <cellStyle name="Обычный 5 15 28 5 3" xfId="48683"/>
    <cellStyle name="Обычный 5 15 28 6" xfId="18810"/>
    <cellStyle name="Обычный 5 15 28 6 2" xfId="48684"/>
    <cellStyle name="Обычный 5 15 28 7" xfId="18811"/>
    <cellStyle name="Обычный 5 15 28 7 2" xfId="48685"/>
    <cellStyle name="Обычный 5 15 28 8" xfId="48686"/>
    <cellStyle name="Обычный 5 15 29" xfId="18812"/>
    <cellStyle name="Обычный 5 15 29 2" xfId="18813"/>
    <cellStyle name="Обычный 5 15 29 2 2" xfId="18814"/>
    <cellStyle name="Обычный 5 15 29 2 2 2" xfId="18815"/>
    <cellStyle name="Обычный 5 15 29 2 2 2 2" xfId="48687"/>
    <cellStyle name="Обычный 5 15 29 2 2 3" xfId="48688"/>
    <cellStyle name="Обычный 5 15 29 2 3" xfId="18816"/>
    <cellStyle name="Обычный 5 15 29 2 3 2" xfId="48689"/>
    <cellStyle name="Обычный 5 15 29 2 4" xfId="48690"/>
    <cellStyle name="Обычный 5 15 29 3" xfId="18817"/>
    <cellStyle name="Обычный 5 15 29 3 2" xfId="18818"/>
    <cellStyle name="Обычный 5 15 29 3 2 2" xfId="18819"/>
    <cellStyle name="Обычный 5 15 29 3 2 2 2" xfId="48691"/>
    <cellStyle name="Обычный 5 15 29 3 2 3" xfId="48692"/>
    <cellStyle name="Обычный 5 15 29 3 3" xfId="18820"/>
    <cellStyle name="Обычный 5 15 29 3 3 2" xfId="48693"/>
    <cellStyle name="Обычный 5 15 29 3 4" xfId="48694"/>
    <cellStyle name="Обычный 5 15 29 4" xfId="18821"/>
    <cellStyle name="Обычный 5 15 29 4 2" xfId="18822"/>
    <cellStyle name="Обычный 5 15 29 4 2 2" xfId="18823"/>
    <cellStyle name="Обычный 5 15 29 4 2 2 2" xfId="48695"/>
    <cellStyle name="Обычный 5 15 29 4 2 3" xfId="48696"/>
    <cellStyle name="Обычный 5 15 29 4 3" xfId="18824"/>
    <cellStyle name="Обычный 5 15 29 4 3 2" xfId="48697"/>
    <cellStyle name="Обычный 5 15 29 4 4" xfId="48698"/>
    <cellStyle name="Обычный 5 15 29 5" xfId="18825"/>
    <cellStyle name="Обычный 5 15 29 5 2" xfId="18826"/>
    <cellStyle name="Обычный 5 15 29 5 2 2" xfId="48699"/>
    <cellStyle name="Обычный 5 15 29 5 3" xfId="48700"/>
    <cellStyle name="Обычный 5 15 29 6" xfId="18827"/>
    <cellStyle name="Обычный 5 15 29 6 2" xfId="48701"/>
    <cellStyle name="Обычный 5 15 29 7" xfId="18828"/>
    <cellStyle name="Обычный 5 15 29 7 2" xfId="48702"/>
    <cellStyle name="Обычный 5 15 29 8" xfId="48703"/>
    <cellStyle name="Обычный 5 15 3" xfId="18829"/>
    <cellStyle name="Обычный 5 15 3 2" xfId="18830"/>
    <cellStyle name="Обычный 5 15 3 2 2" xfId="18831"/>
    <cellStyle name="Обычный 5 15 3 2 2 2" xfId="18832"/>
    <cellStyle name="Обычный 5 15 3 2 2 2 2" xfId="48704"/>
    <cellStyle name="Обычный 5 15 3 2 2 3" xfId="48705"/>
    <cellStyle name="Обычный 5 15 3 2 3" xfId="18833"/>
    <cellStyle name="Обычный 5 15 3 2 3 2" xfId="48706"/>
    <cellStyle name="Обычный 5 15 3 2 4" xfId="48707"/>
    <cellStyle name="Обычный 5 15 3 3" xfId="18834"/>
    <cellStyle name="Обычный 5 15 3 3 2" xfId="18835"/>
    <cellStyle name="Обычный 5 15 3 3 2 2" xfId="18836"/>
    <cellStyle name="Обычный 5 15 3 3 2 2 2" xfId="48708"/>
    <cellStyle name="Обычный 5 15 3 3 2 3" xfId="48709"/>
    <cellStyle name="Обычный 5 15 3 3 3" xfId="18837"/>
    <cellStyle name="Обычный 5 15 3 3 3 2" xfId="48710"/>
    <cellStyle name="Обычный 5 15 3 3 4" xfId="48711"/>
    <cellStyle name="Обычный 5 15 3 4" xfId="18838"/>
    <cellStyle name="Обычный 5 15 3 4 2" xfId="18839"/>
    <cellStyle name="Обычный 5 15 3 4 2 2" xfId="18840"/>
    <cellStyle name="Обычный 5 15 3 4 2 2 2" xfId="48712"/>
    <cellStyle name="Обычный 5 15 3 4 2 3" xfId="48713"/>
    <cellStyle name="Обычный 5 15 3 4 3" xfId="18841"/>
    <cellStyle name="Обычный 5 15 3 4 3 2" xfId="48714"/>
    <cellStyle name="Обычный 5 15 3 4 4" xfId="48715"/>
    <cellStyle name="Обычный 5 15 3 5" xfId="18842"/>
    <cellStyle name="Обычный 5 15 3 5 2" xfId="18843"/>
    <cellStyle name="Обычный 5 15 3 5 2 2" xfId="48716"/>
    <cellStyle name="Обычный 5 15 3 5 3" xfId="48717"/>
    <cellStyle name="Обычный 5 15 3 6" xfId="18844"/>
    <cellStyle name="Обычный 5 15 3 6 2" xfId="48718"/>
    <cellStyle name="Обычный 5 15 3 7" xfId="18845"/>
    <cellStyle name="Обычный 5 15 3 7 2" xfId="48719"/>
    <cellStyle name="Обычный 5 15 3 8" xfId="48720"/>
    <cellStyle name="Обычный 5 15 30" xfId="18846"/>
    <cellStyle name="Обычный 5 15 30 2" xfId="18847"/>
    <cellStyle name="Обычный 5 15 30 2 2" xfId="18848"/>
    <cellStyle name="Обычный 5 15 30 2 2 2" xfId="48721"/>
    <cellStyle name="Обычный 5 15 30 2 3" xfId="48722"/>
    <cellStyle name="Обычный 5 15 30 3" xfId="18849"/>
    <cellStyle name="Обычный 5 15 30 3 2" xfId="48723"/>
    <cellStyle name="Обычный 5 15 30 4" xfId="48724"/>
    <cellStyle name="Обычный 5 15 31" xfId="18850"/>
    <cellStyle name="Обычный 5 15 31 2" xfId="18851"/>
    <cellStyle name="Обычный 5 15 31 2 2" xfId="18852"/>
    <cellStyle name="Обычный 5 15 31 2 2 2" xfId="48725"/>
    <cellStyle name="Обычный 5 15 31 2 3" xfId="48726"/>
    <cellStyle name="Обычный 5 15 31 3" xfId="18853"/>
    <cellStyle name="Обычный 5 15 31 3 2" xfId="48727"/>
    <cellStyle name="Обычный 5 15 31 4" xfId="48728"/>
    <cellStyle name="Обычный 5 15 32" xfId="18854"/>
    <cellStyle name="Обычный 5 15 32 2" xfId="18855"/>
    <cellStyle name="Обычный 5 15 32 2 2" xfId="18856"/>
    <cellStyle name="Обычный 5 15 32 2 2 2" xfId="48729"/>
    <cellStyle name="Обычный 5 15 32 2 3" xfId="48730"/>
    <cellStyle name="Обычный 5 15 32 3" xfId="18857"/>
    <cellStyle name="Обычный 5 15 32 3 2" xfId="48731"/>
    <cellStyle name="Обычный 5 15 32 4" xfId="48732"/>
    <cellStyle name="Обычный 5 15 33" xfId="18858"/>
    <cellStyle name="Обычный 5 15 33 2" xfId="18859"/>
    <cellStyle name="Обычный 5 15 33 2 2" xfId="48733"/>
    <cellStyle name="Обычный 5 15 33 3" xfId="48734"/>
    <cellStyle name="Обычный 5 15 34" xfId="18860"/>
    <cellStyle name="Обычный 5 15 34 2" xfId="48735"/>
    <cellStyle name="Обычный 5 15 35" xfId="18861"/>
    <cellStyle name="Обычный 5 15 35 2" xfId="48736"/>
    <cellStyle name="Обычный 5 15 36" xfId="48737"/>
    <cellStyle name="Обычный 5 15 4" xfId="18862"/>
    <cellStyle name="Обычный 5 15 4 2" xfId="18863"/>
    <cellStyle name="Обычный 5 15 4 2 2" xfId="18864"/>
    <cellStyle name="Обычный 5 15 4 2 2 2" xfId="18865"/>
    <cellStyle name="Обычный 5 15 4 2 2 2 2" xfId="48738"/>
    <cellStyle name="Обычный 5 15 4 2 2 3" xfId="48739"/>
    <cellStyle name="Обычный 5 15 4 2 3" xfId="18866"/>
    <cellStyle name="Обычный 5 15 4 2 3 2" xfId="48740"/>
    <cellStyle name="Обычный 5 15 4 2 4" xfId="48741"/>
    <cellStyle name="Обычный 5 15 4 3" xfId="18867"/>
    <cellStyle name="Обычный 5 15 4 3 2" xfId="18868"/>
    <cellStyle name="Обычный 5 15 4 3 2 2" xfId="18869"/>
    <cellStyle name="Обычный 5 15 4 3 2 2 2" xfId="48742"/>
    <cellStyle name="Обычный 5 15 4 3 2 3" xfId="48743"/>
    <cellStyle name="Обычный 5 15 4 3 3" xfId="18870"/>
    <cellStyle name="Обычный 5 15 4 3 3 2" xfId="48744"/>
    <cellStyle name="Обычный 5 15 4 3 4" xfId="48745"/>
    <cellStyle name="Обычный 5 15 4 4" xfId="18871"/>
    <cellStyle name="Обычный 5 15 4 4 2" xfId="18872"/>
    <cellStyle name="Обычный 5 15 4 4 2 2" xfId="18873"/>
    <cellStyle name="Обычный 5 15 4 4 2 2 2" xfId="48746"/>
    <cellStyle name="Обычный 5 15 4 4 2 3" xfId="48747"/>
    <cellStyle name="Обычный 5 15 4 4 3" xfId="18874"/>
    <cellStyle name="Обычный 5 15 4 4 3 2" xfId="48748"/>
    <cellStyle name="Обычный 5 15 4 4 4" xfId="48749"/>
    <cellStyle name="Обычный 5 15 4 5" xfId="18875"/>
    <cellStyle name="Обычный 5 15 4 5 2" xfId="18876"/>
    <cellStyle name="Обычный 5 15 4 5 2 2" xfId="48750"/>
    <cellStyle name="Обычный 5 15 4 5 3" xfId="48751"/>
    <cellStyle name="Обычный 5 15 4 6" xfId="18877"/>
    <cellStyle name="Обычный 5 15 4 6 2" xfId="48752"/>
    <cellStyle name="Обычный 5 15 4 7" xfId="18878"/>
    <cellStyle name="Обычный 5 15 4 7 2" xfId="48753"/>
    <cellStyle name="Обычный 5 15 4 8" xfId="48754"/>
    <cellStyle name="Обычный 5 15 5" xfId="18879"/>
    <cellStyle name="Обычный 5 15 5 2" xfId="18880"/>
    <cellStyle name="Обычный 5 15 5 2 2" xfId="18881"/>
    <cellStyle name="Обычный 5 15 5 2 2 2" xfId="18882"/>
    <cellStyle name="Обычный 5 15 5 2 2 2 2" xfId="48755"/>
    <cellStyle name="Обычный 5 15 5 2 2 3" xfId="48756"/>
    <cellStyle name="Обычный 5 15 5 2 3" xfId="18883"/>
    <cellStyle name="Обычный 5 15 5 2 3 2" xfId="48757"/>
    <cellStyle name="Обычный 5 15 5 2 4" xfId="48758"/>
    <cellStyle name="Обычный 5 15 5 3" xfId="18884"/>
    <cellStyle name="Обычный 5 15 5 3 2" xfId="18885"/>
    <cellStyle name="Обычный 5 15 5 3 2 2" xfId="18886"/>
    <cellStyle name="Обычный 5 15 5 3 2 2 2" xfId="48759"/>
    <cellStyle name="Обычный 5 15 5 3 2 3" xfId="48760"/>
    <cellStyle name="Обычный 5 15 5 3 3" xfId="18887"/>
    <cellStyle name="Обычный 5 15 5 3 3 2" xfId="48761"/>
    <cellStyle name="Обычный 5 15 5 3 4" xfId="48762"/>
    <cellStyle name="Обычный 5 15 5 4" xfId="18888"/>
    <cellStyle name="Обычный 5 15 5 4 2" xfId="18889"/>
    <cellStyle name="Обычный 5 15 5 4 2 2" xfId="18890"/>
    <cellStyle name="Обычный 5 15 5 4 2 2 2" xfId="48763"/>
    <cellStyle name="Обычный 5 15 5 4 2 3" xfId="48764"/>
    <cellStyle name="Обычный 5 15 5 4 3" xfId="18891"/>
    <cellStyle name="Обычный 5 15 5 4 3 2" xfId="48765"/>
    <cellStyle name="Обычный 5 15 5 4 4" xfId="48766"/>
    <cellStyle name="Обычный 5 15 5 5" xfId="18892"/>
    <cellStyle name="Обычный 5 15 5 5 2" xfId="18893"/>
    <cellStyle name="Обычный 5 15 5 5 2 2" xfId="48767"/>
    <cellStyle name="Обычный 5 15 5 5 3" xfId="48768"/>
    <cellStyle name="Обычный 5 15 5 6" xfId="18894"/>
    <cellStyle name="Обычный 5 15 5 6 2" xfId="48769"/>
    <cellStyle name="Обычный 5 15 5 7" xfId="18895"/>
    <cellStyle name="Обычный 5 15 5 7 2" xfId="48770"/>
    <cellStyle name="Обычный 5 15 5 8" xfId="48771"/>
    <cellStyle name="Обычный 5 15 6" xfId="18896"/>
    <cellStyle name="Обычный 5 15 6 2" xfId="18897"/>
    <cellStyle name="Обычный 5 15 6 2 2" xfId="18898"/>
    <cellStyle name="Обычный 5 15 6 2 2 2" xfId="18899"/>
    <cellStyle name="Обычный 5 15 6 2 2 2 2" xfId="48772"/>
    <cellStyle name="Обычный 5 15 6 2 2 3" xfId="48773"/>
    <cellStyle name="Обычный 5 15 6 2 3" xfId="18900"/>
    <cellStyle name="Обычный 5 15 6 2 3 2" xfId="48774"/>
    <cellStyle name="Обычный 5 15 6 2 4" xfId="48775"/>
    <cellStyle name="Обычный 5 15 6 3" xfId="18901"/>
    <cellStyle name="Обычный 5 15 6 3 2" xfId="18902"/>
    <cellStyle name="Обычный 5 15 6 3 2 2" xfId="18903"/>
    <cellStyle name="Обычный 5 15 6 3 2 2 2" xfId="48776"/>
    <cellStyle name="Обычный 5 15 6 3 2 3" xfId="48777"/>
    <cellStyle name="Обычный 5 15 6 3 3" xfId="18904"/>
    <cellStyle name="Обычный 5 15 6 3 3 2" xfId="48778"/>
    <cellStyle name="Обычный 5 15 6 3 4" xfId="48779"/>
    <cellStyle name="Обычный 5 15 6 4" xfId="18905"/>
    <cellStyle name="Обычный 5 15 6 4 2" xfId="18906"/>
    <cellStyle name="Обычный 5 15 6 4 2 2" xfId="18907"/>
    <cellStyle name="Обычный 5 15 6 4 2 2 2" xfId="48780"/>
    <cellStyle name="Обычный 5 15 6 4 2 3" xfId="48781"/>
    <cellStyle name="Обычный 5 15 6 4 3" xfId="18908"/>
    <cellStyle name="Обычный 5 15 6 4 3 2" xfId="48782"/>
    <cellStyle name="Обычный 5 15 6 4 4" xfId="48783"/>
    <cellStyle name="Обычный 5 15 6 5" xfId="18909"/>
    <cellStyle name="Обычный 5 15 6 5 2" xfId="18910"/>
    <cellStyle name="Обычный 5 15 6 5 2 2" xfId="48784"/>
    <cellStyle name="Обычный 5 15 6 5 3" xfId="48785"/>
    <cellStyle name="Обычный 5 15 6 6" xfId="18911"/>
    <cellStyle name="Обычный 5 15 6 6 2" xfId="48786"/>
    <cellStyle name="Обычный 5 15 6 7" xfId="18912"/>
    <cellStyle name="Обычный 5 15 6 7 2" xfId="48787"/>
    <cellStyle name="Обычный 5 15 6 8" xfId="48788"/>
    <cellStyle name="Обычный 5 15 7" xfId="18913"/>
    <cellStyle name="Обычный 5 15 7 2" xfId="18914"/>
    <cellStyle name="Обычный 5 15 7 2 2" xfId="18915"/>
    <cellStyle name="Обычный 5 15 7 2 2 2" xfId="18916"/>
    <cellStyle name="Обычный 5 15 7 2 2 2 2" xfId="48789"/>
    <cellStyle name="Обычный 5 15 7 2 2 3" xfId="48790"/>
    <cellStyle name="Обычный 5 15 7 2 3" xfId="18917"/>
    <cellStyle name="Обычный 5 15 7 2 3 2" xfId="48791"/>
    <cellStyle name="Обычный 5 15 7 2 4" xfId="48792"/>
    <cellStyle name="Обычный 5 15 7 3" xfId="18918"/>
    <cellStyle name="Обычный 5 15 7 3 2" xfId="18919"/>
    <cellStyle name="Обычный 5 15 7 3 2 2" xfId="18920"/>
    <cellStyle name="Обычный 5 15 7 3 2 2 2" xfId="48793"/>
    <cellStyle name="Обычный 5 15 7 3 2 3" xfId="48794"/>
    <cellStyle name="Обычный 5 15 7 3 3" xfId="18921"/>
    <cellStyle name="Обычный 5 15 7 3 3 2" xfId="48795"/>
    <cellStyle name="Обычный 5 15 7 3 4" xfId="48796"/>
    <cellStyle name="Обычный 5 15 7 4" xfId="18922"/>
    <cellStyle name="Обычный 5 15 7 4 2" xfId="18923"/>
    <cellStyle name="Обычный 5 15 7 4 2 2" xfId="18924"/>
    <cellStyle name="Обычный 5 15 7 4 2 2 2" xfId="48797"/>
    <cellStyle name="Обычный 5 15 7 4 2 3" xfId="48798"/>
    <cellStyle name="Обычный 5 15 7 4 3" xfId="18925"/>
    <cellStyle name="Обычный 5 15 7 4 3 2" xfId="48799"/>
    <cellStyle name="Обычный 5 15 7 4 4" xfId="48800"/>
    <cellStyle name="Обычный 5 15 7 5" xfId="18926"/>
    <cellStyle name="Обычный 5 15 7 5 2" xfId="18927"/>
    <cellStyle name="Обычный 5 15 7 5 2 2" xfId="48801"/>
    <cellStyle name="Обычный 5 15 7 5 3" xfId="48802"/>
    <cellStyle name="Обычный 5 15 7 6" xfId="18928"/>
    <cellStyle name="Обычный 5 15 7 6 2" xfId="48803"/>
    <cellStyle name="Обычный 5 15 7 7" xfId="18929"/>
    <cellStyle name="Обычный 5 15 7 7 2" xfId="48804"/>
    <cellStyle name="Обычный 5 15 7 8" xfId="48805"/>
    <cellStyle name="Обычный 5 15 8" xfId="18930"/>
    <cellStyle name="Обычный 5 15 8 2" xfId="18931"/>
    <cellStyle name="Обычный 5 15 8 2 2" xfId="18932"/>
    <cellStyle name="Обычный 5 15 8 2 2 2" xfId="18933"/>
    <cellStyle name="Обычный 5 15 8 2 2 2 2" xfId="48806"/>
    <cellStyle name="Обычный 5 15 8 2 2 3" xfId="48807"/>
    <cellStyle name="Обычный 5 15 8 2 3" xfId="18934"/>
    <cellStyle name="Обычный 5 15 8 2 3 2" xfId="48808"/>
    <cellStyle name="Обычный 5 15 8 2 4" xfId="48809"/>
    <cellStyle name="Обычный 5 15 8 3" xfId="18935"/>
    <cellStyle name="Обычный 5 15 8 3 2" xfId="18936"/>
    <cellStyle name="Обычный 5 15 8 3 2 2" xfId="18937"/>
    <cellStyle name="Обычный 5 15 8 3 2 2 2" xfId="48810"/>
    <cellStyle name="Обычный 5 15 8 3 2 3" xfId="48811"/>
    <cellStyle name="Обычный 5 15 8 3 3" xfId="18938"/>
    <cellStyle name="Обычный 5 15 8 3 3 2" xfId="48812"/>
    <cellStyle name="Обычный 5 15 8 3 4" xfId="48813"/>
    <cellStyle name="Обычный 5 15 8 4" xfId="18939"/>
    <cellStyle name="Обычный 5 15 8 4 2" xfId="18940"/>
    <cellStyle name="Обычный 5 15 8 4 2 2" xfId="18941"/>
    <cellStyle name="Обычный 5 15 8 4 2 2 2" xfId="48814"/>
    <cellStyle name="Обычный 5 15 8 4 2 3" xfId="48815"/>
    <cellStyle name="Обычный 5 15 8 4 3" xfId="18942"/>
    <cellStyle name="Обычный 5 15 8 4 3 2" xfId="48816"/>
    <cellStyle name="Обычный 5 15 8 4 4" xfId="48817"/>
    <cellStyle name="Обычный 5 15 8 5" xfId="18943"/>
    <cellStyle name="Обычный 5 15 8 5 2" xfId="18944"/>
    <cellStyle name="Обычный 5 15 8 5 2 2" xfId="48818"/>
    <cellStyle name="Обычный 5 15 8 5 3" xfId="48819"/>
    <cellStyle name="Обычный 5 15 8 6" xfId="18945"/>
    <cellStyle name="Обычный 5 15 8 6 2" xfId="48820"/>
    <cellStyle name="Обычный 5 15 8 7" xfId="18946"/>
    <cellStyle name="Обычный 5 15 8 7 2" xfId="48821"/>
    <cellStyle name="Обычный 5 15 8 8" xfId="48822"/>
    <cellStyle name="Обычный 5 15 9" xfId="18947"/>
    <cellStyle name="Обычный 5 15 9 2" xfId="18948"/>
    <cellStyle name="Обычный 5 15 9 2 2" xfId="18949"/>
    <cellStyle name="Обычный 5 15 9 2 2 2" xfId="18950"/>
    <cellStyle name="Обычный 5 15 9 2 2 2 2" xfId="48823"/>
    <cellStyle name="Обычный 5 15 9 2 2 3" xfId="48824"/>
    <cellStyle name="Обычный 5 15 9 2 3" xfId="18951"/>
    <cellStyle name="Обычный 5 15 9 2 3 2" xfId="48825"/>
    <cellStyle name="Обычный 5 15 9 2 4" xfId="48826"/>
    <cellStyle name="Обычный 5 15 9 3" xfId="18952"/>
    <cellStyle name="Обычный 5 15 9 3 2" xfId="18953"/>
    <cellStyle name="Обычный 5 15 9 3 2 2" xfId="18954"/>
    <cellStyle name="Обычный 5 15 9 3 2 2 2" xfId="48827"/>
    <cellStyle name="Обычный 5 15 9 3 2 3" xfId="48828"/>
    <cellStyle name="Обычный 5 15 9 3 3" xfId="18955"/>
    <cellStyle name="Обычный 5 15 9 3 3 2" xfId="48829"/>
    <cellStyle name="Обычный 5 15 9 3 4" xfId="48830"/>
    <cellStyle name="Обычный 5 15 9 4" xfId="18956"/>
    <cellStyle name="Обычный 5 15 9 4 2" xfId="18957"/>
    <cellStyle name="Обычный 5 15 9 4 2 2" xfId="18958"/>
    <cellStyle name="Обычный 5 15 9 4 2 2 2" xfId="48831"/>
    <cellStyle name="Обычный 5 15 9 4 2 3" xfId="48832"/>
    <cellStyle name="Обычный 5 15 9 4 3" xfId="18959"/>
    <cellStyle name="Обычный 5 15 9 4 3 2" xfId="48833"/>
    <cellStyle name="Обычный 5 15 9 4 4" xfId="48834"/>
    <cellStyle name="Обычный 5 15 9 5" xfId="18960"/>
    <cellStyle name="Обычный 5 15 9 5 2" xfId="18961"/>
    <cellStyle name="Обычный 5 15 9 5 2 2" xfId="48835"/>
    <cellStyle name="Обычный 5 15 9 5 3" xfId="48836"/>
    <cellStyle name="Обычный 5 15 9 6" xfId="18962"/>
    <cellStyle name="Обычный 5 15 9 6 2" xfId="48837"/>
    <cellStyle name="Обычный 5 15 9 7" xfId="18963"/>
    <cellStyle name="Обычный 5 15 9 7 2" xfId="48838"/>
    <cellStyle name="Обычный 5 15 9 8" xfId="48839"/>
    <cellStyle name="Обычный 5 16" xfId="18964"/>
    <cellStyle name="Обычный 5 16 10" xfId="18965"/>
    <cellStyle name="Обычный 5 16 10 2" xfId="18966"/>
    <cellStyle name="Обычный 5 16 10 2 2" xfId="18967"/>
    <cellStyle name="Обычный 5 16 10 2 2 2" xfId="18968"/>
    <cellStyle name="Обычный 5 16 10 2 2 2 2" xfId="48840"/>
    <cellStyle name="Обычный 5 16 10 2 2 3" xfId="48841"/>
    <cellStyle name="Обычный 5 16 10 2 3" xfId="18969"/>
    <cellStyle name="Обычный 5 16 10 2 3 2" xfId="48842"/>
    <cellStyle name="Обычный 5 16 10 2 4" xfId="48843"/>
    <cellStyle name="Обычный 5 16 10 3" xfId="18970"/>
    <cellStyle name="Обычный 5 16 10 3 2" xfId="18971"/>
    <cellStyle name="Обычный 5 16 10 3 2 2" xfId="18972"/>
    <cellStyle name="Обычный 5 16 10 3 2 2 2" xfId="48844"/>
    <cellStyle name="Обычный 5 16 10 3 2 3" xfId="48845"/>
    <cellStyle name="Обычный 5 16 10 3 3" xfId="18973"/>
    <cellStyle name="Обычный 5 16 10 3 3 2" xfId="48846"/>
    <cellStyle name="Обычный 5 16 10 3 4" xfId="48847"/>
    <cellStyle name="Обычный 5 16 10 4" xfId="18974"/>
    <cellStyle name="Обычный 5 16 10 4 2" xfId="18975"/>
    <cellStyle name="Обычный 5 16 10 4 2 2" xfId="18976"/>
    <cellStyle name="Обычный 5 16 10 4 2 2 2" xfId="48848"/>
    <cellStyle name="Обычный 5 16 10 4 2 3" xfId="48849"/>
    <cellStyle name="Обычный 5 16 10 4 3" xfId="18977"/>
    <cellStyle name="Обычный 5 16 10 4 3 2" xfId="48850"/>
    <cellStyle name="Обычный 5 16 10 4 4" xfId="48851"/>
    <cellStyle name="Обычный 5 16 10 5" xfId="18978"/>
    <cellStyle name="Обычный 5 16 10 5 2" xfId="18979"/>
    <cellStyle name="Обычный 5 16 10 5 2 2" xfId="48852"/>
    <cellStyle name="Обычный 5 16 10 5 3" xfId="48853"/>
    <cellStyle name="Обычный 5 16 10 6" xfId="18980"/>
    <cellStyle name="Обычный 5 16 10 6 2" xfId="48854"/>
    <cellStyle name="Обычный 5 16 10 7" xfId="18981"/>
    <cellStyle name="Обычный 5 16 10 7 2" xfId="48855"/>
    <cellStyle name="Обычный 5 16 10 8" xfId="48856"/>
    <cellStyle name="Обычный 5 16 11" xfId="18982"/>
    <cellStyle name="Обычный 5 16 11 2" xfId="18983"/>
    <cellStyle name="Обычный 5 16 11 2 2" xfId="18984"/>
    <cellStyle name="Обычный 5 16 11 2 2 2" xfId="18985"/>
    <cellStyle name="Обычный 5 16 11 2 2 2 2" xfId="48857"/>
    <cellStyle name="Обычный 5 16 11 2 2 3" xfId="48858"/>
    <cellStyle name="Обычный 5 16 11 2 3" xfId="18986"/>
    <cellStyle name="Обычный 5 16 11 2 3 2" xfId="48859"/>
    <cellStyle name="Обычный 5 16 11 2 4" xfId="48860"/>
    <cellStyle name="Обычный 5 16 11 3" xfId="18987"/>
    <cellStyle name="Обычный 5 16 11 3 2" xfId="18988"/>
    <cellStyle name="Обычный 5 16 11 3 2 2" xfId="18989"/>
    <cellStyle name="Обычный 5 16 11 3 2 2 2" xfId="48861"/>
    <cellStyle name="Обычный 5 16 11 3 2 3" xfId="48862"/>
    <cellStyle name="Обычный 5 16 11 3 3" xfId="18990"/>
    <cellStyle name="Обычный 5 16 11 3 3 2" xfId="48863"/>
    <cellStyle name="Обычный 5 16 11 3 4" xfId="48864"/>
    <cellStyle name="Обычный 5 16 11 4" xfId="18991"/>
    <cellStyle name="Обычный 5 16 11 4 2" xfId="18992"/>
    <cellStyle name="Обычный 5 16 11 4 2 2" xfId="18993"/>
    <cellStyle name="Обычный 5 16 11 4 2 2 2" xfId="48865"/>
    <cellStyle name="Обычный 5 16 11 4 2 3" xfId="48866"/>
    <cellStyle name="Обычный 5 16 11 4 3" xfId="18994"/>
    <cellStyle name="Обычный 5 16 11 4 3 2" xfId="48867"/>
    <cellStyle name="Обычный 5 16 11 4 4" xfId="48868"/>
    <cellStyle name="Обычный 5 16 11 5" xfId="18995"/>
    <cellStyle name="Обычный 5 16 11 5 2" xfId="18996"/>
    <cellStyle name="Обычный 5 16 11 5 2 2" xfId="48869"/>
    <cellStyle name="Обычный 5 16 11 5 3" xfId="48870"/>
    <cellStyle name="Обычный 5 16 11 6" xfId="18997"/>
    <cellStyle name="Обычный 5 16 11 6 2" xfId="48871"/>
    <cellStyle name="Обычный 5 16 11 7" xfId="18998"/>
    <cellStyle name="Обычный 5 16 11 7 2" xfId="48872"/>
    <cellStyle name="Обычный 5 16 11 8" xfId="48873"/>
    <cellStyle name="Обычный 5 16 12" xfId="18999"/>
    <cellStyle name="Обычный 5 16 12 2" xfId="19000"/>
    <cellStyle name="Обычный 5 16 12 2 2" xfId="19001"/>
    <cellStyle name="Обычный 5 16 12 2 2 2" xfId="19002"/>
    <cellStyle name="Обычный 5 16 12 2 2 2 2" xfId="48874"/>
    <cellStyle name="Обычный 5 16 12 2 2 3" xfId="48875"/>
    <cellStyle name="Обычный 5 16 12 2 3" xfId="19003"/>
    <cellStyle name="Обычный 5 16 12 2 3 2" xfId="48876"/>
    <cellStyle name="Обычный 5 16 12 2 4" xfId="48877"/>
    <cellStyle name="Обычный 5 16 12 3" xfId="19004"/>
    <cellStyle name="Обычный 5 16 12 3 2" xfId="19005"/>
    <cellStyle name="Обычный 5 16 12 3 2 2" xfId="19006"/>
    <cellStyle name="Обычный 5 16 12 3 2 2 2" xfId="48878"/>
    <cellStyle name="Обычный 5 16 12 3 2 3" xfId="48879"/>
    <cellStyle name="Обычный 5 16 12 3 3" xfId="19007"/>
    <cellStyle name="Обычный 5 16 12 3 3 2" xfId="48880"/>
    <cellStyle name="Обычный 5 16 12 3 4" xfId="48881"/>
    <cellStyle name="Обычный 5 16 12 4" xfId="19008"/>
    <cellStyle name="Обычный 5 16 12 4 2" xfId="19009"/>
    <cellStyle name="Обычный 5 16 12 4 2 2" xfId="19010"/>
    <cellStyle name="Обычный 5 16 12 4 2 2 2" xfId="48882"/>
    <cellStyle name="Обычный 5 16 12 4 2 3" xfId="48883"/>
    <cellStyle name="Обычный 5 16 12 4 3" xfId="19011"/>
    <cellStyle name="Обычный 5 16 12 4 3 2" xfId="48884"/>
    <cellStyle name="Обычный 5 16 12 4 4" xfId="48885"/>
    <cellStyle name="Обычный 5 16 12 5" xfId="19012"/>
    <cellStyle name="Обычный 5 16 12 5 2" xfId="19013"/>
    <cellStyle name="Обычный 5 16 12 5 2 2" xfId="48886"/>
    <cellStyle name="Обычный 5 16 12 5 3" xfId="48887"/>
    <cellStyle name="Обычный 5 16 12 6" xfId="19014"/>
    <cellStyle name="Обычный 5 16 12 6 2" xfId="48888"/>
    <cellStyle name="Обычный 5 16 12 7" xfId="19015"/>
    <cellStyle name="Обычный 5 16 12 7 2" xfId="48889"/>
    <cellStyle name="Обычный 5 16 12 8" xfId="48890"/>
    <cellStyle name="Обычный 5 16 13" xfId="19016"/>
    <cellStyle name="Обычный 5 16 13 2" xfId="19017"/>
    <cellStyle name="Обычный 5 16 13 2 2" xfId="19018"/>
    <cellStyle name="Обычный 5 16 13 2 2 2" xfId="19019"/>
    <cellStyle name="Обычный 5 16 13 2 2 2 2" xfId="48891"/>
    <cellStyle name="Обычный 5 16 13 2 2 3" xfId="48892"/>
    <cellStyle name="Обычный 5 16 13 2 3" xfId="19020"/>
    <cellStyle name="Обычный 5 16 13 2 3 2" xfId="48893"/>
    <cellStyle name="Обычный 5 16 13 2 4" xfId="48894"/>
    <cellStyle name="Обычный 5 16 13 3" xfId="19021"/>
    <cellStyle name="Обычный 5 16 13 3 2" xfId="19022"/>
    <cellStyle name="Обычный 5 16 13 3 2 2" xfId="19023"/>
    <cellStyle name="Обычный 5 16 13 3 2 2 2" xfId="48895"/>
    <cellStyle name="Обычный 5 16 13 3 2 3" xfId="48896"/>
    <cellStyle name="Обычный 5 16 13 3 3" xfId="19024"/>
    <cellStyle name="Обычный 5 16 13 3 3 2" xfId="48897"/>
    <cellStyle name="Обычный 5 16 13 3 4" xfId="48898"/>
    <cellStyle name="Обычный 5 16 13 4" xfId="19025"/>
    <cellStyle name="Обычный 5 16 13 4 2" xfId="19026"/>
    <cellStyle name="Обычный 5 16 13 4 2 2" xfId="19027"/>
    <cellStyle name="Обычный 5 16 13 4 2 2 2" xfId="48899"/>
    <cellStyle name="Обычный 5 16 13 4 2 3" xfId="48900"/>
    <cellStyle name="Обычный 5 16 13 4 3" xfId="19028"/>
    <cellStyle name="Обычный 5 16 13 4 3 2" xfId="48901"/>
    <cellStyle name="Обычный 5 16 13 4 4" xfId="48902"/>
    <cellStyle name="Обычный 5 16 13 5" xfId="19029"/>
    <cellStyle name="Обычный 5 16 13 5 2" xfId="19030"/>
    <cellStyle name="Обычный 5 16 13 5 2 2" xfId="48903"/>
    <cellStyle name="Обычный 5 16 13 5 3" xfId="48904"/>
    <cellStyle name="Обычный 5 16 13 6" xfId="19031"/>
    <cellStyle name="Обычный 5 16 13 6 2" xfId="48905"/>
    <cellStyle name="Обычный 5 16 13 7" xfId="19032"/>
    <cellStyle name="Обычный 5 16 13 7 2" xfId="48906"/>
    <cellStyle name="Обычный 5 16 13 8" xfId="48907"/>
    <cellStyle name="Обычный 5 16 14" xfId="19033"/>
    <cellStyle name="Обычный 5 16 14 2" xfId="19034"/>
    <cellStyle name="Обычный 5 16 14 2 2" xfId="19035"/>
    <cellStyle name="Обычный 5 16 14 2 2 2" xfId="19036"/>
    <cellStyle name="Обычный 5 16 14 2 2 2 2" xfId="48908"/>
    <cellStyle name="Обычный 5 16 14 2 2 3" xfId="48909"/>
    <cellStyle name="Обычный 5 16 14 2 3" xfId="19037"/>
    <cellStyle name="Обычный 5 16 14 2 3 2" xfId="48910"/>
    <cellStyle name="Обычный 5 16 14 2 4" xfId="48911"/>
    <cellStyle name="Обычный 5 16 14 3" xfId="19038"/>
    <cellStyle name="Обычный 5 16 14 3 2" xfId="19039"/>
    <cellStyle name="Обычный 5 16 14 3 2 2" xfId="19040"/>
    <cellStyle name="Обычный 5 16 14 3 2 2 2" xfId="48912"/>
    <cellStyle name="Обычный 5 16 14 3 2 3" xfId="48913"/>
    <cellStyle name="Обычный 5 16 14 3 3" xfId="19041"/>
    <cellStyle name="Обычный 5 16 14 3 3 2" xfId="48914"/>
    <cellStyle name="Обычный 5 16 14 3 4" xfId="48915"/>
    <cellStyle name="Обычный 5 16 14 4" xfId="19042"/>
    <cellStyle name="Обычный 5 16 14 4 2" xfId="19043"/>
    <cellStyle name="Обычный 5 16 14 4 2 2" xfId="19044"/>
    <cellStyle name="Обычный 5 16 14 4 2 2 2" xfId="48916"/>
    <cellStyle name="Обычный 5 16 14 4 2 3" xfId="48917"/>
    <cellStyle name="Обычный 5 16 14 4 3" xfId="19045"/>
    <cellStyle name="Обычный 5 16 14 4 3 2" xfId="48918"/>
    <cellStyle name="Обычный 5 16 14 4 4" xfId="48919"/>
    <cellStyle name="Обычный 5 16 14 5" xfId="19046"/>
    <cellStyle name="Обычный 5 16 14 5 2" xfId="19047"/>
    <cellStyle name="Обычный 5 16 14 5 2 2" xfId="48920"/>
    <cellStyle name="Обычный 5 16 14 5 3" xfId="48921"/>
    <cellStyle name="Обычный 5 16 14 6" xfId="19048"/>
    <cellStyle name="Обычный 5 16 14 6 2" xfId="48922"/>
    <cellStyle name="Обычный 5 16 14 7" xfId="19049"/>
    <cellStyle name="Обычный 5 16 14 7 2" xfId="48923"/>
    <cellStyle name="Обычный 5 16 14 8" xfId="48924"/>
    <cellStyle name="Обычный 5 16 15" xfId="19050"/>
    <cellStyle name="Обычный 5 16 15 2" xfId="19051"/>
    <cellStyle name="Обычный 5 16 15 2 2" xfId="19052"/>
    <cellStyle name="Обычный 5 16 15 2 2 2" xfId="19053"/>
    <cellStyle name="Обычный 5 16 15 2 2 2 2" xfId="48925"/>
    <cellStyle name="Обычный 5 16 15 2 2 3" xfId="48926"/>
    <cellStyle name="Обычный 5 16 15 2 3" xfId="19054"/>
    <cellStyle name="Обычный 5 16 15 2 3 2" xfId="48927"/>
    <cellStyle name="Обычный 5 16 15 2 4" xfId="48928"/>
    <cellStyle name="Обычный 5 16 15 3" xfId="19055"/>
    <cellStyle name="Обычный 5 16 15 3 2" xfId="19056"/>
    <cellStyle name="Обычный 5 16 15 3 2 2" xfId="19057"/>
    <cellStyle name="Обычный 5 16 15 3 2 2 2" xfId="48929"/>
    <cellStyle name="Обычный 5 16 15 3 2 3" xfId="48930"/>
    <cellStyle name="Обычный 5 16 15 3 3" xfId="19058"/>
    <cellStyle name="Обычный 5 16 15 3 3 2" xfId="48931"/>
    <cellStyle name="Обычный 5 16 15 3 4" xfId="48932"/>
    <cellStyle name="Обычный 5 16 15 4" xfId="19059"/>
    <cellStyle name="Обычный 5 16 15 4 2" xfId="19060"/>
    <cellStyle name="Обычный 5 16 15 4 2 2" xfId="19061"/>
    <cellStyle name="Обычный 5 16 15 4 2 2 2" xfId="48933"/>
    <cellStyle name="Обычный 5 16 15 4 2 3" xfId="48934"/>
    <cellStyle name="Обычный 5 16 15 4 3" xfId="19062"/>
    <cellStyle name="Обычный 5 16 15 4 3 2" xfId="48935"/>
    <cellStyle name="Обычный 5 16 15 4 4" xfId="48936"/>
    <cellStyle name="Обычный 5 16 15 5" xfId="19063"/>
    <cellStyle name="Обычный 5 16 15 5 2" xfId="19064"/>
    <cellStyle name="Обычный 5 16 15 5 2 2" xfId="48937"/>
    <cellStyle name="Обычный 5 16 15 5 3" xfId="48938"/>
    <cellStyle name="Обычный 5 16 15 6" xfId="19065"/>
    <cellStyle name="Обычный 5 16 15 6 2" xfId="48939"/>
    <cellStyle name="Обычный 5 16 15 7" xfId="19066"/>
    <cellStyle name="Обычный 5 16 15 7 2" xfId="48940"/>
    <cellStyle name="Обычный 5 16 15 8" xfId="48941"/>
    <cellStyle name="Обычный 5 16 16" xfId="19067"/>
    <cellStyle name="Обычный 5 16 16 2" xfId="19068"/>
    <cellStyle name="Обычный 5 16 16 2 2" xfId="19069"/>
    <cellStyle name="Обычный 5 16 16 2 2 2" xfId="19070"/>
    <cellStyle name="Обычный 5 16 16 2 2 2 2" xfId="48942"/>
    <cellStyle name="Обычный 5 16 16 2 2 3" xfId="48943"/>
    <cellStyle name="Обычный 5 16 16 2 3" xfId="19071"/>
    <cellStyle name="Обычный 5 16 16 2 3 2" xfId="48944"/>
    <cellStyle name="Обычный 5 16 16 2 4" xfId="48945"/>
    <cellStyle name="Обычный 5 16 16 3" xfId="19072"/>
    <cellStyle name="Обычный 5 16 16 3 2" xfId="19073"/>
    <cellStyle name="Обычный 5 16 16 3 2 2" xfId="19074"/>
    <cellStyle name="Обычный 5 16 16 3 2 2 2" xfId="48946"/>
    <cellStyle name="Обычный 5 16 16 3 2 3" xfId="48947"/>
    <cellStyle name="Обычный 5 16 16 3 3" xfId="19075"/>
    <cellStyle name="Обычный 5 16 16 3 3 2" xfId="48948"/>
    <cellStyle name="Обычный 5 16 16 3 4" xfId="48949"/>
    <cellStyle name="Обычный 5 16 16 4" xfId="19076"/>
    <cellStyle name="Обычный 5 16 16 4 2" xfId="19077"/>
    <cellStyle name="Обычный 5 16 16 4 2 2" xfId="19078"/>
    <cellStyle name="Обычный 5 16 16 4 2 2 2" xfId="48950"/>
    <cellStyle name="Обычный 5 16 16 4 2 3" xfId="48951"/>
    <cellStyle name="Обычный 5 16 16 4 3" xfId="19079"/>
    <cellStyle name="Обычный 5 16 16 4 3 2" xfId="48952"/>
    <cellStyle name="Обычный 5 16 16 4 4" xfId="48953"/>
    <cellStyle name="Обычный 5 16 16 5" xfId="19080"/>
    <cellStyle name="Обычный 5 16 16 5 2" xfId="19081"/>
    <cellStyle name="Обычный 5 16 16 5 2 2" xfId="48954"/>
    <cellStyle name="Обычный 5 16 16 5 3" xfId="48955"/>
    <cellStyle name="Обычный 5 16 16 6" xfId="19082"/>
    <cellStyle name="Обычный 5 16 16 6 2" xfId="48956"/>
    <cellStyle name="Обычный 5 16 16 7" xfId="19083"/>
    <cellStyle name="Обычный 5 16 16 7 2" xfId="48957"/>
    <cellStyle name="Обычный 5 16 16 8" xfId="48958"/>
    <cellStyle name="Обычный 5 16 17" xfId="19084"/>
    <cellStyle name="Обычный 5 16 17 2" xfId="19085"/>
    <cellStyle name="Обычный 5 16 17 2 2" xfId="19086"/>
    <cellStyle name="Обычный 5 16 17 2 2 2" xfId="19087"/>
    <cellStyle name="Обычный 5 16 17 2 2 2 2" xfId="48959"/>
    <cellStyle name="Обычный 5 16 17 2 2 3" xfId="48960"/>
    <cellStyle name="Обычный 5 16 17 2 3" xfId="19088"/>
    <cellStyle name="Обычный 5 16 17 2 3 2" xfId="48961"/>
    <cellStyle name="Обычный 5 16 17 2 4" xfId="48962"/>
    <cellStyle name="Обычный 5 16 17 3" xfId="19089"/>
    <cellStyle name="Обычный 5 16 17 3 2" xfId="19090"/>
    <cellStyle name="Обычный 5 16 17 3 2 2" xfId="19091"/>
    <cellStyle name="Обычный 5 16 17 3 2 2 2" xfId="48963"/>
    <cellStyle name="Обычный 5 16 17 3 2 3" xfId="48964"/>
    <cellStyle name="Обычный 5 16 17 3 3" xfId="19092"/>
    <cellStyle name="Обычный 5 16 17 3 3 2" xfId="48965"/>
    <cellStyle name="Обычный 5 16 17 3 4" xfId="48966"/>
    <cellStyle name="Обычный 5 16 17 4" xfId="19093"/>
    <cellStyle name="Обычный 5 16 17 4 2" xfId="19094"/>
    <cellStyle name="Обычный 5 16 17 4 2 2" xfId="19095"/>
    <cellStyle name="Обычный 5 16 17 4 2 2 2" xfId="48967"/>
    <cellStyle name="Обычный 5 16 17 4 2 3" xfId="48968"/>
    <cellStyle name="Обычный 5 16 17 4 3" xfId="19096"/>
    <cellStyle name="Обычный 5 16 17 4 3 2" xfId="48969"/>
    <cellStyle name="Обычный 5 16 17 4 4" xfId="48970"/>
    <cellStyle name="Обычный 5 16 17 5" xfId="19097"/>
    <cellStyle name="Обычный 5 16 17 5 2" xfId="19098"/>
    <cellStyle name="Обычный 5 16 17 5 2 2" xfId="48971"/>
    <cellStyle name="Обычный 5 16 17 5 3" xfId="48972"/>
    <cellStyle name="Обычный 5 16 17 6" xfId="19099"/>
    <cellStyle name="Обычный 5 16 17 6 2" xfId="48973"/>
    <cellStyle name="Обычный 5 16 17 7" xfId="19100"/>
    <cellStyle name="Обычный 5 16 17 7 2" xfId="48974"/>
    <cellStyle name="Обычный 5 16 17 8" xfId="48975"/>
    <cellStyle name="Обычный 5 16 18" xfId="19101"/>
    <cellStyle name="Обычный 5 16 18 2" xfId="19102"/>
    <cellStyle name="Обычный 5 16 18 2 2" xfId="19103"/>
    <cellStyle name="Обычный 5 16 18 2 2 2" xfId="19104"/>
    <cellStyle name="Обычный 5 16 18 2 2 2 2" xfId="48976"/>
    <cellStyle name="Обычный 5 16 18 2 2 3" xfId="48977"/>
    <cellStyle name="Обычный 5 16 18 2 3" xfId="19105"/>
    <cellStyle name="Обычный 5 16 18 2 3 2" xfId="48978"/>
    <cellStyle name="Обычный 5 16 18 2 4" xfId="48979"/>
    <cellStyle name="Обычный 5 16 18 3" xfId="19106"/>
    <cellStyle name="Обычный 5 16 18 3 2" xfId="19107"/>
    <cellStyle name="Обычный 5 16 18 3 2 2" xfId="19108"/>
    <cellStyle name="Обычный 5 16 18 3 2 2 2" xfId="48980"/>
    <cellStyle name="Обычный 5 16 18 3 2 3" xfId="48981"/>
    <cellStyle name="Обычный 5 16 18 3 3" xfId="19109"/>
    <cellStyle name="Обычный 5 16 18 3 3 2" xfId="48982"/>
    <cellStyle name="Обычный 5 16 18 3 4" xfId="48983"/>
    <cellStyle name="Обычный 5 16 18 4" xfId="19110"/>
    <cellStyle name="Обычный 5 16 18 4 2" xfId="19111"/>
    <cellStyle name="Обычный 5 16 18 4 2 2" xfId="19112"/>
    <cellStyle name="Обычный 5 16 18 4 2 2 2" xfId="48984"/>
    <cellStyle name="Обычный 5 16 18 4 2 3" xfId="48985"/>
    <cellStyle name="Обычный 5 16 18 4 3" xfId="19113"/>
    <cellStyle name="Обычный 5 16 18 4 3 2" xfId="48986"/>
    <cellStyle name="Обычный 5 16 18 4 4" xfId="48987"/>
    <cellStyle name="Обычный 5 16 18 5" xfId="19114"/>
    <cellStyle name="Обычный 5 16 18 5 2" xfId="19115"/>
    <cellStyle name="Обычный 5 16 18 5 2 2" xfId="48988"/>
    <cellStyle name="Обычный 5 16 18 5 3" xfId="48989"/>
    <cellStyle name="Обычный 5 16 18 6" xfId="19116"/>
    <cellStyle name="Обычный 5 16 18 6 2" xfId="48990"/>
    <cellStyle name="Обычный 5 16 18 7" xfId="19117"/>
    <cellStyle name="Обычный 5 16 18 7 2" xfId="48991"/>
    <cellStyle name="Обычный 5 16 18 8" xfId="48992"/>
    <cellStyle name="Обычный 5 16 19" xfId="19118"/>
    <cellStyle name="Обычный 5 16 19 2" xfId="19119"/>
    <cellStyle name="Обычный 5 16 19 2 2" xfId="19120"/>
    <cellStyle name="Обычный 5 16 19 2 2 2" xfId="19121"/>
    <cellStyle name="Обычный 5 16 19 2 2 2 2" xfId="48993"/>
    <cellStyle name="Обычный 5 16 19 2 2 3" xfId="48994"/>
    <cellStyle name="Обычный 5 16 19 2 3" xfId="19122"/>
    <cellStyle name="Обычный 5 16 19 2 3 2" xfId="48995"/>
    <cellStyle name="Обычный 5 16 19 2 4" xfId="48996"/>
    <cellStyle name="Обычный 5 16 19 3" xfId="19123"/>
    <cellStyle name="Обычный 5 16 19 3 2" xfId="19124"/>
    <cellStyle name="Обычный 5 16 19 3 2 2" xfId="19125"/>
    <cellStyle name="Обычный 5 16 19 3 2 2 2" xfId="48997"/>
    <cellStyle name="Обычный 5 16 19 3 2 3" xfId="48998"/>
    <cellStyle name="Обычный 5 16 19 3 3" xfId="19126"/>
    <cellStyle name="Обычный 5 16 19 3 3 2" xfId="48999"/>
    <cellStyle name="Обычный 5 16 19 3 4" xfId="49000"/>
    <cellStyle name="Обычный 5 16 19 4" xfId="19127"/>
    <cellStyle name="Обычный 5 16 19 4 2" xfId="19128"/>
    <cellStyle name="Обычный 5 16 19 4 2 2" xfId="19129"/>
    <cellStyle name="Обычный 5 16 19 4 2 2 2" xfId="49001"/>
    <cellStyle name="Обычный 5 16 19 4 2 3" xfId="49002"/>
    <cellStyle name="Обычный 5 16 19 4 3" xfId="19130"/>
    <cellStyle name="Обычный 5 16 19 4 3 2" xfId="49003"/>
    <cellStyle name="Обычный 5 16 19 4 4" xfId="49004"/>
    <cellStyle name="Обычный 5 16 19 5" xfId="19131"/>
    <cellStyle name="Обычный 5 16 19 5 2" xfId="19132"/>
    <cellStyle name="Обычный 5 16 19 5 2 2" xfId="49005"/>
    <cellStyle name="Обычный 5 16 19 5 3" xfId="49006"/>
    <cellStyle name="Обычный 5 16 19 6" xfId="19133"/>
    <cellStyle name="Обычный 5 16 19 6 2" xfId="49007"/>
    <cellStyle name="Обычный 5 16 19 7" xfId="19134"/>
    <cellStyle name="Обычный 5 16 19 7 2" xfId="49008"/>
    <cellStyle name="Обычный 5 16 19 8" xfId="49009"/>
    <cellStyle name="Обычный 5 16 2" xfId="19135"/>
    <cellStyle name="Обычный 5 16 2 2" xfId="19136"/>
    <cellStyle name="Обычный 5 16 2 2 2" xfId="19137"/>
    <cellStyle name="Обычный 5 16 2 2 2 2" xfId="19138"/>
    <cellStyle name="Обычный 5 16 2 2 2 2 2" xfId="49010"/>
    <cellStyle name="Обычный 5 16 2 2 2 3" xfId="49011"/>
    <cellStyle name="Обычный 5 16 2 2 3" xfId="19139"/>
    <cellStyle name="Обычный 5 16 2 2 3 2" xfId="49012"/>
    <cellStyle name="Обычный 5 16 2 2 4" xfId="49013"/>
    <cellStyle name="Обычный 5 16 2 3" xfId="19140"/>
    <cellStyle name="Обычный 5 16 2 3 2" xfId="19141"/>
    <cellStyle name="Обычный 5 16 2 3 2 2" xfId="19142"/>
    <cellStyle name="Обычный 5 16 2 3 2 2 2" xfId="49014"/>
    <cellStyle name="Обычный 5 16 2 3 2 3" xfId="49015"/>
    <cellStyle name="Обычный 5 16 2 3 3" xfId="19143"/>
    <cellStyle name="Обычный 5 16 2 3 3 2" xfId="49016"/>
    <cellStyle name="Обычный 5 16 2 3 4" xfId="49017"/>
    <cellStyle name="Обычный 5 16 2 4" xfId="19144"/>
    <cellStyle name="Обычный 5 16 2 4 2" xfId="19145"/>
    <cellStyle name="Обычный 5 16 2 4 2 2" xfId="19146"/>
    <cellStyle name="Обычный 5 16 2 4 2 2 2" xfId="49018"/>
    <cellStyle name="Обычный 5 16 2 4 2 3" xfId="49019"/>
    <cellStyle name="Обычный 5 16 2 4 3" xfId="19147"/>
    <cellStyle name="Обычный 5 16 2 4 3 2" xfId="49020"/>
    <cellStyle name="Обычный 5 16 2 4 4" xfId="49021"/>
    <cellStyle name="Обычный 5 16 2 5" xfId="19148"/>
    <cellStyle name="Обычный 5 16 2 5 2" xfId="19149"/>
    <cellStyle name="Обычный 5 16 2 5 2 2" xfId="49022"/>
    <cellStyle name="Обычный 5 16 2 5 3" xfId="49023"/>
    <cellStyle name="Обычный 5 16 2 6" xfId="19150"/>
    <cellStyle name="Обычный 5 16 2 6 2" xfId="49024"/>
    <cellStyle name="Обычный 5 16 2 7" xfId="19151"/>
    <cellStyle name="Обычный 5 16 2 7 2" xfId="49025"/>
    <cellStyle name="Обычный 5 16 2 8" xfId="49026"/>
    <cellStyle name="Обычный 5 16 20" xfId="19152"/>
    <cellStyle name="Обычный 5 16 20 2" xfId="19153"/>
    <cellStyle name="Обычный 5 16 20 2 2" xfId="19154"/>
    <cellStyle name="Обычный 5 16 20 2 2 2" xfId="19155"/>
    <cellStyle name="Обычный 5 16 20 2 2 2 2" xfId="49027"/>
    <cellStyle name="Обычный 5 16 20 2 2 3" xfId="49028"/>
    <cellStyle name="Обычный 5 16 20 2 3" xfId="19156"/>
    <cellStyle name="Обычный 5 16 20 2 3 2" xfId="49029"/>
    <cellStyle name="Обычный 5 16 20 2 4" xfId="49030"/>
    <cellStyle name="Обычный 5 16 20 3" xfId="19157"/>
    <cellStyle name="Обычный 5 16 20 3 2" xfId="19158"/>
    <cellStyle name="Обычный 5 16 20 3 2 2" xfId="19159"/>
    <cellStyle name="Обычный 5 16 20 3 2 2 2" xfId="49031"/>
    <cellStyle name="Обычный 5 16 20 3 2 3" xfId="49032"/>
    <cellStyle name="Обычный 5 16 20 3 3" xfId="19160"/>
    <cellStyle name="Обычный 5 16 20 3 3 2" xfId="49033"/>
    <cellStyle name="Обычный 5 16 20 3 4" xfId="49034"/>
    <cellStyle name="Обычный 5 16 20 4" xfId="19161"/>
    <cellStyle name="Обычный 5 16 20 4 2" xfId="19162"/>
    <cellStyle name="Обычный 5 16 20 4 2 2" xfId="19163"/>
    <cellStyle name="Обычный 5 16 20 4 2 2 2" xfId="49035"/>
    <cellStyle name="Обычный 5 16 20 4 2 3" xfId="49036"/>
    <cellStyle name="Обычный 5 16 20 4 3" xfId="19164"/>
    <cellStyle name="Обычный 5 16 20 4 3 2" xfId="49037"/>
    <cellStyle name="Обычный 5 16 20 4 4" xfId="49038"/>
    <cellStyle name="Обычный 5 16 20 5" xfId="19165"/>
    <cellStyle name="Обычный 5 16 20 5 2" xfId="19166"/>
    <cellStyle name="Обычный 5 16 20 5 2 2" xfId="49039"/>
    <cellStyle name="Обычный 5 16 20 5 3" xfId="49040"/>
    <cellStyle name="Обычный 5 16 20 6" xfId="19167"/>
    <cellStyle name="Обычный 5 16 20 6 2" xfId="49041"/>
    <cellStyle name="Обычный 5 16 20 7" xfId="19168"/>
    <cellStyle name="Обычный 5 16 20 7 2" xfId="49042"/>
    <cellStyle name="Обычный 5 16 20 8" xfId="49043"/>
    <cellStyle name="Обычный 5 16 21" xfId="19169"/>
    <cellStyle name="Обычный 5 16 21 2" xfId="19170"/>
    <cellStyle name="Обычный 5 16 21 2 2" xfId="19171"/>
    <cellStyle name="Обычный 5 16 21 2 2 2" xfId="19172"/>
    <cellStyle name="Обычный 5 16 21 2 2 2 2" xfId="49044"/>
    <cellStyle name="Обычный 5 16 21 2 2 3" xfId="49045"/>
    <cellStyle name="Обычный 5 16 21 2 3" xfId="19173"/>
    <cellStyle name="Обычный 5 16 21 2 3 2" xfId="49046"/>
    <cellStyle name="Обычный 5 16 21 2 4" xfId="49047"/>
    <cellStyle name="Обычный 5 16 21 3" xfId="19174"/>
    <cellStyle name="Обычный 5 16 21 3 2" xfId="19175"/>
    <cellStyle name="Обычный 5 16 21 3 2 2" xfId="19176"/>
    <cellStyle name="Обычный 5 16 21 3 2 2 2" xfId="49048"/>
    <cellStyle name="Обычный 5 16 21 3 2 3" xfId="49049"/>
    <cellStyle name="Обычный 5 16 21 3 3" xfId="19177"/>
    <cellStyle name="Обычный 5 16 21 3 3 2" xfId="49050"/>
    <cellStyle name="Обычный 5 16 21 3 4" xfId="49051"/>
    <cellStyle name="Обычный 5 16 21 4" xfId="19178"/>
    <cellStyle name="Обычный 5 16 21 4 2" xfId="19179"/>
    <cellStyle name="Обычный 5 16 21 4 2 2" xfId="19180"/>
    <cellStyle name="Обычный 5 16 21 4 2 2 2" xfId="49052"/>
    <cellStyle name="Обычный 5 16 21 4 2 3" xfId="49053"/>
    <cellStyle name="Обычный 5 16 21 4 3" xfId="19181"/>
    <cellStyle name="Обычный 5 16 21 4 3 2" xfId="49054"/>
    <cellStyle name="Обычный 5 16 21 4 4" xfId="49055"/>
    <cellStyle name="Обычный 5 16 21 5" xfId="19182"/>
    <cellStyle name="Обычный 5 16 21 5 2" xfId="19183"/>
    <cellStyle name="Обычный 5 16 21 5 2 2" xfId="49056"/>
    <cellStyle name="Обычный 5 16 21 5 3" xfId="49057"/>
    <cellStyle name="Обычный 5 16 21 6" xfId="19184"/>
    <cellStyle name="Обычный 5 16 21 6 2" xfId="49058"/>
    <cellStyle name="Обычный 5 16 21 7" xfId="19185"/>
    <cellStyle name="Обычный 5 16 21 7 2" xfId="49059"/>
    <cellStyle name="Обычный 5 16 21 8" xfId="49060"/>
    <cellStyle name="Обычный 5 16 22" xfId="19186"/>
    <cellStyle name="Обычный 5 16 22 2" xfId="19187"/>
    <cellStyle name="Обычный 5 16 22 2 2" xfId="19188"/>
    <cellStyle name="Обычный 5 16 22 2 2 2" xfId="19189"/>
    <cellStyle name="Обычный 5 16 22 2 2 2 2" xfId="49061"/>
    <cellStyle name="Обычный 5 16 22 2 2 3" xfId="49062"/>
    <cellStyle name="Обычный 5 16 22 2 3" xfId="19190"/>
    <cellStyle name="Обычный 5 16 22 2 3 2" xfId="49063"/>
    <cellStyle name="Обычный 5 16 22 2 4" xfId="49064"/>
    <cellStyle name="Обычный 5 16 22 3" xfId="19191"/>
    <cellStyle name="Обычный 5 16 22 3 2" xfId="19192"/>
    <cellStyle name="Обычный 5 16 22 3 2 2" xfId="19193"/>
    <cellStyle name="Обычный 5 16 22 3 2 2 2" xfId="49065"/>
    <cellStyle name="Обычный 5 16 22 3 2 3" xfId="49066"/>
    <cellStyle name="Обычный 5 16 22 3 3" xfId="19194"/>
    <cellStyle name="Обычный 5 16 22 3 3 2" xfId="49067"/>
    <cellStyle name="Обычный 5 16 22 3 4" xfId="49068"/>
    <cellStyle name="Обычный 5 16 22 4" xfId="19195"/>
    <cellStyle name="Обычный 5 16 22 4 2" xfId="19196"/>
    <cellStyle name="Обычный 5 16 22 4 2 2" xfId="19197"/>
    <cellStyle name="Обычный 5 16 22 4 2 2 2" xfId="49069"/>
    <cellStyle name="Обычный 5 16 22 4 2 3" xfId="49070"/>
    <cellStyle name="Обычный 5 16 22 4 3" xfId="19198"/>
    <cellStyle name="Обычный 5 16 22 4 3 2" xfId="49071"/>
    <cellStyle name="Обычный 5 16 22 4 4" xfId="49072"/>
    <cellStyle name="Обычный 5 16 22 5" xfId="19199"/>
    <cellStyle name="Обычный 5 16 22 5 2" xfId="19200"/>
    <cellStyle name="Обычный 5 16 22 5 2 2" xfId="49073"/>
    <cellStyle name="Обычный 5 16 22 5 3" xfId="49074"/>
    <cellStyle name="Обычный 5 16 22 6" xfId="19201"/>
    <cellStyle name="Обычный 5 16 22 6 2" xfId="49075"/>
    <cellStyle name="Обычный 5 16 22 7" xfId="19202"/>
    <cellStyle name="Обычный 5 16 22 7 2" xfId="49076"/>
    <cellStyle name="Обычный 5 16 22 8" xfId="49077"/>
    <cellStyle name="Обычный 5 16 23" xfId="19203"/>
    <cellStyle name="Обычный 5 16 23 2" xfId="19204"/>
    <cellStyle name="Обычный 5 16 23 2 2" xfId="19205"/>
    <cellStyle name="Обычный 5 16 23 2 2 2" xfId="19206"/>
    <cellStyle name="Обычный 5 16 23 2 2 2 2" xfId="49078"/>
    <cellStyle name="Обычный 5 16 23 2 2 3" xfId="49079"/>
    <cellStyle name="Обычный 5 16 23 2 3" xfId="19207"/>
    <cellStyle name="Обычный 5 16 23 2 3 2" xfId="49080"/>
    <cellStyle name="Обычный 5 16 23 2 4" xfId="49081"/>
    <cellStyle name="Обычный 5 16 23 3" xfId="19208"/>
    <cellStyle name="Обычный 5 16 23 3 2" xfId="19209"/>
    <cellStyle name="Обычный 5 16 23 3 2 2" xfId="19210"/>
    <cellStyle name="Обычный 5 16 23 3 2 2 2" xfId="49082"/>
    <cellStyle name="Обычный 5 16 23 3 2 3" xfId="49083"/>
    <cellStyle name="Обычный 5 16 23 3 3" xfId="19211"/>
    <cellStyle name="Обычный 5 16 23 3 3 2" xfId="49084"/>
    <cellStyle name="Обычный 5 16 23 3 4" xfId="49085"/>
    <cellStyle name="Обычный 5 16 23 4" xfId="19212"/>
    <cellStyle name="Обычный 5 16 23 4 2" xfId="19213"/>
    <cellStyle name="Обычный 5 16 23 4 2 2" xfId="19214"/>
    <cellStyle name="Обычный 5 16 23 4 2 2 2" xfId="49086"/>
    <cellStyle name="Обычный 5 16 23 4 2 3" xfId="49087"/>
    <cellStyle name="Обычный 5 16 23 4 3" xfId="19215"/>
    <cellStyle name="Обычный 5 16 23 4 3 2" xfId="49088"/>
    <cellStyle name="Обычный 5 16 23 4 4" xfId="49089"/>
    <cellStyle name="Обычный 5 16 23 5" xfId="19216"/>
    <cellStyle name="Обычный 5 16 23 5 2" xfId="19217"/>
    <cellStyle name="Обычный 5 16 23 5 2 2" xfId="49090"/>
    <cellStyle name="Обычный 5 16 23 5 3" xfId="49091"/>
    <cellStyle name="Обычный 5 16 23 6" xfId="19218"/>
    <cellStyle name="Обычный 5 16 23 6 2" xfId="49092"/>
    <cellStyle name="Обычный 5 16 23 7" xfId="19219"/>
    <cellStyle name="Обычный 5 16 23 7 2" xfId="49093"/>
    <cellStyle name="Обычный 5 16 23 8" xfId="49094"/>
    <cellStyle name="Обычный 5 16 24" xfId="19220"/>
    <cellStyle name="Обычный 5 16 24 2" xfId="19221"/>
    <cellStyle name="Обычный 5 16 24 2 2" xfId="19222"/>
    <cellStyle name="Обычный 5 16 24 2 2 2" xfId="19223"/>
    <cellStyle name="Обычный 5 16 24 2 2 2 2" xfId="49095"/>
    <cellStyle name="Обычный 5 16 24 2 2 3" xfId="49096"/>
    <cellStyle name="Обычный 5 16 24 2 3" xfId="19224"/>
    <cellStyle name="Обычный 5 16 24 2 3 2" xfId="49097"/>
    <cellStyle name="Обычный 5 16 24 2 4" xfId="49098"/>
    <cellStyle name="Обычный 5 16 24 3" xfId="19225"/>
    <cellStyle name="Обычный 5 16 24 3 2" xfId="19226"/>
    <cellStyle name="Обычный 5 16 24 3 2 2" xfId="19227"/>
    <cellStyle name="Обычный 5 16 24 3 2 2 2" xfId="49099"/>
    <cellStyle name="Обычный 5 16 24 3 2 3" xfId="49100"/>
    <cellStyle name="Обычный 5 16 24 3 3" xfId="19228"/>
    <cellStyle name="Обычный 5 16 24 3 3 2" xfId="49101"/>
    <cellStyle name="Обычный 5 16 24 3 4" xfId="49102"/>
    <cellStyle name="Обычный 5 16 24 4" xfId="19229"/>
    <cellStyle name="Обычный 5 16 24 4 2" xfId="19230"/>
    <cellStyle name="Обычный 5 16 24 4 2 2" xfId="19231"/>
    <cellStyle name="Обычный 5 16 24 4 2 2 2" xfId="49103"/>
    <cellStyle name="Обычный 5 16 24 4 2 3" xfId="49104"/>
    <cellStyle name="Обычный 5 16 24 4 3" xfId="19232"/>
    <cellStyle name="Обычный 5 16 24 4 3 2" xfId="49105"/>
    <cellStyle name="Обычный 5 16 24 4 4" xfId="49106"/>
    <cellStyle name="Обычный 5 16 24 5" xfId="19233"/>
    <cellStyle name="Обычный 5 16 24 5 2" xfId="19234"/>
    <cellStyle name="Обычный 5 16 24 5 2 2" xfId="49107"/>
    <cellStyle name="Обычный 5 16 24 5 3" xfId="49108"/>
    <cellStyle name="Обычный 5 16 24 6" xfId="19235"/>
    <cellStyle name="Обычный 5 16 24 6 2" xfId="49109"/>
    <cellStyle name="Обычный 5 16 24 7" xfId="19236"/>
    <cellStyle name="Обычный 5 16 24 7 2" xfId="49110"/>
    <cellStyle name="Обычный 5 16 24 8" xfId="49111"/>
    <cellStyle name="Обычный 5 16 25" xfId="19237"/>
    <cellStyle name="Обычный 5 16 25 2" xfId="19238"/>
    <cellStyle name="Обычный 5 16 25 2 2" xfId="19239"/>
    <cellStyle name="Обычный 5 16 25 2 2 2" xfId="19240"/>
    <cellStyle name="Обычный 5 16 25 2 2 2 2" xfId="49112"/>
    <cellStyle name="Обычный 5 16 25 2 2 3" xfId="49113"/>
    <cellStyle name="Обычный 5 16 25 2 3" xfId="19241"/>
    <cellStyle name="Обычный 5 16 25 2 3 2" xfId="49114"/>
    <cellStyle name="Обычный 5 16 25 2 4" xfId="49115"/>
    <cellStyle name="Обычный 5 16 25 3" xfId="19242"/>
    <cellStyle name="Обычный 5 16 25 3 2" xfId="19243"/>
    <cellStyle name="Обычный 5 16 25 3 2 2" xfId="19244"/>
    <cellStyle name="Обычный 5 16 25 3 2 2 2" xfId="49116"/>
    <cellStyle name="Обычный 5 16 25 3 2 3" xfId="49117"/>
    <cellStyle name="Обычный 5 16 25 3 3" xfId="19245"/>
    <cellStyle name="Обычный 5 16 25 3 3 2" xfId="49118"/>
    <cellStyle name="Обычный 5 16 25 3 4" xfId="49119"/>
    <cellStyle name="Обычный 5 16 25 4" xfId="19246"/>
    <cellStyle name="Обычный 5 16 25 4 2" xfId="19247"/>
    <cellStyle name="Обычный 5 16 25 4 2 2" xfId="19248"/>
    <cellStyle name="Обычный 5 16 25 4 2 2 2" xfId="49120"/>
    <cellStyle name="Обычный 5 16 25 4 2 3" xfId="49121"/>
    <cellStyle name="Обычный 5 16 25 4 3" xfId="19249"/>
    <cellStyle name="Обычный 5 16 25 4 3 2" xfId="49122"/>
    <cellStyle name="Обычный 5 16 25 4 4" xfId="49123"/>
    <cellStyle name="Обычный 5 16 25 5" xfId="19250"/>
    <cellStyle name="Обычный 5 16 25 5 2" xfId="19251"/>
    <cellStyle name="Обычный 5 16 25 5 2 2" xfId="49124"/>
    <cellStyle name="Обычный 5 16 25 5 3" xfId="49125"/>
    <cellStyle name="Обычный 5 16 25 6" xfId="19252"/>
    <cellStyle name="Обычный 5 16 25 6 2" xfId="49126"/>
    <cellStyle name="Обычный 5 16 25 7" xfId="19253"/>
    <cellStyle name="Обычный 5 16 25 7 2" xfId="49127"/>
    <cellStyle name="Обычный 5 16 25 8" xfId="49128"/>
    <cellStyle name="Обычный 5 16 26" xfId="19254"/>
    <cellStyle name="Обычный 5 16 26 2" xfId="19255"/>
    <cellStyle name="Обычный 5 16 26 2 2" xfId="19256"/>
    <cellStyle name="Обычный 5 16 26 2 2 2" xfId="19257"/>
    <cellStyle name="Обычный 5 16 26 2 2 2 2" xfId="49129"/>
    <cellStyle name="Обычный 5 16 26 2 2 3" xfId="49130"/>
    <cellStyle name="Обычный 5 16 26 2 3" xfId="19258"/>
    <cellStyle name="Обычный 5 16 26 2 3 2" xfId="49131"/>
    <cellStyle name="Обычный 5 16 26 2 4" xfId="49132"/>
    <cellStyle name="Обычный 5 16 26 3" xfId="19259"/>
    <cellStyle name="Обычный 5 16 26 3 2" xfId="19260"/>
    <cellStyle name="Обычный 5 16 26 3 2 2" xfId="19261"/>
    <cellStyle name="Обычный 5 16 26 3 2 2 2" xfId="49133"/>
    <cellStyle name="Обычный 5 16 26 3 2 3" xfId="49134"/>
    <cellStyle name="Обычный 5 16 26 3 3" xfId="19262"/>
    <cellStyle name="Обычный 5 16 26 3 3 2" xfId="49135"/>
    <cellStyle name="Обычный 5 16 26 3 4" xfId="49136"/>
    <cellStyle name="Обычный 5 16 26 4" xfId="19263"/>
    <cellStyle name="Обычный 5 16 26 4 2" xfId="19264"/>
    <cellStyle name="Обычный 5 16 26 4 2 2" xfId="19265"/>
    <cellStyle name="Обычный 5 16 26 4 2 2 2" xfId="49137"/>
    <cellStyle name="Обычный 5 16 26 4 2 3" xfId="49138"/>
    <cellStyle name="Обычный 5 16 26 4 3" xfId="19266"/>
    <cellStyle name="Обычный 5 16 26 4 3 2" xfId="49139"/>
    <cellStyle name="Обычный 5 16 26 4 4" xfId="49140"/>
    <cellStyle name="Обычный 5 16 26 5" xfId="19267"/>
    <cellStyle name="Обычный 5 16 26 5 2" xfId="19268"/>
    <cellStyle name="Обычный 5 16 26 5 2 2" xfId="49141"/>
    <cellStyle name="Обычный 5 16 26 5 3" xfId="49142"/>
    <cellStyle name="Обычный 5 16 26 6" xfId="19269"/>
    <cellStyle name="Обычный 5 16 26 6 2" xfId="49143"/>
    <cellStyle name="Обычный 5 16 26 7" xfId="19270"/>
    <cellStyle name="Обычный 5 16 26 7 2" xfId="49144"/>
    <cellStyle name="Обычный 5 16 26 8" xfId="49145"/>
    <cellStyle name="Обычный 5 16 27" xfId="19271"/>
    <cellStyle name="Обычный 5 16 27 2" xfId="19272"/>
    <cellStyle name="Обычный 5 16 27 2 2" xfId="19273"/>
    <cellStyle name="Обычный 5 16 27 2 2 2" xfId="19274"/>
    <cellStyle name="Обычный 5 16 27 2 2 2 2" xfId="49146"/>
    <cellStyle name="Обычный 5 16 27 2 2 3" xfId="49147"/>
    <cellStyle name="Обычный 5 16 27 2 3" xfId="19275"/>
    <cellStyle name="Обычный 5 16 27 2 3 2" xfId="49148"/>
    <cellStyle name="Обычный 5 16 27 2 4" xfId="49149"/>
    <cellStyle name="Обычный 5 16 27 3" xfId="19276"/>
    <cellStyle name="Обычный 5 16 27 3 2" xfId="19277"/>
    <cellStyle name="Обычный 5 16 27 3 2 2" xfId="19278"/>
    <cellStyle name="Обычный 5 16 27 3 2 2 2" xfId="49150"/>
    <cellStyle name="Обычный 5 16 27 3 2 3" xfId="49151"/>
    <cellStyle name="Обычный 5 16 27 3 3" xfId="19279"/>
    <cellStyle name="Обычный 5 16 27 3 3 2" xfId="49152"/>
    <cellStyle name="Обычный 5 16 27 3 4" xfId="49153"/>
    <cellStyle name="Обычный 5 16 27 4" xfId="19280"/>
    <cellStyle name="Обычный 5 16 27 4 2" xfId="19281"/>
    <cellStyle name="Обычный 5 16 27 4 2 2" xfId="19282"/>
    <cellStyle name="Обычный 5 16 27 4 2 2 2" xfId="49154"/>
    <cellStyle name="Обычный 5 16 27 4 2 3" xfId="49155"/>
    <cellStyle name="Обычный 5 16 27 4 3" xfId="19283"/>
    <cellStyle name="Обычный 5 16 27 4 3 2" xfId="49156"/>
    <cellStyle name="Обычный 5 16 27 4 4" xfId="49157"/>
    <cellStyle name="Обычный 5 16 27 5" xfId="19284"/>
    <cellStyle name="Обычный 5 16 27 5 2" xfId="19285"/>
    <cellStyle name="Обычный 5 16 27 5 2 2" xfId="49158"/>
    <cellStyle name="Обычный 5 16 27 5 3" xfId="49159"/>
    <cellStyle name="Обычный 5 16 27 6" xfId="19286"/>
    <cellStyle name="Обычный 5 16 27 6 2" xfId="49160"/>
    <cellStyle name="Обычный 5 16 27 7" xfId="19287"/>
    <cellStyle name="Обычный 5 16 27 7 2" xfId="49161"/>
    <cellStyle name="Обычный 5 16 27 8" xfId="49162"/>
    <cellStyle name="Обычный 5 16 28" xfId="19288"/>
    <cellStyle name="Обычный 5 16 28 2" xfId="19289"/>
    <cellStyle name="Обычный 5 16 28 2 2" xfId="19290"/>
    <cellStyle name="Обычный 5 16 28 2 2 2" xfId="19291"/>
    <cellStyle name="Обычный 5 16 28 2 2 2 2" xfId="49163"/>
    <cellStyle name="Обычный 5 16 28 2 2 3" xfId="49164"/>
    <cellStyle name="Обычный 5 16 28 2 3" xfId="19292"/>
    <cellStyle name="Обычный 5 16 28 2 3 2" xfId="49165"/>
    <cellStyle name="Обычный 5 16 28 2 4" xfId="49166"/>
    <cellStyle name="Обычный 5 16 28 3" xfId="19293"/>
    <cellStyle name="Обычный 5 16 28 3 2" xfId="19294"/>
    <cellStyle name="Обычный 5 16 28 3 2 2" xfId="19295"/>
    <cellStyle name="Обычный 5 16 28 3 2 2 2" xfId="49167"/>
    <cellStyle name="Обычный 5 16 28 3 2 3" xfId="49168"/>
    <cellStyle name="Обычный 5 16 28 3 3" xfId="19296"/>
    <cellStyle name="Обычный 5 16 28 3 3 2" xfId="49169"/>
    <cellStyle name="Обычный 5 16 28 3 4" xfId="49170"/>
    <cellStyle name="Обычный 5 16 28 4" xfId="19297"/>
    <cellStyle name="Обычный 5 16 28 4 2" xfId="19298"/>
    <cellStyle name="Обычный 5 16 28 4 2 2" xfId="19299"/>
    <cellStyle name="Обычный 5 16 28 4 2 2 2" xfId="49171"/>
    <cellStyle name="Обычный 5 16 28 4 2 3" xfId="49172"/>
    <cellStyle name="Обычный 5 16 28 4 3" xfId="19300"/>
    <cellStyle name="Обычный 5 16 28 4 3 2" xfId="49173"/>
    <cellStyle name="Обычный 5 16 28 4 4" xfId="49174"/>
    <cellStyle name="Обычный 5 16 28 5" xfId="19301"/>
    <cellStyle name="Обычный 5 16 28 5 2" xfId="19302"/>
    <cellStyle name="Обычный 5 16 28 5 2 2" xfId="49175"/>
    <cellStyle name="Обычный 5 16 28 5 3" xfId="49176"/>
    <cellStyle name="Обычный 5 16 28 6" xfId="19303"/>
    <cellStyle name="Обычный 5 16 28 6 2" xfId="49177"/>
    <cellStyle name="Обычный 5 16 28 7" xfId="19304"/>
    <cellStyle name="Обычный 5 16 28 7 2" xfId="49178"/>
    <cellStyle name="Обычный 5 16 28 8" xfId="49179"/>
    <cellStyle name="Обычный 5 16 29" xfId="19305"/>
    <cellStyle name="Обычный 5 16 29 2" xfId="19306"/>
    <cellStyle name="Обычный 5 16 29 2 2" xfId="19307"/>
    <cellStyle name="Обычный 5 16 29 2 2 2" xfId="19308"/>
    <cellStyle name="Обычный 5 16 29 2 2 2 2" xfId="49180"/>
    <cellStyle name="Обычный 5 16 29 2 2 3" xfId="49181"/>
    <cellStyle name="Обычный 5 16 29 2 3" xfId="19309"/>
    <cellStyle name="Обычный 5 16 29 2 3 2" xfId="49182"/>
    <cellStyle name="Обычный 5 16 29 2 4" xfId="49183"/>
    <cellStyle name="Обычный 5 16 29 3" xfId="19310"/>
    <cellStyle name="Обычный 5 16 29 3 2" xfId="19311"/>
    <cellStyle name="Обычный 5 16 29 3 2 2" xfId="19312"/>
    <cellStyle name="Обычный 5 16 29 3 2 2 2" xfId="49184"/>
    <cellStyle name="Обычный 5 16 29 3 2 3" xfId="49185"/>
    <cellStyle name="Обычный 5 16 29 3 3" xfId="19313"/>
    <cellStyle name="Обычный 5 16 29 3 3 2" xfId="49186"/>
    <cellStyle name="Обычный 5 16 29 3 4" xfId="49187"/>
    <cellStyle name="Обычный 5 16 29 4" xfId="19314"/>
    <cellStyle name="Обычный 5 16 29 4 2" xfId="19315"/>
    <cellStyle name="Обычный 5 16 29 4 2 2" xfId="19316"/>
    <cellStyle name="Обычный 5 16 29 4 2 2 2" xfId="49188"/>
    <cellStyle name="Обычный 5 16 29 4 2 3" xfId="49189"/>
    <cellStyle name="Обычный 5 16 29 4 3" xfId="19317"/>
    <cellStyle name="Обычный 5 16 29 4 3 2" xfId="49190"/>
    <cellStyle name="Обычный 5 16 29 4 4" xfId="49191"/>
    <cellStyle name="Обычный 5 16 29 5" xfId="19318"/>
    <cellStyle name="Обычный 5 16 29 5 2" xfId="19319"/>
    <cellStyle name="Обычный 5 16 29 5 2 2" xfId="49192"/>
    <cellStyle name="Обычный 5 16 29 5 3" xfId="49193"/>
    <cellStyle name="Обычный 5 16 29 6" xfId="19320"/>
    <cellStyle name="Обычный 5 16 29 6 2" xfId="49194"/>
    <cellStyle name="Обычный 5 16 29 7" xfId="19321"/>
    <cellStyle name="Обычный 5 16 29 7 2" xfId="49195"/>
    <cellStyle name="Обычный 5 16 29 8" xfId="49196"/>
    <cellStyle name="Обычный 5 16 3" xfId="19322"/>
    <cellStyle name="Обычный 5 16 3 2" xfId="19323"/>
    <cellStyle name="Обычный 5 16 3 2 2" xfId="19324"/>
    <cellStyle name="Обычный 5 16 3 2 2 2" xfId="19325"/>
    <cellStyle name="Обычный 5 16 3 2 2 2 2" xfId="49197"/>
    <cellStyle name="Обычный 5 16 3 2 2 3" xfId="49198"/>
    <cellStyle name="Обычный 5 16 3 2 3" xfId="19326"/>
    <cellStyle name="Обычный 5 16 3 2 3 2" xfId="49199"/>
    <cellStyle name="Обычный 5 16 3 2 4" xfId="49200"/>
    <cellStyle name="Обычный 5 16 3 3" xfId="19327"/>
    <cellStyle name="Обычный 5 16 3 3 2" xfId="19328"/>
    <cellStyle name="Обычный 5 16 3 3 2 2" xfId="19329"/>
    <cellStyle name="Обычный 5 16 3 3 2 2 2" xfId="49201"/>
    <cellStyle name="Обычный 5 16 3 3 2 3" xfId="49202"/>
    <cellStyle name="Обычный 5 16 3 3 3" xfId="19330"/>
    <cellStyle name="Обычный 5 16 3 3 3 2" xfId="49203"/>
    <cellStyle name="Обычный 5 16 3 3 4" xfId="49204"/>
    <cellStyle name="Обычный 5 16 3 4" xfId="19331"/>
    <cellStyle name="Обычный 5 16 3 4 2" xfId="19332"/>
    <cellStyle name="Обычный 5 16 3 4 2 2" xfId="19333"/>
    <cellStyle name="Обычный 5 16 3 4 2 2 2" xfId="49205"/>
    <cellStyle name="Обычный 5 16 3 4 2 3" xfId="49206"/>
    <cellStyle name="Обычный 5 16 3 4 3" xfId="19334"/>
    <cellStyle name="Обычный 5 16 3 4 3 2" xfId="49207"/>
    <cellStyle name="Обычный 5 16 3 4 4" xfId="49208"/>
    <cellStyle name="Обычный 5 16 3 5" xfId="19335"/>
    <cellStyle name="Обычный 5 16 3 5 2" xfId="19336"/>
    <cellStyle name="Обычный 5 16 3 5 2 2" xfId="49209"/>
    <cellStyle name="Обычный 5 16 3 5 3" xfId="49210"/>
    <cellStyle name="Обычный 5 16 3 6" xfId="19337"/>
    <cellStyle name="Обычный 5 16 3 6 2" xfId="49211"/>
    <cellStyle name="Обычный 5 16 3 7" xfId="19338"/>
    <cellStyle name="Обычный 5 16 3 7 2" xfId="49212"/>
    <cellStyle name="Обычный 5 16 3 8" xfId="49213"/>
    <cellStyle name="Обычный 5 16 30" xfId="19339"/>
    <cellStyle name="Обычный 5 16 30 2" xfId="19340"/>
    <cellStyle name="Обычный 5 16 30 2 2" xfId="19341"/>
    <cellStyle name="Обычный 5 16 30 2 2 2" xfId="49214"/>
    <cellStyle name="Обычный 5 16 30 2 3" xfId="49215"/>
    <cellStyle name="Обычный 5 16 30 3" xfId="19342"/>
    <cellStyle name="Обычный 5 16 30 3 2" xfId="49216"/>
    <cellStyle name="Обычный 5 16 30 4" xfId="49217"/>
    <cellStyle name="Обычный 5 16 31" xfId="19343"/>
    <cellStyle name="Обычный 5 16 31 2" xfId="19344"/>
    <cellStyle name="Обычный 5 16 31 2 2" xfId="19345"/>
    <cellStyle name="Обычный 5 16 31 2 2 2" xfId="49218"/>
    <cellStyle name="Обычный 5 16 31 2 3" xfId="49219"/>
    <cellStyle name="Обычный 5 16 31 3" xfId="19346"/>
    <cellStyle name="Обычный 5 16 31 3 2" xfId="49220"/>
    <cellStyle name="Обычный 5 16 31 4" xfId="49221"/>
    <cellStyle name="Обычный 5 16 32" xfId="19347"/>
    <cellStyle name="Обычный 5 16 32 2" xfId="19348"/>
    <cellStyle name="Обычный 5 16 32 2 2" xfId="19349"/>
    <cellStyle name="Обычный 5 16 32 2 2 2" xfId="49222"/>
    <cellStyle name="Обычный 5 16 32 2 3" xfId="49223"/>
    <cellStyle name="Обычный 5 16 32 3" xfId="19350"/>
    <cellStyle name="Обычный 5 16 32 3 2" xfId="49224"/>
    <cellStyle name="Обычный 5 16 32 4" xfId="49225"/>
    <cellStyle name="Обычный 5 16 33" xfId="19351"/>
    <cellStyle name="Обычный 5 16 33 2" xfId="19352"/>
    <cellStyle name="Обычный 5 16 33 2 2" xfId="49226"/>
    <cellStyle name="Обычный 5 16 33 3" xfId="49227"/>
    <cellStyle name="Обычный 5 16 34" xfId="19353"/>
    <cellStyle name="Обычный 5 16 34 2" xfId="49228"/>
    <cellStyle name="Обычный 5 16 35" xfId="19354"/>
    <cellStyle name="Обычный 5 16 35 2" xfId="49229"/>
    <cellStyle name="Обычный 5 16 36" xfId="49230"/>
    <cellStyle name="Обычный 5 16 4" xfId="19355"/>
    <cellStyle name="Обычный 5 16 4 2" xfId="19356"/>
    <cellStyle name="Обычный 5 16 4 2 2" xfId="19357"/>
    <cellStyle name="Обычный 5 16 4 2 2 2" xfId="19358"/>
    <cellStyle name="Обычный 5 16 4 2 2 2 2" xfId="49231"/>
    <cellStyle name="Обычный 5 16 4 2 2 3" xfId="49232"/>
    <cellStyle name="Обычный 5 16 4 2 3" xfId="19359"/>
    <cellStyle name="Обычный 5 16 4 2 3 2" xfId="49233"/>
    <cellStyle name="Обычный 5 16 4 2 4" xfId="49234"/>
    <cellStyle name="Обычный 5 16 4 3" xfId="19360"/>
    <cellStyle name="Обычный 5 16 4 3 2" xfId="19361"/>
    <cellStyle name="Обычный 5 16 4 3 2 2" xfId="19362"/>
    <cellStyle name="Обычный 5 16 4 3 2 2 2" xfId="49235"/>
    <cellStyle name="Обычный 5 16 4 3 2 3" xfId="49236"/>
    <cellStyle name="Обычный 5 16 4 3 3" xfId="19363"/>
    <cellStyle name="Обычный 5 16 4 3 3 2" xfId="49237"/>
    <cellStyle name="Обычный 5 16 4 3 4" xfId="49238"/>
    <cellStyle name="Обычный 5 16 4 4" xfId="19364"/>
    <cellStyle name="Обычный 5 16 4 4 2" xfId="19365"/>
    <cellStyle name="Обычный 5 16 4 4 2 2" xfId="19366"/>
    <cellStyle name="Обычный 5 16 4 4 2 2 2" xfId="49239"/>
    <cellStyle name="Обычный 5 16 4 4 2 3" xfId="49240"/>
    <cellStyle name="Обычный 5 16 4 4 3" xfId="19367"/>
    <cellStyle name="Обычный 5 16 4 4 3 2" xfId="49241"/>
    <cellStyle name="Обычный 5 16 4 4 4" xfId="49242"/>
    <cellStyle name="Обычный 5 16 4 5" xfId="19368"/>
    <cellStyle name="Обычный 5 16 4 5 2" xfId="19369"/>
    <cellStyle name="Обычный 5 16 4 5 2 2" xfId="49243"/>
    <cellStyle name="Обычный 5 16 4 5 3" xfId="49244"/>
    <cellStyle name="Обычный 5 16 4 6" xfId="19370"/>
    <cellStyle name="Обычный 5 16 4 6 2" xfId="49245"/>
    <cellStyle name="Обычный 5 16 4 7" xfId="19371"/>
    <cellStyle name="Обычный 5 16 4 7 2" xfId="49246"/>
    <cellStyle name="Обычный 5 16 4 8" xfId="49247"/>
    <cellStyle name="Обычный 5 16 5" xfId="19372"/>
    <cellStyle name="Обычный 5 16 5 2" xfId="19373"/>
    <cellStyle name="Обычный 5 16 5 2 2" xfId="19374"/>
    <cellStyle name="Обычный 5 16 5 2 2 2" xfId="19375"/>
    <cellStyle name="Обычный 5 16 5 2 2 2 2" xfId="49248"/>
    <cellStyle name="Обычный 5 16 5 2 2 3" xfId="49249"/>
    <cellStyle name="Обычный 5 16 5 2 3" xfId="19376"/>
    <cellStyle name="Обычный 5 16 5 2 3 2" xfId="49250"/>
    <cellStyle name="Обычный 5 16 5 2 4" xfId="49251"/>
    <cellStyle name="Обычный 5 16 5 3" xfId="19377"/>
    <cellStyle name="Обычный 5 16 5 3 2" xfId="19378"/>
    <cellStyle name="Обычный 5 16 5 3 2 2" xfId="19379"/>
    <cellStyle name="Обычный 5 16 5 3 2 2 2" xfId="49252"/>
    <cellStyle name="Обычный 5 16 5 3 2 3" xfId="49253"/>
    <cellStyle name="Обычный 5 16 5 3 3" xfId="19380"/>
    <cellStyle name="Обычный 5 16 5 3 3 2" xfId="49254"/>
    <cellStyle name="Обычный 5 16 5 3 4" xfId="49255"/>
    <cellStyle name="Обычный 5 16 5 4" xfId="19381"/>
    <cellStyle name="Обычный 5 16 5 4 2" xfId="19382"/>
    <cellStyle name="Обычный 5 16 5 4 2 2" xfId="19383"/>
    <cellStyle name="Обычный 5 16 5 4 2 2 2" xfId="49256"/>
    <cellStyle name="Обычный 5 16 5 4 2 3" xfId="49257"/>
    <cellStyle name="Обычный 5 16 5 4 3" xfId="19384"/>
    <cellStyle name="Обычный 5 16 5 4 3 2" xfId="49258"/>
    <cellStyle name="Обычный 5 16 5 4 4" xfId="49259"/>
    <cellStyle name="Обычный 5 16 5 5" xfId="19385"/>
    <cellStyle name="Обычный 5 16 5 5 2" xfId="19386"/>
    <cellStyle name="Обычный 5 16 5 5 2 2" xfId="49260"/>
    <cellStyle name="Обычный 5 16 5 5 3" xfId="49261"/>
    <cellStyle name="Обычный 5 16 5 6" xfId="19387"/>
    <cellStyle name="Обычный 5 16 5 6 2" xfId="49262"/>
    <cellStyle name="Обычный 5 16 5 7" xfId="19388"/>
    <cellStyle name="Обычный 5 16 5 7 2" xfId="49263"/>
    <cellStyle name="Обычный 5 16 5 8" xfId="49264"/>
    <cellStyle name="Обычный 5 16 6" xfId="19389"/>
    <cellStyle name="Обычный 5 16 6 2" xfId="19390"/>
    <cellStyle name="Обычный 5 16 6 2 2" xfId="19391"/>
    <cellStyle name="Обычный 5 16 6 2 2 2" xfId="19392"/>
    <cellStyle name="Обычный 5 16 6 2 2 2 2" xfId="49265"/>
    <cellStyle name="Обычный 5 16 6 2 2 3" xfId="49266"/>
    <cellStyle name="Обычный 5 16 6 2 3" xfId="19393"/>
    <cellStyle name="Обычный 5 16 6 2 3 2" xfId="49267"/>
    <cellStyle name="Обычный 5 16 6 2 4" xfId="49268"/>
    <cellStyle name="Обычный 5 16 6 3" xfId="19394"/>
    <cellStyle name="Обычный 5 16 6 3 2" xfId="19395"/>
    <cellStyle name="Обычный 5 16 6 3 2 2" xfId="19396"/>
    <cellStyle name="Обычный 5 16 6 3 2 2 2" xfId="49269"/>
    <cellStyle name="Обычный 5 16 6 3 2 3" xfId="49270"/>
    <cellStyle name="Обычный 5 16 6 3 3" xfId="19397"/>
    <cellStyle name="Обычный 5 16 6 3 3 2" xfId="49271"/>
    <cellStyle name="Обычный 5 16 6 3 4" xfId="49272"/>
    <cellStyle name="Обычный 5 16 6 4" xfId="19398"/>
    <cellStyle name="Обычный 5 16 6 4 2" xfId="19399"/>
    <cellStyle name="Обычный 5 16 6 4 2 2" xfId="19400"/>
    <cellStyle name="Обычный 5 16 6 4 2 2 2" xfId="49273"/>
    <cellStyle name="Обычный 5 16 6 4 2 3" xfId="49274"/>
    <cellStyle name="Обычный 5 16 6 4 3" xfId="19401"/>
    <cellStyle name="Обычный 5 16 6 4 3 2" xfId="49275"/>
    <cellStyle name="Обычный 5 16 6 4 4" xfId="49276"/>
    <cellStyle name="Обычный 5 16 6 5" xfId="19402"/>
    <cellStyle name="Обычный 5 16 6 5 2" xfId="19403"/>
    <cellStyle name="Обычный 5 16 6 5 2 2" xfId="49277"/>
    <cellStyle name="Обычный 5 16 6 5 3" xfId="49278"/>
    <cellStyle name="Обычный 5 16 6 6" xfId="19404"/>
    <cellStyle name="Обычный 5 16 6 6 2" xfId="49279"/>
    <cellStyle name="Обычный 5 16 6 7" xfId="19405"/>
    <cellStyle name="Обычный 5 16 6 7 2" xfId="49280"/>
    <cellStyle name="Обычный 5 16 6 8" xfId="49281"/>
    <cellStyle name="Обычный 5 16 7" xfId="19406"/>
    <cellStyle name="Обычный 5 16 7 2" xfId="19407"/>
    <cellStyle name="Обычный 5 16 7 2 2" xfId="19408"/>
    <cellStyle name="Обычный 5 16 7 2 2 2" xfId="19409"/>
    <cellStyle name="Обычный 5 16 7 2 2 2 2" xfId="49282"/>
    <cellStyle name="Обычный 5 16 7 2 2 3" xfId="49283"/>
    <cellStyle name="Обычный 5 16 7 2 3" xfId="19410"/>
    <cellStyle name="Обычный 5 16 7 2 3 2" xfId="49284"/>
    <cellStyle name="Обычный 5 16 7 2 4" xfId="49285"/>
    <cellStyle name="Обычный 5 16 7 3" xfId="19411"/>
    <cellStyle name="Обычный 5 16 7 3 2" xfId="19412"/>
    <cellStyle name="Обычный 5 16 7 3 2 2" xfId="19413"/>
    <cellStyle name="Обычный 5 16 7 3 2 2 2" xfId="49286"/>
    <cellStyle name="Обычный 5 16 7 3 2 3" xfId="49287"/>
    <cellStyle name="Обычный 5 16 7 3 3" xfId="19414"/>
    <cellStyle name="Обычный 5 16 7 3 3 2" xfId="49288"/>
    <cellStyle name="Обычный 5 16 7 3 4" xfId="49289"/>
    <cellStyle name="Обычный 5 16 7 4" xfId="19415"/>
    <cellStyle name="Обычный 5 16 7 4 2" xfId="19416"/>
    <cellStyle name="Обычный 5 16 7 4 2 2" xfId="19417"/>
    <cellStyle name="Обычный 5 16 7 4 2 2 2" xfId="49290"/>
    <cellStyle name="Обычный 5 16 7 4 2 3" xfId="49291"/>
    <cellStyle name="Обычный 5 16 7 4 3" xfId="19418"/>
    <cellStyle name="Обычный 5 16 7 4 3 2" xfId="49292"/>
    <cellStyle name="Обычный 5 16 7 4 4" xfId="49293"/>
    <cellStyle name="Обычный 5 16 7 5" xfId="19419"/>
    <cellStyle name="Обычный 5 16 7 5 2" xfId="19420"/>
    <cellStyle name="Обычный 5 16 7 5 2 2" xfId="49294"/>
    <cellStyle name="Обычный 5 16 7 5 3" xfId="49295"/>
    <cellStyle name="Обычный 5 16 7 6" xfId="19421"/>
    <cellStyle name="Обычный 5 16 7 6 2" xfId="49296"/>
    <cellStyle name="Обычный 5 16 7 7" xfId="19422"/>
    <cellStyle name="Обычный 5 16 7 7 2" xfId="49297"/>
    <cellStyle name="Обычный 5 16 7 8" xfId="49298"/>
    <cellStyle name="Обычный 5 16 8" xfId="19423"/>
    <cellStyle name="Обычный 5 16 8 2" xfId="19424"/>
    <cellStyle name="Обычный 5 16 8 2 2" xfId="19425"/>
    <cellStyle name="Обычный 5 16 8 2 2 2" xfId="19426"/>
    <cellStyle name="Обычный 5 16 8 2 2 2 2" xfId="49299"/>
    <cellStyle name="Обычный 5 16 8 2 2 3" xfId="49300"/>
    <cellStyle name="Обычный 5 16 8 2 3" xfId="19427"/>
    <cellStyle name="Обычный 5 16 8 2 3 2" xfId="49301"/>
    <cellStyle name="Обычный 5 16 8 2 4" xfId="49302"/>
    <cellStyle name="Обычный 5 16 8 3" xfId="19428"/>
    <cellStyle name="Обычный 5 16 8 3 2" xfId="19429"/>
    <cellStyle name="Обычный 5 16 8 3 2 2" xfId="19430"/>
    <cellStyle name="Обычный 5 16 8 3 2 2 2" xfId="49303"/>
    <cellStyle name="Обычный 5 16 8 3 2 3" xfId="49304"/>
    <cellStyle name="Обычный 5 16 8 3 3" xfId="19431"/>
    <cellStyle name="Обычный 5 16 8 3 3 2" xfId="49305"/>
    <cellStyle name="Обычный 5 16 8 3 4" xfId="49306"/>
    <cellStyle name="Обычный 5 16 8 4" xfId="19432"/>
    <cellStyle name="Обычный 5 16 8 4 2" xfId="19433"/>
    <cellStyle name="Обычный 5 16 8 4 2 2" xfId="19434"/>
    <cellStyle name="Обычный 5 16 8 4 2 2 2" xfId="49307"/>
    <cellStyle name="Обычный 5 16 8 4 2 3" xfId="49308"/>
    <cellStyle name="Обычный 5 16 8 4 3" xfId="19435"/>
    <cellStyle name="Обычный 5 16 8 4 3 2" xfId="49309"/>
    <cellStyle name="Обычный 5 16 8 4 4" xfId="49310"/>
    <cellStyle name="Обычный 5 16 8 5" xfId="19436"/>
    <cellStyle name="Обычный 5 16 8 5 2" xfId="19437"/>
    <cellStyle name="Обычный 5 16 8 5 2 2" xfId="49311"/>
    <cellStyle name="Обычный 5 16 8 5 3" xfId="49312"/>
    <cellStyle name="Обычный 5 16 8 6" xfId="19438"/>
    <cellStyle name="Обычный 5 16 8 6 2" xfId="49313"/>
    <cellStyle name="Обычный 5 16 8 7" xfId="19439"/>
    <cellStyle name="Обычный 5 16 8 7 2" xfId="49314"/>
    <cellStyle name="Обычный 5 16 8 8" xfId="49315"/>
    <cellStyle name="Обычный 5 16 9" xfId="19440"/>
    <cellStyle name="Обычный 5 16 9 2" xfId="19441"/>
    <cellStyle name="Обычный 5 16 9 2 2" xfId="19442"/>
    <cellStyle name="Обычный 5 16 9 2 2 2" xfId="19443"/>
    <cellStyle name="Обычный 5 16 9 2 2 2 2" xfId="49316"/>
    <cellStyle name="Обычный 5 16 9 2 2 3" xfId="49317"/>
    <cellStyle name="Обычный 5 16 9 2 3" xfId="19444"/>
    <cellStyle name="Обычный 5 16 9 2 3 2" xfId="49318"/>
    <cellStyle name="Обычный 5 16 9 2 4" xfId="49319"/>
    <cellStyle name="Обычный 5 16 9 3" xfId="19445"/>
    <cellStyle name="Обычный 5 16 9 3 2" xfId="19446"/>
    <cellStyle name="Обычный 5 16 9 3 2 2" xfId="19447"/>
    <cellStyle name="Обычный 5 16 9 3 2 2 2" xfId="49320"/>
    <cellStyle name="Обычный 5 16 9 3 2 3" xfId="49321"/>
    <cellStyle name="Обычный 5 16 9 3 3" xfId="19448"/>
    <cellStyle name="Обычный 5 16 9 3 3 2" xfId="49322"/>
    <cellStyle name="Обычный 5 16 9 3 4" xfId="49323"/>
    <cellStyle name="Обычный 5 16 9 4" xfId="19449"/>
    <cellStyle name="Обычный 5 16 9 4 2" xfId="19450"/>
    <cellStyle name="Обычный 5 16 9 4 2 2" xfId="19451"/>
    <cellStyle name="Обычный 5 16 9 4 2 2 2" xfId="49324"/>
    <cellStyle name="Обычный 5 16 9 4 2 3" xfId="49325"/>
    <cellStyle name="Обычный 5 16 9 4 3" xfId="19452"/>
    <cellStyle name="Обычный 5 16 9 4 3 2" xfId="49326"/>
    <cellStyle name="Обычный 5 16 9 4 4" xfId="49327"/>
    <cellStyle name="Обычный 5 16 9 5" xfId="19453"/>
    <cellStyle name="Обычный 5 16 9 5 2" xfId="19454"/>
    <cellStyle name="Обычный 5 16 9 5 2 2" xfId="49328"/>
    <cellStyle name="Обычный 5 16 9 5 3" xfId="49329"/>
    <cellStyle name="Обычный 5 16 9 6" xfId="19455"/>
    <cellStyle name="Обычный 5 16 9 6 2" xfId="49330"/>
    <cellStyle name="Обычный 5 16 9 7" xfId="19456"/>
    <cellStyle name="Обычный 5 16 9 7 2" xfId="49331"/>
    <cellStyle name="Обычный 5 16 9 8" xfId="49332"/>
    <cellStyle name="Обычный 5 17" xfId="19457"/>
    <cellStyle name="Обычный 5 17 10" xfId="19458"/>
    <cellStyle name="Обычный 5 17 10 2" xfId="19459"/>
    <cellStyle name="Обычный 5 17 10 2 2" xfId="19460"/>
    <cellStyle name="Обычный 5 17 10 2 2 2" xfId="19461"/>
    <cellStyle name="Обычный 5 17 10 2 2 2 2" xfId="49333"/>
    <cellStyle name="Обычный 5 17 10 2 2 3" xfId="49334"/>
    <cellStyle name="Обычный 5 17 10 2 3" xfId="19462"/>
    <cellStyle name="Обычный 5 17 10 2 3 2" xfId="49335"/>
    <cellStyle name="Обычный 5 17 10 2 4" xfId="49336"/>
    <cellStyle name="Обычный 5 17 10 3" xfId="19463"/>
    <cellStyle name="Обычный 5 17 10 3 2" xfId="19464"/>
    <cellStyle name="Обычный 5 17 10 3 2 2" xfId="19465"/>
    <cellStyle name="Обычный 5 17 10 3 2 2 2" xfId="49337"/>
    <cellStyle name="Обычный 5 17 10 3 2 3" xfId="49338"/>
    <cellStyle name="Обычный 5 17 10 3 3" xfId="19466"/>
    <cellStyle name="Обычный 5 17 10 3 3 2" xfId="49339"/>
    <cellStyle name="Обычный 5 17 10 3 4" xfId="49340"/>
    <cellStyle name="Обычный 5 17 10 4" xfId="19467"/>
    <cellStyle name="Обычный 5 17 10 4 2" xfId="19468"/>
    <cellStyle name="Обычный 5 17 10 4 2 2" xfId="19469"/>
    <cellStyle name="Обычный 5 17 10 4 2 2 2" xfId="49341"/>
    <cellStyle name="Обычный 5 17 10 4 2 3" xfId="49342"/>
    <cellStyle name="Обычный 5 17 10 4 3" xfId="19470"/>
    <cellStyle name="Обычный 5 17 10 4 3 2" xfId="49343"/>
    <cellStyle name="Обычный 5 17 10 4 4" xfId="49344"/>
    <cellStyle name="Обычный 5 17 10 5" xfId="19471"/>
    <cellStyle name="Обычный 5 17 10 5 2" xfId="19472"/>
    <cellStyle name="Обычный 5 17 10 5 2 2" xfId="49345"/>
    <cellStyle name="Обычный 5 17 10 5 3" xfId="49346"/>
    <cellStyle name="Обычный 5 17 10 6" xfId="19473"/>
    <cellStyle name="Обычный 5 17 10 6 2" xfId="49347"/>
    <cellStyle name="Обычный 5 17 10 7" xfId="19474"/>
    <cellStyle name="Обычный 5 17 10 7 2" xfId="49348"/>
    <cellStyle name="Обычный 5 17 10 8" xfId="49349"/>
    <cellStyle name="Обычный 5 17 11" xfId="19475"/>
    <cellStyle name="Обычный 5 17 11 2" xfId="19476"/>
    <cellStyle name="Обычный 5 17 11 2 2" xfId="19477"/>
    <cellStyle name="Обычный 5 17 11 2 2 2" xfId="19478"/>
    <cellStyle name="Обычный 5 17 11 2 2 2 2" xfId="49350"/>
    <cellStyle name="Обычный 5 17 11 2 2 3" xfId="49351"/>
    <cellStyle name="Обычный 5 17 11 2 3" xfId="19479"/>
    <cellStyle name="Обычный 5 17 11 2 3 2" xfId="49352"/>
    <cellStyle name="Обычный 5 17 11 2 4" xfId="49353"/>
    <cellStyle name="Обычный 5 17 11 3" xfId="19480"/>
    <cellStyle name="Обычный 5 17 11 3 2" xfId="19481"/>
    <cellStyle name="Обычный 5 17 11 3 2 2" xfId="19482"/>
    <cellStyle name="Обычный 5 17 11 3 2 2 2" xfId="49354"/>
    <cellStyle name="Обычный 5 17 11 3 2 3" xfId="49355"/>
    <cellStyle name="Обычный 5 17 11 3 3" xfId="19483"/>
    <cellStyle name="Обычный 5 17 11 3 3 2" xfId="49356"/>
    <cellStyle name="Обычный 5 17 11 3 4" xfId="49357"/>
    <cellStyle name="Обычный 5 17 11 4" xfId="19484"/>
    <cellStyle name="Обычный 5 17 11 4 2" xfId="19485"/>
    <cellStyle name="Обычный 5 17 11 4 2 2" xfId="19486"/>
    <cellStyle name="Обычный 5 17 11 4 2 2 2" xfId="49358"/>
    <cellStyle name="Обычный 5 17 11 4 2 3" xfId="49359"/>
    <cellStyle name="Обычный 5 17 11 4 3" xfId="19487"/>
    <cellStyle name="Обычный 5 17 11 4 3 2" xfId="49360"/>
    <cellStyle name="Обычный 5 17 11 4 4" xfId="49361"/>
    <cellStyle name="Обычный 5 17 11 5" xfId="19488"/>
    <cellStyle name="Обычный 5 17 11 5 2" xfId="19489"/>
    <cellStyle name="Обычный 5 17 11 5 2 2" xfId="49362"/>
    <cellStyle name="Обычный 5 17 11 5 3" xfId="49363"/>
    <cellStyle name="Обычный 5 17 11 6" xfId="19490"/>
    <cellStyle name="Обычный 5 17 11 6 2" xfId="49364"/>
    <cellStyle name="Обычный 5 17 11 7" xfId="19491"/>
    <cellStyle name="Обычный 5 17 11 7 2" xfId="49365"/>
    <cellStyle name="Обычный 5 17 11 8" xfId="49366"/>
    <cellStyle name="Обычный 5 17 12" xfId="19492"/>
    <cellStyle name="Обычный 5 17 12 2" xfId="19493"/>
    <cellStyle name="Обычный 5 17 12 2 2" xfId="19494"/>
    <cellStyle name="Обычный 5 17 12 2 2 2" xfId="19495"/>
    <cellStyle name="Обычный 5 17 12 2 2 2 2" xfId="49367"/>
    <cellStyle name="Обычный 5 17 12 2 2 3" xfId="49368"/>
    <cellStyle name="Обычный 5 17 12 2 3" xfId="19496"/>
    <cellStyle name="Обычный 5 17 12 2 3 2" xfId="49369"/>
    <cellStyle name="Обычный 5 17 12 2 4" xfId="49370"/>
    <cellStyle name="Обычный 5 17 12 3" xfId="19497"/>
    <cellStyle name="Обычный 5 17 12 3 2" xfId="19498"/>
    <cellStyle name="Обычный 5 17 12 3 2 2" xfId="19499"/>
    <cellStyle name="Обычный 5 17 12 3 2 2 2" xfId="49371"/>
    <cellStyle name="Обычный 5 17 12 3 2 3" xfId="49372"/>
    <cellStyle name="Обычный 5 17 12 3 3" xfId="19500"/>
    <cellStyle name="Обычный 5 17 12 3 3 2" xfId="49373"/>
    <cellStyle name="Обычный 5 17 12 3 4" xfId="49374"/>
    <cellStyle name="Обычный 5 17 12 4" xfId="19501"/>
    <cellStyle name="Обычный 5 17 12 4 2" xfId="19502"/>
    <cellStyle name="Обычный 5 17 12 4 2 2" xfId="19503"/>
    <cellStyle name="Обычный 5 17 12 4 2 2 2" xfId="49375"/>
    <cellStyle name="Обычный 5 17 12 4 2 3" xfId="49376"/>
    <cellStyle name="Обычный 5 17 12 4 3" xfId="19504"/>
    <cellStyle name="Обычный 5 17 12 4 3 2" xfId="49377"/>
    <cellStyle name="Обычный 5 17 12 4 4" xfId="49378"/>
    <cellStyle name="Обычный 5 17 12 5" xfId="19505"/>
    <cellStyle name="Обычный 5 17 12 5 2" xfId="19506"/>
    <cellStyle name="Обычный 5 17 12 5 2 2" xfId="49379"/>
    <cellStyle name="Обычный 5 17 12 5 3" xfId="49380"/>
    <cellStyle name="Обычный 5 17 12 6" xfId="19507"/>
    <cellStyle name="Обычный 5 17 12 6 2" xfId="49381"/>
    <cellStyle name="Обычный 5 17 12 7" xfId="19508"/>
    <cellStyle name="Обычный 5 17 12 7 2" xfId="49382"/>
    <cellStyle name="Обычный 5 17 12 8" xfId="49383"/>
    <cellStyle name="Обычный 5 17 13" xfId="19509"/>
    <cellStyle name="Обычный 5 17 13 2" xfId="19510"/>
    <cellStyle name="Обычный 5 17 13 2 2" xfId="19511"/>
    <cellStyle name="Обычный 5 17 13 2 2 2" xfId="19512"/>
    <cellStyle name="Обычный 5 17 13 2 2 2 2" xfId="49384"/>
    <cellStyle name="Обычный 5 17 13 2 2 3" xfId="49385"/>
    <cellStyle name="Обычный 5 17 13 2 3" xfId="19513"/>
    <cellStyle name="Обычный 5 17 13 2 3 2" xfId="49386"/>
    <cellStyle name="Обычный 5 17 13 2 4" xfId="49387"/>
    <cellStyle name="Обычный 5 17 13 3" xfId="19514"/>
    <cellStyle name="Обычный 5 17 13 3 2" xfId="19515"/>
    <cellStyle name="Обычный 5 17 13 3 2 2" xfId="19516"/>
    <cellStyle name="Обычный 5 17 13 3 2 2 2" xfId="49388"/>
    <cellStyle name="Обычный 5 17 13 3 2 3" xfId="49389"/>
    <cellStyle name="Обычный 5 17 13 3 3" xfId="19517"/>
    <cellStyle name="Обычный 5 17 13 3 3 2" xfId="49390"/>
    <cellStyle name="Обычный 5 17 13 3 4" xfId="49391"/>
    <cellStyle name="Обычный 5 17 13 4" xfId="19518"/>
    <cellStyle name="Обычный 5 17 13 4 2" xfId="19519"/>
    <cellStyle name="Обычный 5 17 13 4 2 2" xfId="19520"/>
    <cellStyle name="Обычный 5 17 13 4 2 2 2" xfId="49392"/>
    <cellStyle name="Обычный 5 17 13 4 2 3" xfId="49393"/>
    <cellStyle name="Обычный 5 17 13 4 3" xfId="19521"/>
    <cellStyle name="Обычный 5 17 13 4 3 2" xfId="49394"/>
    <cellStyle name="Обычный 5 17 13 4 4" xfId="49395"/>
    <cellStyle name="Обычный 5 17 13 5" xfId="19522"/>
    <cellStyle name="Обычный 5 17 13 5 2" xfId="19523"/>
    <cellStyle name="Обычный 5 17 13 5 2 2" xfId="49396"/>
    <cellStyle name="Обычный 5 17 13 5 3" xfId="49397"/>
    <cellStyle name="Обычный 5 17 13 6" xfId="19524"/>
    <cellStyle name="Обычный 5 17 13 6 2" xfId="49398"/>
    <cellStyle name="Обычный 5 17 13 7" xfId="19525"/>
    <cellStyle name="Обычный 5 17 13 7 2" xfId="49399"/>
    <cellStyle name="Обычный 5 17 13 8" xfId="49400"/>
    <cellStyle name="Обычный 5 17 14" xfId="19526"/>
    <cellStyle name="Обычный 5 17 14 2" xfId="19527"/>
    <cellStyle name="Обычный 5 17 14 2 2" xfId="19528"/>
    <cellStyle name="Обычный 5 17 14 2 2 2" xfId="19529"/>
    <cellStyle name="Обычный 5 17 14 2 2 2 2" xfId="49401"/>
    <cellStyle name="Обычный 5 17 14 2 2 3" xfId="49402"/>
    <cellStyle name="Обычный 5 17 14 2 3" xfId="19530"/>
    <cellStyle name="Обычный 5 17 14 2 3 2" xfId="49403"/>
    <cellStyle name="Обычный 5 17 14 2 4" xfId="49404"/>
    <cellStyle name="Обычный 5 17 14 3" xfId="19531"/>
    <cellStyle name="Обычный 5 17 14 3 2" xfId="19532"/>
    <cellStyle name="Обычный 5 17 14 3 2 2" xfId="19533"/>
    <cellStyle name="Обычный 5 17 14 3 2 2 2" xfId="49405"/>
    <cellStyle name="Обычный 5 17 14 3 2 3" xfId="49406"/>
    <cellStyle name="Обычный 5 17 14 3 3" xfId="19534"/>
    <cellStyle name="Обычный 5 17 14 3 3 2" xfId="49407"/>
    <cellStyle name="Обычный 5 17 14 3 4" xfId="49408"/>
    <cellStyle name="Обычный 5 17 14 4" xfId="19535"/>
    <cellStyle name="Обычный 5 17 14 4 2" xfId="19536"/>
    <cellStyle name="Обычный 5 17 14 4 2 2" xfId="19537"/>
    <cellStyle name="Обычный 5 17 14 4 2 2 2" xfId="49409"/>
    <cellStyle name="Обычный 5 17 14 4 2 3" xfId="49410"/>
    <cellStyle name="Обычный 5 17 14 4 3" xfId="19538"/>
    <cellStyle name="Обычный 5 17 14 4 3 2" xfId="49411"/>
    <cellStyle name="Обычный 5 17 14 4 4" xfId="49412"/>
    <cellStyle name="Обычный 5 17 14 5" xfId="19539"/>
    <cellStyle name="Обычный 5 17 14 5 2" xfId="19540"/>
    <cellStyle name="Обычный 5 17 14 5 2 2" xfId="49413"/>
    <cellStyle name="Обычный 5 17 14 5 3" xfId="49414"/>
    <cellStyle name="Обычный 5 17 14 6" xfId="19541"/>
    <cellStyle name="Обычный 5 17 14 6 2" xfId="49415"/>
    <cellStyle name="Обычный 5 17 14 7" xfId="19542"/>
    <cellStyle name="Обычный 5 17 14 7 2" xfId="49416"/>
    <cellStyle name="Обычный 5 17 14 8" xfId="49417"/>
    <cellStyle name="Обычный 5 17 15" xfId="19543"/>
    <cellStyle name="Обычный 5 17 15 2" xfId="19544"/>
    <cellStyle name="Обычный 5 17 15 2 2" xfId="19545"/>
    <cellStyle name="Обычный 5 17 15 2 2 2" xfId="19546"/>
    <cellStyle name="Обычный 5 17 15 2 2 2 2" xfId="49418"/>
    <cellStyle name="Обычный 5 17 15 2 2 3" xfId="49419"/>
    <cellStyle name="Обычный 5 17 15 2 3" xfId="19547"/>
    <cellStyle name="Обычный 5 17 15 2 3 2" xfId="49420"/>
    <cellStyle name="Обычный 5 17 15 2 4" xfId="49421"/>
    <cellStyle name="Обычный 5 17 15 3" xfId="19548"/>
    <cellStyle name="Обычный 5 17 15 3 2" xfId="19549"/>
    <cellStyle name="Обычный 5 17 15 3 2 2" xfId="19550"/>
    <cellStyle name="Обычный 5 17 15 3 2 2 2" xfId="49422"/>
    <cellStyle name="Обычный 5 17 15 3 2 3" xfId="49423"/>
    <cellStyle name="Обычный 5 17 15 3 3" xfId="19551"/>
    <cellStyle name="Обычный 5 17 15 3 3 2" xfId="49424"/>
    <cellStyle name="Обычный 5 17 15 3 4" xfId="49425"/>
    <cellStyle name="Обычный 5 17 15 4" xfId="19552"/>
    <cellStyle name="Обычный 5 17 15 4 2" xfId="19553"/>
    <cellStyle name="Обычный 5 17 15 4 2 2" xfId="19554"/>
    <cellStyle name="Обычный 5 17 15 4 2 2 2" xfId="49426"/>
    <cellStyle name="Обычный 5 17 15 4 2 3" xfId="49427"/>
    <cellStyle name="Обычный 5 17 15 4 3" xfId="19555"/>
    <cellStyle name="Обычный 5 17 15 4 3 2" xfId="49428"/>
    <cellStyle name="Обычный 5 17 15 4 4" xfId="49429"/>
    <cellStyle name="Обычный 5 17 15 5" xfId="19556"/>
    <cellStyle name="Обычный 5 17 15 5 2" xfId="19557"/>
    <cellStyle name="Обычный 5 17 15 5 2 2" xfId="49430"/>
    <cellStyle name="Обычный 5 17 15 5 3" xfId="49431"/>
    <cellStyle name="Обычный 5 17 15 6" xfId="19558"/>
    <cellStyle name="Обычный 5 17 15 6 2" xfId="49432"/>
    <cellStyle name="Обычный 5 17 15 7" xfId="19559"/>
    <cellStyle name="Обычный 5 17 15 7 2" xfId="49433"/>
    <cellStyle name="Обычный 5 17 15 8" xfId="49434"/>
    <cellStyle name="Обычный 5 17 16" xfId="19560"/>
    <cellStyle name="Обычный 5 17 16 2" xfId="19561"/>
    <cellStyle name="Обычный 5 17 16 2 2" xfId="19562"/>
    <cellStyle name="Обычный 5 17 16 2 2 2" xfId="19563"/>
    <cellStyle name="Обычный 5 17 16 2 2 2 2" xfId="49435"/>
    <cellStyle name="Обычный 5 17 16 2 2 3" xfId="49436"/>
    <cellStyle name="Обычный 5 17 16 2 3" xfId="19564"/>
    <cellStyle name="Обычный 5 17 16 2 3 2" xfId="49437"/>
    <cellStyle name="Обычный 5 17 16 2 4" xfId="49438"/>
    <cellStyle name="Обычный 5 17 16 3" xfId="19565"/>
    <cellStyle name="Обычный 5 17 16 3 2" xfId="19566"/>
    <cellStyle name="Обычный 5 17 16 3 2 2" xfId="19567"/>
    <cellStyle name="Обычный 5 17 16 3 2 2 2" xfId="49439"/>
    <cellStyle name="Обычный 5 17 16 3 2 3" xfId="49440"/>
    <cellStyle name="Обычный 5 17 16 3 3" xfId="19568"/>
    <cellStyle name="Обычный 5 17 16 3 3 2" xfId="49441"/>
    <cellStyle name="Обычный 5 17 16 3 4" xfId="49442"/>
    <cellStyle name="Обычный 5 17 16 4" xfId="19569"/>
    <cellStyle name="Обычный 5 17 16 4 2" xfId="19570"/>
    <cellStyle name="Обычный 5 17 16 4 2 2" xfId="19571"/>
    <cellStyle name="Обычный 5 17 16 4 2 2 2" xfId="49443"/>
    <cellStyle name="Обычный 5 17 16 4 2 3" xfId="49444"/>
    <cellStyle name="Обычный 5 17 16 4 3" xfId="19572"/>
    <cellStyle name="Обычный 5 17 16 4 3 2" xfId="49445"/>
    <cellStyle name="Обычный 5 17 16 4 4" xfId="49446"/>
    <cellStyle name="Обычный 5 17 16 5" xfId="19573"/>
    <cellStyle name="Обычный 5 17 16 5 2" xfId="19574"/>
    <cellStyle name="Обычный 5 17 16 5 2 2" xfId="49447"/>
    <cellStyle name="Обычный 5 17 16 5 3" xfId="49448"/>
    <cellStyle name="Обычный 5 17 16 6" xfId="19575"/>
    <cellStyle name="Обычный 5 17 16 6 2" xfId="49449"/>
    <cellStyle name="Обычный 5 17 16 7" xfId="19576"/>
    <cellStyle name="Обычный 5 17 16 7 2" xfId="49450"/>
    <cellStyle name="Обычный 5 17 16 8" xfId="49451"/>
    <cellStyle name="Обычный 5 17 17" xfId="19577"/>
    <cellStyle name="Обычный 5 17 17 2" xfId="19578"/>
    <cellStyle name="Обычный 5 17 17 2 2" xfId="19579"/>
    <cellStyle name="Обычный 5 17 17 2 2 2" xfId="19580"/>
    <cellStyle name="Обычный 5 17 17 2 2 2 2" xfId="49452"/>
    <cellStyle name="Обычный 5 17 17 2 2 3" xfId="49453"/>
    <cellStyle name="Обычный 5 17 17 2 3" xfId="19581"/>
    <cellStyle name="Обычный 5 17 17 2 3 2" xfId="49454"/>
    <cellStyle name="Обычный 5 17 17 2 4" xfId="49455"/>
    <cellStyle name="Обычный 5 17 17 3" xfId="19582"/>
    <cellStyle name="Обычный 5 17 17 3 2" xfId="19583"/>
    <cellStyle name="Обычный 5 17 17 3 2 2" xfId="19584"/>
    <cellStyle name="Обычный 5 17 17 3 2 2 2" xfId="49456"/>
    <cellStyle name="Обычный 5 17 17 3 2 3" xfId="49457"/>
    <cellStyle name="Обычный 5 17 17 3 3" xfId="19585"/>
    <cellStyle name="Обычный 5 17 17 3 3 2" xfId="49458"/>
    <cellStyle name="Обычный 5 17 17 3 4" xfId="49459"/>
    <cellStyle name="Обычный 5 17 17 4" xfId="19586"/>
    <cellStyle name="Обычный 5 17 17 4 2" xfId="19587"/>
    <cellStyle name="Обычный 5 17 17 4 2 2" xfId="19588"/>
    <cellStyle name="Обычный 5 17 17 4 2 2 2" xfId="49460"/>
    <cellStyle name="Обычный 5 17 17 4 2 3" xfId="49461"/>
    <cellStyle name="Обычный 5 17 17 4 3" xfId="19589"/>
    <cellStyle name="Обычный 5 17 17 4 3 2" xfId="49462"/>
    <cellStyle name="Обычный 5 17 17 4 4" xfId="49463"/>
    <cellStyle name="Обычный 5 17 17 5" xfId="19590"/>
    <cellStyle name="Обычный 5 17 17 5 2" xfId="19591"/>
    <cellStyle name="Обычный 5 17 17 5 2 2" xfId="49464"/>
    <cellStyle name="Обычный 5 17 17 5 3" xfId="49465"/>
    <cellStyle name="Обычный 5 17 17 6" xfId="19592"/>
    <cellStyle name="Обычный 5 17 17 6 2" xfId="49466"/>
    <cellStyle name="Обычный 5 17 17 7" xfId="19593"/>
    <cellStyle name="Обычный 5 17 17 7 2" xfId="49467"/>
    <cellStyle name="Обычный 5 17 17 8" xfId="49468"/>
    <cellStyle name="Обычный 5 17 18" xfId="19594"/>
    <cellStyle name="Обычный 5 17 18 2" xfId="19595"/>
    <cellStyle name="Обычный 5 17 18 2 2" xfId="19596"/>
    <cellStyle name="Обычный 5 17 18 2 2 2" xfId="19597"/>
    <cellStyle name="Обычный 5 17 18 2 2 2 2" xfId="49469"/>
    <cellStyle name="Обычный 5 17 18 2 2 3" xfId="49470"/>
    <cellStyle name="Обычный 5 17 18 2 3" xfId="19598"/>
    <cellStyle name="Обычный 5 17 18 2 3 2" xfId="49471"/>
    <cellStyle name="Обычный 5 17 18 2 4" xfId="49472"/>
    <cellStyle name="Обычный 5 17 18 3" xfId="19599"/>
    <cellStyle name="Обычный 5 17 18 3 2" xfId="19600"/>
    <cellStyle name="Обычный 5 17 18 3 2 2" xfId="19601"/>
    <cellStyle name="Обычный 5 17 18 3 2 2 2" xfId="49473"/>
    <cellStyle name="Обычный 5 17 18 3 2 3" xfId="49474"/>
    <cellStyle name="Обычный 5 17 18 3 3" xfId="19602"/>
    <cellStyle name="Обычный 5 17 18 3 3 2" xfId="49475"/>
    <cellStyle name="Обычный 5 17 18 3 4" xfId="49476"/>
    <cellStyle name="Обычный 5 17 18 4" xfId="19603"/>
    <cellStyle name="Обычный 5 17 18 4 2" xfId="19604"/>
    <cellStyle name="Обычный 5 17 18 4 2 2" xfId="19605"/>
    <cellStyle name="Обычный 5 17 18 4 2 2 2" xfId="49477"/>
    <cellStyle name="Обычный 5 17 18 4 2 3" xfId="49478"/>
    <cellStyle name="Обычный 5 17 18 4 3" xfId="19606"/>
    <cellStyle name="Обычный 5 17 18 4 3 2" xfId="49479"/>
    <cellStyle name="Обычный 5 17 18 4 4" xfId="49480"/>
    <cellStyle name="Обычный 5 17 18 5" xfId="19607"/>
    <cellStyle name="Обычный 5 17 18 5 2" xfId="19608"/>
    <cellStyle name="Обычный 5 17 18 5 2 2" xfId="49481"/>
    <cellStyle name="Обычный 5 17 18 5 3" xfId="49482"/>
    <cellStyle name="Обычный 5 17 18 6" xfId="19609"/>
    <cellStyle name="Обычный 5 17 18 6 2" xfId="49483"/>
    <cellStyle name="Обычный 5 17 18 7" xfId="19610"/>
    <cellStyle name="Обычный 5 17 18 7 2" xfId="49484"/>
    <cellStyle name="Обычный 5 17 18 8" xfId="49485"/>
    <cellStyle name="Обычный 5 17 19" xfId="19611"/>
    <cellStyle name="Обычный 5 17 19 2" xfId="19612"/>
    <cellStyle name="Обычный 5 17 19 2 2" xfId="19613"/>
    <cellStyle name="Обычный 5 17 19 2 2 2" xfId="19614"/>
    <cellStyle name="Обычный 5 17 19 2 2 2 2" xfId="49486"/>
    <cellStyle name="Обычный 5 17 19 2 2 3" xfId="49487"/>
    <cellStyle name="Обычный 5 17 19 2 3" xfId="19615"/>
    <cellStyle name="Обычный 5 17 19 2 3 2" xfId="49488"/>
    <cellStyle name="Обычный 5 17 19 2 4" xfId="49489"/>
    <cellStyle name="Обычный 5 17 19 3" xfId="19616"/>
    <cellStyle name="Обычный 5 17 19 3 2" xfId="19617"/>
    <cellStyle name="Обычный 5 17 19 3 2 2" xfId="19618"/>
    <cellStyle name="Обычный 5 17 19 3 2 2 2" xfId="49490"/>
    <cellStyle name="Обычный 5 17 19 3 2 3" xfId="49491"/>
    <cellStyle name="Обычный 5 17 19 3 3" xfId="19619"/>
    <cellStyle name="Обычный 5 17 19 3 3 2" xfId="49492"/>
    <cellStyle name="Обычный 5 17 19 3 4" xfId="49493"/>
    <cellStyle name="Обычный 5 17 19 4" xfId="19620"/>
    <cellStyle name="Обычный 5 17 19 4 2" xfId="19621"/>
    <cellStyle name="Обычный 5 17 19 4 2 2" xfId="19622"/>
    <cellStyle name="Обычный 5 17 19 4 2 2 2" xfId="49494"/>
    <cellStyle name="Обычный 5 17 19 4 2 3" xfId="49495"/>
    <cellStyle name="Обычный 5 17 19 4 3" xfId="19623"/>
    <cellStyle name="Обычный 5 17 19 4 3 2" xfId="49496"/>
    <cellStyle name="Обычный 5 17 19 4 4" xfId="49497"/>
    <cellStyle name="Обычный 5 17 19 5" xfId="19624"/>
    <cellStyle name="Обычный 5 17 19 5 2" xfId="19625"/>
    <cellStyle name="Обычный 5 17 19 5 2 2" xfId="49498"/>
    <cellStyle name="Обычный 5 17 19 5 3" xfId="49499"/>
    <cellStyle name="Обычный 5 17 19 6" xfId="19626"/>
    <cellStyle name="Обычный 5 17 19 6 2" xfId="49500"/>
    <cellStyle name="Обычный 5 17 19 7" xfId="19627"/>
    <cellStyle name="Обычный 5 17 19 7 2" xfId="49501"/>
    <cellStyle name="Обычный 5 17 19 8" xfId="49502"/>
    <cellStyle name="Обычный 5 17 2" xfId="19628"/>
    <cellStyle name="Обычный 5 17 2 2" xfId="19629"/>
    <cellStyle name="Обычный 5 17 2 2 2" xfId="19630"/>
    <cellStyle name="Обычный 5 17 2 2 2 2" xfId="19631"/>
    <cellStyle name="Обычный 5 17 2 2 2 2 2" xfId="49503"/>
    <cellStyle name="Обычный 5 17 2 2 2 3" xfId="49504"/>
    <cellStyle name="Обычный 5 17 2 2 3" xfId="19632"/>
    <cellStyle name="Обычный 5 17 2 2 3 2" xfId="49505"/>
    <cellStyle name="Обычный 5 17 2 2 4" xfId="49506"/>
    <cellStyle name="Обычный 5 17 2 3" xfId="19633"/>
    <cellStyle name="Обычный 5 17 2 3 2" xfId="19634"/>
    <cellStyle name="Обычный 5 17 2 3 2 2" xfId="19635"/>
    <cellStyle name="Обычный 5 17 2 3 2 2 2" xfId="49507"/>
    <cellStyle name="Обычный 5 17 2 3 2 3" xfId="49508"/>
    <cellStyle name="Обычный 5 17 2 3 3" xfId="19636"/>
    <cellStyle name="Обычный 5 17 2 3 3 2" xfId="49509"/>
    <cellStyle name="Обычный 5 17 2 3 4" xfId="49510"/>
    <cellStyle name="Обычный 5 17 2 4" xfId="19637"/>
    <cellStyle name="Обычный 5 17 2 4 2" xfId="19638"/>
    <cellStyle name="Обычный 5 17 2 4 2 2" xfId="19639"/>
    <cellStyle name="Обычный 5 17 2 4 2 2 2" xfId="49511"/>
    <cellStyle name="Обычный 5 17 2 4 2 3" xfId="49512"/>
    <cellStyle name="Обычный 5 17 2 4 3" xfId="19640"/>
    <cellStyle name="Обычный 5 17 2 4 3 2" xfId="49513"/>
    <cellStyle name="Обычный 5 17 2 4 4" xfId="49514"/>
    <cellStyle name="Обычный 5 17 2 5" xfId="19641"/>
    <cellStyle name="Обычный 5 17 2 5 2" xfId="19642"/>
    <cellStyle name="Обычный 5 17 2 5 2 2" xfId="49515"/>
    <cellStyle name="Обычный 5 17 2 5 3" xfId="49516"/>
    <cellStyle name="Обычный 5 17 2 6" xfId="19643"/>
    <cellStyle name="Обычный 5 17 2 6 2" xfId="49517"/>
    <cellStyle name="Обычный 5 17 2 7" xfId="19644"/>
    <cellStyle name="Обычный 5 17 2 7 2" xfId="49518"/>
    <cellStyle name="Обычный 5 17 2 8" xfId="49519"/>
    <cellStyle name="Обычный 5 17 20" xfId="19645"/>
    <cellStyle name="Обычный 5 17 20 2" xfId="19646"/>
    <cellStyle name="Обычный 5 17 20 2 2" xfId="19647"/>
    <cellStyle name="Обычный 5 17 20 2 2 2" xfId="19648"/>
    <cellStyle name="Обычный 5 17 20 2 2 2 2" xfId="49520"/>
    <cellStyle name="Обычный 5 17 20 2 2 3" xfId="49521"/>
    <cellStyle name="Обычный 5 17 20 2 3" xfId="19649"/>
    <cellStyle name="Обычный 5 17 20 2 3 2" xfId="49522"/>
    <cellStyle name="Обычный 5 17 20 2 4" xfId="49523"/>
    <cellStyle name="Обычный 5 17 20 3" xfId="19650"/>
    <cellStyle name="Обычный 5 17 20 3 2" xfId="19651"/>
    <cellStyle name="Обычный 5 17 20 3 2 2" xfId="19652"/>
    <cellStyle name="Обычный 5 17 20 3 2 2 2" xfId="49524"/>
    <cellStyle name="Обычный 5 17 20 3 2 3" xfId="49525"/>
    <cellStyle name="Обычный 5 17 20 3 3" xfId="19653"/>
    <cellStyle name="Обычный 5 17 20 3 3 2" xfId="49526"/>
    <cellStyle name="Обычный 5 17 20 3 4" xfId="49527"/>
    <cellStyle name="Обычный 5 17 20 4" xfId="19654"/>
    <cellStyle name="Обычный 5 17 20 4 2" xfId="19655"/>
    <cellStyle name="Обычный 5 17 20 4 2 2" xfId="19656"/>
    <cellStyle name="Обычный 5 17 20 4 2 2 2" xfId="49528"/>
    <cellStyle name="Обычный 5 17 20 4 2 3" xfId="49529"/>
    <cellStyle name="Обычный 5 17 20 4 3" xfId="19657"/>
    <cellStyle name="Обычный 5 17 20 4 3 2" xfId="49530"/>
    <cellStyle name="Обычный 5 17 20 4 4" xfId="49531"/>
    <cellStyle name="Обычный 5 17 20 5" xfId="19658"/>
    <cellStyle name="Обычный 5 17 20 5 2" xfId="19659"/>
    <cellStyle name="Обычный 5 17 20 5 2 2" xfId="49532"/>
    <cellStyle name="Обычный 5 17 20 5 3" xfId="49533"/>
    <cellStyle name="Обычный 5 17 20 6" xfId="19660"/>
    <cellStyle name="Обычный 5 17 20 6 2" xfId="49534"/>
    <cellStyle name="Обычный 5 17 20 7" xfId="19661"/>
    <cellStyle name="Обычный 5 17 20 7 2" xfId="49535"/>
    <cellStyle name="Обычный 5 17 20 8" xfId="49536"/>
    <cellStyle name="Обычный 5 17 21" xfId="19662"/>
    <cellStyle name="Обычный 5 17 21 2" xfId="19663"/>
    <cellStyle name="Обычный 5 17 21 2 2" xfId="19664"/>
    <cellStyle name="Обычный 5 17 21 2 2 2" xfId="19665"/>
    <cellStyle name="Обычный 5 17 21 2 2 2 2" xfId="49537"/>
    <cellStyle name="Обычный 5 17 21 2 2 3" xfId="49538"/>
    <cellStyle name="Обычный 5 17 21 2 3" xfId="19666"/>
    <cellStyle name="Обычный 5 17 21 2 3 2" xfId="49539"/>
    <cellStyle name="Обычный 5 17 21 2 4" xfId="49540"/>
    <cellStyle name="Обычный 5 17 21 3" xfId="19667"/>
    <cellStyle name="Обычный 5 17 21 3 2" xfId="19668"/>
    <cellStyle name="Обычный 5 17 21 3 2 2" xfId="19669"/>
    <cellStyle name="Обычный 5 17 21 3 2 2 2" xfId="49541"/>
    <cellStyle name="Обычный 5 17 21 3 2 3" xfId="49542"/>
    <cellStyle name="Обычный 5 17 21 3 3" xfId="19670"/>
    <cellStyle name="Обычный 5 17 21 3 3 2" xfId="49543"/>
    <cellStyle name="Обычный 5 17 21 3 4" xfId="49544"/>
    <cellStyle name="Обычный 5 17 21 4" xfId="19671"/>
    <cellStyle name="Обычный 5 17 21 4 2" xfId="19672"/>
    <cellStyle name="Обычный 5 17 21 4 2 2" xfId="19673"/>
    <cellStyle name="Обычный 5 17 21 4 2 2 2" xfId="49545"/>
    <cellStyle name="Обычный 5 17 21 4 2 3" xfId="49546"/>
    <cellStyle name="Обычный 5 17 21 4 3" xfId="19674"/>
    <cellStyle name="Обычный 5 17 21 4 3 2" xfId="49547"/>
    <cellStyle name="Обычный 5 17 21 4 4" xfId="49548"/>
    <cellStyle name="Обычный 5 17 21 5" xfId="19675"/>
    <cellStyle name="Обычный 5 17 21 5 2" xfId="19676"/>
    <cellStyle name="Обычный 5 17 21 5 2 2" xfId="49549"/>
    <cellStyle name="Обычный 5 17 21 5 3" xfId="49550"/>
    <cellStyle name="Обычный 5 17 21 6" xfId="19677"/>
    <cellStyle name="Обычный 5 17 21 6 2" xfId="49551"/>
    <cellStyle name="Обычный 5 17 21 7" xfId="19678"/>
    <cellStyle name="Обычный 5 17 21 7 2" xfId="49552"/>
    <cellStyle name="Обычный 5 17 21 8" xfId="49553"/>
    <cellStyle name="Обычный 5 17 22" xfId="19679"/>
    <cellStyle name="Обычный 5 17 22 2" xfId="19680"/>
    <cellStyle name="Обычный 5 17 22 2 2" xfId="19681"/>
    <cellStyle name="Обычный 5 17 22 2 2 2" xfId="19682"/>
    <cellStyle name="Обычный 5 17 22 2 2 2 2" xfId="49554"/>
    <cellStyle name="Обычный 5 17 22 2 2 3" xfId="49555"/>
    <cellStyle name="Обычный 5 17 22 2 3" xfId="19683"/>
    <cellStyle name="Обычный 5 17 22 2 3 2" xfId="49556"/>
    <cellStyle name="Обычный 5 17 22 2 4" xfId="49557"/>
    <cellStyle name="Обычный 5 17 22 3" xfId="19684"/>
    <cellStyle name="Обычный 5 17 22 3 2" xfId="19685"/>
    <cellStyle name="Обычный 5 17 22 3 2 2" xfId="19686"/>
    <cellStyle name="Обычный 5 17 22 3 2 2 2" xfId="49558"/>
    <cellStyle name="Обычный 5 17 22 3 2 3" xfId="49559"/>
    <cellStyle name="Обычный 5 17 22 3 3" xfId="19687"/>
    <cellStyle name="Обычный 5 17 22 3 3 2" xfId="49560"/>
    <cellStyle name="Обычный 5 17 22 3 4" xfId="49561"/>
    <cellStyle name="Обычный 5 17 22 4" xfId="19688"/>
    <cellStyle name="Обычный 5 17 22 4 2" xfId="19689"/>
    <cellStyle name="Обычный 5 17 22 4 2 2" xfId="19690"/>
    <cellStyle name="Обычный 5 17 22 4 2 2 2" xfId="49562"/>
    <cellStyle name="Обычный 5 17 22 4 2 3" xfId="49563"/>
    <cellStyle name="Обычный 5 17 22 4 3" xfId="19691"/>
    <cellStyle name="Обычный 5 17 22 4 3 2" xfId="49564"/>
    <cellStyle name="Обычный 5 17 22 4 4" xfId="49565"/>
    <cellStyle name="Обычный 5 17 22 5" xfId="19692"/>
    <cellStyle name="Обычный 5 17 22 5 2" xfId="19693"/>
    <cellStyle name="Обычный 5 17 22 5 2 2" xfId="49566"/>
    <cellStyle name="Обычный 5 17 22 5 3" xfId="49567"/>
    <cellStyle name="Обычный 5 17 22 6" xfId="19694"/>
    <cellStyle name="Обычный 5 17 22 6 2" xfId="49568"/>
    <cellStyle name="Обычный 5 17 22 7" xfId="19695"/>
    <cellStyle name="Обычный 5 17 22 7 2" xfId="49569"/>
    <cellStyle name="Обычный 5 17 22 8" xfId="49570"/>
    <cellStyle name="Обычный 5 17 23" xfId="19696"/>
    <cellStyle name="Обычный 5 17 23 2" xfId="19697"/>
    <cellStyle name="Обычный 5 17 23 2 2" xfId="19698"/>
    <cellStyle name="Обычный 5 17 23 2 2 2" xfId="19699"/>
    <cellStyle name="Обычный 5 17 23 2 2 2 2" xfId="49571"/>
    <cellStyle name="Обычный 5 17 23 2 2 3" xfId="49572"/>
    <cellStyle name="Обычный 5 17 23 2 3" xfId="19700"/>
    <cellStyle name="Обычный 5 17 23 2 3 2" xfId="49573"/>
    <cellStyle name="Обычный 5 17 23 2 4" xfId="49574"/>
    <cellStyle name="Обычный 5 17 23 3" xfId="19701"/>
    <cellStyle name="Обычный 5 17 23 3 2" xfId="19702"/>
    <cellStyle name="Обычный 5 17 23 3 2 2" xfId="19703"/>
    <cellStyle name="Обычный 5 17 23 3 2 2 2" xfId="49575"/>
    <cellStyle name="Обычный 5 17 23 3 2 3" xfId="49576"/>
    <cellStyle name="Обычный 5 17 23 3 3" xfId="19704"/>
    <cellStyle name="Обычный 5 17 23 3 3 2" xfId="49577"/>
    <cellStyle name="Обычный 5 17 23 3 4" xfId="49578"/>
    <cellStyle name="Обычный 5 17 23 4" xfId="19705"/>
    <cellStyle name="Обычный 5 17 23 4 2" xfId="19706"/>
    <cellStyle name="Обычный 5 17 23 4 2 2" xfId="19707"/>
    <cellStyle name="Обычный 5 17 23 4 2 2 2" xfId="49579"/>
    <cellStyle name="Обычный 5 17 23 4 2 3" xfId="49580"/>
    <cellStyle name="Обычный 5 17 23 4 3" xfId="19708"/>
    <cellStyle name="Обычный 5 17 23 4 3 2" xfId="49581"/>
    <cellStyle name="Обычный 5 17 23 4 4" xfId="49582"/>
    <cellStyle name="Обычный 5 17 23 5" xfId="19709"/>
    <cellStyle name="Обычный 5 17 23 5 2" xfId="19710"/>
    <cellStyle name="Обычный 5 17 23 5 2 2" xfId="49583"/>
    <cellStyle name="Обычный 5 17 23 5 3" xfId="49584"/>
    <cellStyle name="Обычный 5 17 23 6" xfId="19711"/>
    <cellStyle name="Обычный 5 17 23 6 2" xfId="49585"/>
    <cellStyle name="Обычный 5 17 23 7" xfId="19712"/>
    <cellStyle name="Обычный 5 17 23 7 2" xfId="49586"/>
    <cellStyle name="Обычный 5 17 23 8" xfId="49587"/>
    <cellStyle name="Обычный 5 17 24" xfId="19713"/>
    <cellStyle name="Обычный 5 17 24 2" xfId="19714"/>
    <cellStyle name="Обычный 5 17 24 2 2" xfId="19715"/>
    <cellStyle name="Обычный 5 17 24 2 2 2" xfId="19716"/>
    <cellStyle name="Обычный 5 17 24 2 2 2 2" xfId="49588"/>
    <cellStyle name="Обычный 5 17 24 2 2 3" xfId="49589"/>
    <cellStyle name="Обычный 5 17 24 2 3" xfId="19717"/>
    <cellStyle name="Обычный 5 17 24 2 3 2" xfId="49590"/>
    <cellStyle name="Обычный 5 17 24 2 4" xfId="49591"/>
    <cellStyle name="Обычный 5 17 24 3" xfId="19718"/>
    <cellStyle name="Обычный 5 17 24 3 2" xfId="19719"/>
    <cellStyle name="Обычный 5 17 24 3 2 2" xfId="19720"/>
    <cellStyle name="Обычный 5 17 24 3 2 2 2" xfId="49592"/>
    <cellStyle name="Обычный 5 17 24 3 2 3" xfId="49593"/>
    <cellStyle name="Обычный 5 17 24 3 3" xfId="19721"/>
    <cellStyle name="Обычный 5 17 24 3 3 2" xfId="49594"/>
    <cellStyle name="Обычный 5 17 24 3 4" xfId="49595"/>
    <cellStyle name="Обычный 5 17 24 4" xfId="19722"/>
    <cellStyle name="Обычный 5 17 24 4 2" xfId="19723"/>
    <cellStyle name="Обычный 5 17 24 4 2 2" xfId="19724"/>
    <cellStyle name="Обычный 5 17 24 4 2 2 2" xfId="49596"/>
    <cellStyle name="Обычный 5 17 24 4 2 3" xfId="49597"/>
    <cellStyle name="Обычный 5 17 24 4 3" xfId="19725"/>
    <cellStyle name="Обычный 5 17 24 4 3 2" xfId="49598"/>
    <cellStyle name="Обычный 5 17 24 4 4" xfId="49599"/>
    <cellStyle name="Обычный 5 17 24 5" xfId="19726"/>
    <cellStyle name="Обычный 5 17 24 5 2" xfId="19727"/>
    <cellStyle name="Обычный 5 17 24 5 2 2" xfId="49600"/>
    <cellStyle name="Обычный 5 17 24 5 3" xfId="49601"/>
    <cellStyle name="Обычный 5 17 24 6" xfId="19728"/>
    <cellStyle name="Обычный 5 17 24 6 2" xfId="49602"/>
    <cellStyle name="Обычный 5 17 24 7" xfId="19729"/>
    <cellStyle name="Обычный 5 17 24 7 2" xfId="49603"/>
    <cellStyle name="Обычный 5 17 24 8" xfId="49604"/>
    <cellStyle name="Обычный 5 17 25" xfId="19730"/>
    <cellStyle name="Обычный 5 17 25 2" xfId="19731"/>
    <cellStyle name="Обычный 5 17 25 2 2" xfId="19732"/>
    <cellStyle name="Обычный 5 17 25 2 2 2" xfId="19733"/>
    <cellStyle name="Обычный 5 17 25 2 2 2 2" xfId="49605"/>
    <cellStyle name="Обычный 5 17 25 2 2 3" xfId="49606"/>
    <cellStyle name="Обычный 5 17 25 2 3" xfId="19734"/>
    <cellStyle name="Обычный 5 17 25 2 3 2" xfId="49607"/>
    <cellStyle name="Обычный 5 17 25 2 4" xfId="49608"/>
    <cellStyle name="Обычный 5 17 25 3" xfId="19735"/>
    <cellStyle name="Обычный 5 17 25 3 2" xfId="19736"/>
    <cellStyle name="Обычный 5 17 25 3 2 2" xfId="19737"/>
    <cellStyle name="Обычный 5 17 25 3 2 2 2" xfId="49609"/>
    <cellStyle name="Обычный 5 17 25 3 2 3" xfId="49610"/>
    <cellStyle name="Обычный 5 17 25 3 3" xfId="19738"/>
    <cellStyle name="Обычный 5 17 25 3 3 2" xfId="49611"/>
    <cellStyle name="Обычный 5 17 25 3 4" xfId="49612"/>
    <cellStyle name="Обычный 5 17 25 4" xfId="19739"/>
    <cellStyle name="Обычный 5 17 25 4 2" xfId="19740"/>
    <cellStyle name="Обычный 5 17 25 4 2 2" xfId="19741"/>
    <cellStyle name="Обычный 5 17 25 4 2 2 2" xfId="49613"/>
    <cellStyle name="Обычный 5 17 25 4 2 3" xfId="49614"/>
    <cellStyle name="Обычный 5 17 25 4 3" xfId="19742"/>
    <cellStyle name="Обычный 5 17 25 4 3 2" xfId="49615"/>
    <cellStyle name="Обычный 5 17 25 4 4" xfId="49616"/>
    <cellStyle name="Обычный 5 17 25 5" xfId="19743"/>
    <cellStyle name="Обычный 5 17 25 5 2" xfId="19744"/>
    <cellStyle name="Обычный 5 17 25 5 2 2" xfId="49617"/>
    <cellStyle name="Обычный 5 17 25 5 3" xfId="49618"/>
    <cellStyle name="Обычный 5 17 25 6" xfId="19745"/>
    <cellStyle name="Обычный 5 17 25 6 2" xfId="49619"/>
    <cellStyle name="Обычный 5 17 25 7" xfId="19746"/>
    <cellStyle name="Обычный 5 17 25 7 2" xfId="49620"/>
    <cellStyle name="Обычный 5 17 25 8" xfId="49621"/>
    <cellStyle name="Обычный 5 17 26" xfId="19747"/>
    <cellStyle name="Обычный 5 17 26 2" xfId="19748"/>
    <cellStyle name="Обычный 5 17 26 2 2" xfId="19749"/>
    <cellStyle name="Обычный 5 17 26 2 2 2" xfId="19750"/>
    <cellStyle name="Обычный 5 17 26 2 2 2 2" xfId="49622"/>
    <cellStyle name="Обычный 5 17 26 2 2 3" xfId="49623"/>
    <cellStyle name="Обычный 5 17 26 2 3" xfId="19751"/>
    <cellStyle name="Обычный 5 17 26 2 3 2" xfId="49624"/>
    <cellStyle name="Обычный 5 17 26 2 4" xfId="49625"/>
    <cellStyle name="Обычный 5 17 26 3" xfId="19752"/>
    <cellStyle name="Обычный 5 17 26 3 2" xfId="19753"/>
    <cellStyle name="Обычный 5 17 26 3 2 2" xfId="19754"/>
    <cellStyle name="Обычный 5 17 26 3 2 2 2" xfId="49626"/>
    <cellStyle name="Обычный 5 17 26 3 2 3" xfId="49627"/>
    <cellStyle name="Обычный 5 17 26 3 3" xfId="19755"/>
    <cellStyle name="Обычный 5 17 26 3 3 2" xfId="49628"/>
    <cellStyle name="Обычный 5 17 26 3 4" xfId="49629"/>
    <cellStyle name="Обычный 5 17 26 4" xfId="19756"/>
    <cellStyle name="Обычный 5 17 26 4 2" xfId="19757"/>
    <cellStyle name="Обычный 5 17 26 4 2 2" xfId="19758"/>
    <cellStyle name="Обычный 5 17 26 4 2 2 2" xfId="49630"/>
    <cellStyle name="Обычный 5 17 26 4 2 3" xfId="49631"/>
    <cellStyle name="Обычный 5 17 26 4 3" xfId="19759"/>
    <cellStyle name="Обычный 5 17 26 4 3 2" xfId="49632"/>
    <cellStyle name="Обычный 5 17 26 4 4" xfId="49633"/>
    <cellStyle name="Обычный 5 17 26 5" xfId="19760"/>
    <cellStyle name="Обычный 5 17 26 5 2" xfId="19761"/>
    <cellStyle name="Обычный 5 17 26 5 2 2" xfId="49634"/>
    <cellStyle name="Обычный 5 17 26 5 3" xfId="49635"/>
    <cellStyle name="Обычный 5 17 26 6" xfId="19762"/>
    <cellStyle name="Обычный 5 17 26 6 2" xfId="49636"/>
    <cellStyle name="Обычный 5 17 26 7" xfId="19763"/>
    <cellStyle name="Обычный 5 17 26 7 2" xfId="49637"/>
    <cellStyle name="Обычный 5 17 26 8" xfId="49638"/>
    <cellStyle name="Обычный 5 17 27" xfId="19764"/>
    <cellStyle name="Обычный 5 17 27 2" xfId="19765"/>
    <cellStyle name="Обычный 5 17 27 2 2" xfId="19766"/>
    <cellStyle name="Обычный 5 17 27 2 2 2" xfId="19767"/>
    <cellStyle name="Обычный 5 17 27 2 2 2 2" xfId="49639"/>
    <cellStyle name="Обычный 5 17 27 2 2 3" xfId="49640"/>
    <cellStyle name="Обычный 5 17 27 2 3" xfId="19768"/>
    <cellStyle name="Обычный 5 17 27 2 3 2" xfId="49641"/>
    <cellStyle name="Обычный 5 17 27 2 4" xfId="49642"/>
    <cellStyle name="Обычный 5 17 27 3" xfId="19769"/>
    <cellStyle name="Обычный 5 17 27 3 2" xfId="19770"/>
    <cellStyle name="Обычный 5 17 27 3 2 2" xfId="19771"/>
    <cellStyle name="Обычный 5 17 27 3 2 2 2" xfId="49643"/>
    <cellStyle name="Обычный 5 17 27 3 2 3" xfId="49644"/>
    <cellStyle name="Обычный 5 17 27 3 3" xfId="19772"/>
    <cellStyle name="Обычный 5 17 27 3 3 2" xfId="49645"/>
    <cellStyle name="Обычный 5 17 27 3 4" xfId="49646"/>
    <cellStyle name="Обычный 5 17 27 4" xfId="19773"/>
    <cellStyle name="Обычный 5 17 27 4 2" xfId="19774"/>
    <cellStyle name="Обычный 5 17 27 4 2 2" xfId="19775"/>
    <cellStyle name="Обычный 5 17 27 4 2 2 2" xfId="49647"/>
    <cellStyle name="Обычный 5 17 27 4 2 3" xfId="49648"/>
    <cellStyle name="Обычный 5 17 27 4 3" xfId="19776"/>
    <cellStyle name="Обычный 5 17 27 4 3 2" xfId="49649"/>
    <cellStyle name="Обычный 5 17 27 4 4" xfId="49650"/>
    <cellStyle name="Обычный 5 17 27 5" xfId="19777"/>
    <cellStyle name="Обычный 5 17 27 5 2" xfId="19778"/>
    <cellStyle name="Обычный 5 17 27 5 2 2" xfId="49651"/>
    <cellStyle name="Обычный 5 17 27 5 3" xfId="49652"/>
    <cellStyle name="Обычный 5 17 27 6" xfId="19779"/>
    <cellStyle name="Обычный 5 17 27 6 2" xfId="49653"/>
    <cellStyle name="Обычный 5 17 27 7" xfId="19780"/>
    <cellStyle name="Обычный 5 17 27 7 2" xfId="49654"/>
    <cellStyle name="Обычный 5 17 27 8" xfId="49655"/>
    <cellStyle name="Обычный 5 17 28" xfId="19781"/>
    <cellStyle name="Обычный 5 17 28 2" xfId="19782"/>
    <cellStyle name="Обычный 5 17 28 2 2" xfId="19783"/>
    <cellStyle name="Обычный 5 17 28 2 2 2" xfId="19784"/>
    <cellStyle name="Обычный 5 17 28 2 2 2 2" xfId="49656"/>
    <cellStyle name="Обычный 5 17 28 2 2 3" xfId="49657"/>
    <cellStyle name="Обычный 5 17 28 2 3" xfId="19785"/>
    <cellStyle name="Обычный 5 17 28 2 3 2" xfId="49658"/>
    <cellStyle name="Обычный 5 17 28 2 4" xfId="49659"/>
    <cellStyle name="Обычный 5 17 28 3" xfId="19786"/>
    <cellStyle name="Обычный 5 17 28 3 2" xfId="19787"/>
    <cellStyle name="Обычный 5 17 28 3 2 2" xfId="19788"/>
    <cellStyle name="Обычный 5 17 28 3 2 2 2" xfId="49660"/>
    <cellStyle name="Обычный 5 17 28 3 2 3" xfId="49661"/>
    <cellStyle name="Обычный 5 17 28 3 3" xfId="19789"/>
    <cellStyle name="Обычный 5 17 28 3 3 2" xfId="49662"/>
    <cellStyle name="Обычный 5 17 28 3 4" xfId="49663"/>
    <cellStyle name="Обычный 5 17 28 4" xfId="19790"/>
    <cellStyle name="Обычный 5 17 28 4 2" xfId="19791"/>
    <cellStyle name="Обычный 5 17 28 4 2 2" xfId="19792"/>
    <cellStyle name="Обычный 5 17 28 4 2 2 2" xfId="49664"/>
    <cellStyle name="Обычный 5 17 28 4 2 3" xfId="49665"/>
    <cellStyle name="Обычный 5 17 28 4 3" xfId="19793"/>
    <cellStyle name="Обычный 5 17 28 4 3 2" xfId="49666"/>
    <cellStyle name="Обычный 5 17 28 4 4" xfId="49667"/>
    <cellStyle name="Обычный 5 17 28 5" xfId="19794"/>
    <cellStyle name="Обычный 5 17 28 5 2" xfId="19795"/>
    <cellStyle name="Обычный 5 17 28 5 2 2" xfId="49668"/>
    <cellStyle name="Обычный 5 17 28 5 3" xfId="49669"/>
    <cellStyle name="Обычный 5 17 28 6" xfId="19796"/>
    <cellStyle name="Обычный 5 17 28 6 2" xfId="49670"/>
    <cellStyle name="Обычный 5 17 28 7" xfId="19797"/>
    <cellStyle name="Обычный 5 17 28 7 2" xfId="49671"/>
    <cellStyle name="Обычный 5 17 28 8" xfId="49672"/>
    <cellStyle name="Обычный 5 17 29" xfId="19798"/>
    <cellStyle name="Обычный 5 17 29 2" xfId="19799"/>
    <cellStyle name="Обычный 5 17 29 2 2" xfId="19800"/>
    <cellStyle name="Обычный 5 17 29 2 2 2" xfId="19801"/>
    <cellStyle name="Обычный 5 17 29 2 2 2 2" xfId="49673"/>
    <cellStyle name="Обычный 5 17 29 2 2 3" xfId="49674"/>
    <cellStyle name="Обычный 5 17 29 2 3" xfId="19802"/>
    <cellStyle name="Обычный 5 17 29 2 3 2" xfId="49675"/>
    <cellStyle name="Обычный 5 17 29 2 4" xfId="49676"/>
    <cellStyle name="Обычный 5 17 29 3" xfId="19803"/>
    <cellStyle name="Обычный 5 17 29 3 2" xfId="19804"/>
    <cellStyle name="Обычный 5 17 29 3 2 2" xfId="19805"/>
    <cellStyle name="Обычный 5 17 29 3 2 2 2" xfId="49677"/>
    <cellStyle name="Обычный 5 17 29 3 2 3" xfId="49678"/>
    <cellStyle name="Обычный 5 17 29 3 3" xfId="19806"/>
    <cellStyle name="Обычный 5 17 29 3 3 2" xfId="49679"/>
    <cellStyle name="Обычный 5 17 29 3 4" xfId="49680"/>
    <cellStyle name="Обычный 5 17 29 4" xfId="19807"/>
    <cellStyle name="Обычный 5 17 29 4 2" xfId="19808"/>
    <cellStyle name="Обычный 5 17 29 4 2 2" xfId="19809"/>
    <cellStyle name="Обычный 5 17 29 4 2 2 2" xfId="49681"/>
    <cellStyle name="Обычный 5 17 29 4 2 3" xfId="49682"/>
    <cellStyle name="Обычный 5 17 29 4 3" xfId="19810"/>
    <cellStyle name="Обычный 5 17 29 4 3 2" xfId="49683"/>
    <cellStyle name="Обычный 5 17 29 4 4" xfId="49684"/>
    <cellStyle name="Обычный 5 17 29 5" xfId="19811"/>
    <cellStyle name="Обычный 5 17 29 5 2" xfId="19812"/>
    <cellStyle name="Обычный 5 17 29 5 2 2" xfId="49685"/>
    <cellStyle name="Обычный 5 17 29 5 3" xfId="49686"/>
    <cellStyle name="Обычный 5 17 29 6" xfId="19813"/>
    <cellStyle name="Обычный 5 17 29 6 2" xfId="49687"/>
    <cellStyle name="Обычный 5 17 29 7" xfId="19814"/>
    <cellStyle name="Обычный 5 17 29 7 2" xfId="49688"/>
    <cellStyle name="Обычный 5 17 29 8" xfId="49689"/>
    <cellStyle name="Обычный 5 17 3" xfId="19815"/>
    <cellStyle name="Обычный 5 17 3 2" xfId="19816"/>
    <cellStyle name="Обычный 5 17 3 2 2" xfId="19817"/>
    <cellStyle name="Обычный 5 17 3 2 2 2" xfId="19818"/>
    <cellStyle name="Обычный 5 17 3 2 2 2 2" xfId="49690"/>
    <cellStyle name="Обычный 5 17 3 2 2 3" xfId="49691"/>
    <cellStyle name="Обычный 5 17 3 2 3" xfId="19819"/>
    <cellStyle name="Обычный 5 17 3 2 3 2" xfId="49692"/>
    <cellStyle name="Обычный 5 17 3 2 4" xfId="49693"/>
    <cellStyle name="Обычный 5 17 3 3" xfId="19820"/>
    <cellStyle name="Обычный 5 17 3 3 2" xfId="19821"/>
    <cellStyle name="Обычный 5 17 3 3 2 2" xfId="19822"/>
    <cellStyle name="Обычный 5 17 3 3 2 2 2" xfId="49694"/>
    <cellStyle name="Обычный 5 17 3 3 2 3" xfId="49695"/>
    <cellStyle name="Обычный 5 17 3 3 3" xfId="19823"/>
    <cellStyle name="Обычный 5 17 3 3 3 2" xfId="49696"/>
    <cellStyle name="Обычный 5 17 3 3 4" xfId="49697"/>
    <cellStyle name="Обычный 5 17 3 4" xfId="19824"/>
    <cellStyle name="Обычный 5 17 3 4 2" xfId="19825"/>
    <cellStyle name="Обычный 5 17 3 4 2 2" xfId="19826"/>
    <cellStyle name="Обычный 5 17 3 4 2 2 2" xfId="49698"/>
    <cellStyle name="Обычный 5 17 3 4 2 3" xfId="49699"/>
    <cellStyle name="Обычный 5 17 3 4 3" xfId="19827"/>
    <cellStyle name="Обычный 5 17 3 4 3 2" xfId="49700"/>
    <cellStyle name="Обычный 5 17 3 4 4" xfId="49701"/>
    <cellStyle name="Обычный 5 17 3 5" xfId="19828"/>
    <cellStyle name="Обычный 5 17 3 5 2" xfId="19829"/>
    <cellStyle name="Обычный 5 17 3 5 2 2" xfId="49702"/>
    <cellStyle name="Обычный 5 17 3 5 3" xfId="49703"/>
    <cellStyle name="Обычный 5 17 3 6" xfId="19830"/>
    <cellStyle name="Обычный 5 17 3 6 2" xfId="49704"/>
    <cellStyle name="Обычный 5 17 3 7" xfId="19831"/>
    <cellStyle name="Обычный 5 17 3 7 2" xfId="49705"/>
    <cellStyle name="Обычный 5 17 3 8" xfId="49706"/>
    <cellStyle name="Обычный 5 17 30" xfId="19832"/>
    <cellStyle name="Обычный 5 17 30 2" xfId="19833"/>
    <cellStyle name="Обычный 5 17 30 2 2" xfId="19834"/>
    <cellStyle name="Обычный 5 17 30 2 2 2" xfId="49707"/>
    <cellStyle name="Обычный 5 17 30 2 3" xfId="49708"/>
    <cellStyle name="Обычный 5 17 30 3" xfId="19835"/>
    <cellStyle name="Обычный 5 17 30 3 2" xfId="49709"/>
    <cellStyle name="Обычный 5 17 30 4" xfId="49710"/>
    <cellStyle name="Обычный 5 17 31" xfId="19836"/>
    <cellStyle name="Обычный 5 17 31 2" xfId="19837"/>
    <cellStyle name="Обычный 5 17 31 2 2" xfId="19838"/>
    <cellStyle name="Обычный 5 17 31 2 2 2" xfId="49711"/>
    <cellStyle name="Обычный 5 17 31 2 3" xfId="49712"/>
    <cellStyle name="Обычный 5 17 31 3" xfId="19839"/>
    <cellStyle name="Обычный 5 17 31 3 2" xfId="49713"/>
    <cellStyle name="Обычный 5 17 31 4" xfId="49714"/>
    <cellStyle name="Обычный 5 17 32" xfId="19840"/>
    <cellStyle name="Обычный 5 17 32 2" xfId="19841"/>
    <cellStyle name="Обычный 5 17 32 2 2" xfId="19842"/>
    <cellStyle name="Обычный 5 17 32 2 2 2" xfId="49715"/>
    <cellStyle name="Обычный 5 17 32 2 3" xfId="49716"/>
    <cellStyle name="Обычный 5 17 32 3" xfId="19843"/>
    <cellStyle name="Обычный 5 17 32 3 2" xfId="49717"/>
    <cellStyle name="Обычный 5 17 32 4" xfId="49718"/>
    <cellStyle name="Обычный 5 17 33" xfId="19844"/>
    <cellStyle name="Обычный 5 17 33 2" xfId="19845"/>
    <cellStyle name="Обычный 5 17 33 2 2" xfId="49719"/>
    <cellStyle name="Обычный 5 17 33 3" xfId="49720"/>
    <cellStyle name="Обычный 5 17 34" xfId="19846"/>
    <cellStyle name="Обычный 5 17 34 2" xfId="49721"/>
    <cellStyle name="Обычный 5 17 35" xfId="19847"/>
    <cellStyle name="Обычный 5 17 35 2" xfId="49722"/>
    <cellStyle name="Обычный 5 17 36" xfId="49723"/>
    <cellStyle name="Обычный 5 17 4" xfId="19848"/>
    <cellStyle name="Обычный 5 17 4 2" xfId="19849"/>
    <cellStyle name="Обычный 5 17 4 2 2" xfId="19850"/>
    <cellStyle name="Обычный 5 17 4 2 2 2" xfId="19851"/>
    <cellStyle name="Обычный 5 17 4 2 2 2 2" xfId="49724"/>
    <cellStyle name="Обычный 5 17 4 2 2 3" xfId="49725"/>
    <cellStyle name="Обычный 5 17 4 2 3" xfId="19852"/>
    <cellStyle name="Обычный 5 17 4 2 3 2" xfId="49726"/>
    <cellStyle name="Обычный 5 17 4 2 4" xfId="49727"/>
    <cellStyle name="Обычный 5 17 4 3" xfId="19853"/>
    <cellStyle name="Обычный 5 17 4 3 2" xfId="19854"/>
    <cellStyle name="Обычный 5 17 4 3 2 2" xfId="19855"/>
    <cellStyle name="Обычный 5 17 4 3 2 2 2" xfId="49728"/>
    <cellStyle name="Обычный 5 17 4 3 2 3" xfId="49729"/>
    <cellStyle name="Обычный 5 17 4 3 3" xfId="19856"/>
    <cellStyle name="Обычный 5 17 4 3 3 2" xfId="49730"/>
    <cellStyle name="Обычный 5 17 4 3 4" xfId="49731"/>
    <cellStyle name="Обычный 5 17 4 4" xfId="19857"/>
    <cellStyle name="Обычный 5 17 4 4 2" xfId="19858"/>
    <cellStyle name="Обычный 5 17 4 4 2 2" xfId="19859"/>
    <cellStyle name="Обычный 5 17 4 4 2 2 2" xfId="49732"/>
    <cellStyle name="Обычный 5 17 4 4 2 3" xfId="49733"/>
    <cellStyle name="Обычный 5 17 4 4 3" xfId="19860"/>
    <cellStyle name="Обычный 5 17 4 4 3 2" xfId="49734"/>
    <cellStyle name="Обычный 5 17 4 4 4" xfId="49735"/>
    <cellStyle name="Обычный 5 17 4 5" xfId="19861"/>
    <cellStyle name="Обычный 5 17 4 5 2" xfId="19862"/>
    <cellStyle name="Обычный 5 17 4 5 2 2" xfId="49736"/>
    <cellStyle name="Обычный 5 17 4 5 3" xfId="49737"/>
    <cellStyle name="Обычный 5 17 4 6" xfId="19863"/>
    <cellStyle name="Обычный 5 17 4 6 2" xfId="49738"/>
    <cellStyle name="Обычный 5 17 4 7" xfId="19864"/>
    <cellStyle name="Обычный 5 17 4 7 2" xfId="49739"/>
    <cellStyle name="Обычный 5 17 4 8" xfId="49740"/>
    <cellStyle name="Обычный 5 17 5" xfId="19865"/>
    <cellStyle name="Обычный 5 17 5 2" xfId="19866"/>
    <cellStyle name="Обычный 5 17 5 2 2" xfId="19867"/>
    <cellStyle name="Обычный 5 17 5 2 2 2" xfId="19868"/>
    <cellStyle name="Обычный 5 17 5 2 2 2 2" xfId="49741"/>
    <cellStyle name="Обычный 5 17 5 2 2 3" xfId="49742"/>
    <cellStyle name="Обычный 5 17 5 2 3" xfId="19869"/>
    <cellStyle name="Обычный 5 17 5 2 3 2" xfId="49743"/>
    <cellStyle name="Обычный 5 17 5 2 4" xfId="49744"/>
    <cellStyle name="Обычный 5 17 5 3" xfId="19870"/>
    <cellStyle name="Обычный 5 17 5 3 2" xfId="19871"/>
    <cellStyle name="Обычный 5 17 5 3 2 2" xfId="19872"/>
    <cellStyle name="Обычный 5 17 5 3 2 2 2" xfId="49745"/>
    <cellStyle name="Обычный 5 17 5 3 2 3" xfId="49746"/>
    <cellStyle name="Обычный 5 17 5 3 3" xfId="19873"/>
    <cellStyle name="Обычный 5 17 5 3 3 2" xfId="49747"/>
    <cellStyle name="Обычный 5 17 5 3 4" xfId="49748"/>
    <cellStyle name="Обычный 5 17 5 4" xfId="19874"/>
    <cellStyle name="Обычный 5 17 5 4 2" xfId="19875"/>
    <cellStyle name="Обычный 5 17 5 4 2 2" xfId="19876"/>
    <cellStyle name="Обычный 5 17 5 4 2 2 2" xfId="49749"/>
    <cellStyle name="Обычный 5 17 5 4 2 3" xfId="49750"/>
    <cellStyle name="Обычный 5 17 5 4 3" xfId="19877"/>
    <cellStyle name="Обычный 5 17 5 4 3 2" xfId="49751"/>
    <cellStyle name="Обычный 5 17 5 4 4" xfId="49752"/>
    <cellStyle name="Обычный 5 17 5 5" xfId="19878"/>
    <cellStyle name="Обычный 5 17 5 5 2" xfId="19879"/>
    <cellStyle name="Обычный 5 17 5 5 2 2" xfId="49753"/>
    <cellStyle name="Обычный 5 17 5 5 3" xfId="49754"/>
    <cellStyle name="Обычный 5 17 5 6" xfId="19880"/>
    <cellStyle name="Обычный 5 17 5 6 2" xfId="49755"/>
    <cellStyle name="Обычный 5 17 5 7" xfId="19881"/>
    <cellStyle name="Обычный 5 17 5 7 2" xfId="49756"/>
    <cellStyle name="Обычный 5 17 5 8" xfId="49757"/>
    <cellStyle name="Обычный 5 17 6" xfId="19882"/>
    <cellStyle name="Обычный 5 17 6 2" xfId="19883"/>
    <cellStyle name="Обычный 5 17 6 2 2" xfId="19884"/>
    <cellStyle name="Обычный 5 17 6 2 2 2" xfId="19885"/>
    <cellStyle name="Обычный 5 17 6 2 2 2 2" xfId="49758"/>
    <cellStyle name="Обычный 5 17 6 2 2 3" xfId="49759"/>
    <cellStyle name="Обычный 5 17 6 2 3" xfId="19886"/>
    <cellStyle name="Обычный 5 17 6 2 3 2" xfId="49760"/>
    <cellStyle name="Обычный 5 17 6 2 4" xfId="49761"/>
    <cellStyle name="Обычный 5 17 6 3" xfId="19887"/>
    <cellStyle name="Обычный 5 17 6 3 2" xfId="19888"/>
    <cellStyle name="Обычный 5 17 6 3 2 2" xfId="19889"/>
    <cellStyle name="Обычный 5 17 6 3 2 2 2" xfId="49762"/>
    <cellStyle name="Обычный 5 17 6 3 2 3" xfId="49763"/>
    <cellStyle name="Обычный 5 17 6 3 3" xfId="19890"/>
    <cellStyle name="Обычный 5 17 6 3 3 2" xfId="49764"/>
    <cellStyle name="Обычный 5 17 6 3 4" xfId="49765"/>
    <cellStyle name="Обычный 5 17 6 4" xfId="19891"/>
    <cellStyle name="Обычный 5 17 6 4 2" xfId="19892"/>
    <cellStyle name="Обычный 5 17 6 4 2 2" xfId="19893"/>
    <cellStyle name="Обычный 5 17 6 4 2 2 2" xfId="49766"/>
    <cellStyle name="Обычный 5 17 6 4 2 3" xfId="49767"/>
    <cellStyle name="Обычный 5 17 6 4 3" xfId="19894"/>
    <cellStyle name="Обычный 5 17 6 4 3 2" xfId="49768"/>
    <cellStyle name="Обычный 5 17 6 4 4" xfId="49769"/>
    <cellStyle name="Обычный 5 17 6 5" xfId="19895"/>
    <cellStyle name="Обычный 5 17 6 5 2" xfId="19896"/>
    <cellStyle name="Обычный 5 17 6 5 2 2" xfId="49770"/>
    <cellStyle name="Обычный 5 17 6 5 3" xfId="49771"/>
    <cellStyle name="Обычный 5 17 6 6" xfId="19897"/>
    <cellStyle name="Обычный 5 17 6 6 2" xfId="49772"/>
    <cellStyle name="Обычный 5 17 6 7" xfId="19898"/>
    <cellStyle name="Обычный 5 17 6 7 2" xfId="49773"/>
    <cellStyle name="Обычный 5 17 6 8" xfId="49774"/>
    <cellStyle name="Обычный 5 17 7" xfId="19899"/>
    <cellStyle name="Обычный 5 17 7 2" xfId="19900"/>
    <cellStyle name="Обычный 5 17 7 2 2" xfId="19901"/>
    <cellStyle name="Обычный 5 17 7 2 2 2" xfId="19902"/>
    <cellStyle name="Обычный 5 17 7 2 2 2 2" xfId="49775"/>
    <cellStyle name="Обычный 5 17 7 2 2 3" xfId="49776"/>
    <cellStyle name="Обычный 5 17 7 2 3" xfId="19903"/>
    <cellStyle name="Обычный 5 17 7 2 3 2" xfId="49777"/>
    <cellStyle name="Обычный 5 17 7 2 4" xfId="49778"/>
    <cellStyle name="Обычный 5 17 7 3" xfId="19904"/>
    <cellStyle name="Обычный 5 17 7 3 2" xfId="19905"/>
    <cellStyle name="Обычный 5 17 7 3 2 2" xfId="19906"/>
    <cellStyle name="Обычный 5 17 7 3 2 2 2" xfId="49779"/>
    <cellStyle name="Обычный 5 17 7 3 2 3" xfId="49780"/>
    <cellStyle name="Обычный 5 17 7 3 3" xfId="19907"/>
    <cellStyle name="Обычный 5 17 7 3 3 2" xfId="49781"/>
    <cellStyle name="Обычный 5 17 7 3 4" xfId="49782"/>
    <cellStyle name="Обычный 5 17 7 4" xfId="19908"/>
    <cellStyle name="Обычный 5 17 7 4 2" xfId="19909"/>
    <cellStyle name="Обычный 5 17 7 4 2 2" xfId="19910"/>
    <cellStyle name="Обычный 5 17 7 4 2 2 2" xfId="49783"/>
    <cellStyle name="Обычный 5 17 7 4 2 3" xfId="49784"/>
    <cellStyle name="Обычный 5 17 7 4 3" xfId="19911"/>
    <cellStyle name="Обычный 5 17 7 4 3 2" xfId="49785"/>
    <cellStyle name="Обычный 5 17 7 4 4" xfId="49786"/>
    <cellStyle name="Обычный 5 17 7 5" xfId="19912"/>
    <cellStyle name="Обычный 5 17 7 5 2" xfId="19913"/>
    <cellStyle name="Обычный 5 17 7 5 2 2" xfId="49787"/>
    <cellStyle name="Обычный 5 17 7 5 3" xfId="49788"/>
    <cellStyle name="Обычный 5 17 7 6" xfId="19914"/>
    <cellStyle name="Обычный 5 17 7 6 2" xfId="49789"/>
    <cellStyle name="Обычный 5 17 7 7" xfId="19915"/>
    <cellStyle name="Обычный 5 17 7 7 2" xfId="49790"/>
    <cellStyle name="Обычный 5 17 7 8" xfId="49791"/>
    <cellStyle name="Обычный 5 17 8" xfId="19916"/>
    <cellStyle name="Обычный 5 17 8 2" xfId="19917"/>
    <cellStyle name="Обычный 5 17 8 2 2" xfId="19918"/>
    <cellStyle name="Обычный 5 17 8 2 2 2" xfId="19919"/>
    <cellStyle name="Обычный 5 17 8 2 2 2 2" xfId="49792"/>
    <cellStyle name="Обычный 5 17 8 2 2 3" xfId="49793"/>
    <cellStyle name="Обычный 5 17 8 2 3" xfId="19920"/>
    <cellStyle name="Обычный 5 17 8 2 3 2" xfId="49794"/>
    <cellStyle name="Обычный 5 17 8 2 4" xfId="49795"/>
    <cellStyle name="Обычный 5 17 8 3" xfId="19921"/>
    <cellStyle name="Обычный 5 17 8 3 2" xfId="19922"/>
    <cellStyle name="Обычный 5 17 8 3 2 2" xfId="19923"/>
    <cellStyle name="Обычный 5 17 8 3 2 2 2" xfId="49796"/>
    <cellStyle name="Обычный 5 17 8 3 2 3" xfId="49797"/>
    <cellStyle name="Обычный 5 17 8 3 3" xfId="19924"/>
    <cellStyle name="Обычный 5 17 8 3 3 2" xfId="49798"/>
    <cellStyle name="Обычный 5 17 8 3 4" xfId="49799"/>
    <cellStyle name="Обычный 5 17 8 4" xfId="19925"/>
    <cellStyle name="Обычный 5 17 8 4 2" xfId="19926"/>
    <cellStyle name="Обычный 5 17 8 4 2 2" xfId="19927"/>
    <cellStyle name="Обычный 5 17 8 4 2 2 2" xfId="49800"/>
    <cellStyle name="Обычный 5 17 8 4 2 3" xfId="49801"/>
    <cellStyle name="Обычный 5 17 8 4 3" xfId="19928"/>
    <cellStyle name="Обычный 5 17 8 4 3 2" xfId="49802"/>
    <cellStyle name="Обычный 5 17 8 4 4" xfId="49803"/>
    <cellStyle name="Обычный 5 17 8 5" xfId="19929"/>
    <cellStyle name="Обычный 5 17 8 5 2" xfId="19930"/>
    <cellStyle name="Обычный 5 17 8 5 2 2" xfId="49804"/>
    <cellStyle name="Обычный 5 17 8 5 3" xfId="49805"/>
    <cellStyle name="Обычный 5 17 8 6" xfId="19931"/>
    <cellStyle name="Обычный 5 17 8 6 2" xfId="49806"/>
    <cellStyle name="Обычный 5 17 8 7" xfId="19932"/>
    <cellStyle name="Обычный 5 17 8 7 2" xfId="49807"/>
    <cellStyle name="Обычный 5 17 8 8" xfId="49808"/>
    <cellStyle name="Обычный 5 17 9" xfId="19933"/>
    <cellStyle name="Обычный 5 17 9 2" xfId="19934"/>
    <cellStyle name="Обычный 5 17 9 2 2" xfId="19935"/>
    <cellStyle name="Обычный 5 17 9 2 2 2" xfId="19936"/>
    <cellStyle name="Обычный 5 17 9 2 2 2 2" xfId="49809"/>
    <cellStyle name="Обычный 5 17 9 2 2 3" xfId="49810"/>
    <cellStyle name="Обычный 5 17 9 2 3" xfId="19937"/>
    <cellStyle name="Обычный 5 17 9 2 3 2" xfId="49811"/>
    <cellStyle name="Обычный 5 17 9 2 4" xfId="49812"/>
    <cellStyle name="Обычный 5 17 9 3" xfId="19938"/>
    <cellStyle name="Обычный 5 17 9 3 2" xfId="19939"/>
    <cellStyle name="Обычный 5 17 9 3 2 2" xfId="19940"/>
    <cellStyle name="Обычный 5 17 9 3 2 2 2" xfId="49813"/>
    <cellStyle name="Обычный 5 17 9 3 2 3" xfId="49814"/>
    <cellStyle name="Обычный 5 17 9 3 3" xfId="19941"/>
    <cellStyle name="Обычный 5 17 9 3 3 2" xfId="49815"/>
    <cellStyle name="Обычный 5 17 9 3 4" xfId="49816"/>
    <cellStyle name="Обычный 5 17 9 4" xfId="19942"/>
    <cellStyle name="Обычный 5 17 9 4 2" xfId="19943"/>
    <cellStyle name="Обычный 5 17 9 4 2 2" xfId="19944"/>
    <cellStyle name="Обычный 5 17 9 4 2 2 2" xfId="49817"/>
    <cellStyle name="Обычный 5 17 9 4 2 3" xfId="49818"/>
    <cellStyle name="Обычный 5 17 9 4 3" xfId="19945"/>
    <cellStyle name="Обычный 5 17 9 4 3 2" xfId="49819"/>
    <cellStyle name="Обычный 5 17 9 4 4" xfId="49820"/>
    <cellStyle name="Обычный 5 17 9 5" xfId="19946"/>
    <cellStyle name="Обычный 5 17 9 5 2" xfId="19947"/>
    <cellStyle name="Обычный 5 17 9 5 2 2" xfId="49821"/>
    <cellStyle name="Обычный 5 17 9 5 3" xfId="49822"/>
    <cellStyle name="Обычный 5 17 9 6" xfId="19948"/>
    <cellStyle name="Обычный 5 17 9 6 2" xfId="49823"/>
    <cellStyle name="Обычный 5 17 9 7" xfId="19949"/>
    <cellStyle name="Обычный 5 17 9 7 2" xfId="49824"/>
    <cellStyle name="Обычный 5 17 9 8" xfId="49825"/>
    <cellStyle name="Обычный 5 18" xfId="19950"/>
    <cellStyle name="Обычный 5 18 10" xfId="19951"/>
    <cellStyle name="Обычный 5 18 10 2" xfId="19952"/>
    <cellStyle name="Обычный 5 18 10 2 2" xfId="19953"/>
    <cellStyle name="Обычный 5 18 10 2 2 2" xfId="19954"/>
    <cellStyle name="Обычный 5 18 10 2 2 2 2" xfId="49826"/>
    <cellStyle name="Обычный 5 18 10 2 2 3" xfId="49827"/>
    <cellStyle name="Обычный 5 18 10 2 3" xfId="19955"/>
    <cellStyle name="Обычный 5 18 10 2 3 2" xfId="49828"/>
    <cellStyle name="Обычный 5 18 10 2 4" xfId="49829"/>
    <cellStyle name="Обычный 5 18 10 3" xfId="19956"/>
    <cellStyle name="Обычный 5 18 10 3 2" xfId="19957"/>
    <cellStyle name="Обычный 5 18 10 3 2 2" xfId="19958"/>
    <cellStyle name="Обычный 5 18 10 3 2 2 2" xfId="49830"/>
    <cellStyle name="Обычный 5 18 10 3 2 3" xfId="49831"/>
    <cellStyle name="Обычный 5 18 10 3 3" xfId="19959"/>
    <cellStyle name="Обычный 5 18 10 3 3 2" xfId="49832"/>
    <cellStyle name="Обычный 5 18 10 3 4" xfId="49833"/>
    <cellStyle name="Обычный 5 18 10 4" xfId="19960"/>
    <cellStyle name="Обычный 5 18 10 4 2" xfId="19961"/>
    <cellStyle name="Обычный 5 18 10 4 2 2" xfId="19962"/>
    <cellStyle name="Обычный 5 18 10 4 2 2 2" xfId="49834"/>
    <cellStyle name="Обычный 5 18 10 4 2 3" xfId="49835"/>
    <cellStyle name="Обычный 5 18 10 4 3" xfId="19963"/>
    <cellStyle name="Обычный 5 18 10 4 3 2" xfId="49836"/>
    <cellStyle name="Обычный 5 18 10 4 4" xfId="49837"/>
    <cellStyle name="Обычный 5 18 10 5" xfId="19964"/>
    <cellStyle name="Обычный 5 18 10 5 2" xfId="19965"/>
    <cellStyle name="Обычный 5 18 10 5 2 2" xfId="49838"/>
    <cellStyle name="Обычный 5 18 10 5 3" xfId="49839"/>
    <cellStyle name="Обычный 5 18 10 6" xfId="19966"/>
    <cellStyle name="Обычный 5 18 10 6 2" xfId="49840"/>
    <cellStyle name="Обычный 5 18 10 7" xfId="19967"/>
    <cellStyle name="Обычный 5 18 10 7 2" xfId="49841"/>
    <cellStyle name="Обычный 5 18 10 8" xfId="49842"/>
    <cellStyle name="Обычный 5 18 11" xfId="19968"/>
    <cellStyle name="Обычный 5 18 11 2" xfId="19969"/>
    <cellStyle name="Обычный 5 18 11 2 2" xfId="19970"/>
    <cellStyle name="Обычный 5 18 11 2 2 2" xfId="19971"/>
    <cellStyle name="Обычный 5 18 11 2 2 2 2" xfId="49843"/>
    <cellStyle name="Обычный 5 18 11 2 2 3" xfId="49844"/>
    <cellStyle name="Обычный 5 18 11 2 3" xfId="19972"/>
    <cellStyle name="Обычный 5 18 11 2 3 2" xfId="49845"/>
    <cellStyle name="Обычный 5 18 11 2 4" xfId="49846"/>
    <cellStyle name="Обычный 5 18 11 3" xfId="19973"/>
    <cellStyle name="Обычный 5 18 11 3 2" xfId="19974"/>
    <cellStyle name="Обычный 5 18 11 3 2 2" xfId="19975"/>
    <cellStyle name="Обычный 5 18 11 3 2 2 2" xfId="49847"/>
    <cellStyle name="Обычный 5 18 11 3 2 3" xfId="49848"/>
    <cellStyle name="Обычный 5 18 11 3 3" xfId="19976"/>
    <cellStyle name="Обычный 5 18 11 3 3 2" xfId="49849"/>
    <cellStyle name="Обычный 5 18 11 3 4" xfId="49850"/>
    <cellStyle name="Обычный 5 18 11 4" xfId="19977"/>
    <cellStyle name="Обычный 5 18 11 4 2" xfId="19978"/>
    <cellStyle name="Обычный 5 18 11 4 2 2" xfId="19979"/>
    <cellStyle name="Обычный 5 18 11 4 2 2 2" xfId="49851"/>
    <cellStyle name="Обычный 5 18 11 4 2 3" xfId="49852"/>
    <cellStyle name="Обычный 5 18 11 4 3" xfId="19980"/>
    <cellStyle name="Обычный 5 18 11 4 3 2" xfId="49853"/>
    <cellStyle name="Обычный 5 18 11 4 4" xfId="49854"/>
    <cellStyle name="Обычный 5 18 11 5" xfId="19981"/>
    <cellStyle name="Обычный 5 18 11 5 2" xfId="19982"/>
    <cellStyle name="Обычный 5 18 11 5 2 2" xfId="49855"/>
    <cellStyle name="Обычный 5 18 11 5 3" xfId="49856"/>
    <cellStyle name="Обычный 5 18 11 6" xfId="19983"/>
    <cellStyle name="Обычный 5 18 11 6 2" xfId="49857"/>
    <cellStyle name="Обычный 5 18 11 7" xfId="19984"/>
    <cellStyle name="Обычный 5 18 11 7 2" xfId="49858"/>
    <cellStyle name="Обычный 5 18 11 8" xfId="49859"/>
    <cellStyle name="Обычный 5 18 12" xfId="19985"/>
    <cellStyle name="Обычный 5 18 12 2" xfId="19986"/>
    <cellStyle name="Обычный 5 18 12 2 2" xfId="19987"/>
    <cellStyle name="Обычный 5 18 12 2 2 2" xfId="19988"/>
    <cellStyle name="Обычный 5 18 12 2 2 2 2" xfId="49860"/>
    <cellStyle name="Обычный 5 18 12 2 2 3" xfId="49861"/>
    <cellStyle name="Обычный 5 18 12 2 3" xfId="19989"/>
    <cellStyle name="Обычный 5 18 12 2 3 2" xfId="49862"/>
    <cellStyle name="Обычный 5 18 12 2 4" xfId="49863"/>
    <cellStyle name="Обычный 5 18 12 3" xfId="19990"/>
    <cellStyle name="Обычный 5 18 12 3 2" xfId="19991"/>
    <cellStyle name="Обычный 5 18 12 3 2 2" xfId="19992"/>
    <cellStyle name="Обычный 5 18 12 3 2 2 2" xfId="49864"/>
    <cellStyle name="Обычный 5 18 12 3 2 3" xfId="49865"/>
    <cellStyle name="Обычный 5 18 12 3 3" xfId="19993"/>
    <cellStyle name="Обычный 5 18 12 3 3 2" xfId="49866"/>
    <cellStyle name="Обычный 5 18 12 3 4" xfId="49867"/>
    <cellStyle name="Обычный 5 18 12 4" xfId="19994"/>
    <cellStyle name="Обычный 5 18 12 4 2" xfId="19995"/>
    <cellStyle name="Обычный 5 18 12 4 2 2" xfId="19996"/>
    <cellStyle name="Обычный 5 18 12 4 2 2 2" xfId="49868"/>
    <cellStyle name="Обычный 5 18 12 4 2 3" xfId="49869"/>
    <cellStyle name="Обычный 5 18 12 4 3" xfId="19997"/>
    <cellStyle name="Обычный 5 18 12 4 3 2" xfId="49870"/>
    <cellStyle name="Обычный 5 18 12 4 4" xfId="49871"/>
    <cellStyle name="Обычный 5 18 12 5" xfId="19998"/>
    <cellStyle name="Обычный 5 18 12 5 2" xfId="19999"/>
    <cellStyle name="Обычный 5 18 12 5 2 2" xfId="49872"/>
    <cellStyle name="Обычный 5 18 12 5 3" xfId="49873"/>
    <cellStyle name="Обычный 5 18 12 6" xfId="20000"/>
    <cellStyle name="Обычный 5 18 12 6 2" xfId="49874"/>
    <cellStyle name="Обычный 5 18 12 7" xfId="20001"/>
    <cellStyle name="Обычный 5 18 12 7 2" xfId="49875"/>
    <cellStyle name="Обычный 5 18 12 8" xfId="49876"/>
    <cellStyle name="Обычный 5 18 13" xfId="20002"/>
    <cellStyle name="Обычный 5 18 13 2" xfId="20003"/>
    <cellStyle name="Обычный 5 18 13 2 2" xfId="20004"/>
    <cellStyle name="Обычный 5 18 13 2 2 2" xfId="20005"/>
    <cellStyle name="Обычный 5 18 13 2 2 2 2" xfId="49877"/>
    <cellStyle name="Обычный 5 18 13 2 2 3" xfId="49878"/>
    <cellStyle name="Обычный 5 18 13 2 3" xfId="20006"/>
    <cellStyle name="Обычный 5 18 13 2 3 2" xfId="49879"/>
    <cellStyle name="Обычный 5 18 13 2 4" xfId="49880"/>
    <cellStyle name="Обычный 5 18 13 3" xfId="20007"/>
    <cellStyle name="Обычный 5 18 13 3 2" xfId="20008"/>
    <cellStyle name="Обычный 5 18 13 3 2 2" xfId="20009"/>
    <cellStyle name="Обычный 5 18 13 3 2 2 2" xfId="49881"/>
    <cellStyle name="Обычный 5 18 13 3 2 3" xfId="49882"/>
    <cellStyle name="Обычный 5 18 13 3 3" xfId="20010"/>
    <cellStyle name="Обычный 5 18 13 3 3 2" xfId="49883"/>
    <cellStyle name="Обычный 5 18 13 3 4" xfId="49884"/>
    <cellStyle name="Обычный 5 18 13 4" xfId="20011"/>
    <cellStyle name="Обычный 5 18 13 4 2" xfId="20012"/>
    <cellStyle name="Обычный 5 18 13 4 2 2" xfId="20013"/>
    <cellStyle name="Обычный 5 18 13 4 2 2 2" xfId="49885"/>
    <cellStyle name="Обычный 5 18 13 4 2 3" xfId="49886"/>
    <cellStyle name="Обычный 5 18 13 4 3" xfId="20014"/>
    <cellStyle name="Обычный 5 18 13 4 3 2" xfId="49887"/>
    <cellStyle name="Обычный 5 18 13 4 4" xfId="49888"/>
    <cellStyle name="Обычный 5 18 13 5" xfId="20015"/>
    <cellStyle name="Обычный 5 18 13 5 2" xfId="20016"/>
    <cellStyle name="Обычный 5 18 13 5 2 2" xfId="49889"/>
    <cellStyle name="Обычный 5 18 13 5 3" xfId="49890"/>
    <cellStyle name="Обычный 5 18 13 6" xfId="20017"/>
    <cellStyle name="Обычный 5 18 13 6 2" xfId="49891"/>
    <cellStyle name="Обычный 5 18 13 7" xfId="20018"/>
    <cellStyle name="Обычный 5 18 13 7 2" xfId="49892"/>
    <cellStyle name="Обычный 5 18 13 8" xfId="49893"/>
    <cellStyle name="Обычный 5 18 14" xfId="20019"/>
    <cellStyle name="Обычный 5 18 14 2" xfId="20020"/>
    <cellStyle name="Обычный 5 18 14 2 2" xfId="20021"/>
    <cellStyle name="Обычный 5 18 14 2 2 2" xfId="20022"/>
    <cellStyle name="Обычный 5 18 14 2 2 2 2" xfId="49894"/>
    <cellStyle name="Обычный 5 18 14 2 2 3" xfId="49895"/>
    <cellStyle name="Обычный 5 18 14 2 3" xfId="20023"/>
    <cellStyle name="Обычный 5 18 14 2 3 2" xfId="49896"/>
    <cellStyle name="Обычный 5 18 14 2 4" xfId="49897"/>
    <cellStyle name="Обычный 5 18 14 3" xfId="20024"/>
    <cellStyle name="Обычный 5 18 14 3 2" xfId="20025"/>
    <cellStyle name="Обычный 5 18 14 3 2 2" xfId="20026"/>
    <cellStyle name="Обычный 5 18 14 3 2 2 2" xfId="49898"/>
    <cellStyle name="Обычный 5 18 14 3 2 3" xfId="49899"/>
    <cellStyle name="Обычный 5 18 14 3 3" xfId="20027"/>
    <cellStyle name="Обычный 5 18 14 3 3 2" xfId="49900"/>
    <cellStyle name="Обычный 5 18 14 3 4" xfId="49901"/>
    <cellStyle name="Обычный 5 18 14 4" xfId="20028"/>
    <cellStyle name="Обычный 5 18 14 4 2" xfId="20029"/>
    <cellStyle name="Обычный 5 18 14 4 2 2" xfId="20030"/>
    <cellStyle name="Обычный 5 18 14 4 2 2 2" xfId="49902"/>
    <cellStyle name="Обычный 5 18 14 4 2 3" xfId="49903"/>
    <cellStyle name="Обычный 5 18 14 4 3" xfId="20031"/>
    <cellStyle name="Обычный 5 18 14 4 3 2" xfId="49904"/>
    <cellStyle name="Обычный 5 18 14 4 4" xfId="49905"/>
    <cellStyle name="Обычный 5 18 14 5" xfId="20032"/>
    <cellStyle name="Обычный 5 18 14 5 2" xfId="20033"/>
    <cellStyle name="Обычный 5 18 14 5 2 2" xfId="49906"/>
    <cellStyle name="Обычный 5 18 14 5 3" xfId="49907"/>
    <cellStyle name="Обычный 5 18 14 6" xfId="20034"/>
    <cellStyle name="Обычный 5 18 14 6 2" xfId="49908"/>
    <cellStyle name="Обычный 5 18 14 7" xfId="20035"/>
    <cellStyle name="Обычный 5 18 14 7 2" xfId="49909"/>
    <cellStyle name="Обычный 5 18 14 8" xfId="49910"/>
    <cellStyle name="Обычный 5 18 15" xfId="20036"/>
    <cellStyle name="Обычный 5 18 15 2" xfId="20037"/>
    <cellStyle name="Обычный 5 18 15 2 2" xfId="20038"/>
    <cellStyle name="Обычный 5 18 15 2 2 2" xfId="20039"/>
    <cellStyle name="Обычный 5 18 15 2 2 2 2" xfId="49911"/>
    <cellStyle name="Обычный 5 18 15 2 2 3" xfId="49912"/>
    <cellStyle name="Обычный 5 18 15 2 3" xfId="20040"/>
    <cellStyle name="Обычный 5 18 15 2 3 2" xfId="49913"/>
    <cellStyle name="Обычный 5 18 15 2 4" xfId="49914"/>
    <cellStyle name="Обычный 5 18 15 3" xfId="20041"/>
    <cellStyle name="Обычный 5 18 15 3 2" xfId="20042"/>
    <cellStyle name="Обычный 5 18 15 3 2 2" xfId="20043"/>
    <cellStyle name="Обычный 5 18 15 3 2 2 2" xfId="49915"/>
    <cellStyle name="Обычный 5 18 15 3 2 3" xfId="49916"/>
    <cellStyle name="Обычный 5 18 15 3 3" xfId="20044"/>
    <cellStyle name="Обычный 5 18 15 3 3 2" xfId="49917"/>
    <cellStyle name="Обычный 5 18 15 3 4" xfId="49918"/>
    <cellStyle name="Обычный 5 18 15 4" xfId="20045"/>
    <cellStyle name="Обычный 5 18 15 4 2" xfId="20046"/>
    <cellStyle name="Обычный 5 18 15 4 2 2" xfId="20047"/>
    <cellStyle name="Обычный 5 18 15 4 2 2 2" xfId="49919"/>
    <cellStyle name="Обычный 5 18 15 4 2 3" xfId="49920"/>
    <cellStyle name="Обычный 5 18 15 4 3" xfId="20048"/>
    <cellStyle name="Обычный 5 18 15 4 3 2" xfId="49921"/>
    <cellStyle name="Обычный 5 18 15 4 4" xfId="49922"/>
    <cellStyle name="Обычный 5 18 15 5" xfId="20049"/>
    <cellStyle name="Обычный 5 18 15 5 2" xfId="20050"/>
    <cellStyle name="Обычный 5 18 15 5 2 2" xfId="49923"/>
    <cellStyle name="Обычный 5 18 15 5 3" xfId="49924"/>
    <cellStyle name="Обычный 5 18 15 6" xfId="20051"/>
    <cellStyle name="Обычный 5 18 15 6 2" xfId="49925"/>
    <cellStyle name="Обычный 5 18 15 7" xfId="20052"/>
    <cellStyle name="Обычный 5 18 15 7 2" xfId="49926"/>
    <cellStyle name="Обычный 5 18 15 8" xfId="49927"/>
    <cellStyle name="Обычный 5 18 16" xfId="20053"/>
    <cellStyle name="Обычный 5 18 16 2" xfId="20054"/>
    <cellStyle name="Обычный 5 18 16 2 2" xfId="20055"/>
    <cellStyle name="Обычный 5 18 16 2 2 2" xfId="20056"/>
    <cellStyle name="Обычный 5 18 16 2 2 2 2" xfId="49928"/>
    <cellStyle name="Обычный 5 18 16 2 2 3" xfId="49929"/>
    <cellStyle name="Обычный 5 18 16 2 3" xfId="20057"/>
    <cellStyle name="Обычный 5 18 16 2 3 2" xfId="49930"/>
    <cellStyle name="Обычный 5 18 16 2 4" xfId="49931"/>
    <cellStyle name="Обычный 5 18 16 3" xfId="20058"/>
    <cellStyle name="Обычный 5 18 16 3 2" xfId="20059"/>
    <cellStyle name="Обычный 5 18 16 3 2 2" xfId="20060"/>
    <cellStyle name="Обычный 5 18 16 3 2 2 2" xfId="49932"/>
    <cellStyle name="Обычный 5 18 16 3 2 3" xfId="49933"/>
    <cellStyle name="Обычный 5 18 16 3 3" xfId="20061"/>
    <cellStyle name="Обычный 5 18 16 3 3 2" xfId="49934"/>
    <cellStyle name="Обычный 5 18 16 3 4" xfId="49935"/>
    <cellStyle name="Обычный 5 18 16 4" xfId="20062"/>
    <cellStyle name="Обычный 5 18 16 4 2" xfId="20063"/>
    <cellStyle name="Обычный 5 18 16 4 2 2" xfId="20064"/>
    <cellStyle name="Обычный 5 18 16 4 2 2 2" xfId="49936"/>
    <cellStyle name="Обычный 5 18 16 4 2 3" xfId="49937"/>
    <cellStyle name="Обычный 5 18 16 4 3" xfId="20065"/>
    <cellStyle name="Обычный 5 18 16 4 3 2" xfId="49938"/>
    <cellStyle name="Обычный 5 18 16 4 4" xfId="49939"/>
    <cellStyle name="Обычный 5 18 16 5" xfId="20066"/>
    <cellStyle name="Обычный 5 18 16 5 2" xfId="20067"/>
    <cellStyle name="Обычный 5 18 16 5 2 2" xfId="49940"/>
    <cellStyle name="Обычный 5 18 16 5 3" xfId="49941"/>
    <cellStyle name="Обычный 5 18 16 6" xfId="20068"/>
    <cellStyle name="Обычный 5 18 16 6 2" xfId="49942"/>
    <cellStyle name="Обычный 5 18 16 7" xfId="20069"/>
    <cellStyle name="Обычный 5 18 16 7 2" xfId="49943"/>
    <cellStyle name="Обычный 5 18 16 8" xfId="49944"/>
    <cellStyle name="Обычный 5 18 17" xfId="20070"/>
    <cellStyle name="Обычный 5 18 17 2" xfId="20071"/>
    <cellStyle name="Обычный 5 18 17 2 2" xfId="20072"/>
    <cellStyle name="Обычный 5 18 17 2 2 2" xfId="20073"/>
    <cellStyle name="Обычный 5 18 17 2 2 2 2" xfId="49945"/>
    <cellStyle name="Обычный 5 18 17 2 2 3" xfId="49946"/>
    <cellStyle name="Обычный 5 18 17 2 3" xfId="20074"/>
    <cellStyle name="Обычный 5 18 17 2 3 2" xfId="49947"/>
    <cellStyle name="Обычный 5 18 17 2 4" xfId="49948"/>
    <cellStyle name="Обычный 5 18 17 3" xfId="20075"/>
    <cellStyle name="Обычный 5 18 17 3 2" xfId="20076"/>
    <cellStyle name="Обычный 5 18 17 3 2 2" xfId="20077"/>
    <cellStyle name="Обычный 5 18 17 3 2 2 2" xfId="49949"/>
    <cellStyle name="Обычный 5 18 17 3 2 3" xfId="49950"/>
    <cellStyle name="Обычный 5 18 17 3 3" xfId="20078"/>
    <cellStyle name="Обычный 5 18 17 3 3 2" xfId="49951"/>
    <cellStyle name="Обычный 5 18 17 3 4" xfId="49952"/>
    <cellStyle name="Обычный 5 18 17 4" xfId="20079"/>
    <cellStyle name="Обычный 5 18 17 4 2" xfId="20080"/>
    <cellStyle name="Обычный 5 18 17 4 2 2" xfId="20081"/>
    <cellStyle name="Обычный 5 18 17 4 2 2 2" xfId="49953"/>
    <cellStyle name="Обычный 5 18 17 4 2 3" xfId="49954"/>
    <cellStyle name="Обычный 5 18 17 4 3" xfId="20082"/>
    <cellStyle name="Обычный 5 18 17 4 3 2" xfId="49955"/>
    <cellStyle name="Обычный 5 18 17 4 4" xfId="49956"/>
    <cellStyle name="Обычный 5 18 17 5" xfId="20083"/>
    <cellStyle name="Обычный 5 18 17 5 2" xfId="20084"/>
    <cellStyle name="Обычный 5 18 17 5 2 2" xfId="49957"/>
    <cellStyle name="Обычный 5 18 17 5 3" xfId="49958"/>
    <cellStyle name="Обычный 5 18 17 6" xfId="20085"/>
    <cellStyle name="Обычный 5 18 17 6 2" xfId="49959"/>
    <cellStyle name="Обычный 5 18 17 7" xfId="20086"/>
    <cellStyle name="Обычный 5 18 17 7 2" xfId="49960"/>
    <cellStyle name="Обычный 5 18 17 8" xfId="49961"/>
    <cellStyle name="Обычный 5 18 18" xfId="20087"/>
    <cellStyle name="Обычный 5 18 18 2" xfId="20088"/>
    <cellStyle name="Обычный 5 18 18 2 2" xfId="20089"/>
    <cellStyle name="Обычный 5 18 18 2 2 2" xfId="20090"/>
    <cellStyle name="Обычный 5 18 18 2 2 2 2" xfId="49962"/>
    <cellStyle name="Обычный 5 18 18 2 2 3" xfId="49963"/>
    <cellStyle name="Обычный 5 18 18 2 3" xfId="20091"/>
    <cellStyle name="Обычный 5 18 18 2 3 2" xfId="49964"/>
    <cellStyle name="Обычный 5 18 18 2 4" xfId="49965"/>
    <cellStyle name="Обычный 5 18 18 3" xfId="20092"/>
    <cellStyle name="Обычный 5 18 18 3 2" xfId="20093"/>
    <cellStyle name="Обычный 5 18 18 3 2 2" xfId="20094"/>
    <cellStyle name="Обычный 5 18 18 3 2 2 2" xfId="49966"/>
    <cellStyle name="Обычный 5 18 18 3 2 3" xfId="49967"/>
    <cellStyle name="Обычный 5 18 18 3 3" xfId="20095"/>
    <cellStyle name="Обычный 5 18 18 3 3 2" xfId="49968"/>
    <cellStyle name="Обычный 5 18 18 3 4" xfId="49969"/>
    <cellStyle name="Обычный 5 18 18 4" xfId="20096"/>
    <cellStyle name="Обычный 5 18 18 4 2" xfId="20097"/>
    <cellStyle name="Обычный 5 18 18 4 2 2" xfId="20098"/>
    <cellStyle name="Обычный 5 18 18 4 2 2 2" xfId="49970"/>
    <cellStyle name="Обычный 5 18 18 4 2 3" xfId="49971"/>
    <cellStyle name="Обычный 5 18 18 4 3" xfId="20099"/>
    <cellStyle name="Обычный 5 18 18 4 3 2" xfId="49972"/>
    <cellStyle name="Обычный 5 18 18 4 4" xfId="49973"/>
    <cellStyle name="Обычный 5 18 18 5" xfId="20100"/>
    <cellStyle name="Обычный 5 18 18 5 2" xfId="20101"/>
    <cellStyle name="Обычный 5 18 18 5 2 2" xfId="49974"/>
    <cellStyle name="Обычный 5 18 18 5 3" xfId="49975"/>
    <cellStyle name="Обычный 5 18 18 6" xfId="20102"/>
    <cellStyle name="Обычный 5 18 18 6 2" xfId="49976"/>
    <cellStyle name="Обычный 5 18 18 7" xfId="20103"/>
    <cellStyle name="Обычный 5 18 18 7 2" xfId="49977"/>
    <cellStyle name="Обычный 5 18 18 8" xfId="49978"/>
    <cellStyle name="Обычный 5 18 19" xfId="20104"/>
    <cellStyle name="Обычный 5 18 19 2" xfId="20105"/>
    <cellStyle name="Обычный 5 18 19 2 2" xfId="20106"/>
    <cellStyle name="Обычный 5 18 19 2 2 2" xfId="20107"/>
    <cellStyle name="Обычный 5 18 19 2 2 2 2" xfId="49979"/>
    <cellStyle name="Обычный 5 18 19 2 2 3" xfId="49980"/>
    <cellStyle name="Обычный 5 18 19 2 3" xfId="20108"/>
    <cellStyle name="Обычный 5 18 19 2 3 2" xfId="49981"/>
    <cellStyle name="Обычный 5 18 19 2 4" xfId="49982"/>
    <cellStyle name="Обычный 5 18 19 3" xfId="20109"/>
    <cellStyle name="Обычный 5 18 19 3 2" xfId="20110"/>
    <cellStyle name="Обычный 5 18 19 3 2 2" xfId="20111"/>
    <cellStyle name="Обычный 5 18 19 3 2 2 2" xfId="49983"/>
    <cellStyle name="Обычный 5 18 19 3 2 3" xfId="49984"/>
    <cellStyle name="Обычный 5 18 19 3 3" xfId="20112"/>
    <cellStyle name="Обычный 5 18 19 3 3 2" xfId="49985"/>
    <cellStyle name="Обычный 5 18 19 3 4" xfId="49986"/>
    <cellStyle name="Обычный 5 18 19 4" xfId="20113"/>
    <cellStyle name="Обычный 5 18 19 4 2" xfId="20114"/>
    <cellStyle name="Обычный 5 18 19 4 2 2" xfId="20115"/>
    <cellStyle name="Обычный 5 18 19 4 2 2 2" xfId="49987"/>
    <cellStyle name="Обычный 5 18 19 4 2 3" xfId="49988"/>
    <cellStyle name="Обычный 5 18 19 4 3" xfId="20116"/>
    <cellStyle name="Обычный 5 18 19 4 3 2" xfId="49989"/>
    <cellStyle name="Обычный 5 18 19 4 4" xfId="49990"/>
    <cellStyle name="Обычный 5 18 19 5" xfId="20117"/>
    <cellStyle name="Обычный 5 18 19 5 2" xfId="20118"/>
    <cellStyle name="Обычный 5 18 19 5 2 2" xfId="49991"/>
    <cellStyle name="Обычный 5 18 19 5 3" xfId="49992"/>
    <cellStyle name="Обычный 5 18 19 6" xfId="20119"/>
    <cellStyle name="Обычный 5 18 19 6 2" xfId="49993"/>
    <cellStyle name="Обычный 5 18 19 7" xfId="20120"/>
    <cellStyle name="Обычный 5 18 19 7 2" xfId="49994"/>
    <cellStyle name="Обычный 5 18 19 8" xfId="49995"/>
    <cellStyle name="Обычный 5 18 2" xfId="20121"/>
    <cellStyle name="Обычный 5 18 2 2" xfId="20122"/>
    <cellStyle name="Обычный 5 18 2 2 2" xfId="20123"/>
    <cellStyle name="Обычный 5 18 2 2 2 2" xfId="20124"/>
    <cellStyle name="Обычный 5 18 2 2 2 2 2" xfId="49996"/>
    <cellStyle name="Обычный 5 18 2 2 2 3" xfId="49997"/>
    <cellStyle name="Обычный 5 18 2 2 3" xfId="20125"/>
    <cellStyle name="Обычный 5 18 2 2 3 2" xfId="49998"/>
    <cellStyle name="Обычный 5 18 2 2 4" xfId="49999"/>
    <cellStyle name="Обычный 5 18 2 3" xfId="20126"/>
    <cellStyle name="Обычный 5 18 2 3 2" xfId="20127"/>
    <cellStyle name="Обычный 5 18 2 3 2 2" xfId="20128"/>
    <cellStyle name="Обычный 5 18 2 3 2 2 2" xfId="50000"/>
    <cellStyle name="Обычный 5 18 2 3 2 3" xfId="50001"/>
    <cellStyle name="Обычный 5 18 2 3 3" xfId="20129"/>
    <cellStyle name="Обычный 5 18 2 3 3 2" xfId="50002"/>
    <cellStyle name="Обычный 5 18 2 3 4" xfId="50003"/>
    <cellStyle name="Обычный 5 18 2 4" xfId="20130"/>
    <cellStyle name="Обычный 5 18 2 4 2" xfId="20131"/>
    <cellStyle name="Обычный 5 18 2 4 2 2" xfId="20132"/>
    <cellStyle name="Обычный 5 18 2 4 2 2 2" xfId="50004"/>
    <cellStyle name="Обычный 5 18 2 4 2 3" xfId="50005"/>
    <cellStyle name="Обычный 5 18 2 4 3" xfId="20133"/>
    <cellStyle name="Обычный 5 18 2 4 3 2" xfId="50006"/>
    <cellStyle name="Обычный 5 18 2 4 4" xfId="50007"/>
    <cellStyle name="Обычный 5 18 2 5" xfId="20134"/>
    <cellStyle name="Обычный 5 18 2 5 2" xfId="20135"/>
    <cellStyle name="Обычный 5 18 2 5 2 2" xfId="50008"/>
    <cellStyle name="Обычный 5 18 2 5 3" xfId="50009"/>
    <cellStyle name="Обычный 5 18 2 6" xfId="20136"/>
    <cellStyle name="Обычный 5 18 2 6 2" xfId="50010"/>
    <cellStyle name="Обычный 5 18 2 7" xfId="20137"/>
    <cellStyle name="Обычный 5 18 2 7 2" xfId="50011"/>
    <cellStyle name="Обычный 5 18 2 8" xfId="50012"/>
    <cellStyle name="Обычный 5 18 20" xfId="20138"/>
    <cellStyle name="Обычный 5 18 20 2" xfId="20139"/>
    <cellStyle name="Обычный 5 18 20 2 2" xfId="20140"/>
    <cellStyle name="Обычный 5 18 20 2 2 2" xfId="20141"/>
    <cellStyle name="Обычный 5 18 20 2 2 2 2" xfId="50013"/>
    <cellStyle name="Обычный 5 18 20 2 2 3" xfId="50014"/>
    <cellStyle name="Обычный 5 18 20 2 3" xfId="20142"/>
    <cellStyle name="Обычный 5 18 20 2 3 2" xfId="50015"/>
    <cellStyle name="Обычный 5 18 20 2 4" xfId="50016"/>
    <cellStyle name="Обычный 5 18 20 3" xfId="20143"/>
    <cellStyle name="Обычный 5 18 20 3 2" xfId="20144"/>
    <cellStyle name="Обычный 5 18 20 3 2 2" xfId="20145"/>
    <cellStyle name="Обычный 5 18 20 3 2 2 2" xfId="50017"/>
    <cellStyle name="Обычный 5 18 20 3 2 3" xfId="50018"/>
    <cellStyle name="Обычный 5 18 20 3 3" xfId="20146"/>
    <cellStyle name="Обычный 5 18 20 3 3 2" xfId="50019"/>
    <cellStyle name="Обычный 5 18 20 3 4" xfId="50020"/>
    <cellStyle name="Обычный 5 18 20 4" xfId="20147"/>
    <cellStyle name="Обычный 5 18 20 4 2" xfId="20148"/>
    <cellStyle name="Обычный 5 18 20 4 2 2" xfId="20149"/>
    <cellStyle name="Обычный 5 18 20 4 2 2 2" xfId="50021"/>
    <cellStyle name="Обычный 5 18 20 4 2 3" xfId="50022"/>
    <cellStyle name="Обычный 5 18 20 4 3" xfId="20150"/>
    <cellStyle name="Обычный 5 18 20 4 3 2" xfId="50023"/>
    <cellStyle name="Обычный 5 18 20 4 4" xfId="50024"/>
    <cellStyle name="Обычный 5 18 20 5" xfId="20151"/>
    <cellStyle name="Обычный 5 18 20 5 2" xfId="20152"/>
    <cellStyle name="Обычный 5 18 20 5 2 2" xfId="50025"/>
    <cellStyle name="Обычный 5 18 20 5 3" xfId="50026"/>
    <cellStyle name="Обычный 5 18 20 6" xfId="20153"/>
    <cellStyle name="Обычный 5 18 20 6 2" xfId="50027"/>
    <cellStyle name="Обычный 5 18 20 7" xfId="20154"/>
    <cellStyle name="Обычный 5 18 20 7 2" xfId="50028"/>
    <cellStyle name="Обычный 5 18 20 8" xfId="50029"/>
    <cellStyle name="Обычный 5 18 21" xfId="20155"/>
    <cellStyle name="Обычный 5 18 21 2" xfId="20156"/>
    <cellStyle name="Обычный 5 18 21 2 2" xfId="20157"/>
    <cellStyle name="Обычный 5 18 21 2 2 2" xfId="20158"/>
    <cellStyle name="Обычный 5 18 21 2 2 2 2" xfId="50030"/>
    <cellStyle name="Обычный 5 18 21 2 2 3" xfId="50031"/>
    <cellStyle name="Обычный 5 18 21 2 3" xfId="20159"/>
    <cellStyle name="Обычный 5 18 21 2 3 2" xfId="50032"/>
    <cellStyle name="Обычный 5 18 21 2 4" xfId="50033"/>
    <cellStyle name="Обычный 5 18 21 3" xfId="20160"/>
    <cellStyle name="Обычный 5 18 21 3 2" xfId="20161"/>
    <cellStyle name="Обычный 5 18 21 3 2 2" xfId="20162"/>
    <cellStyle name="Обычный 5 18 21 3 2 2 2" xfId="50034"/>
    <cellStyle name="Обычный 5 18 21 3 2 3" xfId="50035"/>
    <cellStyle name="Обычный 5 18 21 3 3" xfId="20163"/>
    <cellStyle name="Обычный 5 18 21 3 3 2" xfId="50036"/>
    <cellStyle name="Обычный 5 18 21 3 4" xfId="50037"/>
    <cellStyle name="Обычный 5 18 21 4" xfId="20164"/>
    <cellStyle name="Обычный 5 18 21 4 2" xfId="20165"/>
    <cellStyle name="Обычный 5 18 21 4 2 2" xfId="20166"/>
    <cellStyle name="Обычный 5 18 21 4 2 2 2" xfId="50038"/>
    <cellStyle name="Обычный 5 18 21 4 2 3" xfId="50039"/>
    <cellStyle name="Обычный 5 18 21 4 3" xfId="20167"/>
    <cellStyle name="Обычный 5 18 21 4 3 2" xfId="50040"/>
    <cellStyle name="Обычный 5 18 21 4 4" xfId="50041"/>
    <cellStyle name="Обычный 5 18 21 5" xfId="20168"/>
    <cellStyle name="Обычный 5 18 21 5 2" xfId="20169"/>
    <cellStyle name="Обычный 5 18 21 5 2 2" xfId="50042"/>
    <cellStyle name="Обычный 5 18 21 5 3" xfId="50043"/>
    <cellStyle name="Обычный 5 18 21 6" xfId="20170"/>
    <cellStyle name="Обычный 5 18 21 6 2" xfId="50044"/>
    <cellStyle name="Обычный 5 18 21 7" xfId="20171"/>
    <cellStyle name="Обычный 5 18 21 7 2" xfId="50045"/>
    <cellStyle name="Обычный 5 18 21 8" xfId="50046"/>
    <cellStyle name="Обычный 5 18 22" xfId="20172"/>
    <cellStyle name="Обычный 5 18 22 2" xfId="20173"/>
    <cellStyle name="Обычный 5 18 22 2 2" xfId="20174"/>
    <cellStyle name="Обычный 5 18 22 2 2 2" xfId="20175"/>
    <cellStyle name="Обычный 5 18 22 2 2 2 2" xfId="50047"/>
    <cellStyle name="Обычный 5 18 22 2 2 3" xfId="50048"/>
    <cellStyle name="Обычный 5 18 22 2 3" xfId="20176"/>
    <cellStyle name="Обычный 5 18 22 2 3 2" xfId="50049"/>
    <cellStyle name="Обычный 5 18 22 2 4" xfId="50050"/>
    <cellStyle name="Обычный 5 18 22 3" xfId="20177"/>
    <cellStyle name="Обычный 5 18 22 3 2" xfId="20178"/>
    <cellStyle name="Обычный 5 18 22 3 2 2" xfId="20179"/>
    <cellStyle name="Обычный 5 18 22 3 2 2 2" xfId="50051"/>
    <cellStyle name="Обычный 5 18 22 3 2 3" xfId="50052"/>
    <cellStyle name="Обычный 5 18 22 3 3" xfId="20180"/>
    <cellStyle name="Обычный 5 18 22 3 3 2" xfId="50053"/>
    <cellStyle name="Обычный 5 18 22 3 4" xfId="50054"/>
    <cellStyle name="Обычный 5 18 22 4" xfId="20181"/>
    <cellStyle name="Обычный 5 18 22 4 2" xfId="20182"/>
    <cellStyle name="Обычный 5 18 22 4 2 2" xfId="20183"/>
    <cellStyle name="Обычный 5 18 22 4 2 2 2" xfId="50055"/>
    <cellStyle name="Обычный 5 18 22 4 2 3" xfId="50056"/>
    <cellStyle name="Обычный 5 18 22 4 3" xfId="20184"/>
    <cellStyle name="Обычный 5 18 22 4 3 2" xfId="50057"/>
    <cellStyle name="Обычный 5 18 22 4 4" xfId="50058"/>
    <cellStyle name="Обычный 5 18 22 5" xfId="20185"/>
    <cellStyle name="Обычный 5 18 22 5 2" xfId="20186"/>
    <cellStyle name="Обычный 5 18 22 5 2 2" xfId="50059"/>
    <cellStyle name="Обычный 5 18 22 5 3" xfId="50060"/>
    <cellStyle name="Обычный 5 18 22 6" xfId="20187"/>
    <cellStyle name="Обычный 5 18 22 6 2" xfId="50061"/>
    <cellStyle name="Обычный 5 18 22 7" xfId="20188"/>
    <cellStyle name="Обычный 5 18 22 7 2" xfId="50062"/>
    <cellStyle name="Обычный 5 18 22 8" xfId="50063"/>
    <cellStyle name="Обычный 5 18 23" xfId="20189"/>
    <cellStyle name="Обычный 5 18 23 2" xfId="20190"/>
    <cellStyle name="Обычный 5 18 23 2 2" xfId="20191"/>
    <cellStyle name="Обычный 5 18 23 2 2 2" xfId="20192"/>
    <cellStyle name="Обычный 5 18 23 2 2 2 2" xfId="50064"/>
    <cellStyle name="Обычный 5 18 23 2 2 3" xfId="50065"/>
    <cellStyle name="Обычный 5 18 23 2 3" xfId="20193"/>
    <cellStyle name="Обычный 5 18 23 2 3 2" xfId="50066"/>
    <cellStyle name="Обычный 5 18 23 2 4" xfId="50067"/>
    <cellStyle name="Обычный 5 18 23 3" xfId="20194"/>
    <cellStyle name="Обычный 5 18 23 3 2" xfId="20195"/>
    <cellStyle name="Обычный 5 18 23 3 2 2" xfId="20196"/>
    <cellStyle name="Обычный 5 18 23 3 2 2 2" xfId="50068"/>
    <cellStyle name="Обычный 5 18 23 3 2 3" xfId="50069"/>
    <cellStyle name="Обычный 5 18 23 3 3" xfId="20197"/>
    <cellStyle name="Обычный 5 18 23 3 3 2" xfId="50070"/>
    <cellStyle name="Обычный 5 18 23 3 4" xfId="50071"/>
    <cellStyle name="Обычный 5 18 23 4" xfId="20198"/>
    <cellStyle name="Обычный 5 18 23 4 2" xfId="20199"/>
    <cellStyle name="Обычный 5 18 23 4 2 2" xfId="20200"/>
    <cellStyle name="Обычный 5 18 23 4 2 2 2" xfId="50072"/>
    <cellStyle name="Обычный 5 18 23 4 2 3" xfId="50073"/>
    <cellStyle name="Обычный 5 18 23 4 3" xfId="20201"/>
    <cellStyle name="Обычный 5 18 23 4 3 2" xfId="50074"/>
    <cellStyle name="Обычный 5 18 23 4 4" xfId="50075"/>
    <cellStyle name="Обычный 5 18 23 5" xfId="20202"/>
    <cellStyle name="Обычный 5 18 23 5 2" xfId="20203"/>
    <cellStyle name="Обычный 5 18 23 5 2 2" xfId="50076"/>
    <cellStyle name="Обычный 5 18 23 5 3" xfId="50077"/>
    <cellStyle name="Обычный 5 18 23 6" xfId="20204"/>
    <cellStyle name="Обычный 5 18 23 6 2" xfId="50078"/>
    <cellStyle name="Обычный 5 18 23 7" xfId="20205"/>
    <cellStyle name="Обычный 5 18 23 7 2" xfId="50079"/>
    <cellStyle name="Обычный 5 18 23 8" xfId="50080"/>
    <cellStyle name="Обычный 5 18 24" xfId="20206"/>
    <cellStyle name="Обычный 5 18 24 2" xfId="20207"/>
    <cellStyle name="Обычный 5 18 24 2 2" xfId="20208"/>
    <cellStyle name="Обычный 5 18 24 2 2 2" xfId="20209"/>
    <cellStyle name="Обычный 5 18 24 2 2 2 2" xfId="50081"/>
    <cellStyle name="Обычный 5 18 24 2 2 3" xfId="50082"/>
    <cellStyle name="Обычный 5 18 24 2 3" xfId="20210"/>
    <cellStyle name="Обычный 5 18 24 2 3 2" xfId="50083"/>
    <cellStyle name="Обычный 5 18 24 2 4" xfId="50084"/>
    <cellStyle name="Обычный 5 18 24 3" xfId="20211"/>
    <cellStyle name="Обычный 5 18 24 3 2" xfId="20212"/>
    <cellStyle name="Обычный 5 18 24 3 2 2" xfId="20213"/>
    <cellStyle name="Обычный 5 18 24 3 2 2 2" xfId="50085"/>
    <cellStyle name="Обычный 5 18 24 3 2 3" xfId="50086"/>
    <cellStyle name="Обычный 5 18 24 3 3" xfId="20214"/>
    <cellStyle name="Обычный 5 18 24 3 3 2" xfId="50087"/>
    <cellStyle name="Обычный 5 18 24 3 4" xfId="50088"/>
    <cellStyle name="Обычный 5 18 24 4" xfId="20215"/>
    <cellStyle name="Обычный 5 18 24 4 2" xfId="20216"/>
    <cellStyle name="Обычный 5 18 24 4 2 2" xfId="20217"/>
    <cellStyle name="Обычный 5 18 24 4 2 2 2" xfId="50089"/>
    <cellStyle name="Обычный 5 18 24 4 2 3" xfId="50090"/>
    <cellStyle name="Обычный 5 18 24 4 3" xfId="20218"/>
    <cellStyle name="Обычный 5 18 24 4 3 2" xfId="50091"/>
    <cellStyle name="Обычный 5 18 24 4 4" xfId="50092"/>
    <cellStyle name="Обычный 5 18 24 5" xfId="20219"/>
    <cellStyle name="Обычный 5 18 24 5 2" xfId="20220"/>
    <cellStyle name="Обычный 5 18 24 5 2 2" xfId="50093"/>
    <cellStyle name="Обычный 5 18 24 5 3" xfId="50094"/>
    <cellStyle name="Обычный 5 18 24 6" xfId="20221"/>
    <cellStyle name="Обычный 5 18 24 6 2" xfId="50095"/>
    <cellStyle name="Обычный 5 18 24 7" xfId="20222"/>
    <cellStyle name="Обычный 5 18 24 7 2" xfId="50096"/>
    <cellStyle name="Обычный 5 18 24 8" xfId="50097"/>
    <cellStyle name="Обычный 5 18 25" xfId="20223"/>
    <cellStyle name="Обычный 5 18 25 2" xfId="20224"/>
    <cellStyle name="Обычный 5 18 25 2 2" xfId="20225"/>
    <cellStyle name="Обычный 5 18 25 2 2 2" xfId="20226"/>
    <cellStyle name="Обычный 5 18 25 2 2 2 2" xfId="50098"/>
    <cellStyle name="Обычный 5 18 25 2 2 3" xfId="50099"/>
    <cellStyle name="Обычный 5 18 25 2 3" xfId="20227"/>
    <cellStyle name="Обычный 5 18 25 2 3 2" xfId="50100"/>
    <cellStyle name="Обычный 5 18 25 2 4" xfId="50101"/>
    <cellStyle name="Обычный 5 18 25 3" xfId="20228"/>
    <cellStyle name="Обычный 5 18 25 3 2" xfId="20229"/>
    <cellStyle name="Обычный 5 18 25 3 2 2" xfId="20230"/>
    <cellStyle name="Обычный 5 18 25 3 2 2 2" xfId="50102"/>
    <cellStyle name="Обычный 5 18 25 3 2 3" xfId="50103"/>
    <cellStyle name="Обычный 5 18 25 3 3" xfId="20231"/>
    <cellStyle name="Обычный 5 18 25 3 3 2" xfId="50104"/>
    <cellStyle name="Обычный 5 18 25 3 4" xfId="50105"/>
    <cellStyle name="Обычный 5 18 25 4" xfId="20232"/>
    <cellStyle name="Обычный 5 18 25 4 2" xfId="20233"/>
    <cellStyle name="Обычный 5 18 25 4 2 2" xfId="20234"/>
    <cellStyle name="Обычный 5 18 25 4 2 2 2" xfId="50106"/>
    <cellStyle name="Обычный 5 18 25 4 2 3" xfId="50107"/>
    <cellStyle name="Обычный 5 18 25 4 3" xfId="20235"/>
    <cellStyle name="Обычный 5 18 25 4 3 2" xfId="50108"/>
    <cellStyle name="Обычный 5 18 25 4 4" xfId="50109"/>
    <cellStyle name="Обычный 5 18 25 5" xfId="20236"/>
    <cellStyle name="Обычный 5 18 25 5 2" xfId="20237"/>
    <cellStyle name="Обычный 5 18 25 5 2 2" xfId="50110"/>
    <cellStyle name="Обычный 5 18 25 5 3" xfId="50111"/>
    <cellStyle name="Обычный 5 18 25 6" xfId="20238"/>
    <cellStyle name="Обычный 5 18 25 6 2" xfId="50112"/>
    <cellStyle name="Обычный 5 18 25 7" xfId="20239"/>
    <cellStyle name="Обычный 5 18 25 7 2" xfId="50113"/>
    <cellStyle name="Обычный 5 18 25 8" xfId="50114"/>
    <cellStyle name="Обычный 5 18 26" xfId="20240"/>
    <cellStyle name="Обычный 5 18 26 2" xfId="20241"/>
    <cellStyle name="Обычный 5 18 26 2 2" xfId="20242"/>
    <cellStyle name="Обычный 5 18 26 2 2 2" xfId="20243"/>
    <cellStyle name="Обычный 5 18 26 2 2 2 2" xfId="50115"/>
    <cellStyle name="Обычный 5 18 26 2 2 3" xfId="50116"/>
    <cellStyle name="Обычный 5 18 26 2 3" xfId="20244"/>
    <cellStyle name="Обычный 5 18 26 2 3 2" xfId="50117"/>
    <cellStyle name="Обычный 5 18 26 2 4" xfId="50118"/>
    <cellStyle name="Обычный 5 18 26 3" xfId="20245"/>
    <cellStyle name="Обычный 5 18 26 3 2" xfId="20246"/>
    <cellStyle name="Обычный 5 18 26 3 2 2" xfId="20247"/>
    <cellStyle name="Обычный 5 18 26 3 2 2 2" xfId="50119"/>
    <cellStyle name="Обычный 5 18 26 3 2 3" xfId="50120"/>
    <cellStyle name="Обычный 5 18 26 3 3" xfId="20248"/>
    <cellStyle name="Обычный 5 18 26 3 3 2" xfId="50121"/>
    <cellStyle name="Обычный 5 18 26 3 4" xfId="50122"/>
    <cellStyle name="Обычный 5 18 26 4" xfId="20249"/>
    <cellStyle name="Обычный 5 18 26 4 2" xfId="20250"/>
    <cellStyle name="Обычный 5 18 26 4 2 2" xfId="20251"/>
    <cellStyle name="Обычный 5 18 26 4 2 2 2" xfId="50123"/>
    <cellStyle name="Обычный 5 18 26 4 2 3" xfId="50124"/>
    <cellStyle name="Обычный 5 18 26 4 3" xfId="20252"/>
    <cellStyle name="Обычный 5 18 26 4 3 2" xfId="50125"/>
    <cellStyle name="Обычный 5 18 26 4 4" xfId="50126"/>
    <cellStyle name="Обычный 5 18 26 5" xfId="20253"/>
    <cellStyle name="Обычный 5 18 26 5 2" xfId="20254"/>
    <cellStyle name="Обычный 5 18 26 5 2 2" xfId="50127"/>
    <cellStyle name="Обычный 5 18 26 5 3" xfId="50128"/>
    <cellStyle name="Обычный 5 18 26 6" xfId="20255"/>
    <cellStyle name="Обычный 5 18 26 6 2" xfId="50129"/>
    <cellStyle name="Обычный 5 18 26 7" xfId="20256"/>
    <cellStyle name="Обычный 5 18 26 7 2" xfId="50130"/>
    <cellStyle name="Обычный 5 18 26 8" xfId="50131"/>
    <cellStyle name="Обычный 5 18 27" xfId="20257"/>
    <cellStyle name="Обычный 5 18 27 2" xfId="20258"/>
    <cellStyle name="Обычный 5 18 27 2 2" xfId="20259"/>
    <cellStyle name="Обычный 5 18 27 2 2 2" xfId="20260"/>
    <cellStyle name="Обычный 5 18 27 2 2 2 2" xfId="50132"/>
    <cellStyle name="Обычный 5 18 27 2 2 3" xfId="50133"/>
    <cellStyle name="Обычный 5 18 27 2 3" xfId="20261"/>
    <cellStyle name="Обычный 5 18 27 2 3 2" xfId="50134"/>
    <cellStyle name="Обычный 5 18 27 2 4" xfId="50135"/>
    <cellStyle name="Обычный 5 18 27 3" xfId="20262"/>
    <cellStyle name="Обычный 5 18 27 3 2" xfId="20263"/>
    <cellStyle name="Обычный 5 18 27 3 2 2" xfId="20264"/>
    <cellStyle name="Обычный 5 18 27 3 2 2 2" xfId="50136"/>
    <cellStyle name="Обычный 5 18 27 3 2 3" xfId="50137"/>
    <cellStyle name="Обычный 5 18 27 3 3" xfId="20265"/>
    <cellStyle name="Обычный 5 18 27 3 3 2" xfId="50138"/>
    <cellStyle name="Обычный 5 18 27 3 4" xfId="50139"/>
    <cellStyle name="Обычный 5 18 27 4" xfId="20266"/>
    <cellStyle name="Обычный 5 18 27 4 2" xfId="20267"/>
    <cellStyle name="Обычный 5 18 27 4 2 2" xfId="20268"/>
    <cellStyle name="Обычный 5 18 27 4 2 2 2" xfId="50140"/>
    <cellStyle name="Обычный 5 18 27 4 2 3" xfId="50141"/>
    <cellStyle name="Обычный 5 18 27 4 3" xfId="20269"/>
    <cellStyle name="Обычный 5 18 27 4 3 2" xfId="50142"/>
    <cellStyle name="Обычный 5 18 27 4 4" xfId="50143"/>
    <cellStyle name="Обычный 5 18 27 5" xfId="20270"/>
    <cellStyle name="Обычный 5 18 27 5 2" xfId="20271"/>
    <cellStyle name="Обычный 5 18 27 5 2 2" xfId="50144"/>
    <cellStyle name="Обычный 5 18 27 5 3" xfId="50145"/>
    <cellStyle name="Обычный 5 18 27 6" xfId="20272"/>
    <cellStyle name="Обычный 5 18 27 6 2" xfId="50146"/>
    <cellStyle name="Обычный 5 18 27 7" xfId="20273"/>
    <cellStyle name="Обычный 5 18 27 7 2" xfId="50147"/>
    <cellStyle name="Обычный 5 18 27 8" xfId="50148"/>
    <cellStyle name="Обычный 5 18 28" xfId="20274"/>
    <cellStyle name="Обычный 5 18 28 2" xfId="20275"/>
    <cellStyle name="Обычный 5 18 28 2 2" xfId="20276"/>
    <cellStyle name="Обычный 5 18 28 2 2 2" xfId="20277"/>
    <cellStyle name="Обычный 5 18 28 2 2 2 2" xfId="50149"/>
    <cellStyle name="Обычный 5 18 28 2 2 3" xfId="50150"/>
    <cellStyle name="Обычный 5 18 28 2 3" xfId="20278"/>
    <cellStyle name="Обычный 5 18 28 2 3 2" xfId="50151"/>
    <cellStyle name="Обычный 5 18 28 2 4" xfId="50152"/>
    <cellStyle name="Обычный 5 18 28 3" xfId="20279"/>
    <cellStyle name="Обычный 5 18 28 3 2" xfId="20280"/>
    <cellStyle name="Обычный 5 18 28 3 2 2" xfId="20281"/>
    <cellStyle name="Обычный 5 18 28 3 2 2 2" xfId="50153"/>
    <cellStyle name="Обычный 5 18 28 3 2 3" xfId="50154"/>
    <cellStyle name="Обычный 5 18 28 3 3" xfId="20282"/>
    <cellStyle name="Обычный 5 18 28 3 3 2" xfId="50155"/>
    <cellStyle name="Обычный 5 18 28 3 4" xfId="50156"/>
    <cellStyle name="Обычный 5 18 28 4" xfId="20283"/>
    <cellStyle name="Обычный 5 18 28 4 2" xfId="20284"/>
    <cellStyle name="Обычный 5 18 28 4 2 2" xfId="20285"/>
    <cellStyle name="Обычный 5 18 28 4 2 2 2" xfId="50157"/>
    <cellStyle name="Обычный 5 18 28 4 2 3" xfId="50158"/>
    <cellStyle name="Обычный 5 18 28 4 3" xfId="20286"/>
    <cellStyle name="Обычный 5 18 28 4 3 2" xfId="50159"/>
    <cellStyle name="Обычный 5 18 28 4 4" xfId="50160"/>
    <cellStyle name="Обычный 5 18 28 5" xfId="20287"/>
    <cellStyle name="Обычный 5 18 28 5 2" xfId="20288"/>
    <cellStyle name="Обычный 5 18 28 5 2 2" xfId="50161"/>
    <cellStyle name="Обычный 5 18 28 5 3" xfId="50162"/>
    <cellStyle name="Обычный 5 18 28 6" xfId="20289"/>
    <cellStyle name="Обычный 5 18 28 6 2" xfId="50163"/>
    <cellStyle name="Обычный 5 18 28 7" xfId="20290"/>
    <cellStyle name="Обычный 5 18 28 7 2" xfId="50164"/>
    <cellStyle name="Обычный 5 18 28 8" xfId="50165"/>
    <cellStyle name="Обычный 5 18 29" xfId="20291"/>
    <cellStyle name="Обычный 5 18 29 2" xfId="20292"/>
    <cellStyle name="Обычный 5 18 29 2 2" xfId="20293"/>
    <cellStyle name="Обычный 5 18 29 2 2 2" xfId="20294"/>
    <cellStyle name="Обычный 5 18 29 2 2 2 2" xfId="50166"/>
    <cellStyle name="Обычный 5 18 29 2 2 3" xfId="50167"/>
    <cellStyle name="Обычный 5 18 29 2 3" xfId="20295"/>
    <cellStyle name="Обычный 5 18 29 2 3 2" xfId="50168"/>
    <cellStyle name="Обычный 5 18 29 2 4" xfId="50169"/>
    <cellStyle name="Обычный 5 18 29 3" xfId="20296"/>
    <cellStyle name="Обычный 5 18 29 3 2" xfId="20297"/>
    <cellStyle name="Обычный 5 18 29 3 2 2" xfId="20298"/>
    <cellStyle name="Обычный 5 18 29 3 2 2 2" xfId="50170"/>
    <cellStyle name="Обычный 5 18 29 3 2 3" xfId="50171"/>
    <cellStyle name="Обычный 5 18 29 3 3" xfId="20299"/>
    <cellStyle name="Обычный 5 18 29 3 3 2" xfId="50172"/>
    <cellStyle name="Обычный 5 18 29 3 4" xfId="50173"/>
    <cellStyle name="Обычный 5 18 29 4" xfId="20300"/>
    <cellStyle name="Обычный 5 18 29 4 2" xfId="20301"/>
    <cellStyle name="Обычный 5 18 29 4 2 2" xfId="20302"/>
    <cellStyle name="Обычный 5 18 29 4 2 2 2" xfId="50174"/>
    <cellStyle name="Обычный 5 18 29 4 2 3" xfId="50175"/>
    <cellStyle name="Обычный 5 18 29 4 3" xfId="20303"/>
    <cellStyle name="Обычный 5 18 29 4 3 2" xfId="50176"/>
    <cellStyle name="Обычный 5 18 29 4 4" xfId="50177"/>
    <cellStyle name="Обычный 5 18 29 5" xfId="20304"/>
    <cellStyle name="Обычный 5 18 29 5 2" xfId="20305"/>
    <cellStyle name="Обычный 5 18 29 5 2 2" xfId="50178"/>
    <cellStyle name="Обычный 5 18 29 5 3" xfId="50179"/>
    <cellStyle name="Обычный 5 18 29 6" xfId="20306"/>
    <cellStyle name="Обычный 5 18 29 6 2" xfId="50180"/>
    <cellStyle name="Обычный 5 18 29 7" xfId="20307"/>
    <cellStyle name="Обычный 5 18 29 7 2" xfId="50181"/>
    <cellStyle name="Обычный 5 18 29 8" xfId="50182"/>
    <cellStyle name="Обычный 5 18 3" xfId="20308"/>
    <cellStyle name="Обычный 5 18 3 2" xfId="20309"/>
    <cellStyle name="Обычный 5 18 3 2 2" xfId="20310"/>
    <cellStyle name="Обычный 5 18 3 2 2 2" xfId="20311"/>
    <cellStyle name="Обычный 5 18 3 2 2 2 2" xfId="50183"/>
    <cellStyle name="Обычный 5 18 3 2 2 3" xfId="50184"/>
    <cellStyle name="Обычный 5 18 3 2 3" xfId="20312"/>
    <cellStyle name="Обычный 5 18 3 2 3 2" xfId="50185"/>
    <cellStyle name="Обычный 5 18 3 2 4" xfId="50186"/>
    <cellStyle name="Обычный 5 18 3 3" xfId="20313"/>
    <cellStyle name="Обычный 5 18 3 3 2" xfId="20314"/>
    <cellStyle name="Обычный 5 18 3 3 2 2" xfId="20315"/>
    <cellStyle name="Обычный 5 18 3 3 2 2 2" xfId="50187"/>
    <cellStyle name="Обычный 5 18 3 3 2 3" xfId="50188"/>
    <cellStyle name="Обычный 5 18 3 3 3" xfId="20316"/>
    <cellStyle name="Обычный 5 18 3 3 3 2" xfId="50189"/>
    <cellStyle name="Обычный 5 18 3 3 4" xfId="50190"/>
    <cellStyle name="Обычный 5 18 3 4" xfId="20317"/>
    <cellStyle name="Обычный 5 18 3 4 2" xfId="20318"/>
    <cellStyle name="Обычный 5 18 3 4 2 2" xfId="20319"/>
    <cellStyle name="Обычный 5 18 3 4 2 2 2" xfId="50191"/>
    <cellStyle name="Обычный 5 18 3 4 2 3" xfId="50192"/>
    <cellStyle name="Обычный 5 18 3 4 3" xfId="20320"/>
    <cellStyle name="Обычный 5 18 3 4 3 2" xfId="50193"/>
    <cellStyle name="Обычный 5 18 3 4 4" xfId="50194"/>
    <cellStyle name="Обычный 5 18 3 5" xfId="20321"/>
    <cellStyle name="Обычный 5 18 3 5 2" xfId="20322"/>
    <cellStyle name="Обычный 5 18 3 5 2 2" xfId="50195"/>
    <cellStyle name="Обычный 5 18 3 5 3" xfId="50196"/>
    <cellStyle name="Обычный 5 18 3 6" xfId="20323"/>
    <cellStyle name="Обычный 5 18 3 6 2" xfId="50197"/>
    <cellStyle name="Обычный 5 18 3 7" xfId="20324"/>
    <cellStyle name="Обычный 5 18 3 7 2" xfId="50198"/>
    <cellStyle name="Обычный 5 18 3 8" xfId="50199"/>
    <cellStyle name="Обычный 5 18 30" xfId="20325"/>
    <cellStyle name="Обычный 5 18 30 2" xfId="20326"/>
    <cellStyle name="Обычный 5 18 30 2 2" xfId="20327"/>
    <cellStyle name="Обычный 5 18 30 2 2 2" xfId="50200"/>
    <cellStyle name="Обычный 5 18 30 2 3" xfId="50201"/>
    <cellStyle name="Обычный 5 18 30 3" xfId="20328"/>
    <cellStyle name="Обычный 5 18 30 3 2" xfId="50202"/>
    <cellStyle name="Обычный 5 18 30 4" xfId="50203"/>
    <cellStyle name="Обычный 5 18 31" xfId="20329"/>
    <cellStyle name="Обычный 5 18 31 2" xfId="20330"/>
    <cellStyle name="Обычный 5 18 31 2 2" xfId="20331"/>
    <cellStyle name="Обычный 5 18 31 2 2 2" xfId="50204"/>
    <cellStyle name="Обычный 5 18 31 2 3" xfId="50205"/>
    <cellStyle name="Обычный 5 18 31 3" xfId="20332"/>
    <cellStyle name="Обычный 5 18 31 3 2" xfId="50206"/>
    <cellStyle name="Обычный 5 18 31 4" xfId="50207"/>
    <cellStyle name="Обычный 5 18 32" xfId="20333"/>
    <cellStyle name="Обычный 5 18 32 2" xfId="20334"/>
    <cellStyle name="Обычный 5 18 32 2 2" xfId="20335"/>
    <cellStyle name="Обычный 5 18 32 2 2 2" xfId="50208"/>
    <cellStyle name="Обычный 5 18 32 2 3" xfId="50209"/>
    <cellStyle name="Обычный 5 18 32 3" xfId="20336"/>
    <cellStyle name="Обычный 5 18 32 3 2" xfId="50210"/>
    <cellStyle name="Обычный 5 18 32 4" xfId="50211"/>
    <cellStyle name="Обычный 5 18 33" xfId="20337"/>
    <cellStyle name="Обычный 5 18 33 2" xfId="20338"/>
    <cellStyle name="Обычный 5 18 33 2 2" xfId="50212"/>
    <cellStyle name="Обычный 5 18 33 3" xfId="50213"/>
    <cellStyle name="Обычный 5 18 34" xfId="20339"/>
    <cellStyle name="Обычный 5 18 34 2" xfId="50214"/>
    <cellStyle name="Обычный 5 18 35" xfId="20340"/>
    <cellStyle name="Обычный 5 18 35 2" xfId="50215"/>
    <cellStyle name="Обычный 5 18 36" xfId="50216"/>
    <cellStyle name="Обычный 5 18 4" xfId="20341"/>
    <cellStyle name="Обычный 5 18 4 2" xfId="20342"/>
    <cellStyle name="Обычный 5 18 4 2 2" xfId="20343"/>
    <cellStyle name="Обычный 5 18 4 2 2 2" xfId="20344"/>
    <cellStyle name="Обычный 5 18 4 2 2 2 2" xfId="50217"/>
    <cellStyle name="Обычный 5 18 4 2 2 3" xfId="50218"/>
    <cellStyle name="Обычный 5 18 4 2 3" xfId="20345"/>
    <cellStyle name="Обычный 5 18 4 2 3 2" xfId="50219"/>
    <cellStyle name="Обычный 5 18 4 2 4" xfId="50220"/>
    <cellStyle name="Обычный 5 18 4 3" xfId="20346"/>
    <cellStyle name="Обычный 5 18 4 3 2" xfId="20347"/>
    <cellStyle name="Обычный 5 18 4 3 2 2" xfId="20348"/>
    <cellStyle name="Обычный 5 18 4 3 2 2 2" xfId="50221"/>
    <cellStyle name="Обычный 5 18 4 3 2 3" xfId="50222"/>
    <cellStyle name="Обычный 5 18 4 3 3" xfId="20349"/>
    <cellStyle name="Обычный 5 18 4 3 3 2" xfId="50223"/>
    <cellStyle name="Обычный 5 18 4 3 4" xfId="50224"/>
    <cellStyle name="Обычный 5 18 4 4" xfId="20350"/>
    <cellStyle name="Обычный 5 18 4 4 2" xfId="20351"/>
    <cellStyle name="Обычный 5 18 4 4 2 2" xfId="20352"/>
    <cellStyle name="Обычный 5 18 4 4 2 2 2" xfId="50225"/>
    <cellStyle name="Обычный 5 18 4 4 2 3" xfId="50226"/>
    <cellStyle name="Обычный 5 18 4 4 3" xfId="20353"/>
    <cellStyle name="Обычный 5 18 4 4 3 2" xfId="50227"/>
    <cellStyle name="Обычный 5 18 4 4 4" xfId="50228"/>
    <cellStyle name="Обычный 5 18 4 5" xfId="20354"/>
    <cellStyle name="Обычный 5 18 4 5 2" xfId="20355"/>
    <cellStyle name="Обычный 5 18 4 5 2 2" xfId="50229"/>
    <cellStyle name="Обычный 5 18 4 5 3" xfId="50230"/>
    <cellStyle name="Обычный 5 18 4 6" xfId="20356"/>
    <cellStyle name="Обычный 5 18 4 6 2" xfId="50231"/>
    <cellStyle name="Обычный 5 18 4 7" xfId="20357"/>
    <cellStyle name="Обычный 5 18 4 7 2" xfId="50232"/>
    <cellStyle name="Обычный 5 18 4 8" xfId="50233"/>
    <cellStyle name="Обычный 5 18 5" xfId="20358"/>
    <cellStyle name="Обычный 5 18 5 2" xfId="20359"/>
    <cellStyle name="Обычный 5 18 5 2 2" xfId="20360"/>
    <cellStyle name="Обычный 5 18 5 2 2 2" xfId="20361"/>
    <cellStyle name="Обычный 5 18 5 2 2 2 2" xfId="50234"/>
    <cellStyle name="Обычный 5 18 5 2 2 3" xfId="50235"/>
    <cellStyle name="Обычный 5 18 5 2 3" xfId="20362"/>
    <cellStyle name="Обычный 5 18 5 2 3 2" xfId="50236"/>
    <cellStyle name="Обычный 5 18 5 2 4" xfId="50237"/>
    <cellStyle name="Обычный 5 18 5 3" xfId="20363"/>
    <cellStyle name="Обычный 5 18 5 3 2" xfId="20364"/>
    <cellStyle name="Обычный 5 18 5 3 2 2" xfId="20365"/>
    <cellStyle name="Обычный 5 18 5 3 2 2 2" xfId="50238"/>
    <cellStyle name="Обычный 5 18 5 3 2 3" xfId="50239"/>
    <cellStyle name="Обычный 5 18 5 3 3" xfId="20366"/>
    <cellStyle name="Обычный 5 18 5 3 3 2" xfId="50240"/>
    <cellStyle name="Обычный 5 18 5 3 4" xfId="50241"/>
    <cellStyle name="Обычный 5 18 5 4" xfId="20367"/>
    <cellStyle name="Обычный 5 18 5 4 2" xfId="20368"/>
    <cellStyle name="Обычный 5 18 5 4 2 2" xfId="20369"/>
    <cellStyle name="Обычный 5 18 5 4 2 2 2" xfId="50242"/>
    <cellStyle name="Обычный 5 18 5 4 2 3" xfId="50243"/>
    <cellStyle name="Обычный 5 18 5 4 3" xfId="20370"/>
    <cellStyle name="Обычный 5 18 5 4 3 2" xfId="50244"/>
    <cellStyle name="Обычный 5 18 5 4 4" xfId="50245"/>
    <cellStyle name="Обычный 5 18 5 5" xfId="20371"/>
    <cellStyle name="Обычный 5 18 5 5 2" xfId="20372"/>
    <cellStyle name="Обычный 5 18 5 5 2 2" xfId="50246"/>
    <cellStyle name="Обычный 5 18 5 5 3" xfId="50247"/>
    <cellStyle name="Обычный 5 18 5 6" xfId="20373"/>
    <cellStyle name="Обычный 5 18 5 6 2" xfId="50248"/>
    <cellStyle name="Обычный 5 18 5 7" xfId="20374"/>
    <cellStyle name="Обычный 5 18 5 7 2" xfId="50249"/>
    <cellStyle name="Обычный 5 18 5 8" xfId="50250"/>
    <cellStyle name="Обычный 5 18 6" xfId="20375"/>
    <cellStyle name="Обычный 5 18 6 2" xfId="20376"/>
    <cellStyle name="Обычный 5 18 6 2 2" xfId="20377"/>
    <cellStyle name="Обычный 5 18 6 2 2 2" xfId="20378"/>
    <cellStyle name="Обычный 5 18 6 2 2 2 2" xfId="50251"/>
    <cellStyle name="Обычный 5 18 6 2 2 3" xfId="50252"/>
    <cellStyle name="Обычный 5 18 6 2 3" xfId="20379"/>
    <cellStyle name="Обычный 5 18 6 2 3 2" xfId="50253"/>
    <cellStyle name="Обычный 5 18 6 2 4" xfId="50254"/>
    <cellStyle name="Обычный 5 18 6 3" xfId="20380"/>
    <cellStyle name="Обычный 5 18 6 3 2" xfId="20381"/>
    <cellStyle name="Обычный 5 18 6 3 2 2" xfId="20382"/>
    <cellStyle name="Обычный 5 18 6 3 2 2 2" xfId="50255"/>
    <cellStyle name="Обычный 5 18 6 3 2 3" xfId="50256"/>
    <cellStyle name="Обычный 5 18 6 3 3" xfId="20383"/>
    <cellStyle name="Обычный 5 18 6 3 3 2" xfId="50257"/>
    <cellStyle name="Обычный 5 18 6 3 4" xfId="50258"/>
    <cellStyle name="Обычный 5 18 6 4" xfId="20384"/>
    <cellStyle name="Обычный 5 18 6 4 2" xfId="20385"/>
    <cellStyle name="Обычный 5 18 6 4 2 2" xfId="20386"/>
    <cellStyle name="Обычный 5 18 6 4 2 2 2" xfId="50259"/>
    <cellStyle name="Обычный 5 18 6 4 2 3" xfId="50260"/>
    <cellStyle name="Обычный 5 18 6 4 3" xfId="20387"/>
    <cellStyle name="Обычный 5 18 6 4 3 2" xfId="50261"/>
    <cellStyle name="Обычный 5 18 6 4 4" xfId="50262"/>
    <cellStyle name="Обычный 5 18 6 5" xfId="20388"/>
    <cellStyle name="Обычный 5 18 6 5 2" xfId="20389"/>
    <cellStyle name="Обычный 5 18 6 5 2 2" xfId="50263"/>
    <cellStyle name="Обычный 5 18 6 5 3" xfId="50264"/>
    <cellStyle name="Обычный 5 18 6 6" xfId="20390"/>
    <cellStyle name="Обычный 5 18 6 6 2" xfId="50265"/>
    <cellStyle name="Обычный 5 18 6 7" xfId="20391"/>
    <cellStyle name="Обычный 5 18 6 7 2" xfId="50266"/>
    <cellStyle name="Обычный 5 18 6 8" xfId="50267"/>
    <cellStyle name="Обычный 5 18 7" xfId="20392"/>
    <cellStyle name="Обычный 5 18 7 2" xfId="20393"/>
    <cellStyle name="Обычный 5 18 7 2 2" xfId="20394"/>
    <cellStyle name="Обычный 5 18 7 2 2 2" xfId="20395"/>
    <cellStyle name="Обычный 5 18 7 2 2 2 2" xfId="50268"/>
    <cellStyle name="Обычный 5 18 7 2 2 3" xfId="50269"/>
    <cellStyle name="Обычный 5 18 7 2 3" xfId="20396"/>
    <cellStyle name="Обычный 5 18 7 2 3 2" xfId="50270"/>
    <cellStyle name="Обычный 5 18 7 2 4" xfId="50271"/>
    <cellStyle name="Обычный 5 18 7 3" xfId="20397"/>
    <cellStyle name="Обычный 5 18 7 3 2" xfId="20398"/>
    <cellStyle name="Обычный 5 18 7 3 2 2" xfId="20399"/>
    <cellStyle name="Обычный 5 18 7 3 2 2 2" xfId="50272"/>
    <cellStyle name="Обычный 5 18 7 3 2 3" xfId="50273"/>
    <cellStyle name="Обычный 5 18 7 3 3" xfId="20400"/>
    <cellStyle name="Обычный 5 18 7 3 3 2" xfId="50274"/>
    <cellStyle name="Обычный 5 18 7 3 4" xfId="50275"/>
    <cellStyle name="Обычный 5 18 7 4" xfId="20401"/>
    <cellStyle name="Обычный 5 18 7 4 2" xfId="20402"/>
    <cellStyle name="Обычный 5 18 7 4 2 2" xfId="20403"/>
    <cellStyle name="Обычный 5 18 7 4 2 2 2" xfId="50276"/>
    <cellStyle name="Обычный 5 18 7 4 2 3" xfId="50277"/>
    <cellStyle name="Обычный 5 18 7 4 3" xfId="20404"/>
    <cellStyle name="Обычный 5 18 7 4 3 2" xfId="50278"/>
    <cellStyle name="Обычный 5 18 7 4 4" xfId="50279"/>
    <cellStyle name="Обычный 5 18 7 5" xfId="20405"/>
    <cellStyle name="Обычный 5 18 7 5 2" xfId="20406"/>
    <cellStyle name="Обычный 5 18 7 5 2 2" xfId="50280"/>
    <cellStyle name="Обычный 5 18 7 5 3" xfId="50281"/>
    <cellStyle name="Обычный 5 18 7 6" xfId="20407"/>
    <cellStyle name="Обычный 5 18 7 6 2" xfId="50282"/>
    <cellStyle name="Обычный 5 18 7 7" xfId="20408"/>
    <cellStyle name="Обычный 5 18 7 7 2" xfId="50283"/>
    <cellStyle name="Обычный 5 18 7 8" xfId="50284"/>
    <cellStyle name="Обычный 5 18 8" xfId="20409"/>
    <cellStyle name="Обычный 5 18 8 2" xfId="20410"/>
    <cellStyle name="Обычный 5 18 8 2 2" xfId="20411"/>
    <cellStyle name="Обычный 5 18 8 2 2 2" xfId="20412"/>
    <cellStyle name="Обычный 5 18 8 2 2 2 2" xfId="50285"/>
    <cellStyle name="Обычный 5 18 8 2 2 3" xfId="50286"/>
    <cellStyle name="Обычный 5 18 8 2 3" xfId="20413"/>
    <cellStyle name="Обычный 5 18 8 2 3 2" xfId="50287"/>
    <cellStyle name="Обычный 5 18 8 2 4" xfId="50288"/>
    <cellStyle name="Обычный 5 18 8 3" xfId="20414"/>
    <cellStyle name="Обычный 5 18 8 3 2" xfId="20415"/>
    <cellStyle name="Обычный 5 18 8 3 2 2" xfId="20416"/>
    <cellStyle name="Обычный 5 18 8 3 2 2 2" xfId="50289"/>
    <cellStyle name="Обычный 5 18 8 3 2 3" xfId="50290"/>
    <cellStyle name="Обычный 5 18 8 3 3" xfId="20417"/>
    <cellStyle name="Обычный 5 18 8 3 3 2" xfId="50291"/>
    <cellStyle name="Обычный 5 18 8 3 4" xfId="50292"/>
    <cellStyle name="Обычный 5 18 8 4" xfId="20418"/>
    <cellStyle name="Обычный 5 18 8 4 2" xfId="20419"/>
    <cellStyle name="Обычный 5 18 8 4 2 2" xfId="20420"/>
    <cellStyle name="Обычный 5 18 8 4 2 2 2" xfId="50293"/>
    <cellStyle name="Обычный 5 18 8 4 2 3" xfId="50294"/>
    <cellStyle name="Обычный 5 18 8 4 3" xfId="20421"/>
    <cellStyle name="Обычный 5 18 8 4 3 2" xfId="50295"/>
    <cellStyle name="Обычный 5 18 8 4 4" xfId="50296"/>
    <cellStyle name="Обычный 5 18 8 5" xfId="20422"/>
    <cellStyle name="Обычный 5 18 8 5 2" xfId="20423"/>
    <cellStyle name="Обычный 5 18 8 5 2 2" xfId="50297"/>
    <cellStyle name="Обычный 5 18 8 5 3" xfId="50298"/>
    <cellStyle name="Обычный 5 18 8 6" xfId="20424"/>
    <cellStyle name="Обычный 5 18 8 6 2" xfId="50299"/>
    <cellStyle name="Обычный 5 18 8 7" xfId="20425"/>
    <cellStyle name="Обычный 5 18 8 7 2" xfId="50300"/>
    <cellStyle name="Обычный 5 18 8 8" xfId="50301"/>
    <cellStyle name="Обычный 5 18 9" xfId="20426"/>
    <cellStyle name="Обычный 5 18 9 2" xfId="20427"/>
    <cellStyle name="Обычный 5 18 9 2 2" xfId="20428"/>
    <cellStyle name="Обычный 5 18 9 2 2 2" xfId="20429"/>
    <cellStyle name="Обычный 5 18 9 2 2 2 2" xfId="50302"/>
    <cellStyle name="Обычный 5 18 9 2 2 3" xfId="50303"/>
    <cellStyle name="Обычный 5 18 9 2 3" xfId="20430"/>
    <cellStyle name="Обычный 5 18 9 2 3 2" xfId="50304"/>
    <cellStyle name="Обычный 5 18 9 2 4" xfId="50305"/>
    <cellStyle name="Обычный 5 18 9 3" xfId="20431"/>
    <cellStyle name="Обычный 5 18 9 3 2" xfId="20432"/>
    <cellStyle name="Обычный 5 18 9 3 2 2" xfId="20433"/>
    <cellStyle name="Обычный 5 18 9 3 2 2 2" xfId="50306"/>
    <cellStyle name="Обычный 5 18 9 3 2 3" xfId="50307"/>
    <cellStyle name="Обычный 5 18 9 3 3" xfId="20434"/>
    <cellStyle name="Обычный 5 18 9 3 3 2" xfId="50308"/>
    <cellStyle name="Обычный 5 18 9 3 4" xfId="50309"/>
    <cellStyle name="Обычный 5 18 9 4" xfId="20435"/>
    <cellStyle name="Обычный 5 18 9 4 2" xfId="20436"/>
    <cellStyle name="Обычный 5 18 9 4 2 2" xfId="20437"/>
    <cellStyle name="Обычный 5 18 9 4 2 2 2" xfId="50310"/>
    <cellStyle name="Обычный 5 18 9 4 2 3" xfId="50311"/>
    <cellStyle name="Обычный 5 18 9 4 3" xfId="20438"/>
    <cellStyle name="Обычный 5 18 9 4 3 2" xfId="50312"/>
    <cellStyle name="Обычный 5 18 9 4 4" xfId="50313"/>
    <cellStyle name="Обычный 5 18 9 5" xfId="20439"/>
    <cellStyle name="Обычный 5 18 9 5 2" xfId="20440"/>
    <cellStyle name="Обычный 5 18 9 5 2 2" xfId="50314"/>
    <cellStyle name="Обычный 5 18 9 5 3" xfId="50315"/>
    <cellStyle name="Обычный 5 18 9 6" xfId="20441"/>
    <cellStyle name="Обычный 5 18 9 6 2" xfId="50316"/>
    <cellStyle name="Обычный 5 18 9 7" xfId="20442"/>
    <cellStyle name="Обычный 5 18 9 7 2" xfId="50317"/>
    <cellStyle name="Обычный 5 18 9 8" xfId="50318"/>
    <cellStyle name="Обычный 5 19" xfId="20443"/>
    <cellStyle name="Обычный 5 19 10" xfId="20444"/>
    <cellStyle name="Обычный 5 19 10 2" xfId="20445"/>
    <cellStyle name="Обычный 5 19 10 2 2" xfId="20446"/>
    <cellStyle name="Обычный 5 19 10 2 2 2" xfId="20447"/>
    <cellStyle name="Обычный 5 19 10 2 2 2 2" xfId="50319"/>
    <cellStyle name="Обычный 5 19 10 2 2 3" xfId="50320"/>
    <cellStyle name="Обычный 5 19 10 2 3" xfId="20448"/>
    <cellStyle name="Обычный 5 19 10 2 3 2" xfId="50321"/>
    <cellStyle name="Обычный 5 19 10 2 4" xfId="50322"/>
    <cellStyle name="Обычный 5 19 10 3" xfId="20449"/>
    <cellStyle name="Обычный 5 19 10 3 2" xfId="20450"/>
    <cellStyle name="Обычный 5 19 10 3 2 2" xfId="20451"/>
    <cellStyle name="Обычный 5 19 10 3 2 2 2" xfId="50323"/>
    <cellStyle name="Обычный 5 19 10 3 2 3" xfId="50324"/>
    <cellStyle name="Обычный 5 19 10 3 3" xfId="20452"/>
    <cellStyle name="Обычный 5 19 10 3 3 2" xfId="50325"/>
    <cellStyle name="Обычный 5 19 10 3 4" xfId="50326"/>
    <cellStyle name="Обычный 5 19 10 4" xfId="20453"/>
    <cellStyle name="Обычный 5 19 10 4 2" xfId="20454"/>
    <cellStyle name="Обычный 5 19 10 4 2 2" xfId="20455"/>
    <cellStyle name="Обычный 5 19 10 4 2 2 2" xfId="50327"/>
    <cellStyle name="Обычный 5 19 10 4 2 3" xfId="50328"/>
    <cellStyle name="Обычный 5 19 10 4 3" xfId="20456"/>
    <cellStyle name="Обычный 5 19 10 4 3 2" xfId="50329"/>
    <cellStyle name="Обычный 5 19 10 4 4" xfId="50330"/>
    <cellStyle name="Обычный 5 19 10 5" xfId="20457"/>
    <cellStyle name="Обычный 5 19 10 5 2" xfId="20458"/>
    <cellStyle name="Обычный 5 19 10 5 2 2" xfId="50331"/>
    <cellStyle name="Обычный 5 19 10 5 3" xfId="50332"/>
    <cellStyle name="Обычный 5 19 10 6" xfId="20459"/>
    <cellStyle name="Обычный 5 19 10 6 2" xfId="50333"/>
    <cellStyle name="Обычный 5 19 10 7" xfId="20460"/>
    <cellStyle name="Обычный 5 19 10 7 2" xfId="50334"/>
    <cellStyle name="Обычный 5 19 10 8" xfId="50335"/>
    <cellStyle name="Обычный 5 19 11" xfId="20461"/>
    <cellStyle name="Обычный 5 19 11 2" xfId="20462"/>
    <cellStyle name="Обычный 5 19 11 2 2" xfId="20463"/>
    <cellStyle name="Обычный 5 19 11 2 2 2" xfId="20464"/>
    <cellStyle name="Обычный 5 19 11 2 2 2 2" xfId="50336"/>
    <cellStyle name="Обычный 5 19 11 2 2 3" xfId="50337"/>
    <cellStyle name="Обычный 5 19 11 2 3" xfId="20465"/>
    <cellStyle name="Обычный 5 19 11 2 3 2" xfId="50338"/>
    <cellStyle name="Обычный 5 19 11 2 4" xfId="50339"/>
    <cellStyle name="Обычный 5 19 11 3" xfId="20466"/>
    <cellStyle name="Обычный 5 19 11 3 2" xfId="20467"/>
    <cellStyle name="Обычный 5 19 11 3 2 2" xfId="20468"/>
    <cellStyle name="Обычный 5 19 11 3 2 2 2" xfId="50340"/>
    <cellStyle name="Обычный 5 19 11 3 2 3" xfId="50341"/>
    <cellStyle name="Обычный 5 19 11 3 3" xfId="20469"/>
    <cellStyle name="Обычный 5 19 11 3 3 2" xfId="50342"/>
    <cellStyle name="Обычный 5 19 11 3 4" xfId="50343"/>
    <cellStyle name="Обычный 5 19 11 4" xfId="20470"/>
    <cellStyle name="Обычный 5 19 11 4 2" xfId="20471"/>
    <cellStyle name="Обычный 5 19 11 4 2 2" xfId="20472"/>
    <cellStyle name="Обычный 5 19 11 4 2 2 2" xfId="50344"/>
    <cellStyle name="Обычный 5 19 11 4 2 3" xfId="50345"/>
    <cellStyle name="Обычный 5 19 11 4 3" xfId="20473"/>
    <cellStyle name="Обычный 5 19 11 4 3 2" xfId="50346"/>
    <cellStyle name="Обычный 5 19 11 4 4" xfId="50347"/>
    <cellStyle name="Обычный 5 19 11 5" xfId="20474"/>
    <cellStyle name="Обычный 5 19 11 5 2" xfId="20475"/>
    <cellStyle name="Обычный 5 19 11 5 2 2" xfId="50348"/>
    <cellStyle name="Обычный 5 19 11 5 3" xfId="50349"/>
    <cellStyle name="Обычный 5 19 11 6" xfId="20476"/>
    <cellStyle name="Обычный 5 19 11 6 2" xfId="50350"/>
    <cellStyle name="Обычный 5 19 11 7" xfId="20477"/>
    <cellStyle name="Обычный 5 19 11 7 2" xfId="50351"/>
    <cellStyle name="Обычный 5 19 11 8" xfId="50352"/>
    <cellStyle name="Обычный 5 19 12" xfId="20478"/>
    <cellStyle name="Обычный 5 19 12 2" xfId="20479"/>
    <cellStyle name="Обычный 5 19 12 2 2" xfId="20480"/>
    <cellStyle name="Обычный 5 19 12 2 2 2" xfId="20481"/>
    <cellStyle name="Обычный 5 19 12 2 2 2 2" xfId="50353"/>
    <cellStyle name="Обычный 5 19 12 2 2 3" xfId="50354"/>
    <cellStyle name="Обычный 5 19 12 2 3" xfId="20482"/>
    <cellStyle name="Обычный 5 19 12 2 3 2" xfId="50355"/>
    <cellStyle name="Обычный 5 19 12 2 4" xfId="50356"/>
    <cellStyle name="Обычный 5 19 12 3" xfId="20483"/>
    <cellStyle name="Обычный 5 19 12 3 2" xfId="20484"/>
    <cellStyle name="Обычный 5 19 12 3 2 2" xfId="20485"/>
    <cellStyle name="Обычный 5 19 12 3 2 2 2" xfId="50357"/>
    <cellStyle name="Обычный 5 19 12 3 2 3" xfId="50358"/>
    <cellStyle name="Обычный 5 19 12 3 3" xfId="20486"/>
    <cellStyle name="Обычный 5 19 12 3 3 2" xfId="50359"/>
    <cellStyle name="Обычный 5 19 12 3 4" xfId="50360"/>
    <cellStyle name="Обычный 5 19 12 4" xfId="20487"/>
    <cellStyle name="Обычный 5 19 12 4 2" xfId="20488"/>
    <cellStyle name="Обычный 5 19 12 4 2 2" xfId="20489"/>
    <cellStyle name="Обычный 5 19 12 4 2 2 2" xfId="50361"/>
    <cellStyle name="Обычный 5 19 12 4 2 3" xfId="50362"/>
    <cellStyle name="Обычный 5 19 12 4 3" xfId="20490"/>
    <cellStyle name="Обычный 5 19 12 4 3 2" xfId="50363"/>
    <cellStyle name="Обычный 5 19 12 4 4" xfId="50364"/>
    <cellStyle name="Обычный 5 19 12 5" xfId="20491"/>
    <cellStyle name="Обычный 5 19 12 5 2" xfId="20492"/>
    <cellStyle name="Обычный 5 19 12 5 2 2" xfId="50365"/>
    <cellStyle name="Обычный 5 19 12 5 3" xfId="50366"/>
    <cellStyle name="Обычный 5 19 12 6" xfId="20493"/>
    <cellStyle name="Обычный 5 19 12 6 2" xfId="50367"/>
    <cellStyle name="Обычный 5 19 12 7" xfId="20494"/>
    <cellStyle name="Обычный 5 19 12 7 2" xfId="50368"/>
    <cellStyle name="Обычный 5 19 12 8" xfId="50369"/>
    <cellStyle name="Обычный 5 19 13" xfId="20495"/>
    <cellStyle name="Обычный 5 19 13 2" xfId="20496"/>
    <cellStyle name="Обычный 5 19 13 2 2" xfId="20497"/>
    <cellStyle name="Обычный 5 19 13 2 2 2" xfId="20498"/>
    <cellStyle name="Обычный 5 19 13 2 2 2 2" xfId="50370"/>
    <cellStyle name="Обычный 5 19 13 2 2 3" xfId="50371"/>
    <cellStyle name="Обычный 5 19 13 2 3" xfId="20499"/>
    <cellStyle name="Обычный 5 19 13 2 3 2" xfId="50372"/>
    <cellStyle name="Обычный 5 19 13 2 4" xfId="50373"/>
    <cellStyle name="Обычный 5 19 13 3" xfId="20500"/>
    <cellStyle name="Обычный 5 19 13 3 2" xfId="20501"/>
    <cellStyle name="Обычный 5 19 13 3 2 2" xfId="20502"/>
    <cellStyle name="Обычный 5 19 13 3 2 2 2" xfId="50374"/>
    <cellStyle name="Обычный 5 19 13 3 2 3" xfId="50375"/>
    <cellStyle name="Обычный 5 19 13 3 3" xfId="20503"/>
    <cellStyle name="Обычный 5 19 13 3 3 2" xfId="50376"/>
    <cellStyle name="Обычный 5 19 13 3 4" xfId="50377"/>
    <cellStyle name="Обычный 5 19 13 4" xfId="20504"/>
    <cellStyle name="Обычный 5 19 13 4 2" xfId="20505"/>
    <cellStyle name="Обычный 5 19 13 4 2 2" xfId="20506"/>
    <cellStyle name="Обычный 5 19 13 4 2 2 2" xfId="50378"/>
    <cellStyle name="Обычный 5 19 13 4 2 3" xfId="50379"/>
    <cellStyle name="Обычный 5 19 13 4 3" xfId="20507"/>
    <cellStyle name="Обычный 5 19 13 4 3 2" xfId="50380"/>
    <cellStyle name="Обычный 5 19 13 4 4" xfId="50381"/>
    <cellStyle name="Обычный 5 19 13 5" xfId="20508"/>
    <cellStyle name="Обычный 5 19 13 5 2" xfId="20509"/>
    <cellStyle name="Обычный 5 19 13 5 2 2" xfId="50382"/>
    <cellStyle name="Обычный 5 19 13 5 3" xfId="50383"/>
    <cellStyle name="Обычный 5 19 13 6" xfId="20510"/>
    <cellStyle name="Обычный 5 19 13 6 2" xfId="50384"/>
    <cellStyle name="Обычный 5 19 13 7" xfId="20511"/>
    <cellStyle name="Обычный 5 19 13 7 2" xfId="50385"/>
    <cellStyle name="Обычный 5 19 13 8" xfId="50386"/>
    <cellStyle name="Обычный 5 19 14" xfId="20512"/>
    <cellStyle name="Обычный 5 19 14 2" xfId="20513"/>
    <cellStyle name="Обычный 5 19 14 2 2" xfId="20514"/>
    <cellStyle name="Обычный 5 19 14 2 2 2" xfId="20515"/>
    <cellStyle name="Обычный 5 19 14 2 2 2 2" xfId="50387"/>
    <cellStyle name="Обычный 5 19 14 2 2 3" xfId="50388"/>
    <cellStyle name="Обычный 5 19 14 2 3" xfId="20516"/>
    <cellStyle name="Обычный 5 19 14 2 3 2" xfId="50389"/>
    <cellStyle name="Обычный 5 19 14 2 4" xfId="50390"/>
    <cellStyle name="Обычный 5 19 14 3" xfId="20517"/>
    <cellStyle name="Обычный 5 19 14 3 2" xfId="20518"/>
    <cellStyle name="Обычный 5 19 14 3 2 2" xfId="20519"/>
    <cellStyle name="Обычный 5 19 14 3 2 2 2" xfId="50391"/>
    <cellStyle name="Обычный 5 19 14 3 2 3" xfId="50392"/>
    <cellStyle name="Обычный 5 19 14 3 3" xfId="20520"/>
    <cellStyle name="Обычный 5 19 14 3 3 2" xfId="50393"/>
    <cellStyle name="Обычный 5 19 14 3 4" xfId="50394"/>
    <cellStyle name="Обычный 5 19 14 4" xfId="20521"/>
    <cellStyle name="Обычный 5 19 14 4 2" xfId="20522"/>
    <cellStyle name="Обычный 5 19 14 4 2 2" xfId="20523"/>
    <cellStyle name="Обычный 5 19 14 4 2 2 2" xfId="50395"/>
    <cellStyle name="Обычный 5 19 14 4 2 3" xfId="50396"/>
    <cellStyle name="Обычный 5 19 14 4 3" xfId="20524"/>
    <cellStyle name="Обычный 5 19 14 4 3 2" xfId="50397"/>
    <cellStyle name="Обычный 5 19 14 4 4" xfId="50398"/>
    <cellStyle name="Обычный 5 19 14 5" xfId="20525"/>
    <cellStyle name="Обычный 5 19 14 5 2" xfId="20526"/>
    <cellStyle name="Обычный 5 19 14 5 2 2" xfId="50399"/>
    <cellStyle name="Обычный 5 19 14 5 3" xfId="50400"/>
    <cellStyle name="Обычный 5 19 14 6" xfId="20527"/>
    <cellStyle name="Обычный 5 19 14 6 2" xfId="50401"/>
    <cellStyle name="Обычный 5 19 14 7" xfId="20528"/>
    <cellStyle name="Обычный 5 19 14 7 2" xfId="50402"/>
    <cellStyle name="Обычный 5 19 14 8" xfId="50403"/>
    <cellStyle name="Обычный 5 19 15" xfId="20529"/>
    <cellStyle name="Обычный 5 19 15 2" xfId="20530"/>
    <cellStyle name="Обычный 5 19 15 2 2" xfId="20531"/>
    <cellStyle name="Обычный 5 19 15 2 2 2" xfId="20532"/>
    <cellStyle name="Обычный 5 19 15 2 2 2 2" xfId="50404"/>
    <cellStyle name="Обычный 5 19 15 2 2 3" xfId="50405"/>
    <cellStyle name="Обычный 5 19 15 2 3" xfId="20533"/>
    <cellStyle name="Обычный 5 19 15 2 3 2" xfId="50406"/>
    <cellStyle name="Обычный 5 19 15 2 4" xfId="50407"/>
    <cellStyle name="Обычный 5 19 15 3" xfId="20534"/>
    <cellStyle name="Обычный 5 19 15 3 2" xfId="20535"/>
    <cellStyle name="Обычный 5 19 15 3 2 2" xfId="20536"/>
    <cellStyle name="Обычный 5 19 15 3 2 2 2" xfId="50408"/>
    <cellStyle name="Обычный 5 19 15 3 2 3" xfId="50409"/>
    <cellStyle name="Обычный 5 19 15 3 3" xfId="20537"/>
    <cellStyle name="Обычный 5 19 15 3 3 2" xfId="50410"/>
    <cellStyle name="Обычный 5 19 15 3 4" xfId="50411"/>
    <cellStyle name="Обычный 5 19 15 4" xfId="20538"/>
    <cellStyle name="Обычный 5 19 15 4 2" xfId="20539"/>
    <cellStyle name="Обычный 5 19 15 4 2 2" xfId="20540"/>
    <cellStyle name="Обычный 5 19 15 4 2 2 2" xfId="50412"/>
    <cellStyle name="Обычный 5 19 15 4 2 3" xfId="50413"/>
    <cellStyle name="Обычный 5 19 15 4 3" xfId="20541"/>
    <cellStyle name="Обычный 5 19 15 4 3 2" xfId="50414"/>
    <cellStyle name="Обычный 5 19 15 4 4" xfId="50415"/>
    <cellStyle name="Обычный 5 19 15 5" xfId="20542"/>
    <cellStyle name="Обычный 5 19 15 5 2" xfId="20543"/>
    <cellStyle name="Обычный 5 19 15 5 2 2" xfId="50416"/>
    <cellStyle name="Обычный 5 19 15 5 3" xfId="50417"/>
    <cellStyle name="Обычный 5 19 15 6" xfId="20544"/>
    <cellStyle name="Обычный 5 19 15 6 2" xfId="50418"/>
    <cellStyle name="Обычный 5 19 15 7" xfId="20545"/>
    <cellStyle name="Обычный 5 19 15 7 2" xfId="50419"/>
    <cellStyle name="Обычный 5 19 15 8" xfId="50420"/>
    <cellStyle name="Обычный 5 19 16" xfId="20546"/>
    <cellStyle name="Обычный 5 19 16 2" xfId="20547"/>
    <cellStyle name="Обычный 5 19 16 2 2" xfId="20548"/>
    <cellStyle name="Обычный 5 19 16 2 2 2" xfId="20549"/>
    <cellStyle name="Обычный 5 19 16 2 2 2 2" xfId="50421"/>
    <cellStyle name="Обычный 5 19 16 2 2 3" xfId="50422"/>
    <cellStyle name="Обычный 5 19 16 2 3" xfId="20550"/>
    <cellStyle name="Обычный 5 19 16 2 3 2" xfId="50423"/>
    <cellStyle name="Обычный 5 19 16 2 4" xfId="50424"/>
    <cellStyle name="Обычный 5 19 16 3" xfId="20551"/>
    <cellStyle name="Обычный 5 19 16 3 2" xfId="20552"/>
    <cellStyle name="Обычный 5 19 16 3 2 2" xfId="20553"/>
    <cellStyle name="Обычный 5 19 16 3 2 2 2" xfId="50425"/>
    <cellStyle name="Обычный 5 19 16 3 2 3" xfId="50426"/>
    <cellStyle name="Обычный 5 19 16 3 3" xfId="20554"/>
    <cellStyle name="Обычный 5 19 16 3 3 2" xfId="50427"/>
    <cellStyle name="Обычный 5 19 16 3 4" xfId="50428"/>
    <cellStyle name="Обычный 5 19 16 4" xfId="20555"/>
    <cellStyle name="Обычный 5 19 16 4 2" xfId="20556"/>
    <cellStyle name="Обычный 5 19 16 4 2 2" xfId="20557"/>
    <cellStyle name="Обычный 5 19 16 4 2 2 2" xfId="50429"/>
    <cellStyle name="Обычный 5 19 16 4 2 3" xfId="50430"/>
    <cellStyle name="Обычный 5 19 16 4 3" xfId="20558"/>
    <cellStyle name="Обычный 5 19 16 4 3 2" xfId="50431"/>
    <cellStyle name="Обычный 5 19 16 4 4" xfId="50432"/>
    <cellStyle name="Обычный 5 19 16 5" xfId="20559"/>
    <cellStyle name="Обычный 5 19 16 5 2" xfId="20560"/>
    <cellStyle name="Обычный 5 19 16 5 2 2" xfId="50433"/>
    <cellStyle name="Обычный 5 19 16 5 3" xfId="50434"/>
    <cellStyle name="Обычный 5 19 16 6" xfId="20561"/>
    <cellStyle name="Обычный 5 19 16 6 2" xfId="50435"/>
    <cellStyle name="Обычный 5 19 16 7" xfId="20562"/>
    <cellStyle name="Обычный 5 19 16 7 2" xfId="50436"/>
    <cellStyle name="Обычный 5 19 16 8" xfId="50437"/>
    <cellStyle name="Обычный 5 19 17" xfId="20563"/>
    <cellStyle name="Обычный 5 19 17 2" xfId="20564"/>
    <cellStyle name="Обычный 5 19 17 2 2" xfId="20565"/>
    <cellStyle name="Обычный 5 19 17 2 2 2" xfId="20566"/>
    <cellStyle name="Обычный 5 19 17 2 2 2 2" xfId="50438"/>
    <cellStyle name="Обычный 5 19 17 2 2 3" xfId="50439"/>
    <cellStyle name="Обычный 5 19 17 2 3" xfId="20567"/>
    <cellStyle name="Обычный 5 19 17 2 3 2" xfId="50440"/>
    <cellStyle name="Обычный 5 19 17 2 4" xfId="50441"/>
    <cellStyle name="Обычный 5 19 17 3" xfId="20568"/>
    <cellStyle name="Обычный 5 19 17 3 2" xfId="20569"/>
    <cellStyle name="Обычный 5 19 17 3 2 2" xfId="20570"/>
    <cellStyle name="Обычный 5 19 17 3 2 2 2" xfId="50442"/>
    <cellStyle name="Обычный 5 19 17 3 2 3" xfId="50443"/>
    <cellStyle name="Обычный 5 19 17 3 3" xfId="20571"/>
    <cellStyle name="Обычный 5 19 17 3 3 2" xfId="50444"/>
    <cellStyle name="Обычный 5 19 17 3 4" xfId="50445"/>
    <cellStyle name="Обычный 5 19 17 4" xfId="20572"/>
    <cellStyle name="Обычный 5 19 17 4 2" xfId="20573"/>
    <cellStyle name="Обычный 5 19 17 4 2 2" xfId="20574"/>
    <cellStyle name="Обычный 5 19 17 4 2 2 2" xfId="50446"/>
    <cellStyle name="Обычный 5 19 17 4 2 3" xfId="50447"/>
    <cellStyle name="Обычный 5 19 17 4 3" xfId="20575"/>
    <cellStyle name="Обычный 5 19 17 4 3 2" xfId="50448"/>
    <cellStyle name="Обычный 5 19 17 4 4" xfId="50449"/>
    <cellStyle name="Обычный 5 19 17 5" xfId="20576"/>
    <cellStyle name="Обычный 5 19 17 5 2" xfId="20577"/>
    <cellStyle name="Обычный 5 19 17 5 2 2" xfId="50450"/>
    <cellStyle name="Обычный 5 19 17 5 3" xfId="50451"/>
    <cellStyle name="Обычный 5 19 17 6" xfId="20578"/>
    <cellStyle name="Обычный 5 19 17 6 2" xfId="50452"/>
    <cellStyle name="Обычный 5 19 17 7" xfId="20579"/>
    <cellStyle name="Обычный 5 19 17 7 2" xfId="50453"/>
    <cellStyle name="Обычный 5 19 17 8" xfId="50454"/>
    <cellStyle name="Обычный 5 19 18" xfId="20580"/>
    <cellStyle name="Обычный 5 19 18 2" xfId="20581"/>
    <cellStyle name="Обычный 5 19 18 2 2" xfId="20582"/>
    <cellStyle name="Обычный 5 19 18 2 2 2" xfId="20583"/>
    <cellStyle name="Обычный 5 19 18 2 2 2 2" xfId="50455"/>
    <cellStyle name="Обычный 5 19 18 2 2 3" xfId="50456"/>
    <cellStyle name="Обычный 5 19 18 2 3" xfId="20584"/>
    <cellStyle name="Обычный 5 19 18 2 3 2" xfId="50457"/>
    <cellStyle name="Обычный 5 19 18 2 4" xfId="50458"/>
    <cellStyle name="Обычный 5 19 18 3" xfId="20585"/>
    <cellStyle name="Обычный 5 19 18 3 2" xfId="20586"/>
    <cellStyle name="Обычный 5 19 18 3 2 2" xfId="20587"/>
    <cellStyle name="Обычный 5 19 18 3 2 2 2" xfId="50459"/>
    <cellStyle name="Обычный 5 19 18 3 2 3" xfId="50460"/>
    <cellStyle name="Обычный 5 19 18 3 3" xfId="20588"/>
    <cellStyle name="Обычный 5 19 18 3 3 2" xfId="50461"/>
    <cellStyle name="Обычный 5 19 18 3 4" xfId="50462"/>
    <cellStyle name="Обычный 5 19 18 4" xfId="20589"/>
    <cellStyle name="Обычный 5 19 18 4 2" xfId="20590"/>
    <cellStyle name="Обычный 5 19 18 4 2 2" xfId="20591"/>
    <cellStyle name="Обычный 5 19 18 4 2 2 2" xfId="50463"/>
    <cellStyle name="Обычный 5 19 18 4 2 3" xfId="50464"/>
    <cellStyle name="Обычный 5 19 18 4 3" xfId="20592"/>
    <cellStyle name="Обычный 5 19 18 4 3 2" xfId="50465"/>
    <cellStyle name="Обычный 5 19 18 4 4" xfId="50466"/>
    <cellStyle name="Обычный 5 19 18 5" xfId="20593"/>
    <cellStyle name="Обычный 5 19 18 5 2" xfId="20594"/>
    <cellStyle name="Обычный 5 19 18 5 2 2" xfId="50467"/>
    <cellStyle name="Обычный 5 19 18 5 3" xfId="50468"/>
    <cellStyle name="Обычный 5 19 18 6" xfId="20595"/>
    <cellStyle name="Обычный 5 19 18 6 2" xfId="50469"/>
    <cellStyle name="Обычный 5 19 18 7" xfId="20596"/>
    <cellStyle name="Обычный 5 19 18 7 2" xfId="50470"/>
    <cellStyle name="Обычный 5 19 18 8" xfId="50471"/>
    <cellStyle name="Обычный 5 19 19" xfId="20597"/>
    <cellStyle name="Обычный 5 19 19 2" xfId="20598"/>
    <cellStyle name="Обычный 5 19 19 2 2" xfId="20599"/>
    <cellStyle name="Обычный 5 19 19 2 2 2" xfId="20600"/>
    <cellStyle name="Обычный 5 19 19 2 2 2 2" xfId="50472"/>
    <cellStyle name="Обычный 5 19 19 2 2 3" xfId="50473"/>
    <cellStyle name="Обычный 5 19 19 2 3" xfId="20601"/>
    <cellStyle name="Обычный 5 19 19 2 3 2" xfId="50474"/>
    <cellStyle name="Обычный 5 19 19 2 4" xfId="50475"/>
    <cellStyle name="Обычный 5 19 19 3" xfId="20602"/>
    <cellStyle name="Обычный 5 19 19 3 2" xfId="20603"/>
    <cellStyle name="Обычный 5 19 19 3 2 2" xfId="20604"/>
    <cellStyle name="Обычный 5 19 19 3 2 2 2" xfId="50476"/>
    <cellStyle name="Обычный 5 19 19 3 2 3" xfId="50477"/>
    <cellStyle name="Обычный 5 19 19 3 3" xfId="20605"/>
    <cellStyle name="Обычный 5 19 19 3 3 2" xfId="50478"/>
    <cellStyle name="Обычный 5 19 19 3 4" xfId="50479"/>
    <cellStyle name="Обычный 5 19 19 4" xfId="20606"/>
    <cellStyle name="Обычный 5 19 19 4 2" xfId="20607"/>
    <cellStyle name="Обычный 5 19 19 4 2 2" xfId="20608"/>
    <cellStyle name="Обычный 5 19 19 4 2 2 2" xfId="50480"/>
    <cellStyle name="Обычный 5 19 19 4 2 3" xfId="50481"/>
    <cellStyle name="Обычный 5 19 19 4 3" xfId="20609"/>
    <cellStyle name="Обычный 5 19 19 4 3 2" xfId="50482"/>
    <cellStyle name="Обычный 5 19 19 4 4" xfId="50483"/>
    <cellStyle name="Обычный 5 19 19 5" xfId="20610"/>
    <cellStyle name="Обычный 5 19 19 5 2" xfId="20611"/>
    <cellStyle name="Обычный 5 19 19 5 2 2" xfId="50484"/>
    <cellStyle name="Обычный 5 19 19 5 3" xfId="50485"/>
    <cellStyle name="Обычный 5 19 19 6" xfId="20612"/>
    <cellStyle name="Обычный 5 19 19 6 2" xfId="50486"/>
    <cellStyle name="Обычный 5 19 19 7" xfId="20613"/>
    <cellStyle name="Обычный 5 19 19 7 2" xfId="50487"/>
    <cellStyle name="Обычный 5 19 19 8" xfId="50488"/>
    <cellStyle name="Обычный 5 19 2" xfId="20614"/>
    <cellStyle name="Обычный 5 19 2 2" xfId="20615"/>
    <cellStyle name="Обычный 5 19 2 2 2" xfId="20616"/>
    <cellStyle name="Обычный 5 19 2 2 2 2" xfId="20617"/>
    <cellStyle name="Обычный 5 19 2 2 2 2 2" xfId="50489"/>
    <cellStyle name="Обычный 5 19 2 2 2 3" xfId="50490"/>
    <cellStyle name="Обычный 5 19 2 2 3" xfId="20618"/>
    <cellStyle name="Обычный 5 19 2 2 3 2" xfId="50491"/>
    <cellStyle name="Обычный 5 19 2 2 4" xfId="50492"/>
    <cellStyle name="Обычный 5 19 2 3" xfId="20619"/>
    <cellStyle name="Обычный 5 19 2 3 2" xfId="20620"/>
    <cellStyle name="Обычный 5 19 2 3 2 2" xfId="20621"/>
    <cellStyle name="Обычный 5 19 2 3 2 2 2" xfId="50493"/>
    <cellStyle name="Обычный 5 19 2 3 2 3" xfId="50494"/>
    <cellStyle name="Обычный 5 19 2 3 3" xfId="20622"/>
    <cellStyle name="Обычный 5 19 2 3 3 2" xfId="50495"/>
    <cellStyle name="Обычный 5 19 2 3 4" xfId="50496"/>
    <cellStyle name="Обычный 5 19 2 4" xfId="20623"/>
    <cellStyle name="Обычный 5 19 2 4 2" xfId="20624"/>
    <cellStyle name="Обычный 5 19 2 4 2 2" xfId="20625"/>
    <cellStyle name="Обычный 5 19 2 4 2 2 2" xfId="50497"/>
    <cellStyle name="Обычный 5 19 2 4 2 3" xfId="50498"/>
    <cellStyle name="Обычный 5 19 2 4 3" xfId="20626"/>
    <cellStyle name="Обычный 5 19 2 4 3 2" xfId="50499"/>
    <cellStyle name="Обычный 5 19 2 4 4" xfId="50500"/>
    <cellStyle name="Обычный 5 19 2 5" xfId="20627"/>
    <cellStyle name="Обычный 5 19 2 5 2" xfId="20628"/>
    <cellStyle name="Обычный 5 19 2 5 2 2" xfId="50501"/>
    <cellStyle name="Обычный 5 19 2 5 3" xfId="50502"/>
    <cellStyle name="Обычный 5 19 2 6" xfId="20629"/>
    <cellStyle name="Обычный 5 19 2 6 2" xfId="50503"/>
    <cellStyle name="Обычный 5 19 2 7" xfId="20630"/>
    <cellStyle name="Обычный 5 19 2 7 2" xfId="50504"/>
    <cellStyle name="Обычный 5 19 2 8" xfId="50505"/>
    <cellStyle name="Обычный 5 19 20" xfId="20631"/>
    <cellStyle name="Обычный 5 19 20 2" xfId="20632"/>
    <cellStyle name="Обычный 5 19 20 2 2" xfId="20633"/>
    <cellStyle name="Обычный 5 19 20 2 2 2" xfId="20634"/>
    <cellStyle name="Обычный 5 19 20 2 2 2 2" xfId="50506"/>
    <cellStyle name="Обычный 5 19 20 2 2 3" xfId="50507"/>
    <cellStyle name="Обычный 5 19 20 2 3" xfId="20635"/>
    <cellStyle name="Обычный 5 19 20 2 3 2" xfId="50508"/>
    <cellStyle name="Обычный 5 19 20 2 4" xfId="50509"/>
    <cellStyle name="Обычный 5 19 20 3" xfId="20636"/>
    <cellStyle name="Обычный 5 19 20 3 2" xfId="20637"/>
    <cellStyle name="Обычный 5 19 20 3 2 2" xfId="20638"/>
    <cellStyle name="Обычный 5 19 20 3 2 2 2" xfId="50510"/>
    <cellStyle name="Обычный 5 19 20 3 2 3" xfId="50511"/>
    <cellStyle name="Обычный 5 19 20 3 3" xfId="20639"/>
    <cellStyle name="Обычный 5 19 20 3 3 2" xfId="50512"/>
    <cellStyle name="Обычный 5 19 20 3 4" xfId="50513"/>
    <cellStyle name="Обычный 5 19 20 4" xfId="20640"/>
    <cellStyle name="Обычный 5 19 20 4 2" xfId="20641"/>
    <cellStyle name="Обычный 5 19 20 4 2 2" xfId="20642"/>
    <cellStyle name="Обычный 5 19 20 4 2 2 2" xfId="50514"/>
    <cellStyle name="Обычный 5 19 20 4 2 3" xfId="50515"/>
    <cellStyle name="Обычный 5 19 20 4 3" xfId="20643"/>
    <cellStyle name="Обычный 5 19 20 4 3 2" xfId="50516"/>
    <cellStyle name="Обычный 5 19 20 4 4" xfId="50517"/>
    <cellStyle name="Обычный 5 19 20 5" xfId="20644"/>
    <cellStyle name="Обычный 5 19 20 5 2" xfId="20645"/>
    <cellStyle name="Обычный 5 19 20 5 2 2" xfId="50518"/>
    <cellStyle name="Обычный 5 19 20 5 3" xfId="50519"/>
    <cellStyle name="Обычный 5 19 20 6" xfId="20646"/>
    <cellStyle name="Обычный 5 19 20 6 2" xfId="50520"/>
    <cellStyle name="Обычный 5 19 20 7" xfId="20647"/>
    <cellStyle name="Обычный 5 19 20 7 2" xfId="50521"/>
    <cellStyle name="Обычный 5 19 20 8" xfId="50522"/>
    <cellStyle name="Обычный 5 19 21" xfId="20648"/>
    <cellStyle name="Обычный 5 19 21 2" xfId="20649"/>
    <cellStyle name="Обычный 5 19 21 2 2" xfId="20650"/>
    <cellStyle name="Обычный 5 19 21 2 2 2" xfId="20651"/>
    <cellStyle name="Обычный 5 19 21 2 2 2 2" xfId="50523"/>
    <cellStyle name="Обычный 5 19 21 2 2 3" xfId="50524"/>
    <cellStyle name="Обычный 5 19 21 2 3" xfId="20652"/>
    <cellStyle name="Обычный 5 19 21 2 3 2" xfId="50525"/>
    <cellStyle name="Обычный 5 19 21 2 4" xfId="50526"/>
    <cellStyle name="Обычный 5 19 21 3" xfId="20653"/>
    <cellStyle name="Обычный 5 19 21 3 2" xfId="20654"/>
    <cellStyle name="Обычный 5 19 21 3 2 2" xfId="20655"/>
    <cellStyle name="Обычный 5 19 21 3 2 2 2" xfId="50527"/>
    <cellStyle name="Обычный 5 19 21 3 2 3" xfId="50528"/>
    <cellStyle name="Обычный 5 19 21 3 3" xfId="20656"/>
    <cellStyle name="Обычный 5 19 21 3 3 2" xfId="50529"/>
    <cellStyle name="Обычный 5 19 21 3 4" xfId="50530"/>
    <cellStyle name="Обычный 5 19 21 4" xfId="20657"/>
    <cellStyle name="Обычный 5 19 21 4 2" xfId="20658"/>
    <cellStyle name="Обычный 5 19 21 4 2 2" xfId="20659"/>
    <cellStyle name="Обычный 5 19 21 4 2 2 2" xfId="50531"/>
    <cellStyle name="Обычный 5 19 21 4 2 3" xfId="50532"/>
    <cellStyle name="Обычный 5 19 21 4 3" xfId="20660"/>
    <cellStyle name="Обычный 5 19 21 4 3 2" xfId="50533"/>
    <cellStyle name="Обычный 5 19 21 4 4" xfId="50534"/>
    <cellStyle name="Обычный 5 19 21 5" xfId="20661"/>
    <cellStyle name="Обычный 5 19 21 5 2" xfId="20662"/>
    <cellStyle name="Обычный 5 19 21 5 2 2" xfId="50535"/>
    <cellStyle name="Обычный 5 19 21 5 3" xfId="50536"/>
    <cellStyle name="Обычный 5 19 21 6" xfId="20663"/>
    <cellStyle name="Обычный 5 19 21 6 2" xfId="50537"/>
    <cellStyle name="Обычный 5 19 21 7" xfId="20664"/>
    <cellStyle name="Обычный 5 19 21 7 2" xfId="50538"/>
    <cellStyle name="Обычный 5 19 21 8" xfId="50539"/>
    <cellStyle name="Обычный 5 19 22" xfId="20665"/>
    <cellStyle name="Обычный 5 19 22 2" xfId="20666"/>
    <cellStyle name="Обычный 5 19 22 2 2" xfId="20667"/>
    <cellStyle name="Обычный 5 19 22 2 2 2" xfId="20668"/>
    <cellStyle name="Обычный 5 19 22 2 2 2 2" xfId="50540"/>
    <cellStyle name="Обычный 5 19 22 2 2 3" xfId="50541"/>
    <cellStyle name="Обычный 5 19 22 2 3" xfId="20669"/>
    <cellStyle name="Обычный 5 19 22 2 3 2" xfId="50542"/>
    <cellStyle name="Обычный 5 19 22 2 4" xfId="50543"/>
    <cellStyle name="Обычный 5 19 22 3" xfId="20670"/>
    <cellStyle name="Обычный 5 19 22 3 2" xfId="20671"/>
    <cellStyle name="Обычный 5 19 22 3 2 2" xfId="20672"/>
    <cellStyle name="Обычный 5 19 22 3 2 2 2" xfId="50544"/>
    <cellStyle name="Обычный 5 19 22 3 2 3" xfId="50545"/>
    <cellStyle name="Обычный 5 19 22 3 3" xfId="20673"/>
    <cellStyle name="Обычный 5 19 22 3 3 2" xfId="50546"/>
    <cellStyle name="Обычный 5 19 22 3 4" xfId="50547"/>
    <cellStyle name="Обычный 5 19 22 4" xfId="20674"/>
    <cellStyle name="Обычный 5 19 22 4 2" xfId="20675"/>
    <cellStyle name="Обычный 5 19 22 4 2 2" xfId="20676"/>
    <cellStyle name="Обычный 5 19 22 4 2 2 2" xfId="50548"/>
    <cellStyle name="Обычный 5 19 22 4 2 3" xfId="50549"/>
    <cellStyle name="Обычный 5 19 22 4 3" xfId="20677"/>
    <cellStyle name="Обычный 5 19 22 4 3 2" xfId="50550"/>
    <cellStyle name="Обычный 5 19 22 4 4" xfId="50551"/>
    <cellStyle name="Обычный 5 19 22 5" xfId="20678"/>
    <cellStyle name="Обычный 5 19 22 5 2" xfId="20679"/>
    <cellStyle name="Обычный 5 19 22 5 2 2" xfId="50552"/>
    <cellStyle name="Обычный 5 19 22 5 3" xfId="50553"/>
    <cellStyle name="Обычный 5 19 22 6" xfId="20680"/>
    <cellStyle name="Обычный 5 19 22 6 2" xfId="50554"/>
    <cellStyle name="Обычный 5 19 22 7" xfId="20681"/>
    <cellStyle name="Обычный 5 19 22 7 2" xfId="50555"/>
    <cellStyle name="Обычный 5 19 22 8" xfId="50556"/>
    <cellStyle name="Обычный 5 19 23" xfId="20682"/>
    <cellStyle name="Обычный 5 19 23 2" xfId="20683"/>
    <cellStyle name="Обычный 5 19 23 2 2" xfId="20684"/>
    <cellStyle name="Обычный 5 19 23 2 2 2" xfId="20685"/>
    <cellStyle name="Обычный 5 19 23 2 2 2 2" xfId="50557"/>
    <cellStyle name="Обычный 5 19 23 2 2 3" xfId="50558"/>
    <cellStyle name="Обычный 5 19 23 2 3" xfId="20686"/>
    <cellStyle name="Обычный 5 19 23 2 3 2" xfId="50559"/>
    <cellStyle name="Обычный 5 19 23 2 4" xfId="50560"/>
    <cellStyle name="Обычный 5 19 23 3" xfId="20687"/>
    <cellStyle name="Обычный 5 19 23 3 2" xfId="20688"/>
    <cellStyle name="Обычный 5 19 23 3 2 2" xfId="20689"/>
    <cellStyle name="Обычный 5 19 23 3 2 2 2" xfId="50561"/>
    <cellStyle name="Обычный 5 19 23 3 2 3" xfId="50562"/>
    <cellStyle name="Обычный 5 19 23 3 3" xfId="20690"/>
    <cellStyle name="Обычный 5 19 23 3 3 2" xfId="50563"/>
    <cellStyle name="Обычный 5 19 23 3 4" xfId="50564"/>
    <cellStyle name="Обычный 5 19 23 4" xfId="20691"/>
    <cellStyle name="Обычный 5 19 23 4 2" xfId="20692"/>
    <cellStyle name="Обычный 5 19 23 4 2 2" xfId="20693"/>
    <cellStyle name="Обычный 5 19 23 4 2 2 2" xfId="50565"/>
    <cellStyle name="Обычный 5 19 23 4 2 3" xfId="50566"/>
    <cellStyle name="Обычный 5 19 23 4 3" xfId="20694"/>
    <cellStyle name="Обычный 5 19 23 4 3 2" xfId="50567"/>
    <cellStyle name="Обычный 5 19 23 4 4" xfId="50568"/>
    <cellStyle name="Обычный 5 19 23 5" xfId="20695"/>
    <cellStyle name="Обычный 5 19 23 5 2" xfId="20696"/>
    <cellStyle name="Обычный 5 19 23 5 2 2" xfId="50569"/>
    <cellStyle name="Обычный 5 19 23 5 3" xfId="50570"/>
    <cellStyle name="Обычный 5 19 23 6" xfId="20697"/>
    <cellStyle name="Обычный 5 19 23 6 2" xfId="50571"/>
    <cellStyle name="Обычный 5 19 23 7" xfId="20698"/>
    <cellStyle name="Обычный 5 19 23 7 2" xfId="50572"/>
    <cellStyle name="Обычный 5 19 23 8" xfId="50573"/>
    <cellStyle name="Обычный 5 19 24" xfId="20699"/>
    <cellStyle name="Обычный 5 19 24 2" xfId="20700"/>
    <cellStyle name="Обычный 5 19 24 2 2" xfId="20701"/>
    <cellStyle name="Обычный 5 19 24 2 2 2" xfId="20702"/>
    <cellStyle name="Обычный 5 19 24 2 2 2 2" xfId="50574"/>
    <cellStyle name="Обычный 5 19 24 2 2 3" xfId="50575"/>
    <cellStyle name="Обычный 5 19 24 2 3" xfId="20703"/>
    <cellStyle name="Обычный 5 19 24 2 3 2" xfId="50576"/>
    <cellStyle name="Обычный 5 19 24 2 4" xfId="50577"/>
    <cellStyle name="Обычный 5 19 24 3" xfId="20704"/>
    <cellStyle name="Обычный 5 19 24 3 2" xfId="20705"/>
    <cellStyle name="Обычный 5 19 24 3 2 2" xfId="20706"/>
    <cellStyle name="Обычный 5 19 24 3 2 2 2" xfId="50578"/>
    <cellStyle name="Обычный 5 19 24 3 2 3" xfId="50579"/>
    <cellStyle name="Обычный 5 19 24 3 3" xfId="20707"/>
    <cellStyle name="Обычный 5 19 24 3 3 2" xfId="50580"/>
    <cellStyle name="Обычный 5 19 24 3 4" xfId="50581"/>
    <cellStyle name="Обычный 5 19 24 4" xfId="20708"/>
    <cellStyle name="Обычный 5 19 24 4 2" xfId="20709"/>
    <cellStyle name="Обычный 5 19 24 4 2 2" xfId="20710"/>
    <cellStyle name="Обычный 5 19 24 4 2 2 2" xfId="50582"/>
    <cellStyle name="Обычный 5 19 24 4 2 3" xfId="50583"/>
    <cellStyle name="Обычный 5 19 24 4 3" xfId="20711"/>
    <cellStyle name="Обычный 5 19 24 4 3 2" xfId="50584"/>
    <cellStyle name="Обычный 5 19 24 4 4" xfId="50585"/>
    <cellStyle name="Обычный 5 19 24 5" xfId="20712"/>
    <cellStyle name="Обычный 5 19 24 5 2" xfId="20713"/>
    <cellStyle name="Обычный 5 19 24 5 2 2" xfId="50586"/>
    <cellStyle name="Обычный 5 19 24 5 3" xfId="50587"/>
    <cellStyle name="Обычный 5 19 24 6" xfId="20714"/>
    <cellStyle name="Обычный 5 19 24 6 2" xfId="50588"/>
    <cellStyle name="Обычный 5 19 24 7" xfId="20715"/>
    <cellStyle name="Обычный 5 19 24 7 2" xfId="50589"/>
    <cellStyle name="Обычный 5 19 24 8" xfId="50590"/>
    <cellStyle name="Обычный 5 19 25" xfId="20716"/>
    <cellStyle name="Обычный 5 19 25 2" xfId="20717"/>
    <cellStyle name="Обычный 5 19 25 2 2" xfId="20718"/>
    <cellStyle name="Обычный 5 19 25 2 2 2" xfId="20719"/>
    <cellStyle name="Обычный 5 19 25 2 2 2 2" xfId="50591"/>
    <cellStyle name="Обычный 5 19 25 2 2 3" xfId="50592"/>
    <cellStyle name="Обычный 5 19 25 2 3" xfId="20720"/>
    <cellStyle name="Обычный 5 19 25 2 3 2" xfId="50593"/>
    <cellStyle name="Обычный 5 19 25 2 4" xfId="50594"/>
    <cellStyle name="Обычный 5 19 25 3" xfId="20721"/>
    <cellStyle name="Обычный 5 19 25 3 2" xfId="20722"/>
    <cellStyle name="Обычный 5 19 25 3 2 2" xfId="20723"/>
    <cellStyle name="Обычный 5 19 25 3 2 2 2" xfId="50595"/>
    <cellStyle name="Обычный 5 19 25 3 2 3" xfId="50596"/>
    <cellStyle name="Обычный 5 19 25 3 3" xfId="20724"/>
    <cellStyle name="Обычный 5 19 25 3 3 2" xfId="50597"/>
    <cellStyle name="Обычный 5 19 25 3 4" xfId="50598"/>
    <cellStyle name="Обычный 5 19 25 4" xfId="20725"/>
    <cellStyle name="Обычный 5 19 25 4 2" xfId="20726"/>
    <cellStyle name="Обычный 5 19 25 4 2 2" xfId="20727"/>
    <cellStyle name="Обычный 5 19 25 4 2 2 2" xfId="50599"/>
    <cellStyle name="Обычный 5 19 25 4 2 3" xfId="50600"/>
    <cellStyle name="Обычный 5 19 25 4 3" xfId="20728"/>
    <cellStyle name="Обычный 5 19 25 4 3 2" xfId="50601"/>
    <cellStyle name="Обычный 5 19 25 4 4" xfId="50602"/>
    <cellStyle name="Обычный 5 19 25 5" xfId="20729"/>
    <cellStyle name="Обычный 5 19 25 5 2" xfId="20730"/>
    <cellStyle name="Обычный 5 19 25 5 2 2" xfId="50603"/>
    <cellStyle name="Обычный 5 19 25 5 3" xfId="50604"/>
    <cellStyle name="Обычный 5 19 25 6" xfId="20731"/>
    <cellStyle name="Обычный 5 19 25 6 2" xfId="50605"/>
    <cellStyle name="Обычный 5 19 25 7" xfId="20732"/>
    <cellStyle name="Обычный 5 19 25 7 2" xfId="50606"/>
    <cellStyle name="Обычный 5 19 25 8" xfId="50607"/>
    <cellStyle name="Обычный 5 19 26" xfId="20733"/>
    <cellStyle name="Обычный 5 19 26 2" xfId="20734"/>
    <cellStyle name="Обычный 5 19 26 2 2" xfId="20735"/>
    <cellStyle name="Обычный 5 19 26 2 2 2" xfId="20736"/>
    <cellStyle name="Обычный 5 19 26 2 2 2 2" xfId="50608"/>
    <cellStyle name="Обычный 5 19 26 2 2 3" xfId="50609"/>
    <cellStyle name="Обычный 5 19 26 2 3" xfId="20737"/>
    <cellStyle name="Обычный 5 19 26 2 3 2" xfId="50610"/>
    <cellStyle name="Обычный 5 19 26 2 4" xfId="50611"/>
    <cellStyle name="Обычный 5 19 26 3" xfId="20738"/>
    <cellStyle name="Обычный 5 19 26 3 2" xfId="20739"/>
    <cellStyle name="Обычный 5 19 26 3 2 2" xfId="20740"/>
    <cellStyle name="Обычный 5 19 26 3 2 2 2" xfId="50612"/>
    <cellStyle name="Обычный 5 19 26 3 2 3" xfId="50613"/>
    <cellStyle name="Обычный 5 19 26 3 3" xfId="20741"/>
    <cellStyle name="Обычный 5 19 26 3 3 2" xfId="50614"/>
    <cellStyle name="Обычный 5 19 26 3 4" xfId="50615"/>
    <cellStyle name="Обычный 5 19 26 4" xfId="20742"/>
    <cellStyle name="Обычный 5 19 26 4 2" xfId="20743"/>
    <cellStyle name="Обычный 5 19 26 4 2 2" xfId="20744"/>
    <cellStyle name="Обычный 5 19 26 4 2 2 2" xfId="50616"/>
    <cellStyle name="Обычный 5 19 26 4 2 3" xfId="50617"/>
    <cellStyle name="Обычный 5 19 26 4 3" xfId="20745"/>
    <cellStyle name="Обычный 5 19 26 4 3 2" xfId="50618"/>
    <cellStyle name="Обычный 5 19 26 4 4" xfId="50619"/>
    <cellStyle name="Обычный 5 19 26 5" xfId="20746"/>
    <cellStyle name="Обычный 5 19 26 5 2" xfId="20747"/>
    <cellStyle name="Обычный 5 19 26 5 2 2" xfId="50620"/>
    <cellStyle name="Обычный 5 19 26 5 3" xfId="50621"/>
    <cellStyle name="Обычный 5 19 26 6" xfId="20748"/>
    <cellStyle name="Обычный 5 19 26 6 2" xfId="50622"/>
    <cellStyle name="Обычный 5 19 26 7" xfId="20749"/>
    <cellStyle name="Обычный 5 19 26 7 2" xfId="50623"/>
    <cellStyle name="Обычный 5 19 26 8" xfId="50624"/>
    <cellStyle name="Обычный 5 19 27" xfId="20750"/>
    <cellStyle name="Обычный 5 19 27 2" xfId="20751"/>
    <cellStyle name="Обычный 5 19 27 2 2" xfId="20752"/>
    <cellStyle name="Обычный 5 19 27 2 2 2" xfId="20753"/>
    <cellStyle name="Обычный 5 19 27 2 2 2 2" xfId="50625"/>
    <cellStyle name="Обычный 5 19 27 2 2 3" xfId="50626"/>
    <cellStyle name="Обычный 5 19 27 2 3" xfId="20754"/>
    <cellStyle name="Обычный 5 19 27 2 3 2" xfId="50627"/>
    <cellStyle name="Обычный 5 19 27 2 4" xfId="50628"/>
    <cellStyle name="Обычный 5 19 27 3" xfId="20755"/>
    <cellStyle name="Обычный 5 19 27 3 2" xfId="20756"/>
    <cellStyle name="Обычный 5 19 27 3 2 2" xfId="20757"/>
    <cellStyle name="Обычный 5 19 27 3 2 2 2" xfId="50629"/>
    <cellStyle name="Обычный 5 19 27 3 2 3" xfId="50630"/>
    <cellStyle name="Обычный 5 19 27 3 3" xfId="20758"/>
    <cellStyle name="Обычный 5 19 27 3 3 2" xfId="50631"/>
    <cellStyle name="Обычный 5 19 27 3 4" xfId="50632"/>
    <cellStyle name="Обычный 5 19 27 4" xfId="20759"/>
    <cellStyle name="Обычный 5 19 27 4 2" xfId="20760"/>
    <cellStyle name="Обычный 5 19 27 4 2 2" xfId="20761"/>
    <cellStyle name="Обычный 5 19 27 4 2 2 2" xfId="50633"/>
    <cellStyle name="Обычный 5 19 27 4 2 3" xfId="50634"/>
    <cellStyle name="Обычный 5 19 27 4 3" xfId="20762"/>
    <cellStyle name="Обычный 5 19 27 4 3 2" xfId="50635"/>
    <cellStyle name="Обычный 5 19 27 4 4" xfId="50636"/>
    <cellStyle name="Обычный 5 19 27 5" xfId="20763"/>
    <cellStyle name="Обычный 5 19 27 5 2" xfId="20764"/>
    <cellStyle name="Обычный 5 19 27 5 2 2" xfId="50637"/>
    <cellStyle name="Обычный 5 19 27 5 3" xfId="50638"/>
    <cellStyle name="Обычный 5 19 27 6" xfId="20765"/>
    <cellStyle name="Обычный 5 19 27 6 2" xfId="50639"/>
    <cellStyle name="Обычный 5 19 27 7" xfId="20766"/>
    <cellStyle name="Обычный 5 19 27 7 2" xfId="50640"/>
    <cellStyle name="Обычный 5 19 27 8" xfId="50641"/>
    <cellStyle name="Обычный 5 19 28" xfId="20767"/>
    <cellStyle name="Обычный 5 19 28 2" xfId="20768"/>
    <cellStyle name="Обычный 5 19 28 2 2" xfId="20769"/>
    <cellStyle name="Обычный 5 19 28 2 2 2" xfId="20770"/>
    <cellStyle name="Обычный 5 19 28 2 2 2 2" xfId="50642"/>
    <cellStyle name="Обычный 5 19 28 2 2 3" xfId="50643"/>
    <cellStyle name="Обычный 5 19 28 2 3" xfId="20771"/>
    <cellStyle name="Обычный 5 19 28 2 3 2" xfId="50644"/>
    <cellStyle name="Обычный 5 19 28 2 4" xfId="50645"/>
    <cellStyle name="Обычный 5 19 28 3" xfId="20772"/>
    <cellStyle name="Обычный 5 19 28 3 2" xfId="20773"/>
    <cellStyle name="Обычный 5 19 28 3 2 2" xfId="20774"/>
    <cellStyle name="Обычный 5 19 28 3 2 2 2" xfId="50646"/>
    <cellStyle name="Обычный 5 19 28 3 2 3" xfId="50647"/>
    <cellStyle name="Обычный 5 19 28 3 3" xfId="20775"/>
    <cellStyle name="Обычный 5 19 28 3 3 2" xfId="50648"/>
    <cellStyle name="Обычный 5 19 28 3 4" xfId="50649"/>
    <cellStyle name="Обычный 5 19 28 4" xfId="20776"/>
    <cellStyle name="Обычный 5 19 28 4 2" xfId="20777"/>
    <cellStyle name="Обычный 5 19 28 4 2 2" xfId="20778"/>
    <cellStyle name="Обычный 5 19 28 4 2 2 2" xfId="50650"/>
    <cellStyle name="Обычный 5 19 28 4 2 3" xfId="50651"/>
    <cellStyle name="Обычный 5 19 28 4 3" xfId="20779"/>
    <cellStyle name="Обычный 5 19 28 4 3 2" xfId="50652"/>
    <cellStyle name="Обычный 5 19 28 4 4" xfId="50653"/>
    <cellStyle name="Обычный 5 19 28 5" xfId="20780"/>
    <cellStyle name="Обычный 5 19 28 5 2" xfId="20781"/>
    <cellStyle name="Обычный 5 19 28 5 2 2" xfId="50654"/>
    <cellStyle name="Обычный 5 19 28 5 3" xfId="50655"/>
    <cellStyle name="Обычный 5 19 28 6" xfId="20782"/>
    <cellStyle name="Обычный 5 19 28 6 2" xfId="50656"/>
    <cellStyle name="Обычный 5 19 28 7" xfId="20783"/>
    <cellStyle name="Обычный 5 19 28 7 2" xfId="50657"/>
    <cellStyle name="Обычный 5 19 28 8" xfId="50658"/>
    <cellStyle name="Обычный 5 19 29" xfId="20784"/>
    <cellStyle name="Обычный 5 19 29 2" xfId="20785"/>
    <cellStyle name="Обычный 5 19 29 2 2" xfId="20786"/>
    <cellStyle name="Обычный 5 19 29 2 2 2" xfId="20787"/>
    <cellStyle name="Обычный 5 19 29 2 2 2 2" xfId="50659"/>
    <cellStyle name="Обычный 5 19 29 2 2 3" xfId="50660"/>
    <cellStyle name="Обычный 5 19 29 2 3" xfId="20788"/>
    <cellStyle name="Обычный 5 19 29 2 3 2" xfId="50661"/>
    <cellStyle name="Обычный 5 19 29 2 4" xfId="50662"/>
    <cellStyle name="Обычный 5 19 29 3" xfId="20789"/>
    <cellStyle name="Обычный 5 19 29 3 2" xfId="20790"/>
    <cellStyle name="Обычный 5 19 29 3 2 2" xfId="20791"/>
    <cellStyle name="Обычный 5 19 29 3 2 2 2" xfId="50663"/>
    <cellStyle name="Обычный 5 19 29 3 2 3" xfId="50664"/>
    <cellStyle name="Обычный 5 19 29 3 3" xfId="20792"/>
    <cellStyle name="Обычный 5 19 29 3 3 2" xfId="50665"/>
    <cellStyle name="Обычный 5 19 29 3 4" xfId="50666"/>
    <cellStyle name="Обычный 5 19 29 4" xfId="20793"/>
    <cellStyle name="Обычный 5 19 29 4 2" xfId="20794"/>
    <cellStyle name="Обычный 5 19 29 4 2 2" xfId="20795"/>
    <cellStyle name="Обычный 5 19 29 4 2 2 2" xfId="50667"/>
    <cellStyle name="Обычный 5 19 29 4 2 3" xfId="50668"/>
    <cellStyle name="Обычный 5 19 29 4 3" xfId="20796"/>
    <cellStyle name="Обычный 5 19 29 4 3 2" xfId="50669"/>
    <cellStyle name="Обычный 5 19 29 4 4" xfId="50670"/>
    <cellStyle name="Обычный 5 19 29 5" xfId="20797"/>
    <cellStyle name="Обычный 5 19 29 5 2" xfId="20798"/>
    <cellStyle name="Обычный 5 19 29 5 2 2" xfId="50671"/>
    <cellStyle name="Обычный 5 19 29 5 3" xfId="50672"/>
    <cellStyle name="Обычный 5 19 29 6" xfId="20799"/>
    <cellStyle name="Обычный 5 19 29 6 2" xfId="50673"/>
    <cellStyle name="Обычный 5 19 29 7" xfId="20800"/>
    <cellStyle name="Обычный 5 19 29 7 2" xfId="50674"/>
    <cellStyle name="Обычный 5 19 29 8" xfId="50675"/>
    <cellStyle name="Обычный 5 19 3" xfId="20801"/>
    <cellStyle name="Обычный 5 19 3 2" xfId="20802"/>
    <cellStyle name="Обычный 5 19 3 2 2" xfId="20803"/>
    <cellStyle name="Обычный 5 19 3 2 2 2" xfId="20804"/>
    <cellStyle name="Обычный 5 19 3 2 2 2 2" xfId="50676"/>
    <cellStyle name="Обычный 5 19 3 2 2 3" xfId="50677"/>
    <cellStyle name="Обычный 5 19 3 2 3" xfId="20805"/>
    <cellStyle name="Обычный 5 19 3 2 3 2" xfId="50678"/>
    <cellStyle name="Обычный 5 19 3 2 4" xfId="50679"/>
    <cellStyle name="Обычный 5 19 3 3" xfId="20806"/>
    <cellStyle name="Обычный 5 19 3 3 2" xfId="20807"/>
    <cellStyle name="Обычный 5 19 3 3 2 2" xfId="20808"/>
    <cellStyle name="Обычный 5 19 3 3 2 2 2" xfId="50680"/>
    <cellStyle name="Обычный 5 19 3 3 2 3" xfId="50681"/>
    <cellStyle name="Обычный 5 19 3 3 3" xfId="20809"/>
    <cellStyle name="Обычный 5 19 3 3 3 2" xfId="50682"/>
    <cellStyle name="Обычный 5 19 3 3 4" xfId="50683"/>
    <cellStyle name="Обычный 5 19 3 4" xfId="20810"/>
    <cellStyle name="Обычный 5 19 3 4 2" xfId="20811"/>
    <cellStyle name="Обычный 5 19 3 4 2 2" xfId="20812"/>
    <cellStyle name="Обычный 5 19 3 4 2 2 2" xfId="50684"/>
    <cellStyle name="Обычный 5 19 3 4 2 3" xfId="50685"/>
    <cellStyle name="Обычный 5 19 3 4 3" xfId="20813"/>
    <cellStyle name="Обычный 5 19 3 4 3 2" xfId="50686"/>
    <cellStyle name="Обычный 5 19 3 4 4" xfId="50687"/>
    <cellStyle name="Обычный 5 19 3 5" xfId="20814"/>
    <cellStyle name="Обычный 5 19 3 5 2" xfId="20815"/>
    <cellStyle name="Обычный 5 19 3 5 2 2" xfId="50688"/>
    <cellStyle name="Обычный 5 19 3 5 3" xfId="50689"/>
    <cellStyle name="Обычный 5 19 3 6" xfId="20816"/>
    <cellStyle name="Обычный 5 19 3 6 2" xfId="50690"/>
    <cellStyle name="Обычный 5 19 3 7" xfId="20817"/>
    <cellStyle name="Обычный 5 19 3 7 2" xfId="50691"/>
    <cellStyle name="Обычный 5 19 3 8" xfId="50692"/>
    <cellStyle name="Обычный 5 19 30" xfId="20818"/>
    <cellStyle name="Обычный 5 19 30 2" xfId="20819"/>
    <cellStyle name="Обычный 5 19 30 2 2" xfId="20820"/>
    <cellStyle name="Обычный 5 19 30 2 2 2" xfId="50693"/>
    <cellStyle name="Обычный 5 19 30 2 3" xfId="50694"/>
    <cellStyle name="Обычный 5 19 30 3" xfId="20821"/>
    <cellStyle name="Обычный 5 19 30 3 2" xfId="50695"/>
    <cellStyle name="Обычный 5 19 30 4" xfId="50696"/>
    <cellStyle name="Обычный 5 19 31" xfId="20822"/>
    <cellStyle name="Обычный 5 19 31 2" xfId="20823"/>
    <cellStyle name="Обычный 5 19 31 2 2" xfId="20824"/>
    <cellStyle name="Обычный 5 19 31 2 2 2" xfId="50697"/>
    <cellStyle name="Обычный 5 19 31 2 3" xfId="50698"/>
    <cellStyle name="Обычный 5 19 31 3" xfId="20825"/>
    <cellStyle name="Обычный 5 19 31 3 2" xfId="50699"/>
    <cellStyle name="Обычный 5 19 31 4" xfId="50700"/>
    <cellStyle name="Обычный 5 19 32" xfId="20826"/>
    <cellStyle name="Обычный 5 19 32 2" xfId="20827"/>
    <cellStyle name="Обычный 5 19 32 2 2" xfId="20828"/>
    <cellStyle name="Обычный 5 19 32 2 2 2" xfId="50701"/>
    <cellStyle name="Обычный 5 19 32 2 3" xfId="50702"/>
    <cellStyle name="Обычный 5 19 32 3" xfId="20829"/>
    <cellStyle name="Обычный 5 19 32 3 2" xfId="50703"/>
    <cellStyle name="Обычный 5 19 32 4" xfId="50704"/>
    <cellStyle name="Обычный 5 19 33" xfId="20830"/>
    <cellStyle name="Обычный 5 19 33 2" xfId="20831"/>
    <cellStyle name="Обычный 5 19 33 2 2" xfId="50705"/>
    <cellStyle name="Обычный 5 19 33 3" xfId="50706"/>
    <cellStyle name="Обычный 5 19 34" xfId="20832"/>
    <cellStyle name="Обычный 5 19 34 2" xfId="50707"/>
    <cellStyle name="Обычный 5 19 35" xfId="20833"/>
    <cellStyle name="Обычный 5 19 35 2" xfId="50708"/>
    <cellStyle name="Обычный 5 19 36" xfId="50709"/>
    <cellStyle name="Обычный 5 19 4" xfId="20834"/>
    <cellStyle name="Обычный 5 19 4 2" xfId="20835"/>
    <cellStyle name="Обычный 5 19 4 2 2" xfId="20836"/>
    <cellStyle name="Обычный 5 19 4 2 2 2" xfId="20837"/>
    <cellStyle name="Обычный 5 19 4 2 2 2 2" xfId="50710"/>
    <cellStyle name="Обычный 5 19 4 2 2 3" xfId="50711"/>
    <cellStyle name="Обычный 5 19 4 2 3" xfId="20838"/>
    <cellStyle name="Обычный 5 19 4 2 3 2" xfId="50712"/>
    <cellStyle name="Обычный 5 19 4 2 4" xfId="50713"/>
    <cellStyle name="Обычный 5 19 4 3" xfId="20839"/>
    <cellStyle name="Обычный 5 19 4 3 2" xfId="20840"/>
    <cellStyle name="Обычный 5 19 4 3 2 2" xfId="20841"/>
    <cellStyle name="Обычный 5 19 4 3 2 2 2" xfId="50714"/>
    <cellStyle name="Обычный 5 19 4 3 2 3" xfId="50715"/>
    <cellStyle name="Обычный 5 19 4 3 3" xfId="20842"/>
    <cellStyle name="Обычный 5 19 4 3 3 2" xfId="50716"/>
    <cellStyle name="Обычный 5 19 4 3 4" xfId="50717"/>
    <cellStyle name="Обычный 5 19 4 4" xfId="20843"/>
    <cellStyle name="Обычный 5 19 4 4 2" xfId="20844"/>
    <cellStyle name="Обычный 5 19 4 4 2 2" xfId="20845"/>
    <cellStyle name="Обычный 5 19 4 4 2 2 2" xfId="50718"/>
    <cellStyle name="Обычный 5 19 4 4 2 3" xfId="50719"/>
    <cellStyle name="Обычный 5 19 4 4 3" xfId="20846"/>
    <cellStyle name="Обычный 5 19 4 4 3 2" xfId="50720"/>
    <cellStyle name="Обычный 5 19 4 4 4" xfId="50721"/>
    <cellStyle name="Обычный 5 19 4 5" xfId="20847"/>
    <cellStyle name="Обычный 5 19 4 5 2" xfId="20848"/>
    <cellStyle name="Обычный 5 19 4 5 2 2" xfId="50722"/>
    <cellStyle name="Обычный 5 19 4 5 3" xfId="50723"/>
    <cellStyle name="Обычный 5 19 4 6" xfId="20849"/>
    <cellStyle name="Обычный 5 19 4 6 2" xfId="50724"/>
    <cellStyle name="Обычный 5 19 4 7" xfId="20850"/>
    <cellStyle name="Обычный 5 19 4 7 2" xfId="50725"/>
    <cellStyle name="Обычный 5 19 4 8" xfId="50726"/>
    <cellStyle name="Обычный 5 19 5" xfId="20851"/>
    <cellStyle name="Обычный 5 19 5 2" xfId="20852"/>
    <cellStyle name="Обычный 5 19 5 2 2" xfId="20853"/>
    <cellStyle name="Обычный 5 19 5 2 2 2" xfId="20854"/>
    <cellStyle name="Обычный 5 19 5 2 2 2 2" xfId="50727"/>
    <cellStyle name="Обычный 5 19 5 2 2 3" xfId="50728"/>
    <cellStyle name="Обычный 5 19 5 2 3" xfId="20855"/>
    <cellStyle name="Обычный 5 19 5 2 3 2" xfId="50729"/>
    <cellStyle name="Обычный 5 19 5 2 4" xfId="50730"/>
    <cellStyle name="Обычный 5 19 5 3" xfId="20856"/>
    <cellStyle name="Обычный 5 19 5 3 2" xfId="20857"/>
    <cellStyle name="Обычный 5 19 5 3 2 2" xfId="20858"/>
    <cellStyle name="Обычный 5 19 5 3 2 2 2" xfId="50731"/>
    <cellStyle name="Обычный 5 19 5 3 2 3" xfId="50732"/>
    <cellStyle name="Обычный 5 19 5 3 3" xfId="20859"/>
    <cellStyle name="Обычный 5 19 5 3 3 2" xfId="50733"/>
    <cellStyle name="Обычный 5 19 5 3 4" xfId="50734"/>
    <cellStyle name="Обычный 5 19 5 4" xfId="20860"/>
    <cellStyle name="Обычный 5 19 5 4 2" xfId="20861"/>
    <cellStyle name="Обычный 5 19 5 4 2 2" xfId="20862"/>
    <cellStyle name="Обычный 5 19 5 4 2 2 2" xfId="50735"/>
    <cellStyle name="Обычный 5 19 5 4 2 3" xfId="50736"/>
    <cellStyle name="Обычный 5 19 5 4 3" xfId="20863"/>
    <cellStyle name="Обычный 5 19 5 4 3 2" xfId="50737"/>
    <cellStyle name="Обычный 5 19 5 4 4" xfId="50738"/>
    <cellStyle name="Обычный 5 19 5 5" xfId="20864"/>
    <cellStyle name="Обычный 5 19 5 5 2" xfId="20865"/>
    <cellStyle name="Обычный 5 19 5 5 2 2" xfId="50739"/>
    <cellStyle name="Обычный 5 19 5 5 3" xfId="50740"/>
    <cellStyle name="Обычный 5 19 5 6" xfId="20866"/>
    <cellStyle name="Обычный 5 19 5 6 2" xfId="50741"/>
    <cellStyle name="Обычный 5 19 5 7" xfId="20867"/>
    <cellStyle name="Обычный 5 19 5 7 2" xfId="50742"/>
    <cellStyle name="Обычный 5 19 5 8" xfId="50743"/>
    <cellStyle name="Обычный 5 19 6" xfId="20868"/>
    <cellStyle name="Обычный 5 19 6 2" xfId="20869"/>
    <cellStyle name="Обычный 5 19 6 2 2" xfId="20870"/>
    <cellStyle name="Обычный 5 19 6 2 2 2" xfId="20871"/>
    <cellStyle name="Обычный 5 19 6 2 2 2 2" xfId="50744"/>
    <cellStyle name="Обычный 5 19 6 2 2 3" xfId="50745"/>
    <cellStyle name="Обычный 5 19 6 2 3" xfId="20872"/>
    <cellStyle name="Обычный 5 19 6 2 3 2" xfId="50746"/>
    <cellStyle name="Обычный 5 19 6 2 4" xfId="50747"/>
    <cellStyle name="Обычный 5 19 6 3" xfId="20873"/>
    <cellStyle name="Обычный 5 19 6 3 2" xfId="20874"/>
    <cellStyle name="Обычный 5 19 6 3 2 2" xfId="20875"/>
    <cellStyle name="Обычный 5 19 6 3 2 2 2" xfId="50748"/>
    <cellStyle name="Обычный 5 19 6 3 2 3" xfId="50749"/>
    <cellStyle name="Обычный 5 19 6 3 3" xfId="20876"/>
    <cellStyle name="Обычный 5 19 6 3 3 2" xfId="50750"/>
    <cellStyle name="Обычный 5 19 6 3 4" xfId="50751"/>
    <cellStyle name="Обычный 5 19 6 4" xfId="20877"/>
    <cellStyle name="Обычный 5 19 6 4 2" xfId="20878"/>
    <cellStyle name="Обычный 5 19 6 4 2 2" xfId="20879"/>
    <cellStyle name="Обычный 5 19 6 4 2 2 2" xfId="50752"/>
    <cellStyle name="Обычный 5 19 6 4 2 3" xfId="50753"/>
    <cellStyle name="Обычный 5 19 6 4 3" xfId="20880"/>
    <cellStyle name="Обычный 5 19 6 4 3 2" xfId="50754"/>
    <cellStyle name="Обычный 5 19 6 4 4" xfId="50755"/>
    <cellStyle name="Обычный 5 19 6 5" xfId="20881"/>
    <cellStyle name="Обычный 5 19 6 5 2" xfId="20882"/>
    <cellStyle name="Обычный 5 19 6 5 2 2" xfId="50756"/>
    <cellStyle name="Обычный 5 19 6 5 3" xfId="50757"/>
    <cellStyle name="Обычный 5 19 6 6" xfId="20883"/>
    <cellStyle name="Обычный 5 19 6 6 2" xfId="50758"/>
    <cellStyle name="Обычный 5 19 6 7" xfId="20884"/>
    <cellStyle name="Обычный 5 19 6 7 2" xfId="50759"/>
    <cellStyle name="Обычный 5 19 6 8" xfId="50760"/>
    <cellStyle name="Обычный 5 19 7" xfId="20885"/>
    <cellStyle name="Обычный 5 19 7 2" xfId="20886"/>
    <cellStyle name="Обычный 5 19 7 2 2" xfId="20887"/>
    <cellStyle name="Обычный 5 19 7 2 2 2" xfId="20888"/>
    <cellStyle name="Обычный 5 19 7 2 2 2 2" xfId="50761"/>
    <cellStyle name="Обычный 5 19 7 2 2 3" xfId="50762"/>
    <cellStyle name="Обычный 5 19 7 2 3" xfId="20889"/>
    <cellStyle name="Обычный 5 19 7 2 3 2" xfId="50763"/>
    <cellStyle name="Обычный 5 19 7 2 4" xfId="50764"/>
    <cellStyle name="Обычный 5 19 7 3" xfId="20890"/>
    <cellStyle name="Обычный 5 19 7 3 2" xfId="20891"/>
    <cellStyle name="Обычный 5 19 7 3 2 2" xfId="20892"/>
    <cellStyle name="Обычный 5 19 7 3 2 2 2" xfId="50765"/>
    <cellStyle name="Обычный 5 19 7 3 2 3" xfId="50766"/>
    <cellStyle name="Обычный 5 19 7 3 3" xfId="20893"/>
    <cellStyle name="Обычный 5 19 7 3 3 2" xfId="50767"/>
    <cellStyle name="Обычный 5 19 7 3 4" xfId="50768"/>
    <cellStyle name="Обычный 5 19 7 4" xfId="20894"/>
    <cellStyle name="Обычный 5 19 7 4 2" xfId="20895"/>
    <cellStyle name="Обычный 5 19 7 4 2 2" xfId="20896"/>
    <cellStyle name="Обычный 5 19 7 4 2 2 2" xfId="50769"/>
    <cellStyle name="Обычный 5 19 7 4 2 3" xfId="50770"/>
    <cellStyle name="Обычный 5 19 7 4 3" xfId="20897"/>
    <cellStyle name="Обычный 5 19 7 4 3 2" xfId="50771"/>
    <cellStyle name="Обычный 5 19 7 4 4" xfId="50772"/>
    <cellStyle name="Обычный 5 19 7 5" xfId="20898"/>
    <cellStyle name="Обычный 5 19 7 5 2" xfId="20899"/>
    <cellStyle name="Обычный 5 19 7 5 2 2" xfId="50773"/>
    <cellStyle name="Обычный 5 19 7 5 3" xfId="50774"/>
    <cellStyle name="Обычный 5 19 7 6" xfId="20900"/>
    <cellStyle name="Обычный 5 19 7 6 2" xfId="50775"/>
    <cellStyle name="Обычный 5 19 7 7" xfId="20901"/>
    <cellStyle name="Обычный 5 19 7 7 2" xfId="50776"/>
    <cellStyle name="Обычный 5 19 7 8" xfId="50777"/>
    <cellStyle name="Обычный 5 19 8" xfId="20902"/>
    <cellStyle name="Обычный 5 19 8 2" xfId="20903"/>
    <cellStyle name="Обычный 5 19 8 2 2" xfId="20904"/>
    <cellStyle name="Обычный 5 19 8 2 2 2" xfId="20905"/>
    <cellStyle name="Обычный 5 19 8 2 2 2 2" xfId="50778"/>
    <cellStyle name="Обычный 5 19 8 2 2 3" xfId="50779"/>
    <cellStyle name="Обычный 5 19 8 2 3" xfId="20906"/>
    <cellStyle name="Обычный 5 19 8 2 3 2" xfId="50780"/>
    <cellStyle name="Обычный 5 19 8 2 4" xfId="50781"/>
    <cellStyle name="Обычный 5 19 8 3" xfId="20907"/>
    <cellStyle name="Обычный 5 19 8 3 2" xfId="20908"/>
    <cellStyle name="Обычный 5 19 8 3 2 2" xfId="20909"/>
    <cellStyle name="Обычный 5 19 8 3 2 2 2" xfId="50782"/>
    <cellStyle name="Обычный 5 19 8 3 2 3" xfId="50783"/>
    <cellStyle name="Обычный 5 19 8 3 3" xfId="20910"/>
    <cellStyle name="Обычный 5 19 8 3 3 2" xfId="50784"/>
    <cellStyle name="Обычный 5 19 8 3 4" xfId="50785"/>
    <cellStyle name="Обычный 5 19 8 4" xfId="20911"/>
    <cellStyle name="Обычный 5 19 8 4 2" xfId="20912"/>
    <cellStyle name="Обычный 5 19 8 4 2 2" xfId="20913"/>
    <cellStyle name="Обычный 5 19 8 4 2 2 2" xfId="50786"/>
    <cellStyle name="Обычный 5 19 8 4 2 3" xfId="50787"/>
    <cellStyle name="Обычный 5 19 8 4 3" xfId="20914"/>
    <cellStyle name="Обычный 5 19 8 4 3 2" xfId="50788"/>
    <cellStyle name="Обычный 5 19 8 4 4" xfId="50789"/>
    <cellStyle name="Обычный 5 19 8 5" xfId="20915"/>
    <cellStyle name="Обычный 5 19 8 5 2" xfId="20916"/>
    <cellStyle name="Обычный 5 19 8 5 2 2" xfId="50790"/>
    <cellStyle name="Обычный 5 19 8 5 3" xfId="50791"/>
    <cellStyle name="Обычный 5 19 8 6" xfId="20917"/>
    <cellStyle name="Обычный 5 19 8 6 2" xfId="50792"/>
    <cellStyle name="Обычный 5 19 8 7" xfId="20918"/>
    <cellStyle name="Обычный 5 19 8 7 2" xfId="50793"/>
    <cellStyle name="Обычный 5 19 8 8" xfId="50794"/>
    <cellStyle name="Обычный 5 19 9" xfId="20919"/>
    <cellStyle name="Обычный 5 19 9 2" xfId="20920"/>
    <cellStyle name="Обычный 5 19 9 2 2" xfId="20921"/>
    <cellStyle name="Обычный 5 19 9 2 2 2" xfId="20922"/>
    <cellStyle name="Обычный 5 19 9 2 2 2 2" xfId="50795"/>
    <cellStyle name="Обычный 5 19 9 2 2 3" xfId="50796"/>
    <cellStyle name="Обычный 5 19 9 2 3" xfId="20923"/>
    <cellStyle name="Обычный 5 19 9 2 3 2" xfId="50797"/>
    <cellStyle name="Обычный 5 19 9 2 4" xfId="50798"/>
    <cellStyle name="Обычный 5 19 9 3" xfId="20924"/>
    <cellStyle name="Обычный 5 19 9 3 2" xfId="20925"/>
    <cellStyle name="Обычный 5 19 9 3 2 2" xfId="20926"/>
    <cellStyle name="Обычный 5 19 9 3 2 2 2" xfId="50799"/>
    <cellStyle name="Обычный 5 19 9 3 2 3" xfId="50800"/>
    <cellStyle name="Обычный 5 19 9 3 3" xfId="20927"/>
    <cellStyle name="Обычный 5 19 9 3 3 2" xfId="50801"/>
    <cellStyle name="Обычный 5 19 9 3 4" xfId="50802"/>
    <cellStyle name="Обычный 5 19 9 4" xfId="20928"/>
    <cellStyle name="Обычный 5 19 9 4 2" xfId="20929"/>
    <cellStyle name="Обычный 5 19 9 4 2 2" xfId="20930"/>
    <cellStyle name="Обычный 5 19 9 4 2 2 2" xfId="50803"/>
    <cellStyle name="Обычный 5 19 9 4 2 3" xfId="50804"/>
    <cellStyle name="Обычный 5 19 9 4 3" xfId="20931"/>
    <cellStyle name="Обычный 5 19 9 4 3 2" xfId="50805"/>
    <cellStyle name="Обычный 5 19 9 4 4" xfId="50806"/>
    <cellStyle name="Обычный 5 19 9 5" xfId="20932"/>
    <cellStyle name="Обычный 5 19 9 5 2" xfId="20933"/>
    <cellStyle name="Обычный 5 19 9 5 2 2" xfId="50807"/>
    <cellStyle name="Обычный 5 19 9 5 3" xfId="50808"/>
    <cellStyle name="Обычный 5 19 9 6" xfId="20934"/>
    <cellStyle name="Обычный 5 19 9 6 2" xfId="50809"/>
    <cellStyle name="Обычный 5 19 9 7" xfId="20935"/>
    <cellStyle name="Обычный 5 19 9 7 2" xfId="50810"/>
    <cellStyle name="Обычный 5 19 9 8" xfId="50811"/>
    <cellStyle name="Обычный 5 2" xfId="20936"/>
    <cellStyle name="Обычный 5 2 10" xfId="20937"/>
    <cellStyle name="Обычный 5 2 10 2" xfId="20938"/>
    <cellStyle name="Обычный 5 2 10 2 2" xfId="20939"/>
    <cellStyle name="Обычный 5 2 10 2 2 2" xfId="20940"/>
    <cellStyle name="Обычный 5 2 10 2 2 2 2" xfId="50812"/>
    <cellStyle name="Обычный 5 2 10 2 2 3" xfId="50813"/>
    <cellStyle name="Обычный 5 2 10 2 3" xfId="20941"/>
    <cellStyle name="Обычный 5 2 10 2 3 2" xfId="50814"/>
    <cellStyle name="Обычный 5 2 10 2 4" xfId="50815"/>
    <cellStyle name="Обычный 5 2 10 3" xfId="20942"/>
    <cellStyle name="Обычный 5 2 10 3 2" xfId="20943"/>
    <cellStyle name="Обычный 5 2 10 3 2 2" xfId="20944"/>
    <cellStyle name="Обычный 5 2 10 3 2 2 2" xfId="50816"/>
    <cellStyle name="Обычный 5 2 10 3 2 3" xfId="50817"/>
    <cellStyle name="Обычный 5 2 10 3 3" xfId="20945"/>
    <cellStyle name="Обычный 5 2 10 3 3 2" xfId="50818"/>
    <cellStyle name="Обычный 5 2 10 3 4" xfId="50819"/>
    <cellStyle name="Обычный 5 2 10 4" xfId="20946"/>
    <cellStyle name="Обычный 5 2 10 4 2" xfId="20947"/>
    <cellStyle name="Обычный 5 2 10 4 2 2" xfId="20948"/>
    <cellStyle name="Обычный 5 2 10 4 2 2 2" xfId="50820"/>
    <cellStyle name="Обычный 5 2 10 4 2 3" xfId="50821"/>
    <cellStyle name="Обычный 5 2 10 4 3" xfId="20949"/>
    <cellStyle name="Обычный 5 2 10 4 3 2" xfId="50822"/>
    <cellStyle name="Обычный 5 2 10 4 4" xfId="50823"/>
    <cellStyle name="Обычный 5 2 10 5" xfId="20950"/>
    <cellStyle name="Обычный 5 2 10 5 2" xfId="20951"/>
    <cellStyle name="Обычный 5 2 10 5 2 2" xfId="50824"/>
    <cellStyle name="Обычный 5 2 10 5 3" xfId="50825"/>
    <cellStyle name="Обычный 5 2 10 6" xfId="20952"/>
    <cellStyle name="Обычный 5 2 10 6 2" xfId="50826"/>
    <cellStyle name="Обычный 5 2 10 7" xfId="20953"/>
    <cellStyle name="Обычный 5 2 10 7 2" xfId="50827"/>
    <cellStyle name="Обычный 5 2 10 8" xfId="50828"/>
    <cellStyle name="Обычный 5 2 11" xfId="20954"/>
    <cellStyle name="Обычный 5 2 11 2" xfId="20955"/>
    <cellStyle name="Обычный 5 2 11 2 2" xfId="20956"/>
    <cellStyle name="Обычный 5 2 11 2 2 2" xfId="20957"/>
    <cellStyle name="Обычный 5 2 11 2 2 2 2" xfId="50829"/>
    <cellStyle name="Обычный 5 2 11 2 2 3" xfId="50830"/>
    <cellStyle name="Обычный 5 2 11 2 3" xfId="20958"/>
    <cellStyle name="Обычный 5 2 11 2 3 2" xfId="50831"/>
    <cellStyle name="Обычный 5 2 11 2 4" xfId="50832"/>
    <cellStyle name="Обычный 5 2 11 3" xfId="20959"/>
    <cellStyle name="Обычный 5 2 11 3 2" xfId="20960"/>
    <cellStyle name="Обычный 5 2 11 3 2 2" xfId="20961"/>
    <cellStyle name="Обычный 5 2 11 3 2 2 2" xfId="50833"/>
    <cellStyle name="Обычный 5 2 11 3 2 3" xfId="50834"/>
    <cellStyle name="Обычный 5 2 11 3 3" xfId="20962"/>
    <cellStyle name="Обычный 5 2 11 3 3 2" xfId="50835"/>
    <cellStyle name="Обычный 5 2 11 3 4" xfId="50836"/>
    <cellStyle name="Обычный 5 2 11 4" xfId="20963"/>
    <cellStyle name="Обычный 5 2 11 4 2" xfId="20964"/>
    <cellStyle name="Обычный 5 2 11 4 2 2" xfId="20965"/>
    <cellStyle name="Обычный 5 2 11 4 2 2 2" xfId="50837"/>
    <cellStyle name="Обычный 5 2 11 4 2 3" xfId="50838"/>
    <cellStyle name="Обычный 5 2 11 4 3" xfId="20966"/>
    <cellStyle name="Обычный 5 2 11 4 3 2" xfId="50839"/>
    <cellStyle name="Обычный 5 2 11 4 4" xfId="50840"/>
    <cellStyle name="Обычный 5 2 11 5" xfId="20967"/>
    <cellStyle name="Обычный 5 2 11 5 2" xfId="20968"/>
    <cellStyle name="Обычный 5 2 11 5 2 2" xfId="50841"/>
    <cellStyle name="Обычный 5 2 11 5 3" xfId="50842"/>
    <cellStyle name="Обычный 5 2 11 6" xfId="20969"/>
    <cellStyle name="Обычный 5 2 11 6 2" xfId="50843"/>
    <cellStyle name="Обычный 5 2 11 7" xfId="20970"/>
    <cellStyle name="Обычный 5 2 11 7 2" xfId="50844"/>
    <cellStyle name="Обычный 5 2 11 8" xfId="50845"/>
    <cellStyle name="Обычный 5 2 12" xfId="20971"/>
    <cellStyle name="Обычный 5 2 12 2" xfId="20972"/>
    <cellStyle name="Обычный 5 2 12 2 2" xfId="20973"/>
    <cellStyle name="Обычный 5 2 12 2 2 2" xfId="20974"/>
    <cellStyle name="Обычный 5 2 12 2 2 2 2" xfId="50846"/>
    <cellStyle name="Обычный 5 2 12 2 2 3" xfId="50847"/>
    <cellStyle name="Обычный 5 2 12 2 3" xfId="20975"/>
    <cellStyle name="Обычный 5 2 12 2 3 2" xfId="50848"/>
    <cellStyle name="Обычный 5 2 12 2 4" xfId="50849"/>
    <cellStyle name="Обычный 5 2 12 3" xfId="20976"/>
    <cellStyle name="Обычный 5 2 12 3 2" xfId="20977"/>
    <cellStyle name="Обычный 5 2 12 3 2 2" xfId="20978"/>
    <cellStyle name="Обычный 5 2 12 3 2 2 2" xfId="50850"/>
    <cellStyle name="Обычный 5 2 12 3 2 3" xfId="50851"/>
    <cellStyle name="Обычный 5 2 12 3 3" xfId="20979"/>
    <cellStyle name="Обычный 5 2 12 3 3 2" xfId="50852"/>
    <cellStyle name="Обычный 5 2 12 3 4" xfId="50853"/>
    <cellStyle name="Обычный 5 2 12 4" xfId="20980"/>
    <cellStyle name="Обычный 5 2 12 4 2" xfId="20981"/>
    <cellStyle name="Обычный 5 2 12 4 2 2" xfId="20982"/>
    <cellStyle name="Обычный 5 2 12 4 2 2 2" xfId="50854"/>
    <cellStyle name="Обычный 5 2 12 4 2 3" xfId="50855"/>
    <cellStyle name="Обычный 5 2 12 4 3" xfId="20983"/>
    <cellStyle name="Обычный 5 2 12 4 3 2" xfId="50856"/>
    <cellStyle name="Обычный 5 2 12 4 4" xfId="50857"/>
    <cellStyle name="Обычный 5 2 12 5" xfId="20984"/>
    <cellStyle name="Обычный 5 2 12 5 2" xfId="20985"/>
    <cellStyle name="Обычный 5 2 12 5 2 2" xfId="50858"/>
    <cellStyle name="Обычный 5 2 12 5 3" xfId="50859"/>
    <cellStyle name="Обычный 5 2 12 6" xfId="20986"/>
    <cellStyle name="Обычный 5 2 12 6 2" xfId="50860"/>
    <cellStyle name="Обычный 5 2 12 7" xfId="20987"/>
    <cellStyle name="Обычный 5 2 12 7 2" xfId="50861"/>
    <cellStyle name="Обычный 5 2 12 8" xfId="50862"/>
    <cellStyle name="Обычный 5 2 13" xfId="20988"/>
    <cellStyle name="Обычный 5 2 13 2" xfId="20989"/>
    <cellStyle name="Обычный 5 2 13 2 2" xfId="20990"/>
    <cellStyle name="Обычный 5 2 13 2 2 2" xfId="20991"/>
    <cellStyle name="Обычный 5 2 13 2 2 2 2" xfId="50863"/>
    <cellStyle name="Обычный 5 2 13 2 2 3" xfId="50864"/>
    <cellStyle name="Обычный 5 2 13 2 3" xfId="20992"/>
    <cellStyle name="Обычный 5 2 13 2 3 2" xfId="50865"/>
    <cellStyle name="Обычный 5 2 13 2 4" xfId="50866"/>
    <cellStyle name="Обычный 5 2 13 3" xfId="20993"/>
    <cellStyle name="Обычный 5 2 13 3 2" xfId="20994"/>
    <cellStyle name="Обычный 5 2 13 3 2 2" xfId="20995"/>
    <cellStyle name="Обычный 5 2 13 3 2 2 2" xfId="50867"/>
    <cellStyle name="Обычный 5 2 13 3 2 3" xfId="50868"/>
    <cellStyle name="Обычный 5 2 13 3 3" xfId="20996"/>
    <cellStyle name="Обычный 5 2 13 3 3 2" xfId="50869"/>
    <cellStyle name="Обычный 5 2 13 3 4" xfId="50870"/>
    <cellStyle name="Обычный 5 2 13 4" xfId="20997"/>
    <cellStyle name="Обычный 5 2 13 4 2" xfId="20998"/>
    <cellStyle name="Обычный 5 2 13 4 2 2" xfId="20999"/>
    <cellStyle name="Обычный 5 2 13 4 2 2 2" xfId="50871"/>
    <cellStyle name="Обычный 5 2 13 4 2 3" xfId="50872"/>
    <cellStyle name="Обычный 5 2 13 4 3" xfId="21000"/>
    <cellStyle name="Обычный 5 2 13 4 3 2" xfId="50873"/>
    <cellStyle name="Обычный 5 2 13 4 4" xfId="50874"/>
    <cellStyle name="Обычный 5 2 13 5" xfId="21001"/>
    <cellStyle name="Обычный 5 2 13 5 2" xfId="21002"/>
    <cellStyle name="Обычный 5 2 13 5 2 2" xfId="50875"/>
    <cellStyle name="Обычный 5 2 13 5 3" xfId="50876"/>
    <cellStyle name="Обычный 5 2 13 6" xfId="21003"/>
    <cellStyle name="Обычный 5 2 13 6 2" xfId="50877"/>
    <cellStyle name="Обычный 5 2 13 7" xfId="21004"/>
    <cellStyle name="Обычный 5 2 13 7 2" xfId="50878"/>
    <cellStyle name="Обычный 5 2 13 8" xfId="50879"/>
    <cellStyle name="Обычный 5 2 14" xfId="21005"/>
    <cellStyle name="Обычный 5 2 14 2" xfId="21006"/>
    <cellStyle name="Обычный 5 2 14 2 2" xfId="21007"/>
    <cellStyle name="Обычный 5 2 14 2 2 2" xfId="21008"/>
    <cellStyle name="Обычный 5 2 14 2 2 2 2" xfId="50880"/>
    <cellStyle name="Обычный 5 2 14 2 2 3" xfId="50881"/>
    <cellStyle name="Обычный 5 2 14 2 3" xfId="21009"/>
    <cellStyle name="Обычный 5 2 14 2 3 2" xfId="50882"/>
    <cellStyle name="Обычный 5 2 14 2 4" xfId="50883"/>
    <cellStyle name="Обычный 5 2 14 3" xfId="21010"/>
    <cellStyle name="Обычный 5 2 14 3 2" xfId="21011"/>
    <cellStyle name="Обычный 5 2 14 3 2 2" xfId="21012"/>
    <cellStyle name="Обычный 5 2 14 3 2 2 2" xfId="50884"/>
    <cellStyle name="Обычный 5 2 14 3 2 3" xfId="50885"/>
    <cellStyle name="Обычный 5 2 14 3 3" xfId="21013"/>
    <cellStyle name="Обычный 5 2 14 3 3 2" xfId="50886"/>
    <cellStyle name="Обычный 5 2 14 3 4" xfId="50887"/>
    <cellStyle name="Обычный 5 2 14 4" xfId="21014"/>
    <cellStyle name="Обычный 5 2 14 4 2" xfId="21015"/>
    <cellStyle name="Обычный 5 2 14 4 2 2" xfId="21016"/>
    <cellStyle name="Обычный 5 2 14 4 2 2 2" xfId="50888"/>
    <cellStyle name="Обычный 5 2 14 4 2 3" xfId="50889"/>
    <cellStyle name="Обычный 5 2 14 4 3" xfId="21017"/>
    <cellStyle name="Обычный 5 2 14 4 3 2" xfId="50890"/>
    <cellStyle name="Обычный 5 2 14 4 4" xfId="50891"/>
    <cellStyle name="Обычный 5 2 14 5" xfId="21018"/>
    <cellStyle name="Обычный 5 2 14 5 2" xfId="21019"/>
    <cellStyle name="Обычный 5 2 14 5 2 2" xfId="50892"/>
    <cellStyle name="Обычный 5 2 14 5 3" xfId="50893"/>
    <cellStyle name="Обычный 5 2 14 6" xfId="21020"/>
    <cellStyle name="Обычный 5 2 14 6 2" xfId="50894"/>
    <cellStyle name="Обычный 5 2 14 7" xfId="21021"/>
    <cellStyle name="Обычный 5 2 14 7 2" xfId="50895"/>
    <cellStyle name="Обычный 5 2 14 8" xfId="50896"/>
    <cellStyle name="Обычный 5 2 15" xfId="21022"/>
    <cellStyle name="Обычный 5 2 15 2" xfId="21023"/>
    <cellStyle name="Обычный 5 2 15 2 2" xfId="21024"/>
    <cellStyle name="Обычный 5 2 15 2 2 2" xfId="21025"/>
    <cellStyle name="Обычный 5 2 15 2 2 2 2" xfId="50897"/>
    <cellStyle name="Обычный 5 2 15 2 2 3" xfId="50898"/>
    <cellStyle name="Обычный 5 2 15 2 3" xfId="21026"/>
    <cellStyle name="Обычный 5 2 15 2 3 2" xfId="50899"/>
    <cellStyle name="Обычный 5 2 15 2 4" xfId="50900"/>
    <cellStyle name="Обычный 5 2 15 3" xfId="21027"/>
    <cellStyle name="Обычный 5 2 15 3 2" xfId="21028"/>
    <cellStyle name="Обычный 5 2 15 3 2 2" xfId="21029"/>
    <cellStyle name="Обычный 5 2 15 3 2 2 2" xfId="50901"/>
    <cellStyle name="Обычный 5 2 15 3 2 3" xfId="50902"/>
    <cellStyle name="Обычный 5 2 15 3 3" xfId="21030"/>
    <cellStyle name="Обычный 5 2 15 3 3 2" xfId="50903"/>
    <cellStyle name="Обычный 5 2 15 3 4" xfId="50904"/>
    <cellStyle name="Обычный 5 2 15 4" xfId="21031"/>
    <cellStyle name="Обычный 5 2 15 4 2" xfId="21032"/>
    <cellStyle name="Обычный 5 2 15 4 2 2" xfId="21033"/>
    <cellStyle name="Обычный 5 2 15 4 2 2 2" xfId="50905"/>
    <cellStyle name="Обычный 5 2 15 4 2 3" xfId="50906"/>
    <cellStyle name="Обычный 5 2 15 4 3" xfId="21034"/>
    <cellStyle name="Обычный 5 2 15 4 3 2" xfId="50907"/>
    <cellStyle name="Обычный 5 2 15 4 4" xfId="50908"/>
    <cellStyle name="Обычный 5 2 15 5" xfId="21035"/>
    <cellStyle name="Обычный 5 2 15 5 2" xfId="21036"/>
    <cellStyle name="Обычный 5 2 15 5 2 2" xfId="50909"/>
    <cellStyle name="Обычный 5 2 15 5 3" xfId="50910"/>
    <cellStyle name="Обычный 5 2 15 6" xfId="21037"/>
    <cellStyle name="Обычный 5 2 15 6 2" xfId="50911"/>
    <cellStyle name="Обычный 5 2 15 7" xfId="21038"/>
    <cellStyle name="Обычный 5 2 15 7 2" xfId="50912"/>
    <cellStyle name="Обычный 5 2 15 8" xfId="50913"/>
    <cellStyle name="Обычный 5 2 16" xfId="21039"/>
    <cellStyle name="Обычный 5 2 16 2" xfId="21040"/>
    <cellStyle name="Обычный 5 2 16 2 2" xfId="21041"/>
    <cellStyle name="Обычный 5 2 16 2 2 2" xfId="21042"/>
    <cellStyle name="Обычный 5 2 16 2 2 2 2" xfId="50914"/>
    <cellStyle name="Обычный 5 2 16 2 2 3" xfId="50915"/>
    <cellStyle name="Обычный 5 2 16 2 3" xfId="21043"/>
    <cellStyle name="Обычный 5 2 16 2 3 2" xfId="50916"/>
    <cellStyle name="Обычный 5 2 16 2 4" xfId="50917"/>
    <cellStyle name="Обычный 5 2 16 3" xfId="21044"/>
    <cellStyle name="Обычный 5 2 16 3 2" xfId="21045"/>
    <cellStyle name="Обычный 5 2 16 3 2 2" xfId="21046"/>
    <cellStyle name="Обычный 5 2 16 3 2 2 2" xfId="50918"/>
    <cellStyle name="Обычный 5 2 16 3 2 3" xfId="50919"/>
    <cellStyle name="Обычный 5 2 16 3 3" xfId="21047"/>
    <cellStyle name="Обычный 5 2 16 3 3 2" xfId="50920"/>
    <cellStyle name="Обычный 5 2 16 3 4" xfId="50921"/>
    <cellStyle name="Обычный 5 2 16 4" xfId="21048"/>
    <cellStyle name="Обычный 5 2 16 4 2" xfId="21049"/>
    <cellStyle name="Обычный 5 2 16 4 2 2" xfId="21050"/>
    <cellStyle name="Обычный 5 2 16 4 2 2 2" xfId="50922"/>
    <cellStyle name="Обычный 5 2 16 4 2 3" xfId="50923"/>
    <cellStyle name="Обычный 5 2 16 4 3" xfId="21051"/>
    <cellStyle name="Обычный 5 2 16 4 3 2" xfId="50924"/>
    <cellStyle name="Обычный 5 2 16 4 4" xfId="50925"/>
    <cellStyle name="Обычный 5 2 16 5" xfId="21052"/>
    <cellStyle name="Обычный 5 2 16 5 2" xfId="21053"/>
    <cellStyle name="Обычный 5 2 16 5 2 2" xfId="50926"/>
    <cellStyle name="Обычный 5 2 16 5 3" xfId="50927"/>
    <cellStyle name="Обычный 5 2 16 6" xfId="21054"/>
    <cellStyle name="Обычный 5 2 16 6 2" xfId="50928"/>
    <cellStyle name="Обычный 5 2 16 7" xfId="21055"/>
    <cellStyle name="Обычный 5 2 16 7 2" xfId="50929"/>
    <cellStyle name="Обычный 5 2 16 8" xfId="50930"/>
    <cellStyle name="Обычный 5 2 17" xfId="21056"/>
    <cellStyle name="Обычный 5 2 17 2" xfId="21057"/>
    <cellStyle name="Обычный 5 2 17 2 2" xfId="21058"/>
    <cellStyle name="Обычный 5 2 17 2 2 2" xfId="21059"/>
    <cellStyle name="Обычный 5 2 17 2 2 2 2" xfId="50931"/>
    <cellStyle name="Обычный 5 2 17 2 2 3" xfId="50932"/>
    <cellStyle name="Обычный 5 2 17 2 3" xfId="21060"/>
    <cellStyle name="Обычный 5 2 17 2 3 2" xfId="50933"/>
    <cellStyle name="Обычный 5 2 17 2 4" xfId="50934"/>
    <cellStyle name="Обычный 5 2 17 3" xfId="21061"/>
    <cellStyle name="Обычный 5 2 17 3 2" xfId="21062"/>
    <cellStyle name="Обычный 5 2 17 3 2 2" xfId="21063"/>
    <cellStyle name="Обычный 5 2 17 3 2 2 2" xfId="50935"/>
    <cellStyle name="Обычный 5 2 17 3 2 3" xfId="50936"/>
    <cellStyle name="Обычный 5 2 17 3 3" xfId="21064"/>
    <cellStyle name="Обычный 5 2 17 3 3 2" xfId="50937"/>
    <cellStyle name="Обычный 5 2 17 3 4" xfId="50938"/>
    <cellStyle name="Обычный 5 2 17 4" xfId="21065"/>
    <cellStyle name="Обычный 5 2 17 4 2" xfId="21066"/>
    <cellStyle name="Обычный 5 2 17 4 2 2" xfId="21067"/>
    <cellStyle name="Обычный 5 2 17 4 2 2 2" xfId="50939"/>
    <cellStyle name="Обычный 5 2 17 4 2 3" xfId="50940"/>
    <cellStyle name="Обычный 5 2 17 4 3" xfId="21068"/>
    <cellStyle name="Обычный 5 2 17 4 3 2" xfId="50941"/>
    <cellStyle name="Обычный 5 2 17 4 4" xfId="50942"/>
    <cellStyle name="Обычный 5 2 17 5" xfId="21069"/>
    <cellStyle name="Обычный 5 2 17 5 2" xfId="21070"/>
    <cellStyle name="Обычный 5 2 17 5 2 2" xfId="50943"/>
    <cellStyle name="Обычный 5 2 17 5 3" xfId="50944"/>
    <cellStyle name="Обычный 5 2 17 6" xfId="21071"/>
    <cellStyle name="Обычный 5 2 17 6 2" xfId="50945"/>
    <cellStyle name="Обычный 5 2 17 7" xfId="21072"/>
    <cellStyle name="Обычный 5 2 17 7 2" xfId="50946"/>
    <cellStyle name="Обычный 5 2 17 8" xfId="50947"/>
    <cellStyle name="Обычный 5 2 18" xfId="21073"/>
    <cellStyle name="Обычный 5 2 18 2" xfId="21074"/>
    <cellStyle name="Обычный 5 2 18 2 2" xfId="21075"/>
    <cellStyle name="Обычный 5 2 18 2 2 2" xfId="21076"/>
    <cellStyle name="Обычный 5 2 18 2 2 2 2" xfId="50948"/>
    <cellStyle name="Обычный 5 2 18 2 2 3" xfId="50949"/>
    <cellStyle name="Обычный 5 2 18 2 3" xfId="21077"/>
    <cellStyle name="Обычный 5 2 18 2 3 2" xfId="50950"/>
    <cellStyle name="Обычный 5 2 18 2 4" xfId="50951"/>
    <cellStyle name="Обычный 5 2 18 3" xfId="21078"/>
    <cellStyle name="Обычный 5 2 18 3 2" xfId="21079"/>
    <cellStyle name="Обычный 5 2 18 3 2 2" xfId="21080"/>
    <cellStyle name="Обычный 5 2 18 3 2 2 2" xfId="50952"/>
    <cellStyle name="Обычный 5 2 18 3 2 3" xfId="50953"/>
    <cellStyle name="Обычный 5 2 18 3 3" xfId="21081"/>
    <cellStyle name="Обычный 5 2 18 3 3 2" xfId="50954"/>
    <cellStyle name="Обычный 5 2 18 3 4" xfId="50955"/>
    <cellStyle name="Обычный 5 2 18 4" xfId="21082"/>
    <cellStyle name="Обычный 5 2 18 4 2" xfId="21083"/>
    <cellStyle name="Обычный 5 2 18 4 2 2" xfId="21084"/>
    <cellStyle name="Обычный 5 2 18 4 2 2 2" xfId="50956"/>
    <cellStyle name="Обычный 5 2 18 4 2 3" xfId="50957"/>
    <cellStyle name="Обычный 5 2 18 4 3" xfId="21085"/>
    <cellStyle name="Обычный 5 2 18 4 3 2" xfId="50958"/>
    <cellStyle name="Обычный 5 2 18 4 4" xfId="50959"/>
    <cellStyle name="Обычный 5 2 18 5" xfId="21086"/>
    <cellStyle name="Обычный 5 2 18 5 2" xfId="21087"/>
    <cellStyle name="Обычный 5 2 18 5 2 2" xfId="50960"/>
    <cellStyle name="Обычный 5 2 18 5 3" xfId="50961"/>
    <cellStyle name="Обычный 5 2 18 6" xfId="21088"/>
    <cellStyle name="Обычный 5 2 18 6 2" xfId="50962"/>
    <cellStyle name="Обычный 5 2 18 7" xfId="21089"/>
    <cellStyle name="Обычный 5 2 18 7 2" xfId="50963"/>
    <cellStyle name="Обычный 5 2 18 8" xfId="50964"/>
    <cellStyle name="Обычный 5 2 19" xfId="21090"/>
    <cellStyle name="Обычный 5 2 19 2" xfId="21091"/>
    <cellStyle name="Обычный 5 2 19 2 2" xfId="21092"/>
    <cellStyle name="Обычный 5 2 19 2 2 2" xfId="21093"/>
    <cellStyle name="Обычный 5 2 19 2 2 2 2" xfId="50965"/>
    <cellStyle name="Обычный 5 2 19 2 2 3" xfId="50966"/>
    <cellStyle name="Обычный 5 2 19 2 3" xfId="21094"/>
    <cellStyle name="Обычный 5 2 19 2 3 2" xfId="50967"/>
    <cellStyle name="Обычный 5 2 19 2 4" xfId="50968"/>
    <cellStyle name="Обычный 5 2 19 3" xfId="21095"/>
    <cellStyle name="Обычный 5 2 19 3 2" xfId="21096"/>
    <cellStyle name="Обычный 5 2 19 3 2 2" xfId="21097"/>
    <cellStyle name="Обычный 5 2 19 3 2 2 2" xfId="50969"/>
    <cellStyle name="Обычный 5 2 19 3 2 3" xfId="50970"/>
    <cellStyle name="Обычный 5 2 19 3 3" xfId="21098"/>
    <cellStyle name="Обычный 5 2 19 3 3 2" xfId="50971"/>
    <cellStyle name="Обычный 5 2 19 3 4" xfId="50972"/>
    <cellStyle name="Обычный 5 2 19 4" xfId="21099"/>
    <cellStyle name="Обычный 5 2 19 4 2" xfId="21100"/>
    <cellStyle name="Обычный 5 2 19 4 2 2" xfId="21101"/>
    <cellStyle name="Обычный 5 2 19 4 2 2 2" xfId="50973"/>
    <cellStyle name="Обычный 5 2 19 4 2 3" xfId="50974"/>
    <cellStyle name="Обычный 5 2 19 4 3" xfId="21102"/>
    <cellStyle name="Обычный 5 2 19 4 3 2" xfId="50975"/>
    <cellStyle name="Обычный 5 2 19 4 4" xfId="50976"/>
    <cellStyle name="Обычный 5 2 19 5" xfId="21103"/>
    <cellStyle name="Обычный 5 2 19 5 2" xfId="21104"/>
    <cellStyle name="Обычный 5 2 19 5 2 2" xfId="50977"/>
    <cellStyle name="Обычный 5 2 19 5 3" xfId="50978"/>
    <cellStyle name="Обычный 5 2 19 6" xfId="21105"/>
    <cellStyle name="Обычный 5 2 19 6 2" xfId="50979"/>
    <cellStyle name="Обычный 5 2 19 7" xfId="21106"/>
    <cellStyle name="Обычный 5 2 19 7 2" xfId="50980"/>
    <cellStyle name="Обычный 5 2 19 8" xfId="50981"/>
    <cellStyle name="Обычный 5 2 2" xfId="21107"/>
    <cellStyle name="Обычный 5 2 2 10" xfId="50982"/>
    <cellStyle name="Обычный 5 2 2 2" xfId="21108"/>
    <cellStyle name="Обычный 5 2 2 2 2" xfId="21109"/>
    <cellStyle name="Обычный 5 2 2 2 2 2" xfId="21110"/>
    <cellStyle name="Обычный 5 2 2 2 2 2 2" xfId="21111"/>
    <cellStyle name="Обычный 5 2 2 2 2 2 2 2" xfId="50983"/>
    <cellStyle name="Обычный 5 2 2 2 2 2 3" xfId="50984"/>
    <cellStyle name="Обычный 5 2 2 2 2 3" xfId="21112"/>
    <cellStyle name="Обычный 5 2 2 2 2 3 2" xfId="50985"/>
    <cellStyle name="Обычный 5 2 2 2 2 4" xfId="50986"/>
    <cellStyle name="Обычный 5 2 2 2 3" xfId="21113"/>
    <cellStyle name="Обычный 5 2 2 2 3 2" xfId="50987"/>
    <cellStyle name="Обычный 5 2 2 2 4" xfId="21114"/>
    <cellStyle name="Обычный 5 2 2 2 4 2" xfId="21115"/>
    <cellStyle name="Обычный 5 2 2 2 4 2 2" xfId="50988"/>
    <cellStyle name="Обычный 5 2 2 2 4 3" xfId="50989"/>
    <cellStyle name="Обычный 5 2 2 2 5" xfId="21116"/>
    <cellStyle name="Обычный 5 2 2 2 5 2" xfId="50990"/>
    <cellStyle name="Обычный 5 2 2 2 6" xfId="50991"/>
    <cellStyle name="Обычный 5 2 2 3" xfId="21117"/>
    <cellStyle name="Обычный 5 2 2 3 2" xfId="21118"/>
    <cellStyle name="Обычный 5 2 2 3 2 2" xfId="21119"/>
    <cellStyle name="Обычный 5 2 2 3 2 2 2" xfId="21120"/>
    <cellStyle name="Обычный 5 2 2 3 2 2 2 2" xfId="50992"/>
    <cellStyle name="Обычный 5 2 2 3 2 2 3" xfId="50993"/>
    <cellStyle name="Обычный 5 2 2 3 2 3" xfId="21121"/>
    <cellStyle name="Обычный 5 2 2 3 2 3 2" xfId="50994"/>
    <cellStyle name="Обычный 5 2 2 3 2 4" xfId="50995"/>
    <cellStyle name="Обычный 5 2 2 3 3" xfId="21122"/>
    <cellStyle name="Обычный 5 2 2 3 3 2" xfId="21123"/>
    <cellStyle name="Обычный 5 2 2 3 3 2 2" xfId="50996"/>
    <cellStyle name="Обычный 5 2 2 3 3 3" xfId="50997"/>
    <cellStyle name="Обычный 5 2 2 3 4" xfId="21124"/>
    <cellStyle name="Обычный 5 2 2 3 4 2" xfId="50998"/>
    <cellStyle name="Обычный 5 2 2 3 5" xfId="50999"/>
    <cellStyle name="Обычный 5 2 2 4" xfId="21125"/>
    <cellStyle name="Обычный 5 2 2 4 2" xfId="21126"/>
    <cellStyle name="Обычный 5 2 2 4 2 2" xfId="21127"/>
    <cellStyle name="Обычный 5 2 2 4 2 2 2" xfId="51000"/>
    <cellStyle name="Обычный 5 2 2 4 2 3" xfId="51001"/>
    <cellStyle name="Обычный 5 2 2 4 3" xfId="21128"/>
    <cellStyle name="Обычный 5 2 2 4 3 2" xfId="51002"/>
    <cellStyle name="Обычный 5 2 2 4 4" xfId="51003"/>
    <cellStyle name="Обычный 5 2 2 5" xfId="21129"/>
    <cellStyle name="Обычный 5 2 2 5 2" xfId="21130"/>
    <cellStyle name="Обычный 5 2 2 5 2 2" xfId="21131"/>
    <cellStyle name="Обычный 5 2 2 5 2 2 2" xfId="51004"/>
    <cellStyle name="Обычный 5 2 2 5 2 3" xfId="51005"/>
    <cellStyle name="Обычный 5 2 2 5 3" xfId="21132"/>
    <cellStyle name="Обычный 5 2 2 5 3 2" xfId="51006"/>
    <cellStyle name="Обычный 5 2 2 5 4" xfId="51007"/>
    <cellStyle name="Обычный 5 2 2 6" xfId="21133"/>
    <cellStyle name="Обычный 5 2 2 6 2" xfId="21134"/>
    <cellStyle name="Обычный 5 2 2 6 2 2" xfId="21135"/>
    <cellStyle name="Обычный 5 2 2 6 2 2 2" xfId="51008"/>
    <cellStyle name="Обычный 5 2 2 6 2 3" xfId="51009"/>
    <cellStyle name="Обычный 5 2 2 6 3" xfId="21136"/>
    <cellStyle name="Обычный 5 2 2 6 3 2" xfId="51010"/>
    <cellStyle name="Обычный 5 2 2 6 4" xfId="51011"/>
    <cellStyle name="Обычный 5 2 2 7" xfId="21137"/>
    <cellStyle name="Обычный 5 2 2 7 2" xfId="21138"/>
    <cellStyle name="Обычный 5 2 2 7 2 2" xfId="51012"/>
    <cellStyle name="Обычный 5 2 2 7 3" xfId="51013"/>
    <cellStyle name="Обычный 5 2 2 8" xfId="21139"/>
    <cellStyle name="Обычный 5 2 2 8 2" xfId="51014"/>
    <cellStyle name="Обычный 5 2 2 9" xfId="21140"/>
    <cellStyle name="Обычный 5 2 2 9 2" xfId="51015"/>
    <cellStyle name="Обычный 5 2 20" xfId="21141"/>
    <cellStyle name="Обычный 5 2 20 2" xfId="21142"/>
    <cellStyle name="Обычный 5 2 20 2 2" xfId="21143"/>
    <cellStyle name="Обычный 5 2 20 2 2 2" xfId="21144"/>
    <cellStyle name="Обычный 5 2 20 2 2 2 2" xfId="51016"/>
    <cellStyle name="Обычный 5 2 20 2 2 3" xfId="51017"/>
    <cellStyle name="Обычный 5 2 20 2 3" xfId="21145"/>
    <cellStyle name="Обычный 5 2 20 2 3 2" xfId="51018"/>
    <cellStyle name="Обычный 5 2 20 2 4" xfId="51019"/>
    <cellStyle name="Обычный 5 2 20 3" xfId="21146"/>
    <cellStyle name="Обычный 5 2 20 3 2" xfId="21147"/>
    <cellStyle name="Обычный 5 2 20 3 2 2" xfId="21148"/>
    <cellStyle name="Обычный 5 2 20 3 2 2 2" xfId="51020"/>
    <cellStyle name="Обычный 5 2 20 3 2 3" xfId="51021"/>
    <cellStyle name="Обычный 5 2 20 3 3" xfId="21149"/>
    <cellStyle name="Обычный 5 2 20 3 3 2" xfId="51022"/>
    <cellStyle name="Обычный 5 2 20 3 4" xfId="51023"/>
    <cellStyle name="Обычный 5 2 20 4" xfId="21150"/>
    <cellStyle name="Обычный 5 2 20 4 2" xfId="21151"/>
    <cellStyle name="Обычный 5 2 20 4 2 2" xfId="21152"/>
    <cellStyle name="Обычный 5 2 20 4 2 2 2" xfId="51024"/>
    <cellStyle name="Обычный 5 2 20 4 2 3" xfId="51025"/>
    <cellStyle name="Обычный 5 2 20 4 3" xfId="21153"/>
    <cellStyle name="Обычный 5 2 20 4 3 2" xfId="51026"/>
    <cellStyle name="Обычный 5 2 20 4 4" xfId="51027"/>
    <cellStyle name="Обычный 5 2 20 5" xfId="21154"/>
    <cellStyle name="Обычный 5 2 20 5 2" xfId="21155"/>
    <cellStyle name="Обычный 5 2 20 5 2 2" xfId="51028"/>
    <cellStyle name="Обычный 5 2 20 5 3" xfId="51029"/>
    <cellStyle name="Обычный 5 2 20 6" xfId="21156"/>
    <cellStyle name="Обычный 5 2 20 6 2" xfId="51030"/>
    <cellStyle name="Обычный 5 2 20 7" xfId="21157"/>
    <cellStyle name="Обычный 5 2 20 7 2" xfId="51031"/>
    <cellStyle name="Обычный 5 2 20 8" xfId="51032"/>
    <cellStyle name="Обычный 5 2 21" xfId="21158"/>
    <cellStyle name="Обычный 5 2 21 2" xfId="21159"/>
    <cellStyle name="Обычный 5 2 21 2 2" xfId="21160"/>
    <cellStyle name="Обычный 5 2 21 2 2 2" xfId="21161"/>
    <cellStyle name="Обычный 5 2 21 2 2 2 2" xfId="51033"/>
    <cellStyle name="Обычный 5 2 21 2 2 3" xfId="51034"/>
    <cellStyle name="Обычный 5 2 21 2 3" xfId="21162"/>
    <cellStyle name="Обычный 5 2 21 2 3 2" xfId="51035"/>
    <cellStyle name="Обычный 5 2 21 2 4" xfId="51036"/>
    <cellStyle name="Обычный 5 2 21 3" xfId="21163"/>
    <cellStyle name="Обычный 5 2 21 3 2" xfId="21164"/>
    <cellStyle name="Обычный 5 2 21 3 2 2" xfId="21165"/>
    <cellStyle name="Обычный 5 2 21 3 2 2 2" xfId="51037"/>
    <cellStyle name="Обычный 5 2 21 3 2 3" xfId="51038"/>
    <cellStyle name="Обычный 5 2 21 3 3" xfId="21166"/>
    <cellStyle name="Обычный 5 2 21 3 3 2" xfId="51039"/>
    <cellStyle name="Обычный 5 2 21 3 4" xfId="51040"/>
    <cellStyle name="Обычный 5 2 21 4" xfId="21167"/>
    <cellStyle name="Обычный 5 2 21 4 2" xfId="21168"/>
    <cellStyle name="Обычный 5 2 21 4 2 2" xfId="21169"/>
    <cellStyle name="Обычный 5 2 21 4 2 2 2" xfId="51041"/>
    <cellStyle name="Обычный 5 2 21 4 2 3" xfId="51042"/>
    <cellStyle name="Обычный 5 2 21 4 3" xfId="21170"/>
    <cellStyle name="Обычный 5 2 21 4 3 2" xfId="51043"/>
    <cellStyle name="Обычный 5 2 21 4 4" xfId="51044"/>
    <cellStyle name="Обычный 5 2 21 5" xfId="21171"/>
    <cellStyle name="Обычный 5 2 21 5 2" xfId="21172"/>
    <cellStyle name="Обычный 5 2 21 5 2 2" xfId="51045"/>
    <cellStyle name="Обычный 5 2 21 5 3" xfId="51046"/>
    <cellStyle name="Обычный 5 2 21 6" xfId="21173"/>
    <cellStyle name="Обычный 5 2 21 6 2" xfId="51047"/>
    <cellStyle name="Обычный 5 2 21 7" xfId="21174"/>
    <cellStyle name="Обычный 5 2 21 7 2" xfId="51048"/>
    <cellStyle name="Обычный 5 2 21 8" xfId="51049"/>
    <cellStyle name="Обычный 5 2 22" xfId="21175"/>
    <cellStyle name="Обычный 5 2 22 2" xfId="21176"/>
    <cellStyle name="Обычный 5 2 22 2 2" xfId="21177"/>
    <cellStyle name="Обычный 5 2 22 2 2 2" xfId="21178"/>
    <cellStyle name="Обычный 5 2 22 2 2 2 2" xfId="51050"/>
    <cellStyle name="Обычный 5 2 22 2 2 3" xfId="51051"/>
    <cellStyle name="Обычный 5 2 22 2 3" xfId="21179"/>
    <cellStyle name="Обычный 5 2 22 2 3 2" xfId="51052"/>
    <cellStyle name="Обычный 5 2 22 2 4" xfId="51053"/>
    <cellStyle name="Обычный 5 2 22 3" xfId="21180"/>
    <cellStyle name="Обычный 5 2 22 3 2" xfId="21181"/>
    <cellStyle name="Обычный 5 2 22 3 2 2" xfId="21182"/>
    <cellStyle name="Обычный 5 2 22 3 2 2 2" xfId="51054"/>
    <cellStyle name="Обычный 5 2 22 3 2 3" xfId="51055"/>
    <cellStyle name="Обычный 5 2 22 3 3" xfId="21183"/>
    <cellStyle name="Обычный 5 2 22 3 3 2" xfId="51056"/>
    <cellStyle name="Обычный 5 2 22 3 4" xfId="51057"/>
    <cellStyle name="Обычный 5 2 22 4" xfId="21184"/>
    <cellStyle name="Обычный 5 2 22 4 2" xfId="21185"/>
    <cellStyle name="Обычный 5 2 22 4 2 2" xfId="21186"/>
    <cellStyle name="Обычный 5 2 22 4 2 2 2" xfId="51058"/>
    <cellStyle name="Обычный 5 2 22 4 2 3" xfId="51059"/>
    <cellStyle name="Обычный 5 2 22 4 3" xfId="21187"/>
    <cellStyle name="Обычный 5 2 22 4 3 2" xfId="51060"/>
    <cellStyle name="Обычный 5 2 22 4 4" xfId="51061"/>
    <cellStyle name="Обычный 5 2 22 5" xfId="21188"/>
    <cellStyle name="Обычный 5 2 22 5 2" xfId="21189"/>
    <cellStyle name="Обычный 5 2 22 5 2 2" xfId="51062"/>
    <cellStyle name="Обычный 5 2 22 5 3" xfId="51063"/>
    <cellStyle name="Обычный 5 2 22 6" xfId="21190"/>
    <cellStyle name="Обычный 5 2 22 6 2" xfId="51064"/>
    <cellStyle name="Обычный 5 2 22 7" xfId="21191"/>
    <cellStyle name="Обычный 5 2 22 7 2" xfId="51065"/>
    <cellStyle name="Обычный 5 2 22 8" xfId="51066"/>
    <cellStyle name="Обычный 5 2 23" xfId="21192"/>
    <cellStyle name="Обычный 5 2 23 2" xfId="21193"/>
    <cellStyle name="Обычный 5 2 23 2 2" xfId="21194"/>
    <cellStyle name="Обычный 5 2 23 2 2 2" xfId="21195"/>
    <cellStyle name="Обычный 5 2 23 2 2 2 2" xfId="51067"/>
    <cellStyle name="Обычный 5 2 23 2 2 3" xfId="51068"/>
    <cellStyle name="Обычный 5 2 23 2 3" xfId="21196"/>
    <cellStyle name="Обычный 5 2 23 2 3 2" xfId="51069"/>
    <cellStyle name="Обычный 5 2 23 2 4" xfId="51070"/>
    <cellStyle name="Обычный 5 2 23 3" xfId="21197"/>
    <cellStyle name="Обычный 5 2 23 3 2" xfId="21198"/>
    <cellStyle name="Обычный 5 2 23 3 2 2" xfId="21199"/>
    <cellStyle name="Обычный 5 2 23 3 2 2 2" xfId="51071"/>
    <cellStyle name="Обычный 5 2 23 3 2 3" xfId="51072"/>
    <cellStyle name="Обычный 5 2 23 3 3" xfId="21200"/>
    <cellStyle name="Обычный 5 2 23 3 3 2" xfId="51073"/>
    <cellStyle name="Обычный 5 2 23 3 4" xfId="51074"/>
    <cellStyle name="Обычный 5 2 23 4" xfId="21201"/>
    <cellStyle name="Обычный 5 2 23 4 2" xfId="21202"/>
    <cellStyle name="Обычный 5 2 23 4 2 2" xfId="21203"/>
    <cellStyle name="Обычный 5 2 23 4 2 2 2" xfId="51075"/>
    <cellStyle name="Обычный 5 2 23 4 2 3" xfId="51076"/>
    <cellStyle name="Обычный 5 2 23 4 3" xfId="21204"/>
    <cellStyle name="Обычный 5 2 23 4 3 2" xfId="51077"/>
    <cellStyle name="Обычный 5 2 23 4 4" xfId="51078"/>
    <cellStyle name="Обычный 5 2 23 5" xfId="21205"/>
    <cellStyle name="Обычный 5 2 23 5 2" xfId="21206"/>
    <cellStyle name="Обычный 5 2 23 5 2 2" xfId="51079"/>
    <cellStyle name="Обычный 5 2 23 5 3" xfId="51080"/>
    <cellStyle name="Обычный 5 2 23 6" xfId="21207"/>
    <cellStyle name="Обычный 5 2 23 6 2" xfId="51081"/>
    <cellStyle name="Обычный 5 2 23 7" xfId="21208"/>
    <cellStyle name="Обычный 5 2 23 7 2" xfId="51082"/>
    <cellStyle name="Обычный 5 2 23 8" xfId="51083"/>
    <cellStyle name="Обычный 5 2 24" xfId="21209"/>
    <cellStyle name="Обычный 5 2 24 2" xfId="21210"/>
    <cellStyle name="Обычный 5 2 24 2 2" xfId="21211"/>
    <cellStyle name="Обычный 5 2 24 2 2 2" xfId="21212"/>
    <cellStyle name="Обычный 5 2 24 2 2 2 2" xfId="51084"/>
    <cellStyle name="Обычный 5 2 24 2 2 3" xfId="51085"/>
    <cellStyle name="Обычный 5 2 24 2 3" xfId="21213"/>
    <cellStyle name="Обычный 5 2 24 2 3 2" xfId="51086"/>
    <cellStyle name="Обычный 5 2 24 2 4" xfId="51087"/>
    <cellStyle name="Обычный 5 2 24 3" xfId="21214"/>
    <cellStyle name="Обычный 5 2 24 3 2" xfId="21215"/>
    <cellStyle name="Обычный 5 2 24 3 2 2" xfId="21216"/>
    <cellStyle name="Обычный 5 2 24 3 2 2 2" xfId="51088"/>
    <cellStyle name="Обычный 5 2 24 3 2 3" xfId="51089"/>
    <cellStyle name="Обычный 5 2 24 3 3" xfId="21217"/>
    <cellStyle name="Обычный 5 2 24 3 3 2" xfId="51090"/>
    <cellStyle name="Обычный 5 2 24 3 4" xfId="51091"/>
    <cellStyle name="Обычный 5 2 24 4" xfId="21218"/>
    <cellStyle name="Обычный 5 2 24 4 2" xfId="21219"/>
    <cellStyle name="Обычный 5 2 24 4 2 2" xfId="21220"/>
    <cellStyle name="Обычный 5 2 24 4 2 2 2" xfId="51092"/>
    <cellStyle name="Обычный 5 2 24 4 2 3" xfId="51093"/>
    <cellStyle name="Обычный 5 2 24 4 3" xfId="21221"/>
    <cellStyle name="Обычный 5 2 24 4 3 2" xfId="51094"/>
    <cellStyle name="Обычный 5 2 24 4 4" xfId="51095"/>
    <cellStyle name="Обычный 5 2 24 5" xfId="21222"/>
    <cellStyle name="Обычный 5 2 24 5 2" xfId="21223"/>
    <cellStyle name="Обычный 5 2 24 5 2 2" xfId="51096"/>
    <cellStyle name="Обычный 5 2 24 5 3" xfId="51097"/>
    <cellStyle name="Обычный 5 2 24 6" xfId="21224"/>
    <cellStyle name="Обычный 5 2 24 6 2" xfId="51098"/>
    <cellStyle name="Обычный 5 2 24 7" xfId="21225"/>
    <cellStyle name="Обычный 5 2 24 7 2" xfId="51099"/>
    <cellStyle name="Обычный 5 2 24 8" xfId="51100"/>
    <cellStyle name="Обычный 5 2 25" xfId="21226"/>
    <cellStyle name="Обычный 5 2 25 2" xfId="21227"/>
    <cellStyle name="Обычный 5 2 25 2 2" xfId="21228"/>
    <cellStyle name="Обычный 5 2 25 2 2 2" xfId="21229"/>
    <cellStyle name="Обычный 5 2 25 2 2 2 2" xfId="51101"/>
    <cellStyle name="Обычный 5 2 25 2 2 3" xfId="51102"/>
    <cellStyle name="Обычный 5 2 25 2 3" xfId="21230"/>
    <cellStyle name="Обычный 5 2 25 2 3 2" xfId="51103"/>
    <cellStyle name="Обычный 5 2 25 2 4" xfId="51104"/>
    <cellStyle name="Обычный 5 2 25 3" xfId="21231"/>
    <cellStyle name="Обычный 5 2 25 3 2" xfId="21232"/>
    <cellStyle name="Обычный 5 2 25 3 2 2" xfId="21233"/>
    <cellStyle name="Обычный 5 2 25 3 2 2 2" xfId="51105"/>
    <cellStyle name="Обычный 5 2 25 3 2 3" xfId="51106"/>
    <cellStyle name="Обычный 5 2 25 3 3" xfId="21234"/>
    <cellStyle name="Обычный 5 2 25 3 3 2" xfId="51107"/>
    <cellStyle name="Обычный 5 2 25 3 4" xfId="51108"/>
    <cellStyle name="Обычный 5 2 25 4" xfId="21235"/>
    <cellStyle name="Обычный 5 2 25 4 2" xfId="21236"/>
    <cellStyle name="Обычный 5 2 25 4 2 2" xfId="21237"/>
    <cellStyle name="Обычный 5 2 25 4 2 2 2" xfId="51109"/>
    <cellStyle name="Обычный 5 2 25 4 2 3" xfId="51110"/>
    <cellStyle name="Обычный 5 2 25 4 3" xfId="21238"/>
    <cellStyle name="Обычный 5 2 25 4 3 2" xfId="51111"/>
    <cellStyle name="Обычный 5 2 25 4 4" xfId="51112"/>
    <cellStyle name="Обычный 5 2 25 5" xfId="21239"/>
    <cellStyle name="Обычный 5 2 25 5 2" xfId="21240"/>
    <cellStyle name="Обычный 5 2 25 5 2 2" xfId="51113"/>
    <cellStyle name="Обычный 5 2 25 5 3" xfId="51114"/>
    <cellStyle name="Обычный 5 2 25 6" xfId="21241"/>
    <cellStyle name="Обычный 5 2 25 6 2" xfId="51115"/>
    <cellStyle name="Обычный 5 2 25 7" xfId="21242"/>
    <cellStyle name="Обычный 5 2 25 7 2" xfId="51116"/>
    <cellStyle name="Обычный 5 2 25 8" xfId="51117"/>
    <cellStyle name="Обычный 5 2 26" xfId="21243"/>
    <cellStyle name="Обычный 5 2 26 2" xfId="21244"/>
    <cellStyle name="Обычный 5 2 26 2 2" xfId="21245"/>
    <cellStyle name="Обычный 5 2 26 2 2 2" xfId="21246"/>
    <cellStyle name="Обычный 5 2 26 2 2 2 2" xfId="51118"/>
    <cellStyle name="Обычный 5 2 26 2 2 3" xfId="51119"/>
    <cellStyle name="Обычный 5 2 26 2 3" xfId="21247"/>
    <cellStyle name="Обычный 5 2 26 2 3 2" xfId="51120"/>
    <cellStyle name="Обычный 5 2 26 2 4" xfId="51121"/>
    <cellStyle name="Обычный 5 2 26 3" xfId="21248"/>
    <cellStyle name="Обычный 5 2 26 3 2" xfId="21249"/>
    <cellStyle name="Обычный 5 2 26 3 2 2" xfId="21250"/>
    <cellStyle name="Обычный 5 2 26 3 2 2 2" xfId="51122"/>
    <cellStyle name="Обычный 5 2 26 3 2 3" xfId="51123"/>
    <cellStyle name="Обычный 5 2 26 3 3" xfId="21251"/>
    <cellStyle name="Обычный 5 2 26 3 3 2" xfId="51124"/>
    <cellStyle name="Обычный 5 2 26 3 4" xfId="51125"/>
    <cellStyle name="Обычный 5 2 26 4" xfId="21252"/>
    <cellStyle name="Обычный 5 2 26 4 2" xfId="21253"/>
    <cellStyle name="Обычный 5 2 26 4 2 2" xfId="21254"/>
    <cellStyle name="Обычный 5 2 26 4 2 2 2" xfId="51126"/>
    <cellStyle name="Обычный 5 2 26 4 2 3" xfId="51127"/>
    <cellStyle name="Обычный 5 2 26 4 3" xfId="21255"/>
    <cellStyle name="Обычный 5 2 26 4 3 2" xfId="51128"/>
    <cellStyle name="Обычный 5 2 26 4 4" xfId="51129"/>
    <cellStyle name="Обычный 5 2 26 5" xfId="21256"/>
    <cellStyle name="Обычный 5 2 26 5 2" xfId="21257"/>
    <cellStyle name="Обычный 5 2 26 5 2 2" xfId="51130"/>
    <cellStyle name="Обычный 5 2 26 5 3" xfId="51131"/>
    <cellStyle name="Обычный 5 2 26 6" xfId="21258"/>
    <cellStyle name="Обычный 5 2 26 6 2" xfId="51132"/>
    <cellStyle name="Обычный 5 2 26 7" xfId="21259"/>
    <cellStyle name="Обычный 5 2 26 7 2" xfId="51133"/>
    <cellStyle name="Обычный 5 2 26 8" xfId="51134"/>
    <cellStyle name="Обычный 5 2 27" xfId="21260"/>
    <cellStyle name="Обычный 5 2 27 2" xfId="21261"/>
    <cellStyle name="Обычный 5 2 27 2 2" xfId="21262"/>
    <cellStyle name="Обычный 5 2 27 2 2 2" xfId="21263"/>
    <cellStyle name="Обычный 5 2 27 2 2 2 2" xfId="51135"/>
    <cellStyle name="Обычный 5 2 27 2 2 3" xfId="51136"/>
    <cellStyle name="Обычный 5 2 27 2 3" xfId="21264"/>
    <cellStyle name="Обычный 5 2 27 2 3 2" xfId="51137"/>
    <cellStyle name="Обычный 5 2 27 2 4" xfId="51138"/>
    <cellStyle name="Обычный 5 2 27 3" xfId="21265"/>
    <cellStyle name="Обычный 5 2 27 3 2" xfId="21266"/>
    <cellStyle name="Обычный 5 2 27 3 2 2" xfId="21267"/>
    <cellStyle name="Обычный 5 2 27 3 2 2 2" xfId="51139"/>
    <cellStyle name="Обычный 5 2 27 3 2 3" xfId="51140"/>
    <cellStyle name="Обычный 5 2 27 3 3" xfId="21268"/>
    <cellStyle name="Обычный 5 2 27 3 3 2" xfId="51141"/>
    <cellStyle name="Обычный 5 2 27 3 4" xfId="51142"/>
    <cellStyle name="Обычный 5 2 27 4" xfId="21269"/>
    <cellStyle name="Обычный 5 2 27 4 2" xfId="21270"/>
    <cellStyle name="Обычный 5 2 27 4 2 2" xfId="21271"/>
    <cellStyle name="Обычный 5 2 27 4 2 2 2" xfId="51143"/>
    <cellStyle name="Обычный 5 2 27 4 2 3" xfId="51144"/>
    <cellStyle name="Обычный 5 2 27 4 3" xfId="21272"/>
    <cellStyle name="Обычный 5 2 27 4 3 2" xfId="51145"/>
    <cellStyle name="Обычный 5 2 27 4 4" xfId="51146"/>
    <cellStyle name="Обычный 5 2 27 5" xfId="21273"/>
    <cellStyle name="Обычный 5 2 27 5 2" xfId="21274"/>
    <cellStyle name="Обычный 5 2 27 5 2 2" xfId="51147"/>
    <cellStyle name="Обычный 5 2 27 5 3" xfId="51148"/>
    <cellStyle name="Обычный 5 2 27 6" xfId="21275"/>
    <cellStyle name="Обычный 5 2 27 6 2" xfId="51149"/>
    <cellStyle name="Обычный 5 2 27 7" xfId="21276"/>
    <cellStyle name="Обычный 5 2 27 7 2" xfId="51150"/>
    <cellStyle name="Обычный 5 2 27 8" xfId="51151"/>
    <cellStyle name="Обычный 5 2 28" xfId="21277"/>
    <cellStyle name="Обычный 5 2 28 2" xfId="21278"/>
    <cellStyle name="Обычный 5 2 28 2 2" xfId="21279"/>
    <cellStyle name="Обычный 5 2 28 2 2 2" xfId="21280"/>
    <cellStyle name="Обычный 5 2 28 2 2 2 2" xfId="51152"/>
    <cellStyle name="Обычный 5 2 28 2 2 3" xfId="51153"/>
    <cellStyle name="Обычный 5 2 28 2 3" xfId="21281"/>
    <cellStyle name="Обычный 5 2 28 2 3 2" xfId="51154"/>
    <cellStyle name="Обычный 5 2 28 2 4" xfId="51155"/>
    <cellStyle name="Обычный 5 2 28 3" xfId="21282"/>
    <cellStyle name="Обычный 5 2 28 3 2" xfId="21283"/>
    <cellStyle name="Обычный 5 2 28 3 2 2" xfId="21284"/>
    <cellStyle name="Обычный 5 2 28 3 2 2 2" xfId="51156"/>
    <cellStyle name="Обычный 5 2 28 3 2 3" xfId="51157"/>
    <cellStyle name="Обычный 5 2 28 3 3" xfId="21285"/>
    <cellStyle name="Обычный 5 2 28 3 3 2" xfId="51158"/>
    <cellStyle name="Обычный 5 2 28 3 4" xfId="51159"/>
    <cellStyle name="Обычный 5 2 28 4" xfId="21286"/>
    <cellStyle name="Обычный 5 2 28 4 2" xfId="21287"/>
    <cellStyle name="Обычный 5 2 28 4 2 2" xfId="21288"/>
    <cellStyle name="Обычный 5 2 28 4 2 2 2" xfId="51160"/>
    <cellStyle name="Обычный 5 2 28 4 2 3" xfId="51161"/>
    <cellStyle name="Обычный 5 2 28 4 3" xfId="21289"/>
    <cellStyle name="Обычный 5 2 28 4 3 2" xfId="51162"/>
    <cellStyle name="Обычный 5 2 28 4 4" xfId="51163"/>
    <cellStyle name="Обычный 5 2 28 5" xfId="21290"/>
    <cellStyle name="Обычный 5 2 28 5 2" xfId="21291"/>
    <cellStyle name="Обычный 5 2 28 5 2 2" xfId="51164"/>
    <cellStyle name="Обычный 5 2 28 5 3" xfId="51165"/>
    <cellStyle name="Обычный 5 2 28 6" xfId="21292"/>
    <cellStyle name="Обычный 5 2 28 6 2" xfId="51166"/>
    <cellStyle name="Обычный 5 2 28 7" xfId="21293"/>
    <cellStyle name="Обычный 5 2 28 7 2" xfId="51167"/>
    <cellStyle name="Обычный 5 2 28 8" xfId="51168"/>
    <cellStyle name="Обычный 5 2 29" xfId="21294"/>
    <cellStyle name="Обычный 5 2 29 2" xfId="21295"/>
    <cellStyle name="Обычный 5 2 29 2 2" xfId="21296"/>
    <cellStyle name="Обычный 5 2 29 2 2 2" xfId="21297"/>
    <cellStyle name="Обычный 5 2 29 2 2 2 2" xfId="51169"/>
    <cellStyle name="Обычный 5 2 29 2 2 3" xfId="51170"/>
    <cellStyle name="Обычный 5 2 29 2 3" xfId="21298"/>
    <cellStyle name="Обычный 5 2 29 2 3 2" xfId="51171"/>
    <cellStyle name="Обычный 5 2 29 2 4" xfId="51172"/>
    <cellStyle name="Обычный 5 2 29 3" xfId="21299"/>
    <cellStyle name="Обычный 5 2 29 3 2" xfId="21300"/>
    <cellStyle name="Обычный 5 2 29 3 2 2" xfId="21301"/>
    <cellStyle name="Обычный 5 2 29 3 2 2 2" xfId="51173"/>
    <cellStyle name="Обычный 5 2 29 3 2 3" xfId="51174"/>
    <cellStyle name="Обычный 5 2 29 3 3" xfId="21302"/>
    <cellStyle name="Обычный 5 2 29 3 3 2" xfId="51175"/>
    <cellStyle name="Обычный 5 2 29 3 4" xfId="51176"/>
    <cellStyle name="Обычный 5 2 29 4" xfId="21303"/>
    <cellStyle name="Обычный 5 2 29 4 2" xfId="21304"/>
    <cellStyle name="Обычный 5 2 29 4 2 2" xfId="21305"/>
    <cellStyle name="Обычный 5 2 29 4 2 2 2" xfId="51177"/>
    <cellStyle name="Обычный 5 2 29 4 2 3" xfId="51178"/>
    <cellStyle name="Обычный 5 2 29 4 3" xfId="21306"/>
    <cellStyle name="Обычный 5 2 29 4 3 2" xfId="51179"/>
    <cellStyle name="Обычный 5 2 29 4 4" xfId="51180"/>
    <cellStyle name="Обычный 5 2 29 5" xfId="21307"/>
    <cellStyle name="Обычный 5 2 29 5 2" xfId="21308"/>
    <cellStyle name="Обычный 5 2 29 5 2 2" xfId="51181"/>
    <cellStyle name="Обычный 5 2 29 5 3" xfId="51182"/>
    <cellStyle name="Обычный 5 2 29 6" xfId="21309"/>
    <cellStyle name="Обычный 5 2 29 6 2" xfId="51183"/>
    <cellStyle name="Обычный 5 2 29 7" xfId="21310"/>
    <cellStyle name="Обычный 5 2 29 7 2" xfId="51184"/>
    <cellStyle name="Обычный 5 2 29 8" xfId="51185"/>
    <cellStyle name="Обычный 5 2 3" xfId="21311"/>
    <cellStyle name="Обычный 5 2 3 2" xfId="21312"/>
    <cellStyle name="Обычный 5 2 3 2 2" xfId="21313"/>
    <cellStyle name="Обычный 5 2 3 2 2 2" xfId="21314"/>
    <cellStyle name="Обычный 5 2 3 2 2 2 2" xfId="21315"/>
    <cellStyle name="Обычный 5 2 3 2 2 2 2 2" xfId="51186"/>
    <cellStyle name="Обычный 5 2 3 2 2 2 3" xfId="51187"/>
    <cellStyle name="Обычный 5 2 3 2 2 3" xfId="21316"/>
    <cellStyle name="Обычный 5 2 3 2 2 3 2" xfId="51188"/>
    <cellStyle name="Обычный 5 2 3 2 2 4" xfId="51189"/>
    <cellStyle name="Обычный 5 2 3 2 3" xfId="21317"/>
    <cellStyle name="Обычный 5 2 3 2 3 2" xfId="21318"/>
    <cellStyle name="Обычный 5 2 3 2 3 2 2" xfId="51190"/>
    <cellStyle name="Обычный 5 2 3 2 3 3" xfId="51191"/>
    <cellStyle name="Обычный 5 2 3 2 4" xfId="21319"/>
    <cellStyle name="Обычный 5 2 3 2 4 2" xfId="51192"/>
    <cellStyle name="Обычный 5 2 3 2 5" xfId="51193"/>
    <cellStyle name="Обычный 5 2 3 3" xfId="21320"/>
    <cellStyle name="Обычный 5 2 3 3 2" xfId="21321"/>
    <cellStyle name="Обычный 5 2 3 3 2 2" xfId="21322"/>
    <cellStyle name="Обычный 5 2 3 3 2 2 2" xfId="51194"/>
    <cellStyle name="Обычный 5 2 3 3 2 3" xfId="51195"/>
    <cellStyle name="Обычный 5 2 3 3 3" xfId="21323"/>
    <cellStyle name="Обычный 5 2 3 3 3 2" xfId="51196"/>
    <cellStyle name="Обычный 5 2 3 3 4" xfId="51197"/>
    <cellStyle name="Обычный 5 2 3 4" xfId="21324"/>
    <cellStyle name="Обычный 5 2 3 4 2" xfId="21325"/>
    <cellStyle name="Обычный 5 2 3 4 2 2" xfId="21326"/>
    <cellStyle name="Обычный 5 2 3 4 2 2 2" xfId="51198"/>
    <cellStyle name="Обычный 5 2 3 4 2 3" xfId="51199"/>
    <cellStyle name="Обычный 5 2 3 4 3" xfId="21327"/>
    <cellStyle name="Обычный 5 2 3 4 3 2" xfId="51200"/>
    <cellStyle name="Обычный 5 2 3 4 4" xfId="51201"/>
    <cellStyle name="Обычный 5 2 3 5" xfId="21328"/>
    <cellStyle name="Обычный 5 2 3 5 2" xfId="21329"/>
    <cellStyle name="Обычный 5 2 3 5 2 2" xfId="21330"/>
    <cellStyle name="Обычный 5 2 3 5 2 2 2" xfId="51202"/>
    <cellStyle name="Обычный 5 2 3 5 2 3" xfId="51203"/>
    <cellStyle name="Обычный 5 2 3 5 3" xfId="21331"/>
    <cellStyle name="Обычный 5 2 3 5 3 2" xfId="51204"/>
    <cellStyle name="Обычный 5 2 3 5 4" xfId="51205"/>
    <cellStyle name="Обычный 5 2 3 6" xfId="21332"/>
    <cellStyle name="Обычный 5 2 3 6 2" xfId="21333"/>
    <cellStyle name="Обычный 5 2 3 6 2 2" xfId="51206"/>
    <cellStyle name="Обычный 5 2 3 6 3" xfId="51207"/>
    <cellStyle name="Обычный 5 2 3 7" xfId="21334"/>
    <cellStyle name="Обычный 5 2 3 7 2" xfId="51208"/>
    <cellStyle name="Обычный 5 2 3 8" xfId="21335"/>
    <cellStyle name="Обычный 5 2 3 8 2" xfId="51209"/>
    <cellStyle name="Обычный 5 2 3 9" xfId="51210"/>
    <cellStyle name="Обычный 5 2 30" xfId="21336"/>
    <cellStyle name="Обычный 5 2 30 2" xfId="21337"/>
    <cellStyle name="Обычный 5 2 30 2 2" xfId="21338"/>
    <cellStyle name="Обычный 5 2 30 2 2 2" xfId="51211"/>
    <cellStyle name="Обычный 5 2 30 2 3" xfId="51212"/>
    <cellStyle name="Обычный 5 2 30 3" xfId="21339"/>
    <cellStyle name="Обычный 5 2 30 3 2" xfId="51213"/>
    <cellStyle name="Обычный 5 2 30 4" xfId="51214"/>
    <cellStyle name="Обычный 5 2 31" xfId="21340"/>
    <cellStyle name="Обычный 5 2 31 2" xfId="21341"/>
    <cellStyle name="Обычный 5 2 31 2 2" xfId="21342"/>
    <cellStyle name="Обычный 5 2 31 2 2 2" xfId="51215"/>
    <cellStyle name="Обычный 5 2 31 2 3" xfId="51216"/>
    <cellStyle name="Обычный 5 2 31 3" xfId="21343"/>
    <cellStyle name="Обычный 5 2 31 3 2" xfId="51217"/>
    <cellStyle name="Обычный 5 2 31 4" xfId="51218"/>
    <cellStyle name="Обычный 5 2 32" xfId="21344"/>
    <cellStyle name="Обычный 5 2 32 2" xfId="21345"/>
    <cellStyle name="Обычный 5 2 32 2 2" xfId="21346"/>
    <cellStyle name="Обычный 5 2 32 2 2 2" xfId="51219"/>
    <cellStyle name="Обычный 5 2 32 2 3" xfId="51220"/>
    <cellStyle name="Обычный 5 2 32 3" xfId="21347"/>
    <cellStyle name="Обычный 5 2 32 3 2" xfId="51221"/>
    <cellStyle name="Обычный 5 2 32 4" xfId="51222"/>
    <cellStyle name="Обычный 5 2 33" xfId="21348"/>
    <cellStyle name="Обычный 5 2 33 2" xfId="21349"/>
    <cellStyle name="Обычный 5 2 33 2 2" xfId="21350"/>
    <cellStyle name="Обычный 5 2 33 2 2 2" xfId="51223"/>
    <cellStyle name="Обычный 5 2 33 2 3" xfId="51224"/>
    <cellStyle name="Обычный 5 2 33 3" xfId="21351"/>
    <cellStyle name="Обычный 5 2 33 3 2" xfId="51225"/>
    <cellStyle name="Обычный 5 2 33 4" xfId="51226"/>
    <cellStyle name="Обычный 5 2 34" xfId="21352"/>
    <cellStyle name="Обычный 5 2 34 2" xfId="21353"/>
    <cellStyle name="Обычный 5 2 34 2 2" xfId="51227"/>
    <cellStyle name="Обычный 5 2 34 3" xfId="51228"/>
    <cellStyle name="Обычный 5 2 35" xfId="21354"/>
    <cellStyle name="Обычный 5 2 35 2" xfId="51229"/>
    <cellStyle name="Обычный 5 2 36" xfId="21355"/>
    <cellStyle name="Обычный 5 2 36 2" xfId="51230"/>
    <cellStyle name="Обычный 5 2 37" xfId="51231"/>
    <cellStyle name="Обычный 5 2 4" xfId="21356"/>
    <cellStyle name="Обычный 5 2 4 2" xfId="21357"/>
    <cellStyle name="Обычный 5 2 4 2 2" xfId="21358"/>
    <cellStyle name="Обычный 5 2 4 2 2 2" xfId="21359"/>
    <cellStyle name="Обычный 5 2 4 2 2 2 2" xfId="51232"/>
    <cellStyle name="Обычный 5 2 4 2 2 3" xfId="51233"/>
    <cellStyle name="Обычный 5 2 4 2 3" xfId="21360"/>
    <cellStyle name="Обычный 5 2 4 2 3 2" xfId="51234"/>
    <cellStyle name="Обычный 5 2 4 2 4" xfId="51235"/>
    <cellStyle name="Обычный 5 2 4 3" xfId="21361"/>
    <cellStyle name="Обычный 5 2 4 3 2" xfId="21362"/>
    <cellStyle name="Обычный 5 2 4 3 2 2" xfId="21363"/>
    <cellStyle name="Обычный 5 2 4 3 2 2 2" xfId="51236"/>
    <cellStyle name="Обычный 5 2 4 3 2 3" xfId="51237"/>
    <cellStyle name="Обычный 5 2 4 3 3" xfId="21364"/>
    <cellStyle name="Обычный 5 2 4 3 3 2" xfId="51238"/>
    <cellStyle name="Обычный 5 2 4 3 4" xfId="51239"/>
    <cellStyle name="Обычный 5 2 4 4" xfId="21365"/>
    <cellStyle name="Обычный 5 2 4 4 2" xfId="21366"/>
    <cellStyle name="Обычный 5 2 4 4 2 2" xfId="21367"/>
    <cellStyle name="Обычный 5 2 4 4 2 2 2" xfId="51240"/>
    <cellStyle name="Обычный 5 2 4 4 2 3" xfId="51241"/>
    <cellStyle name="Обычный 5 2 4 4 3" xfId="21368"/>
    <cellStyle name="Обычный 5 2 4 4 3 2" xfId="51242"/>
    <cellStyle name="Обычный 5 2 4 4 4" xfId="51243"/>
    <cellStyle name="Обычный 5 2 4 5" xfId="21369"/>
    <cellStyle name="Обычный 5 2 4 5 2" xfId="21370"/>
    <cellStyle name="Обычный 5 2 4 5 2 2" xfId="21371"/>
    <cellStyle name="Обычный 5 2 4 5 2 2 2" xfId="51244"/>
    <cellStyle name="Обычный 5 2 4 5 2 3" xfId="51245"/>
    <cellStyle name="Обычный 5 2 4 5 3" xfId="21372"/>
    <cellStyle name="Обычный 5 2 4 5 3 2" xfId="51246"/>
    <cellStyle name="Обычный 5 2 4 5 4" xfId="51247"/>
    <cellStyle name="Обычный 5 2 4 6" xfId="21373"/>
    <cellStyle name="Обычный 5 2 4 6 2" xfId="21374"/>
    <cellStyle name="Обычный 5 2 4 6 2 2" xfId="51248"/>
    <cellStyle name="Обычный 5 2 4 6 3" xfId="51249"/>
    <cellStyle name="Обычный 5 2 4 7" xfId="21375"/>
    <cellStyle name="Обычный 5 2 4 7 2" xfId="51250"/>
    <cellStyle name="Обычный 5 2 4 8" xfId="21376"/>
    <cellStyle name="Обычный 5 2 4 8 2" xfId="51251"/>
    <cellStyle name="Обычный 5 2 4 9" xfId="51252"/>
    <cellStyle name="Обычный 5 2 5" xfId="21377"/>
    <cellStyle name="Обычный 5 2 5 2" xfId="21378"/>
    <cellStyle name="Обычный 5 2 5 2 2" xfId="21379"/>
    <cellStyle name="Обычный 5 2 5 2 2 2" xfId="21380"/>
    <cellStyle name="Обычный 5 2 5 2 2 2 2" xfId="51253"/>
    <cellStyle name="Обычный 5 2 5 2 2 3" xfId="51254"/>
    <cellStyle name="Обычный 5 2 5 2 3" xfId="21381"/>
    <cellStyle name="Обычный 5 2 5 2 3 2" xfId="51255"/>
    <cellStyle name="Обычный 5 2 5 2 4" xfId="51256"/>
    <cellStyle name="Обычный 5 2 5 3" xfId="21382"/>
    <cellStyle name="Обычный 5 2 5 3 2" xfId="21383"/>
    <cellStyle name="Обычный 5 2 5 3 2 2" xfId="21384"/>
    <cellStyle name="Обычный 5 2 5 3 2 2 2" xfId="51257"/>
    <cellStyle name="Обычный 5 2 5 3 2 3" xfId="51258"/>
    <cellStyle name="Обычный 5 2 5 3 3" xfId="21385"/>
    <cellStyle name="Обычный 5 2 5 3 3 2" xfId="51259"/>
    <cellStyle name="Обычный 5 2 5 3 4" xfId="51260"/>
    <cellStyle name="Обычный 5 2 5 4" xfId="21386"/>
    <cellStyle name="Обычный 5 2 5 4 2" xfId="21387"/>
    <cellStyle name="Обычный 5 2 5 4 2 2" xfId="21388"/>
    <cellStyle name="Обычный 5 2 5 4 2 2 2" xfId="51261"/>
    <cellStyle name="Обычный 5 2 5 4 2 3" xfId="51262"/>
    <cellStyle name="Обычный 5 2 5 4 3" xfId="21389"/>
    <cellStyle name="Обычный 5 2 5 4 3 2" xfId="51263"/>
    <cellStyle name="Обычный 5 2 5 4 4" xfId="51264"/>
    <cellStyle name="Обычный 5 2 5 5" xfId="21390"/>
    <cellStyle name="Обычный 5 2 5 5 2" xfId="21391"/>
    <cellStyle name="Обычный 5 2 5 5 2 2" xfId="51265"/>
    <cellStyle name="Обычный 5 2 5 5 3" xfId="51266"/>
    <cellStyle name="Обычный 5 2 5 6" xfId="21392"/>
    <cellStyle name="Обычный 5 2 5 6 2" xfId="51267"/>
    <cellStyle name="Обычный 5 2 5 7" xfId="21393"/>
    <cellStyle name="Обычный 5 2 5 7 2" xfId="51268"/>
    <cellStyle name="Обычный 5 2 5 8" xfId="51269"/>
    <cellStyle name="Обычный 5 2 6" xfId="21394"/>
    <cellStyle name="Обычный 5 2 6 2" xfId="21395"/>
    <cellStyle name="Обычный 5 2 6 2 2" xfId="21396"/>
    <cellStyle name="Обычный 5 2 6 2 2 2" xfId="21397"/>
    <cellStyle name="Обычный 5 2 6 2 2 2 2" xfId="51270"/>
    <cellStyle name="Обычный 5 2 6 2 2 3" xfId="51271"/>
    <cellStyle name="Обычный 5 2 6 2 3" xfId="21398"/>
    <cellStyle name="Обычный 5 2 6 2 3 2" xfId="51272"/>
    <cellStyle name="Обычный 5 2 6 2 4" xfId="51273"/>
    <cellStyle name="Обычный 5 2 6 3" xfId="21399"/>
    <cellStyle name="Обычный 5 2 6 3 2" xfId="21400"/>
    <cellStyle name="Обычный 5 2 6 3 2 2" xfId="21401"/>
    <cellStyle name="Обычный 5 2 6 3 2 2 2" xfId="51274"/>
    <cellStyle name="Обычный 5 2 6 3 2 3" xfId="51275"/>
    <cellStyle name="Обычный 5 2 6 3 3" xfId="21402"/>
    <cellStyle name="Обычный 5 2 6 3 3 2" xfId="51276"/>
    <cellStyle name="Обычный 5 2 6 3 4" xfId="51277"/>
    <cellStyle name="Обычный 5 2 6 4" xfId="21403"/>
    <cellStyle name="Обычный 5 2 6 4 2" xfId="21404"/>
    <cellStyle name="Обычный 5 2 6 4 2 2" xfId="21405"/>
    <cellStyle name="Обычный 5 2 6 4 2 2 2" xfId="51278"/>
    <cellStyle name="Обычный 5 2 6 4 2 3" xfId="51279"/>
    <cellStyle name="Обычный 5 2 6 4 3" xfId="21406"/>
    <cellStyle name="Обычный 5 2 6 4 3 2" xfId="51280"/>
    <cellStyle name="Обычный 5 2 6 4 4" xfId="51281"/>
    <cellStyle name="Обычный 5 2 6 5" xfId="21407"/>
    <cellStyle name="Обычный 5 2 6 5 2" xfId="21408"/>
    <cellStyle name="Обычный 5 2 6 5 2 2" xfId="51282"/>
    <cellStyle name="Обычный 5 2 6 5 3" xfId="51283"/>
    <cellStyle name="Обычный 5 2 6 6" xfId="21409"/>
    <cellStyle name="Обычный 5 2 6 6 2" xfId="51284"/>
    <cellStyle name="Обычный 5 2 6 7" xfId="21410"/>
    <cellStyle name="Обычный 5 2 6 7 2" xfId="51285"/>
    <cellStyle name="Обычный 5 2 6 8" xfId="51286"/>
    <cellStyle name="Обычный 5 2 7" xfId="21411"/>
    <cellStyle name="Обычный 5 2 7 2" xfId="21412"/>
    <cellStyle name="Обычный 5 2 7 2 2" xfId="21413"/>
    <cellStyle name="Обычный 5 2 7 2 2 2" xfId="21414"/>
    <cellStyle name="Обычный 5 2 7 2 2 2 2" xfId="51287"/>
    <cellStyle name="Обычный 5 2 7 2 2 3" xfId="51288"/>
    <cellStyle name="Обычный 5 2 7 2 3" xfId="21415"/>
    <cellStyle name="Обычный 5 2 7 2 3 2" xfId="51289"/>
    <cellStyle name="Обычный 5 2 7 2 4" xfId="51290"/>
    <cellStyle name="Обычный 5 2 7 3" xfId="21416"/>
    <cellStyle name="Обычный 5 2 7 3 2" xfId="21417"/>
    <cellStyle name="Обычный 5 2 7 3 2 2" xfId="21418"/>
    <cellStyle name="Обычный 5 2 7 3 2 2 2" xfId="51291"/>
    <cellStyle name="Обычный 5 2 7 3 2 3" xfId="51292"/>
    <cellStyle name="Обычный 5 2 7 3 3" xfId="21419"/>
    <cellStyle name="Обычный 5 2 7 3 3 2" xfId="51293"/>
    <cellStyle name="Обычный 5 2 7 3 4" xfId="51294"/>
    <cellStyle name="Обычный 5 2 7 4" xfId="21420"/>
    <cellStyle name="Обычный 5 2 7 4 2" xfId="21421"/>
    <cellStyle name="Обычный 5 2 7 4 2 2" xfId="21422"/>
    <cellStyle name="Обычный 5 2 7 4 2 2 2" xfId="51295"/>
    <cellStyle name="Обычный 5 2 7 4 2 3" xfId="51296"/>
    <cellStyle name="Обычный 5 2 7 4 3" xfId="21423"/>
    <cellStyle name="Обычный 5 2 7 4 3 2" xfId="51297"/>
    <cellStyle name="Обычный 5 2 7 4 4" xfId="51298"/>
    <cellStyle name="Обычный 5 2 7 5" xfId="21424"/>
    <cellStyle name="Обычный 5 2 7 5 2" xfId="21425"/>
    <cellStyle name="Обычный 5 2 7 5 2 2" xfId="51299"/>
    <cellStyle name="Обычный 5 2 7 5 3" xfId="51300"/>
    <cellStyle name="Обычный 5 2 7 6" xfId="21426"/>
    <cellStyle name="Обычный 5 2 7 6 2" xfId="51301"/>
    <cellStyle name="Обычный 5 2 7 7" xfId="21427"/>
    <cellStyle name="Обычный 5 2 7 7 2" xfId="51302"/>
    <cellStyle name="Обычный 5 2 7 8" xfId="51303"/>
    <cellStyle name="Обычный 5 2 8" xfId="21428"/>
    <cellStyle name="Обычный 5 2 8 2" xfId="21429"/>
    <cellStyle name="Обычный 5 2 8 2 2" xfId="21430"/>
    <cellStyle name="Обычный 5 2 8 2 2 2" xfId="21431"/>
    <cellStyle name="Обычный 5 2 8 2 2 2 2" xfId="51304"/>
    <cellStyle name="Обычный 5 2 8 2 2 3" xfId="51305"/>
    <cellStyle name="Обычный 5 2 8 2 3" xfId="21432"/>
    <cellStyle name="Обычный 5 2 8 2 3 2" xfId="51306"/>
    <cellStyle name="Обычный 5 2 8 2 4" xfId="51307"/>
    <cellStyle name="Обычный 5 2 8 3" xfId="21433"/>
    <cellStyle name="Обычный 5 2 8 3 2" xfId="21434"/>
    <cellStyle name="Обычный 5 2 8 3 2 2" xfId="21435"/>
    <cellStyle name="Обычный 5 2 8 3 2 2 2" xfId="51308"/>
    <cellStyle name="Обычный 5 2 8 3 2 3" xfId="51309"/>
    <cellStyle name="Обычный 5 2 8 3 3" xfId="21436"/>
    <cellStyle name="Обычный 5 2 8 3 3 2" xfId="51310"/>
    <cellStyle name="Обычный 5 2 8 3 4" xfId="51311"/>
    <cellStyle name="Обычный 5 2 8 4" xfId="21437"/>
    <cellStyle name="Обычный 5 2 8 4 2" xfId="21438"/>
    <cellStyle name="Обычный 5 2 8 4 2 2" xfId="21439"/>
    <cellStyle name="Обычный 5 2 8 4 2 2 2" xfId="51312"/>
    <cellStyle name="Обычный 5 2 8 4 2 3" xfId="51313"/>
    <cellStyle name="Обычный 5 2 8 4 3" xfId="21440"/>
    <cellStyle name="Обычный 5 2 8 4 3 2" xfId="51314"/>
    <cellStyle name="Обычный 5 2 8 4 4" xfId="51315"/>
    <cellStyle name="Обычный 5 2 8 5" xfId="21441"/>
    <cellStyle name="Обычный 5 2 8 5 2" xfId="21442"/>
    <cellStyle name="Обычный 5 2 8 5 2 2" xfId="51316"/>
    <cellStyle name="Обычный 5 2 8 5 3" xfId="51317"/>
    <cellStyle name="Обычный 5 2 8 6" xfId="21443"/>
    <cellStyle name="Обычный 5 2 8 6 2" xfId="51318"/>
    <cellStyle name="Обычный 5 2 8 7" xfId="21444"/>
    <cellStyle name="Обычный 5 2 8 7 2" xfId="51319"/>
    <cellStyle name="Обычный 5 2 8 8" xfId="51320"/>
    <cellStyle name="Обычный 5 2 9" xfId="21445"/>
    <cellStyle name="Обычный 5 2 9 2" xfId="21446"/>
    <cellStyle name="Обычный 5 2 9 2 2" xfId="21447"/>
    <cellStyle name="Обычный 5 2 9 2 2 2" xfId="21448"/>
    <cellStyle name="Обычный 5 2 9 2 2 2 2" xfId="51321"/>
    <cellStyle name="Обычный 5 2 9 2 2 3" xfId="51322"/>
    <cellStyle name="Обычный 5 2 9 2 3" xfId="21449"/>
    <cellStyle name="Обычный 5 2 9 2 3 2" xfId="51323"/>
    <cellStyle name="Обычный 5 2 9 2 4" xfId="51324"/>
    <cellStyle name="Обычный 5 2 9 3" xfId="21450"/>
    <cellStyle name="Обычный 5 2 9 3 2" xfId="21451"/>
    <cellStyle name="Обычный 5 2 9 3 2 2" xfId="21452"/>
    <cellStyle name="Обычный 5 2 9 3 2 2 2" xfId="51325"/>
    <cellStyle name="Обычный 5 2 9 3 2 3" xfId="51326"/>
    <cellStyle name="Обычный 5 2 9 3 3" xfId="21453"/>
    <cellStyle name="Обычный 5 2 9 3 3 2" xfId="51327"/>
    <cellStyle name="Обычный 5 2 9 3 4" xfId="51328"/>
    <cellStyle name="Обычный 5 2 9 4" xfId="21454"/>
    <cellStyle name="Обычный 5 2 9 4 2" xfId="21455"/>
    <cellStyle name="Обычный 5 2 9 4 2 2" xfId="21456"/>
    <cellStyle name="Обычный 5 2 9 4 2 2 2" xfId="51329"/>
    <cellStyle name="Обычный 5 2 9 4 2 3" xfId="51330"/>
    <cellStyle name="Обычный 5 2 9 4 3" xfId="21457"/>
    <cellStyle name="Обычный 5 2 9 4 3 2" xfId="51331"/>
    <cellStyle name="Обычный 5 2 9 4 4" xfId="51332"/>
    <cellStyle name="Обычный 5 2 9 5" xfId="21458"/>
    <cellStyle name="Обычный 5 2 9 5 2" xfId="21459"/>
    <cellStyle name="Обычный 5 2 9 5 2 2" xfId="51333"/>
    <cellStyle name="Обычный 5 2 9 5 3" xfId="51334"/>
    <cellStyle name="Обычный 5 2 9 6" xfId="21460"/>
    <cellStyle name="Обычный 5 2 9 6 2" xfId="51335"/>
    <cellStyle name="Обычный 5 2 9 7" xfId="21461"/>
    <cellStyle name="Обычный 5 2 9 7 2" xfId="51336"/>
    <cellStyle name="Обычный 5 2 9 8" xfId="51337"/>
    <cellStyle name="Обычный 5 20" xfId="21462"/>
    <cellStyle name="Обычный 5 20 10" xfId="21463"/>
    <cellStyle name="Обычный 5 20 10 2" xfId="21464"/>
    <cellStyle name="Обычный 5 20 10 2 2" xfId="21465"/>
    <cellStyle name="Обычный 5 20 10 2 2 2" xfId="21466"/>
    <cellStyle name="Обычный 5 20 10 2 2 2 2" xfId="51338"/>
    <cellStyle name="Обычный 5 20 10 2 2 3" xfId="51339"/>
    <cellStyle name="Обычный 5 20 10 2 3" xfId="21467"/>
    <cellStyle name="Обычный 5 20 10 2 3 2" xfId="51340"/>
    <cellStyle name="Обычный 5 20 10 2 4" xfId="51341"/>
    <cellStyle name="Обычный 5 20 10 3" xfId="21468"/>
    <cellStyle name="Обычный 5 20 10 3 2" xfId="21469"/>
    <cellStyle name="Обычный 5 20 10 3 2 2" xfId="21470"/>
    <cellStyle name="Обычный 5 20 10 3 2 2 2" xfId="51342"/>
    <cellStyle name="Обычный 5 20 10 3 2 3" xfId="51343"/>
    <cellStyle name="Обычный 5 20 10 3 3" xfId="21471"/>
    <cellStyle name="Обычный 5 20 10 3 3 2" xfId="51344"/>
    <cellStyle name="Обычный 5 20 10 3 4" xfId="51345"/>
    <cellStyle name="Обычный 5 20 10 4" xfId="21472"/>
    <cellStyle name="Обычный 5 20 10 4 2" xfId="21473"/>
    <cellStyle name="Обычный 5 20 10 4 2 2" xfId="21474"/>
    <cellStyle name="Обычный 5 20 10 4 2 2 2" xfId="51346"/>
    <cellStyle name="Обычный 5 20 10 4 2 3" xfId="51347"/>
    <cellStyle name="Обычный 5 20 10 4 3" xfId="21475"/>
    <cellStyle name="Обычный 5 20 10 4 3 2" xfId="51348"/>
    <cellStyle name="Обычный 5 20 10 4 4" xfId="51349"/>
    <cellStyle name="Обычный 5 20 10 5" xfId="21476"/>
    <cellStyle name="Обычный 5 20 10 5 2" xfId="21477"/>
    <cellStyle name="Обычный 5 20 10 5 2 2" xfId="51350"/>
    <cellStyle name="Обычный 5 20 10 5 3" xfId="51351"/>
    <cellStyle name="Обычный 5 20 10 6" xfId="21478"/>
    <cellStyle name="Обычный 5 20 10 6 2" xfId="51352"/>
    <cellStyle name="Обычный 5 20 10 7" xfId="21479"/>
    <cellStyle name="Обычный 5 20 10 7 2" xfId="51353"/>
    <cellStyle name="Обычный 5 20 10 8" xfId="51354"/>
    <cellStyle name="Обычный 5 20 11" xfId="21480"/>
    <cellStyle name="Обычный 5 20 11 2" xfId="21481"/>
    <cellStyle name="Обычный 5 20 11 2 2" xfId="21482"/>
    <cellStyle name="Обычный 5 20 11 2 2 2" xfId="21483"/>
    <cellStyle name="Обычный 5 20 11 2 2 2 2" xfId="51355"/>
    <cellStyle name="Обычный 5 20 11 2 2 3" xfId="51356"/>
    <cellStyle name="Обычный 5 20 11 2 3" xfId="21484"/>
    <cellStyle name="Обычный 5 20 11 2 3 2" xfId="51357"/>
    <cellStyle name="Обычный 5 20 11 2 4" xfId="51358"/>
    <cellStyle name="Обычный 5 20 11 3" xfId="21485"/>
    <cellStyle name="Обычный 5 20 11 3 2" xfId="21486"/>
    <cellStyle name="Обычный 5 20 11 3 2 2" xfId="21487"/>
    <cellStyle name="Обычный 5 20 11 3 2 2 2" xfId="51359"/>
    <cellStyle name="Обычный 5 20 11 3 2 3" xfId="51360"/>
    <cellStyle name="Обычный 5 20 11 3 3" xfId="21488"/>
    <cellStyle name="Обычный 5 20 11 3 3 2" xfId="51361"/>
    <cellStyle name="Обычный 5 20 11 3 4" xfId="51362"/>
    <cellStyle name="Обычный 5 20 11 4" xfId="21489"/>
    <cellStyle name="Обычный 5 20 11 4 2" xfId="21490"/>
    <cellStyle name="Обычный 5 20 11 4 2 2" xfId="21491"/>
    <cellStyle name="Обычный 5 20 11 4 2 2 2" xfId="51363"/>
    <cellStyle name="Обычный 5 20 11 4 2 3" xfId="51364"/>
    <cellStyle name="Обычный 5 20 11 4 3" xfId="21492"/>
    <cellStyle name="Обычный 5 20 11 4 3 2" xfId="51365"/>
    <cellStyle name="Обычный 5 20 11 4 4" xfId="51366"/>
    <cellStyle name="Обычный 5 20 11 5" xfId="21493"/>
    <cellStyle name="Обычный 5 20 11 5 2" xfId="21494"/>
    <cellStyle name="Обычный 5 20 11 5 2 2" xfId="51367"/>
    <cellStyle name="Обычный 5 20 11 5 3" xfId="51368"/>
    <cellStyle name="Обычный 5 20 11 6" xfId="21495"/>
    <cellStyle name="Обычный 5 20 11 6 2" xfId="51369"/>
    <cellStyle name="Обычный 5 20 11 7" xfId="21496"/>
    <cellStyle name="Обычный 5 20 11 7 2" xfId="51370"/>
    <cellStyle name="Обычный 5 20 11 8" xfId="51371"/>
    <cellStyle name="Обычный 5 20 12" xfId="21497"/>
    <cellStyle name="Обычный 5 20 12 2" xfId="21498"/>
    <cellStyle name="Обычный 5 20 12 2 2" xfId="21499"/>
    <cellStyle name="Обычный 5 20 12 2 2 2" xfId="21500"/>
    <cellStyle name="Обычный 5 20 12 2 2 2 2" xfId="51372"/>
    <cellStyle name="Обычный 5 20 12 2 2 3" xfId="51373"/>
    <cellStyle name="Обычный 5 20 12 2 3" xfId="21501"/>
    <cellStyle name="Обычный 5 20 12 2 3 2" xfId="51374"/>
    <cellStyle name="Обычный 5 20 12 2 4" xfId="51375"/>
    <cellStyle name="Обычный 5 20 12 3" xfId="21502"/>
    <cellStyle name="Обычный 5 20 12 3 2" xfId="21503"/>
    <cellStyle name="Обычный 5 20 12 3 2 2" xfId="21504"/>
    <cellStyle name="Обычный 5 20 12 3 2 2 2" xfId="51376"/>
    <cellStyle name="Обычный 5 20 12 3 2 3" xfId="51377"/>
    <cellStyle name="Обычный 5 20 12 3 3" xfId="21505"/>
    <cellStyle name="Обычный 5 20 12 3 3 2" xfId="51378"/>
    <cellStyle name="Обычный 5 20 12 3 4" xfId="51379"/>
    <cellStyle name="Обычный 5 20 12 4" xfId="21506"/>
    <cellStyle name="Обычный 5 20 12 4 2" xfId="21507"/>
    <cellStyle name="Обычный 5 20 12 4 2 2" xfId="21508"/>
    <cellStyle name="Обычный 5 20 12 4 2 2 2" xfId="51380"/>
    <cellStyle name="Обычный 5 20 12 4 2 3" xfId="51381"/>
    <cellStyle name="Обычный 5 20 12 4 3" xfId="21509"/>
    <cellStyle name="Обычный 5 20 12 4 3 2" xfId="51382"/>
    <cellStyle name="Обычный 5 20 12 4 4" xfId="51383"/>
    <cellStyle name="Обычный 5 20 12 5" xfId="21510"/>
    <cellStyle name="Обычный 5 20 12 5 2" xfId="21511"/>
    <cellStyle name="Обычный 5 20 12 5 2 2" xfId="51384"/>
    <cellStyle name="Обычный 5 20 12 5 3" xfId="51385"/>
    <cellStyle name="Обычный 5 20 12 6" xfId="21512"/>
    <cellStyle name="Обычный 5 20 12 6 2" xfId="51386"/>
    <cellStyle name="Обычный 5 20 12 7" xfId="21513"/>
    <cellStyle name="Обычный 5 20 12 7 2" xfId="51387"/>
    <cellStyle name="Обычный 5 20 12 8" xfId="51388"/>
    <cellStyle name="Обычный 5 20 13" xfId="21514"/>
    <cellStyle name="Обычный 5 20 13 2" xfId="21515"/>
    <cellStyle name="Обычный 5 20 13 2 2" xfId="21516"/>
    <cellStyle name="Обычный 5 20 13 2 2 2" xfId="21517"/>
    <cellStyle name="Обычный 5 20 13 2 2 2 2" xfId="51389"/>
    <cellStyle name="Обычный 5 20 13 2 2 3" xfId="51390"/>
    <cellStyle name="Обычный 5 20 13 2 3" xfId="21518"/>
    <cellStyle name="Обычный 5 20 13 2 3 2" xfId="51391"/>
    <cellStyle name="Обычный 5 20 13 2 4" xfId="51392"/>
    <cellStyle name="Обычный 5 20 13 3" xfId="21519"/>
    <cellStyle name="Обычный 5 20 13 3 2" xfId="21520"/>
    <cellStyle name="Обычный 5 20 13 3 2 2" xfId="21521"/>
    <cellStyle name="Обычный 5 20 13 3 2 2 2" xfId="51393"/>
    <cellStyle name="Обычный 5 20 13 3 2 3" xfId="51394"/>
    <cellStyle name="Обычный 5 20 13 3 3" xfId="21522"/>
    <cellStyle name="Обычный 5 20 13 3 3 2" xfId="51395"/>
    <cellStyle name="Обычный 5 20 13 3 4" xfId="51396"/>
    <cellStyle name="Обычный 5 20 13 4" xfId="21523"/>
    <cellStyle name="Обычный 5 20 13 4 2" xfId="21524"/>
    <cellStyle name="Обычный 5 20 13 4 2 2" xfId="21525"/>
    <cellStyle name="Обычный 5 20 13 4 2 2 2" xfId="51397"/>
    <cellStyle name="Обычный 5 20 13 4 2 3" xfId="51398"/>
    <cellStyle name="Обычный 5 20 13 4 3" xfId="21526"/>
    <cellStyle name="Обычный 5 20 13 4 3 2" xfId="51399"/>
    <cellStyle name="Обычный 5 20 13 4 4" xfId="51400"/>
    <cellStyle name="Обычный 5 20 13 5" xfId="21527"/>
    <cellStyle name="Обычный 5 20 13 5 2" xfId="21528"/>
    <cellStyle name="Обычный 5 20 13 5 2 2" xfId="51401"/>
    <cellStyle name="Обычный 5 20 13 5 3" xfId="51402"/>
    <cellStyle name="Обычный 5 20 13 6" xfId="21529"/>
    <cellStyle name="Обычный 5 20 13 6 2" xfId="51403"/>
    <cellStyle name="Обычный 5 20 13 7" xfId="21530"/>
    <cellStyle name="Обычный 5 20 13 7 2" xfId="51404"/>
    <cellStyle name="Обычный 5 20 13 8" xfId="51405"/>
    <cellStyle name="Обычный 5 20 14" xfId="21531"/>
    <cellStyle name="Обычный 5 20 14 2" xfId="21532"/>
    <cellStyle name="Обычный 5 20 14 2 2" xfId="21533"/>
    <cellStyle name="Обычный 5 20 14 2 2 2" xfId="21534"/>
    <cellStyle name="Обычный 5 20 14 2 2 2 2" xfId="51406"/>
    <cellStyle name="Обычный 5 20 14 2 2 3" xfId="51407"/>
    <cellStyle name="Обычный 5 20 14 2 3" xfId="21535"/>
    <cellStyle name="Обычный 5 20 14 2 3 2" xfId="51408"/>
    <cellStyle name="Обычный 5 20 14 2 4" xfId="51409"/>
    <cellStyle name="Обычный 5 20 14 3" xfId="21536"/>
    <cellStyle name="Обычный 5 20 14 3 2" xfId="21537"/>
    <cellStyle name="Обычный 5 20 14 3 2 2" xfId="21538"/>
    <cellStyle name="Обычный 5 20 14 3 2 2 2" xfId="51410"/>
    <cellStyle name="Обычный 5 20 14 3 2 3" xfId="51411"/>
    <cellStyle name="Обычный 5 20 14 3 3" xfId="21539"/>
    <cellStyle name="Обычный 5 20 14 3 3 2" xfId="51412"/>
    <cellStyle name="Обычный 5 20 14 3 4" xfId="51413"/>
    <cellStyle name="Обычный 5 20 14 4" xfId="21540"/>
    <cellStyle name="Обычный 5 20 14 4 2" xfId="21541"/>
    <cellStyle name="Обычный 5 20 14 4 2 2" xfId="21542"/>
    <cellStyle name="Обычный 5 20 14 4 2 2 2" xfId="51414"/>
    <cellStyle name="Обычный 5 20 14 4 2 3" xfId="51415"/>
    <cellStyle name="Обычный 5 20 14 4 3" xfId="21543"/>
    <cellStyle name="Обычный 5 20 14 4 3 2" xfId="51416"/>
    <cellStyle name="Обычный 5 20 14 4 4" xfId="51417"/>
    <cellStyle name="Обычный 5 20 14 5" xfId="21544"/>
    <cellStyle name="Обычный 5 20 14 5 2" xfId="21545"/>
    <cellStyle name="Обычный 5 20 14 5 2 2" xfId="51418"/>
    <cellStyle name="Обычный 5 20 14 5 3" xfId="51419"/>
    <cellStyle name="Обычный 5 20 14 6" xfId="21546"/>
    <cellStyle name="Обычный 5 20 14 6 2" xfId="51420"/>
    <cellStyle name="Обычный 5 20 14 7" xfId="21547"/>
    <cellStyle name="Обычный 5 20 14 7 2" xfId="51421"/>
    <cellStyle name="Обычный 5 20 14 8" xfId="51422"/>
    <cellStyle name="Обычный 5 20 15" xfId="21548"/>
    <cellStyle name="Обычный 5 20 15 2" xfId="21549"/>
    <cellStyle name="Обычный 5 20 15 2 2" xfId="21550"/>
    <cellStyle name="Обычный 5 20 15 2 2 2" xfId="21551"/>
    <cellStyle name="Обычный 5 20 15 2 2 2 2" xfId="51423"/>
    <cellStyle name="Обычный 5 20 15 2 2 3" xfId="51424"/>
    <cellStyle name="Обычный 5 20 15 2 3" xfId="21552"/>
    <cellStyle name="Обычный 5 20 15 2 3 2" xfId="51425"/>
    <cellStyle name="Обычный 5 20 15 2 4" xfId="51426"/>
    <cellStyle name="Обычный 5 20 15 3" xfId="21553"/>
    <cellStyle name="Обычный 5 20 15 3 2" xfId="21554"/>
    <cellStyle name="Обычный 5 20 15 3 2 2" xfId="21555"/>
    <cellStyle name="Обычный 5 20 15 3 2 2 2" xfId="51427"/>
    <cellStyle name="Обычный 5 20 15 3 2 3" xfId="51428"/>
    <cellStyle name="Обычный 5 20 15 3 3" xfId="21556"/>
    <cellStyle name="Обычный 5 20 15 3 3 2" xfId="51429"/>
    <cellStyle name="Обычный 5 20 15 3 4" xfId="51430"/>
    <cellStyle name="Обычный 5 20 15 4" xfId="21557"/>
    <cellStyle name="Обычный 5 20 15 4 2" xfId="21558"/>
    <cellStyle name="Обычный 5 20 15 4 2 2" xfId="21559"/>
    <cellStyle name="Обычный 5 20 15 4 2 2 2" xfId="51431"/>
    <cellStyle name="Обычный 5 20 15 4 2 3" xfId="51432"/>
    <cellStyle name="Обычный 5 20 15 4 3" xfId="21560"/>
    <cellStyle name="Обычный 5 20 15 4 3 2" xfId="51433"/>
    <cellStyle name="Обычный 5 20 15 4 4" xfId="51434"/>
    <cellStyle name="Обычный 5 20 15 5" xfId="21561"/>
    <cellStyle name="Обычный 5 20 15 5 2" xfId="21562"/>
    <cellStyle name="Обычный 5 20 15 5 2 2" xfId="51435"/>
    <cellStyle name="Обычный 5 20 15 5 3" xfId="51436"/>
    <cellStyle name="Обычный 5 20 15 6" xfId="21563"/>
    <cellStyle name="Обычный 5 20 15 6 2" xfId="51437"/>
    <cellStyle name="Обычный 5 20 15 7" xfId="21564"/>
    <cellStyle name="Обычный 5 20 15 7 2" xfId="51438"/>
    <cellStyle name="Обычный 5 20 15 8" xfId="51439"/>
    <cellStyle name="Обычный 5 20 16" xfId="21565"/>
    <cellStyle name="Обычный 5 20 16 2" xfId="21566"/>
    <cellStyle name="Обычный 5 20 16 2 2" xfId="21567"/>
    <cellStyle name="Обычный 5 20 16 2 2 2" xfId="21568"/>
    <cellStyle name="Обычный 5 20 16 2 2 2 2" xfId="51440"/>
    <cellStyle name="Обычный 5 20 16 2 2 3" xfId="51441"/>
    <cellStyle name="Обычный 5 20 16 2 3" xfId="21569"/>
    <cellStyle name="Обычный 5 20 16 2 3 2" xfId="51442"/>
    <cellStyle name="Обычный 5 20 16 2 4" xfId="51443"/>
    <cellStyle name="Обычный 5 20 16 3" xfId="21570"/>
    <cellStyle name="Обычный 5 20 16 3 2" xfId="21571"/>
    <cellStyle name="Обычный 5 20 16 3 2 2" xfId="21572"/>
    <cellStyle name="Обычный 5 20 16 3 2 2 2" xfId="51444"/>
    <cellStyle name="Обычный 5 20 16 3 2 3" xfId="51445"/>
    <cellStyle name="Обычный 5 20 16 3 3" xfId="21573"/>
    <cellStyle name="Обычный 5 20 16 3 3 2" xfId="51446"/>
    <cellStyle name="Обычный 5 20 16 3 4" xfId="51447"/>
    <cellStyle name="Обычный 5 20 16 4" xfId="21574"/>
    <cellStyle name="Обычный 5 20 16 4 2" xfId="21575"/>
    <cellStyle name="Обычный 5 20 16 4 2 2" xfId="21576"/>
    <cellStyle name="Обычный 5 20 16 4 2 2 2" xfId="51448"/>
    <cellStyle name="Обычный 5 20 16 4 2 3" xfId="51449"/>
    <cellStyle name="Обычный 5 20 16 4 3" xfId="21577"/>
    <cellStyle name="Обычный 5 20 16 4 3 2" xfId="51450"/>
    <cellStyle name="Обычный 5 20 16 4 4" xfId="51451"/>
    <cellStyle name="Обычный 5 20 16 5" xfId="21578"/>
    <cellStyle name="Обычный 5 20 16 5 2" xfId="21579"/>
    <cellStyle name="Обычный 5 20 16 5 2 2" xfId="51452"/>
    <cellStyle name="Обычный 5 20 16 5 3" xfId="51453"/>
    <cellStyle name="Обычный 5 20 16 6" xfId="21580"/>
    <cellStyle name="Обычный 5 20 16 6 2" xfId="51454"/>
    <cellStyle name="Обычный 5 20 16 7" xfId="21581"/>
    <cellStyle name="Обычный 5 20 16 7 2" xfId="51455"/>
    <cellStyle name="Обычный 5 20 16 8" xfId="51456"/>
    <cellStyle name="Обычный 5 20 17" xfId="21582"/>
    <cellStyle name="Обычный 5 20 17 2" xfId="21583"/>
    <cellStyle name="Обычный 5 20 17 2 2" xfId="21584"/>
    <cellStyle name="Обычный 5 20 17 2 2 2" xfId="21585"/>
    <cellStyle name="Обычный 5 20 17 2 2 2 2" xfId="51457"/>
    <cellStyle name="Обычный 5 20 17 2 2 3" xfId="51458"/>
    <cellStyle name="Обычный 5 20 17 2 3" xfId="21586"/>
    <cellStyle name="Обычный 5 20 17 2 3 2" xfId="51459"/>
    <cellStyle name="Обычный 5 20 17 2 4" xfId="51460"/>
    <cellStyle name="Обычный 5 20 17 3" xfId="21587"/>
    <cellStyle name="Обычный 5 20 17 3 2" xfId="21588"/>
    <cellStyle name="Обычный 5 20 17 3 2 2" xfId="21589"/>
    <cellStyle name="Обычный 5 20 17 3 2 2 2" xfId="51461"/>
    <cellStyle name="Обычный 5 20 17 3 2 3" xfId="51462"/>
    <cellStyle name="Обычный 5 20 17 3 3" xfId="21590"/>
    <cellStyle name="Обычный 5 20 17 3 3 2" xfId="51463"/>
    <cellStyle name="Обычный 5 20 17 3 4" xfId="51464"/>
    <cellStyle name="Обычный 5 20 17 4" xfId="21591"/>
    <cellStyle name="Обычный 5 20 17 4 2" xfId="21592"/>
    <cellStyle name="Обычный 5 20 17 4 2 2" xfId="21593"/>
    <cellStyle name="Обычный 5 20 17 4 2 2 2" xfId="51465"/>
    <cellStyle name="Обычный 5 20 17 4 2 3" xfId="51466"/>
    <cellStyle name="Обычный 5 20 17 4 3" xfId="21594"/>
    <cellStyle name="Обычный 5 20 17 4 3 2" xfId="51467"/>
    <cellStyle name="Обычный 5 20 17 4 4" xfId="51468"/>
    <cellStyle name="Обычный 5 20 17 5" xfId="21595"/>
    <cellStyle name="Обычный 5 20 17 5 2" xfId="21596"/>
    <cellStyle name="Обычный 5 20 17 5 2 2" xfId="51469"/>
    <cellStyle name="Обычный 5 20 17 5 3" xfId="51470"/>
    <cellStyle name="Обычный 5 20 17 6" xfId="21597"/>
    <cellStyle name="Обычный 5 20 17 6 2" xfId="51471"/>
    <cellStyle name="Обычный 5 20 17 7" xfId="21598"/>
    <cellStyle name="Обычный 5 20 17 7 2" xfId="51472"/>
    <cellStyle name="Обычный 5 20 17 8" xfId="51473"/>
    <cellStyle name="Обычный 5 20 18" xfId="21599"/>
    <cellStyle name="Обычный 5 20 18 2" xfId="21600"/>
    <cellStyle name="Обычный 5 20 18 2 2" xfId="21601"/>
    <cellStyle name="Обычный 5 20 18 2 2 2" xfId="21602"/>
    <cellStyle name="Обычный 5 20 18 2 2 2 2" xfId="51474"/>
    <cellStyle name="Обычный 5 20 18 2 2 3" xfId="51475"/>
    <cellStyle name="Обычный 5 20 18 2 3" xfId="21603"/>
    <cellStyle name="Обычный 5 20 18 2 3 2" xfId="51476"/>
    <cellStyle name="Обычный 5 20 18 2 4" xfId="51477"/>
    <cellStyle name="Обычный 5 20 18 3" xfId="21604"/>
    <cellStyle name="Обычный 5 20 18 3 2" xfId="21605"/>
    <cellStyle name="Обычный 5 20 18 3 2 2" xfId="21606"/>
    <cellStyle name="Обычный 5 20 18 3 2 2 2" xfId="51478"/>
    <cellStyle name="Обычный 5 20 18 3 2 3" xfId="51479"/>
    <cellStyle name="Обычный 5 20 18 3 3" xfId="21607"/>
    <cellStyle name="Обычный 5 20 18 3 3 2" xfId="51480"/>
    <cellStyle name="Обычный 5 20 18 3 4" xfId="51481"/>
    <cellStyle name="Обычный 5 20 18 4" xfId="21608"/>
    <cellStyle name="Обычный 5 20 18 4 2" xfId="21609"/>
    <cellStyle name="Обычный 5 20 18 4 2 2" xfId="21610"/>
    <cellStyle name="Обычный 5 20 18 4 2 2 2" xfId="51482"/>
    <cellStyle name="Обычный 5 20 18 4 2 3" xfId="51483"/>
    <cellStyle name="Обычный 5 20 18 4 3" xfId="21611"/>
    <cellStyle name="Обычный 5 20 18 4 3 2" xfId="51484"/>
    <cellStyle name="Обычный 5 20 18 4 4" xfId="51485"/>
    <cellStyle name="Обычный 5 20 18 5" xfId="21612"/>
    <cellStyle name="Обычный 5 20 18 5 2" xfId="21613"/>
    <cellStyle name="Обычный 5 20 18 5 2 2" xfId="51486"/>
    <cellStyle name="Обычный 5 20 18 5 3" xfId="51487"/>
    <cellStyle name="Обычный 5 20 18 6" xfId="21614"/>
    <cellStyle name="Обычный 5 20 18 6 2" xfId="51488"/>
    <cellStyle name="Обычный 5 20 18 7" xfId="21615"/>
    <cellStyle name="Обычный 5 20 18 7 2" xfId="51489"/>
    <cellStyle name="Обычный 5 20 18 8" xfId="51490"/>
    <cellStyle name="Обычный 5 20 19" xfId="21616"/>
    <cellStyle name="Обычный 5 20 19 2" xfId="21617"/>
    <cellStyle name="Обычный 5 20 19 2 2" xfId="21618"/>
    <cellStyle name="Обычный 5 20 19 2 2 2" xfId="21619"/>
    <cellStyle name="Обычный 5 20 19 2 2 2 2" xfId="51491"/>
    <cellStyle name="Обычный 5 20 19 2 2 3" xfId="51492"/>
    <cellStyle name="Обычный 5 20 19 2 3" xfId="21620"/>
    <cellStyle name="Обычный 5 20 19 2 3 2" xfId="51493"/>
    <cellStyle name="Обычный 5 20 19 2 4" xfId="51494"/>
    <cellStyle name="Обычный 5 20 19 3" xfId="21621"/>
    <cellStyle name="Обычный 5 20 19 3 2" xfId="21622"/>
    <cellStyle name="Обычный 5 20 19 3 2 2" xfId="21623"/>
    <cellStyle name="Обычный 5 20 19 3 2 2 2" xfId="51495"/>
    <cellStyle name="Обычный 5 20 19 3 2 3" xfId="51496"/>
    <cellStyle name="Обычный 5 20 19 3 3" xfId="21624"/>
    <cellStyle name="Обычный 5 20 19 3 3 2" xfId="51497"/>
    <cellStyle name="Обычный 5 20 19 3 4" xfId="51498"/>
    <cellStyle name="Обычный 5 20 19 4" xfId="21625"/>
    <cellStyle name="Обычный 5 20 19 4 2" xfId="21626"/>
    <cellStyle name="Обычный 5 20 19 4 2 2" xfId="21627"/>
    <cellStyle name="Обычный 5 20 19 4 2 2 2" xfId="51499"/>
    <cellStyle name="Обычный 5 20 19 4 2 3" xfId="51500"/>
    <cellStyle name="Обычный 5 20 19 4 3" xfId="21628"/>
    <cellStyle name="Обычный 5 20 19 4 3 2" xfId="51501"/>
    <cellStyle name="Обычный 5 20 19 4 4" xfId="51502"/>
    <cellStyle name="Обычный 5 20 19 5" xfId="21629"/>
    <cellStyle name="Обычный 5 20 19 5 2" xfId="21630"/>
    <cellStyle name="Обычный 5 20 19 5 2 2" xfId="51503"/>
    <cellStyle name="Обычный 5 20 19 5 3" xfId="51504"/>
    <cellStyle name="Обычный 5 20 19 6" xfId="21631"/>
    <cellStyle name="Обычный 5 20 19 6 2" xfId="51505"/>
    <cellStyle name="Обычный 5 20 19 7" xfId="21632"/>
    <cellStyle name="Обычный 5 20 19 7 2" xfId="51506"/>
    <cellStyle name="Обычный 5 20 19 8" xfId="51507"/>
    <cellStyle name="Обычный 5 20 2" xfId="21633"/>
    <cellStyle name="Обычный 5 20 2 2" xfId="21634"/>
    <cellStyle name="Обычный 5 20 2 2 2" xfId="21635"/>
    <cellStyle name="Обычный 5 20 2 2 2 2" xfId="21636"/>
    <cellStyle name="Обычный 5 20 2 2 2 2 2" xfId="51508"/>
    <cellStyle name="Обычный 5 20 2 2 2 3" xfId="51509"/>
    <cellStyle name="Обычный 5 20 2 2 3" xfId="21637"/>
    <cellStyle name="Обычный 5 20 2 2 3 2" xfId="51510"/>
    <cellStyle name="Обычный 5 20 2 2 4" xfId="51511"/>
    <cellStyle name="Обычный 5 20 2 3" xfId="21638"/>
    <cellStyle name="Обычный 5 20 2 3 2" xfId="21639"/>
    <cellStyle name="Обычный 5 20 2 3 2 2" xfId="21640"/>
    <cellStyle name="Обычный 5 20 2 3 2 2 2" xfId="51512"/>
    <cellStyle name="Обычный 5 20 2 3 2 3" xfId="51513"/>
    <cellStyle name="Обычный 5 20 2 3 3" xfId="21641"/>
    <cellStyle name="Обычный 5 20 2 3 3 2" xfId="51514"/>
    <cellStyle name="Обычный 5 20 2 3 4" xfId="51515"/>
    <cellStyle name="Обычный 5 20 2 4" xfId="21642"/>
    <cellStyle name="Обычный 5 20 2 4 2" xfId="21643"/>
    <cellStyle name="Обычный 5 20 2 4 2 2" xfId="21644"/>
    <cellStyle name="Обычный 5 20 2 4 2 2 2" xfId="51516"/>
    <cellStyle name="Обычный 5 20 2 4 2 3" xfId="51517"/>
    <cellStyle name="Обычный 5 20 2 4 3" xfId="21645"/>
    <cellStyle name="Обычный 5 20 2 4 3 2" xfId="51518"/>
    <cellStyle name="Обычный 5 20 2 4 4" xfId="51519"/>
    <cellStyle name="Обычный 5 20 2 5" xfId="21646"/>
    <cellStyle name="Обычный 5 20 2 5 2" xfId="21647"/>
    <cellStyle name="Обычный 5 20 2 5 2 2" xfId="51520"/>
    <cellStyle name="Обычный 5 20 2 5 3" xfId="51521"/>
    <cellStyle name="Обычный 5 20 2 6" xfId="21648"/>
    <cellStyle name="Обычный 5 20 2 6 2" xfId="51522"/>
    <cellStyle name="Обычный 5 20 2 7" xfId="21649"/>
    <cellStyle name="Обычный 5 20 2 7 2" xfId="51523"/>
    <cellStyle name="Обычный 5 20 2 8" xfId="51524"/>
    <cellStyle name="Обычный 5 20 20" xfId="21650"/>
    <cellStyle name="Обычный 5 20 20 2" xfId="21651"/>
    <cellStyle name="Обычный 5 20 20 2 2" xfId="21652"/>
    <cellStyle name="Обычный 5 20 20 2 2 2" xfId="21653"/>
    <cellStyle name="Обычный 5 20 20 2 2 2 2" xfId="51525"/>
    <cellStyle name="Обычный 5 20 20 2 2 3" xfId="51526"/>
    <cellStyle name="Обычный 5 20 20 2 3" xfId="21654"/>
    <cellStyle name="Обычный 5 20 20 2 3 2" xfId="51527"/>
    <cellStyle name="Обычный 5 20 20 2 4" xfId="51528"/>
    <cellStyle name="Обычный 5 20 20 3" xfId="21655"/>
    <cellStyle name="Обычный 5 20 20 3 2" xfId="21656"/>
    <cellStyle name="Обычный 5 20 20 3 2 2" xfId="21657"/>
    <cellStyle name="Обычный 5 20 20 3 2 2 2" xfId="51529"/>
    <cellStyle name="Обычный 5 20 20 3 2 3" xfId="51530"/>
    <cellStyle name="Обычный 5 20 20 3 3" xfId="21658"/>
    <cellStyle name="Обычный 5 20 20 3 3 2" xfId="51531"/>
    <cellStyle name="Обычный 5 20 20 3 4" xfId="51532"/>
    <cellStyle name="Обычный 5 20 20 4" xfId="21659"/>
    <cellStyle name="Обычный 5 20 20 4 2" xfId="21660"/>
    <cellStyle name="Обычный 5 20 20 4 2 2" xfId="21661"/>
    <cellStyle name="Обычный 5 20 20 4 2 2 2" xfId="51533"/>
    <cellStyle name="Обычный 5 20 20 4 2 3" xfId="51534"/>
    <cellStyle name="Обычный 5 20 20 4 3" xfId="21662"/>
    <cellStyle name="Обычный 5 20 20 4 3 2" xfId="51535"/>
    <cellStyle name="Обычный 5 20 20 4 4" xfId="51536"/>
    <cellStyle name="Обычный 5 20 20 5" xfId="21663"/>
    <cellStyle name="Обычный 5 20 20 5 2" xfId="21664"/>
    <cellStyle name="Обычный 5 20 20 5 2 2" xfId="51537"/>
    <cellStyle name="Обычный 5 20 20 5 3" xfId="51538"/>
    <cellStyle name="Обычный 5 20 20 6" xfId="21665"/>
    <cellStyle name="Обычный 5 20 20 6 2" xfId="51539"/>
    <cellStyle name="Обычный 5 20 20 7" xfId="21666"/>
    <cellStyle name="Обычный 5 20 20 7 2" xfId="51540"/>
    <cellStyle name="Обычный 5 20 20 8" xfId="51541"/>
    <cellStyle name="Обычный 5 20 21" xfId="21667"/>
    <cellStyle name="Обычный 5 20 21 2" xfId="21668"/>
    <cellStyle name="Обычный 5 20 21 2 2" xfId="21669"/>
    <cellStyle name="Обычный 5 20 21 2 2 2" xfId="21670"/>
    <cellStyle name="Обычный 5 20 21 2 2 2 2" xfId="51542"/>
    <cellStyle name="Обычный 5 20 21 2 2 3" xfId="51543"/>
    <cellStyle name="Обычный 5 20 21 2 3" xfId="21671"/>
    <cellStyle name="Обычный 5 20 21 2 3 2" xfId="51544"/>
    <cellStyle name="Обычный 5 20 21 2 4" xfId="51545"/>
    <cellStyle name="Обычный 5 20 21 3" xfId="21672"/>
    <cellStyle name="Обычный 5 20 21 3 2" xfId="21673"/>
    <cellStyle name="Обычный 5 20 21 3 2 2" xfId="21674"/>
    <cellStyle name="Обычный 5 20 21 3 2 2 2" xfId="51546"/>
    <cellStyle name="Обычный 5 20 21 3 2 3" xfId="51547"/>
    <cellStyle name="Обычный 5 20 21 3 3" xfId="21675"/>
    <cellStyle name="Обычный 5 20 21 3 3 2" xfId="51548"/>
    <cellStyle name="Обычный 5 20 21 3 4" xfId="51549"/>
    <cellStyle name="Обычный 5 20 21 4" xfId="21676"/>
    <cellStyle name="Обычный 5 20 21 4 2" xfId="21677"/>
    <cellStyle name="Обычный 5 20 21 4 2 2" xfId="21678"/>
    <cellStyle name="Обычный 5 20 21 4 2 2 2" xfId="51550"/>
    <cellStyle name="Обычный 5 20 21 4 2 3" xfId="51551"/>
    <cellStyle name="Обычный 5 20 21 4 3" xfId="21679"/>
    <cellStyle name="Обычный 5 20 21 4 3 2" xfId="51552"/>
    <cellStyle name="Обычный 5 20 21 4 4" xfId="51553"/>
    <cellStyle name="Обычный 5 20 21 5" xfId="21680"/>
    <cellStyle name="Обычный 5 20 21 5 2" xfId="21681"/>
    <cellStyle name="Обычный 5 20 21 5 2 2" xfId="51554"/>
    <cellStyle name="Обычный 5 20 21 5 3" xfId="51555"/>
    <cellStyle name="Обычный 5 20 21 6" xfId="21682"/>
    <cellStyle name="Обычный 5 20 21 6 2" xfId="51556"/>
    <cellStyle name="Обычный 5 20 21 7" xfId="21683"/>
    <cellStyle name="Обычный 5 20 21 7 2" xfId="51557"/>
    <cellStyle name="Обычный 5 20 21 8" xfId="51558"/>
    <cellStyle name="Обычный 5 20 22" xfId="21684"/>
    <cellStyle name="Обычный 5 20 22 2" xfId="21685"/>
    <cellStyle name="Обычный 5 20 22 2 2" xfId="21686"/>
    <cellStyle name="Обычный 5 20 22 2 2 2" xfId="21687"/>
    <cellStyle name="Обычный 5 20 22 2 2 2 2" xfId="51559"/>
    <cellStyle name="Обычный 5 20 22 2 2 3" xfId="51560"/>
    <cellStyle name="Обычный 5 20 22 2 3" xfId="21688"/>
    <cellStyle name="Обычный 5 20 22 2 3 2" xfId="51561"/>
    <cellStyle name="Обычный 5 20 22 2 4" xfId="51562"/>
    <cellStyle name="Обычный 5 20 22 3" xfId="21689"/>
    <cellStyle name="Обычный 5 20 22 3 2" xfId="21690"/>
    <cellStyle name="Обычный 5 20 22 3 2 2" xfId="21691"/>
    <cellStyle name="Обычный 5 20 22 3 2 2 2" xfId="51563"/>
    <cellStyle name="Обычный 5 20 22 3 2 3" xfId="51564"/>
    <cellStyle name="Обычный 5 20 22 3 3" xfId="21692"/>
    <cellStyle name="Обычный 5 20 22 3 3 2" xfId="51565"/>
    <cellStyle name="Обычный 5 20 22 3 4" xfId="51566"/>
    <cellStyle name="Обычный 5 20 22 4" xfId="21693"/>
    <cellStyle name="Обычный 5 20 22 4 2" xfId="21694"/>
    <cellStyle name="Обычный 5 20 22 4 2 2" xfId="21695"/>
    <cellStyle name="Обычный 5 20 22 4 2 2 2" xfId="51567"/>
    <cellStyle name="Обычный 5 20 22 4 2 3" xfId="51568"/>
    <cellStyle name="Обычный 5 20 22 4 3" xfId="21696"/>
    <cellStyle name="Обычный 5 20 22 4 3 2" xfId="51569"/>
    <cellStyle name="Обычный 5 20 22 4 4" xfId="51570"/>
    <cellStyle name="Обычный 5 20 22 5" xfId="21697"/>
    <cellStyle name="Обычный 5 20 22 5 2" xfId="21698"/>
    <cellStyle name="Обычный 5 20 22 5 2 2" xfId="51571"/>
    <cellStyle name="Обычный 5 20 22 5 3" xfId="51572"/>
    <cellStyle name="Обычный 5 20 22 6" xfId="21699"/>
    <cellStyle name="Обычный 5 20 22 6 2" xfId="51573"/>
    <cellStyle name="Обычный 5 20 22 7" xfId="21700"/>
    <cellStyle name="Обычный 5 20 22 7 2" xfId="51574"/>
    <cellStyle name="Обычный 5 20 22 8" xfId="51575"/>
    <cellStyle name="Обычный 5 20 23" xfId="21701"/>
    <cellStyle name="Обычный 5 20 23 2" xfId="21702"/>
    <cellStyle name="Обычный 5 20 23 2 2" xfId="21703"/>
    <cellStyle name="Обычный 5 20 23 2 2 2" xfId="21704"/>
    <cellStyle name="Обычный 5 20 23 2 2 2 2" xfId="51576"/>
    <cellStyle name="Обычный 5 20 23 2 2 3" xfId="51577"/>
    <cellStyle name="Обычный 5 20 23 2 3" xfId="21705"/>
    <cellStyle name="Обычный 5 20 23 2 3 2" xfId="51578"/>
    <cellStyle name="Обычный 5 20 23 2 4" xfId="51579"/>
    <cellStyle name="Обычный 5 20 23 3" xfId="21706"/>
    <cellStyle name="Обычный 5 20 23 3 2" xfId="21707"/>
    <cellStyle name="Обычный 5 20 23 3 2 2" xfId="21708"/>
    <cellStyle name="Обычный 5 20 23 3 2 2 2" xfId="51580"/>
    <cellStyle name="Обычный 5 20 23 3 2 3" xfId="51581"/>
    <cellStyle name="Обычный 5 20 23 3 3" xfId="21709"/>
    <cellStyle name="Обычный 5 20 23 3 3 2" xfId="51582"/>
    <cellStyle name="Обычный 5 20 23 3 4" xfId="51583"/>
    <cellStyle name="Обычный 5 20 23 4" xfId="21710"/>
    <cellStyle name="Обычный 5 20 23 4 2" xfId="21711"/>
    <cellStyle name="Обычный 5 20 23 4 2 2" xfId="21712"/>
    <cellStyle name="Обычный 5 20 23 4 2 2 2" xfId="51584"/>
    <cellStyle name="Обычный 5 20 23 4 2 3" xfId="51585"/>
    <cellStyle name="Обычный 5 20 23 4 3" xfId="21713"/>
    <cellStyle name="Обычный 5 20 23 4 3 2" xfId="51586"/>
    <cellStyle name="Обычный 5 20 23 4 4" xfId="51587"/>
    <cellStyle name="Обычный 5 20 23 5" xfId="21714"/>
    <cellStyle name="Обычный 5 20 23 5 2" xfId="21715"/>
    <cellStyle name="Обычный 5 20 23 5 2 2" xfId="51588"/>
    <cellStyle name="Обычный 5 20 23 5 3" xfId="51589"/>
    <cellStyle name="Обычный 5 20 23 6" xfId="21716"/>
    <cellStyle name="Обычный 5 20 23 6 2" xfId="51590"/>
    <cellStyle name="Обычный 5 20 23 7" xfId="21717"/>
    <cellStyle name="Обычный 5 20 23 7 2" xfId="51591"/>
    <cellStyle name="Обычный 5 20 23 8" xfId="51592"/>
    <cellStyle name="Обычный 5 20 24" xfId="21718"/>
    <cellStyle name="Обычный 5 20 24 2" xfId="21719"/>
    <cellStyle name="Обычный 5 20 24 2 2" xfId="21720"/>
    <cellStyle name="Обычный 5 20 24 2 2 2" xfId="21721"/>
    <cellStyle name="Обычный 5 20 24 2 2 2 2" xfId="51593"/>
    <cellStyle name="Обычный 5 20 24 2 2 3" xfId="51594"/>
    <cellStyle name="Обычный 5 20 24 2 3" xfId="21722"/>
    <cellStyle name="Обычный 5 20 24 2 3 2" xfId="51595"/>
    <cellStyle name="Обычный 5 20 24 2 4" xfId="51596"/>
    <cellStyle name="Обычный 5 20 24 3" xfId="21723"/>
    <cellStyle name="Обычный 5 20 24 3 2" xfId="21724"/>
    <cellStyle name="Обычный 5 20 24 3 2 2" xfId="21725"/>
    <cellStyle name="Обычный 5 20 24 3 2 2 2" xfId="51597"/>
    <cellStyle name="Обычный 5 20 24 3 2 3" xfId="51598"/>
    <cellStyle name="Обычный 5 20 24 3 3" xfId="21726"/>
    <cellStyle name="Обычный 5 20 24 3 3 2" xfId="51599"/>
    <cellStyle name="Обычный 5 20 24 3 4" xfId="51600"/>
    <cellStyle name="Обычный 5 20 24 4" xfId="21727"/>
    <cellStyle name="Обычный 5 20 24 4 2" xfId="21728"/>
    <cellStyle name="Обычный 5 20 24 4 2 2" xfId="21729"/>
    <cellStyle name="Обычный 5 20 24 4 2 2 2" xfId="51601"/>
    <cellStyle name="Обычный 5 20 24 4 2 3" xfId="51602"/>
    <cellStyle name="Обычный 5 20 24 4 3" xfId="21730"/>
    <cellStyle name="Обычный 5 20 24 4 3 2" xfId="51603"/>
    <cellStyle name="Обычный 5 20 24 4 4" xfId="51604"/>
    <cellStyle name="Обычный 5 20 24 5" xfId="21731"/>
    <cellStyle name="Обычный 5 20 24 5 2" xfId="21732"/>
    <cellStyle name="Обычный 5 20 24 5 2 2" xfId="51605"/>
    <cellStyle name="Обычный 5 20 24 5 3" xfId="51606"/>
    <cellStyle name="Обычный 5 20 24 6" xfId="21733"/>
    <cellStyle name="Обычный 5 20 24 6 2" xfId="51607"/>
    <cellStyle name="Обычный 5 20 24 7" xfId="21734"/>
    <cellStyle name="Обычный 5 20 24 7 2" xfId="51608"/>
    <cellStyle name="Обычный 5 20 24 8" xfId="51609"/>
    <cellStyle name="Обычный 5 20 25" xfId="21735"/>
    <cellStyle name="Обычный 5 20 25 2" xfId="21736"/>
    <cellStyle name="Обычный 5 20 25 2 2" xfId="21737"/>
    <cellStyle name="Обычный 5 20 25 2 2 2" xfId="21738"/>
    <cellStyle name="Обычный 5 20 25 2 2 2 2" xfId="51610"/>
    <cellStyle name="Обычный 5 20 25 2 2 3" xfId="51611"/>
    <cellStyle name="Обычный 5 20 25 2 3" xfId="21739"/>
    <cellStyle name="Обычный 5 20 25 2 3 2" xfId="51612"/>
    <cellStyle name="Обычный 5 20 25 2 4" xfId="51613"/>
    <cellStyle name="Обычный 5 20 25 3" xfId="21740"/>
    <cellStyle name="Обычный 5 20 25 3 2" xfId="21741"/>
    <cellStyle name="Обычный 5 20 25 3 2 2" xfId="21742"/>
    <cellStyle name="Обычный 5 20 25 3 2 2 2" xfId="51614"/>
    <cellStyle name="Обычный 5 20 25 3 2 3" xfId="51615"/>
    <cellStyle name="Обычный 5 20 25 3 3" xfId="21743"/>
    <cellStyle name="Обычный 5 20 25 3 3 2" xfId="51616"/>
    <cellStyle name="Обычный 5 20 25 3 4" xfId="51617"/>
    <cellStyle name="Обычный 5 20 25 4" xfId="21744"/>
    <cellStyle name="Обычный 5 20 25 4 2" xfId="21745"/>
    <cellStyle name="Обычный 5 20 25 4 2 2" xfId="21746"/>
    <cellStyle name="Обычный 5 20 25 4 2 2 2" xfId="51618"/>
    <cellStyle name="Обычный 5 20 25 4 2 3" xfId="51619"/>
    <cellStyle name="Обычный 5 20 25 4 3" xfId="21747"/>
    <cellStyle name="Обычный 5 20 25 4 3 2" xfId="51620"/>
    <cellStyle name="Обычный 5 20 25 4 4" xfId="51621"/>
    <cellStyle name="Обычный 5 20 25 5" xfId="21748"/>
    <cellStyle name="Обычный 5 20 25 5 2" xfId="21749"/>
    <cellStyle name="Обычный 5 20 25 5 2 2" xfId="51622"/>
    <cellStyle name="Обычный 5 20 25 5 3" xfId="51623"/>
    <cellStyle name="Обычный 5 20 25 6" xfId="21750"/>
    <cellStyle name="Обычный 5 20 25 6 2" xfId="51624"/>
    <cellStyle name="Обычный 5 20 25 7" xfId="21751"/>
    <cellStyle name="Обычный 5 20 25 7 2" xfId="51625"/>
    <cellStyle name="Обычный 5 20 25 8" xfId="51626"/>
    <cellStyle name="Обычный 5 20 26" xfId="21752"/>
    <cellStyle name="Обычный 5 20 26 2" xfId="21753"/>
    <cellStyle name="Обычный 5 20 26 2 2" xfId="21754"/>
    <cellStyle name="Обычный 5 20 26 2 2 2" xfId="21755"/>
    <cellStyle name="Обычный 5 20 26 2 2 2 2" xfId="51627"/>
    <cellStyle name="Обычный 5 20 26 2 2 3" xfId="51628"/>
    <cellStyle name="Обычный 5 20 26 2 3" xfId="21756"/>
    <cellStyle name="Обычный 5 20 26 2 3 2" xfId="51629"/>
    <cellStyle name="Обычный 5 20 26 2 4" xfId="51630"/>
    <cellStyle name="Обычный 5 20 26 3" xfId="21757"/>
    <cellStyle name="Обычный 5 20 26 3 2" xfId="21758"/>
    <cellStyle name="Обычный 5 20 26 3 2 2" xfId="21759"/>
    <cellStyle name="Обычный 5 20 26 3 2 2 2" xfId="51631"/>
    <cellStyle name="Обычный 5 20 26 3 2 3" xfId="51632"/>
    <cellStyle name="Обычный 5 20 26 3 3" xfId="21760"/>
    <cellStyle name="Обычный 5 20 26 3 3 2" xfId="51633"/>
    <cellStyle name="Обычный 5 20 26 3 4" xfId="51634"/>
    <cellStyle name="Обычный 5 20 26 4" xfId="21761"/>
    <cellStyle name="Обычный 5 20 26 4 2" xfId="21762"/>
    <cellStyle name="Обычный 5 20 26 4 2 2" xfId="21763"/>
    <cellStyle name="Обычный 5 20 26 4 2 2 2" xfId="51635"/>
    <cellStyle name="Обычный 5 20 26 4 2 3" xfId="51636"/>
    <cellStyle name="Обычный 5 20 26 4 3" xfId="21764"/>
    <cellStyle name="Обычный 5 20 26 4 3 2" xfId="51637"/>
    <cellStyle name="Обычный 5 20 26 4 4" xfId="51638"/>
    <cellStyle name="Обычный 5 20 26 5" xfId="21765"/>
    <cellStyle name="Обычный 5 20 26 5 2" xfId="21766"/>
    <cellStyle name="Обычный 5 20 26 5 2 2" xfId="51639"/>
    <cellStyle name="Обычный 5 20 26 5 3" xfId="51640"/>
    <cellStyle name="Обычный 5 20 26 6" xfId="21767"/>
    <cellStyle name="Обычный 5 20 26 6 2" xfId="51641"/>
    <cellStyle name="Обычный 5 20 26 7" xfId="21768"/>
    <cellStyle name="Обычный 5 20 26 7 2" xfId="51642"/>
    <cellStyle name="Обычный 5 20 26 8" xfId="51643"/>
    <cellStyle name="Обычный 5 20 27" xfId="21769"/>
    <cellStyle name="Обычный 5 20 27 2" xfId="21770"/>
    <cellStyle name="Обычный 5 20 27 2 2" xfId="21771"/>
    <cellStyle name="Обычный 5 20 27 2 2 2" xfId="21772"/>
    <cellStyle name="Обычный 5 20 27 2 2 2 2" xfId="51644"/>
    <cellStyle name="Обычный 5 20 27 2 2 3" xfId="51645"/>
    <cellStyle name="Обычный 5 20 27 2 3" xfId="21773"/>
    <cellStyle name="Обычный 5 20 27 2 3 2" xfId="51646"/>
    <cellStyle name="Обычный 5 20 27 2 4" xfId="51647"/>
    <cellStyle name="Обычный 5 20 27 3" xfId="21774"/>
    <cellStyle name="Обычный 5 20 27 3 2" xfId="21775"/>
    <cellStyle name="Обычный 5 20 27 3 2 2" xfId="21776"/>
    <cellStyle name="Обычный 5 20 27 3 2 2 2" xfId="51648"/>
    <cellStyle name="Обычный 5 20 27 3 2 3" xfId="51649"/>
    <cellStyle name="Обычный 5 20 27 3 3" xfId="21777"/>
    <cellStyle name="Обычный 5 20 27 3 3 2" xfId="51650"/>
    <cellStyle name="Обычный 5 20 27 3 4" xfId="51651"/>
    <cellStyle name="Обычный 5 20 27 4" xfId="21778"/>
    <cellStyle name="Обычный 5 20 27 4 2" xfId="21779"/>
    <cellStyle name="Обычный 5 20 27 4 2 2" xfId="21780"/>
    <cellStyle name="Обычный 5 20 27 4 2 2 2" xfId="51652"/>
    <cellStyle name="Обычный 5 20 27 4 2 3" xfId="51653"/>
    <cellStyle name="Обычный 5 20 27 4 3" xfId="21781"/>
    <cellStyle name="Обычный 5 20 27 4 3 2" xfId="51654"/>
    <cellStyle name="Обычный 5 20 27 4 4" xfId="51655"/>
    <cellStyle name="Обычный 5 20 27 5" xfId="21782"/>
    <cellStyle name="Обычный 5 20 27 5 2" xfId="21783"/>
    <cellStyle name="Обычный 5 20 27 5 2 2" xfId="51656"/>
    <cellStyle name="Обычный 5 20 27 5 3" xfId="51657"/>
    <cellStyle name="Обычный 5 20 27 6" xfId="21784"/>
    <cellStyle name="Обычный 5 20 27 6 2" xfId="51658"/>
    <cellStyle name="Обычный 5 20 27 7" xfId="21785"/>
    <cellStyle name="Обычный 5 20 27 7 2" xfId="51659"/>
    <cellStyle name="Обычный 5 20 27 8" xfId="51660"/>
    <cellStyle name="Обычный 5 20 28" xfId="21786"/>
    <cellStyle name="Обычный 5 20 28 2" xfId="21787"/>
    <cellStyle name="Обычный 5 20 28 2 2" xfId="21788"/>
    <cellStyle name="Обычный 5 20 28 2 2 2" xfId="21789"/>
    <cellStyle name="Обычный 5 20 28 2 2 2 2" xfId="51661"/>
    <cellStyle name="Обычный 5 20 28 2 2 3" xfId="51662"/>
    <cellStyle name="Обычный 5 20 28 2 3" xfId="21790"/>
    <cellStyle name="Обычный 5 20 28 2 3 2" xfId="51663"/>
    <cellStyle name="Обычный 5 20 28 2 4" xfId="51664"/>
    <cellStyle name="Обычный 5 20 28 3" xfId="21791"/>
    <cellStyle name="Обычный 5 20 28 3 2" xfId="21792"/>
    <cellStyle name="Обычный 5 20 28 3 2 2" xfId="21793"/>
    <cellStyle name="Обычный 5 20 28 3 2 2 2" xfId="51665"/>
    <cellStyle name="Обычный 5 20 28 3 2 3" xfId="51666"/>
    <cellStyle name="Обычный 5 20 28 3 3" xfId="21794"/>
    <cellStyle name="Обычный 5 20 28 3 3 2" xfId="51667"/>
    <cellStyle name="Обычный 5 20 28 3 4" xfId="51668"/>
    <cellStyle name="Обычный 5 20 28 4" xfId="21795"/>
    <cellStyle name="Обычный 5 20 28 4 2" xfId="21796"/>
    <cellStyle name="Обычный 5 20 28 4 2 2" xfId="21797"/>
    <cellStyle name="Обычный 5 20 28 4 2 2 2" xfId="51669"/>
    <cellStyle name="Обычный 5 20 28 4 2 3" xfId="51670"/>
    <cellStyle name="Обычный 5 20 28 4 3" xfId="21798"/>
    <cellStyle name="Обычный 5 20 28 4 3 2" xfId="51671"/>
    <cellStyle name="Обычный 5 20 28 4 4" xfId="51672"/>
    <cellStyle name="Обычный 5 20 28 5" xfId="21799"/>
    <cellStyle name="Обычный 5 20 28 5 2" xfId="21800"/>
    <cellStyle name="Обычный 5 20 28 5 2 2" xfId="51673"/>
    <cellStyle name="Обычный 5 20 28 5 3" xfId="51674"/>
    <cellStyle name="Обычный 5 20 28 6" xfId="21801"/>
    <cellStyle name="Обычный 5 20 28 6 2" xfId="51675"/>
    <cellStyle name="Обычный 5 20 28 7" xfId="21802"/>
    <cellStyle name="Обычный 5 20 28 7 2" xfId="51676"/>
    <cellStyle name="Обычный 5 20 28 8" xfId="51677"/>
    <cellStyle name="Обычный 5 20 29" xfId="21803"/>
    <cellStyle name="Обычный 5 20 29 2" xfId="21804"/>
    <cellStyle name="Обычный 5 20 29 2 2" xfId="21805"/>
    <cellStyle name="Обычный 5 20 29 2 2 2" xfId="21806"/>
    <cellStyle name="Обычный 5 20 29 2 2 2 2" xfId="51678"/>
    <cellStyle name="Обычный 5 20 29 2 2 3" xfId="51679"/>
    <cellStyle name="Обычный 5 20 29 2 3" xfId="21807"/>
    <cellStyle name="Обычный 5 20 29 2 3 2" xfId="51680"/>
    <cellStyle name="Обычный 5 20 29 2 4" xfId="51681"/>
    <cellStyle name="Обычный 5 20 29 3" xfId="21808"/>
    <cellStyle name="Обычный 5 20 29 3 2" xfId="21809"/>
    <cellStyle name="Обычный 5 20 29 3 2 2" xfId="21810"/>
    <cellStyle name="Обычный 5 20 29 3 2 2 2" xfId="51682"/>
    <cellStyle name="Обычный 5 20 29 3 2 3" xfId="51683"/>
    <cellStyle name="Обычный 5 20 29 3 3" xfId="21811"/>
    <cellStyle name="Обычный 5 20 29 3 3 2" xfId="51684"/>
    <cellStyle name="Обычный 5 20 29 3 4" xfId="51685"/>
    <cellStyle name="Обычный 5 20 29 4" xfId="21812"/>
    <cellStyle name="Обычный 5 20 29 4 2" xfId="21813"/>
    <cellStyle name="Обычный 5 20 29 4 2 2" xfId="21814"/>
    <cellStyle name="Обычный 5 20 29 4 2 2 2" xfId="51686"/>
    <cellStyle name="Обычный 5 20 29 4 2 3" xfId="51687"/>
    <cellStyle name="Обычный 5 20 29 4 3" xfId="21815"/>
    <cellStyle name="Обычный 5 20 29 4 3 2" xfId="51688"/>
    <cellStyle name="Обычный 5 20 29 4 4" xfId="51689"/>
    <cellStyle name="Обычный 5 20 29 5" xfId="21816"/>
    <cellStyle name="Обычный 5 20 29 5 2" xfId="21817"/>
    <cellStyle name="Обычный 5 20 29 5 2 2" xfId="51690"/>
    <cellStyle name="Обычный 5 20 29 5 3" xfId="51691"/>
    <cellStyle name="Обычный 5 20 29 6" xfId="21818"/>
    <cellStyle name="Обычный 5 20 29 6 2" xfId="51692"/>
    <cellStyle name="Обычный 5 20 29 7" xfId="21819"/>
    <cellStyle name="Обычный 5 20 29 7 2" xfId="51693"/>
    <cellStyle name="Обычный 5 20 29 8" xfId="51694"/>
    <cellStyle name="Обычный 5 20 3" xfId="21820"/>
    <cellStyle name="Обычный 5 20 3 2" xfId="21821"/>
    <cellStyle name="Обычный 5 20 3 2 2" xfId="21822"/>
    <cellStyle name="Обычный 5 20 3 2 2 2" xfId="21823"/>
    <cellStyle name="Обычный 5 20 3 2 2 2 2" xfId="51695"/>
    <cellStyle name="Обычный 5 20 3 2 2 3" xfId="51696"/>
    <cellStyle name="Обычный 5 20 3 2 3" xfId="21824"/>
    <cellStyle name="Обычный 5 20 3 2 3 2" xfId="51697"/>
    <cellStyle name="Обычный 5 20 3 2 4" xfId="51698"/>
    <cellStyle name="Обычный 5 20 3 3" xfId="21825"/>
    <cellStyle name="Обычный 5 20 3 3 2" xfId="21826"/>
    <cellStyle name="Обычный 5 20 3 3 2 2" xfId="21827"/>
    <cellStyle name="Обычный 5 20 3 3 2 2 2" xfId="51699"/>
    <cellStyle name="Обычный 5 20 3 3 2 3" xfId="51700"/>
    <cellStyle name="Обычный 5 20 3 3 3" xfId="21828"/>
    <cellStyle name="Обычный 5 20 3 3 3 2" xfId="51701"/>
    <cellStyle name="Обычный 5 20 3 3 4" xfId="51702"/>
    <cellStyle name="Обычный 5 20 3 4" xfId="21829"/>
    <cellStyle name="Обычный 5 20 3 4 2" xfId="21830"/>
    <cellStyle name="Обычный 5 20 3 4 2 2" xfId="21831"/>
    <cellStyle name="Обычный 5 20 3 4 2 2 2" xfId="51703"/>
    <cellStyle name="Обычный 5 20 3 4 2 3" xfId="51704"/>
    <cellStyle name="Обычный 5 20 3 4 3" xfId="21832"/>
    <cellStyle name="Обычный 5 20 3 4 3 2" xfId="51705"/>
    <cellStyle name="Обычный 5 20 3 4 4" xfId="51706"/>
    <cellStyle name="Обычный 5 20 3 5" xfId="21833"/>
    <cellStyle name="Обычный 5 20 3 5 2" xfId="21834"/>
    <cellStyle name="Обычный 5 20 3 5 2 2" xfId="51707"/>
    <cellStyle name="Обычный 5 20 3 5 3" xfId="51708"/>
    <cellStyle name="Обычный 5 20 3 6" xfId="21835"/>
    <cellStyle name="Обычный 5 20 3 6 2" xfId="51709"/>
    <cellStyle name="Обычный 5 20 3 7" xfId="21836"/>
    <cellStyle name="Обычный 5 20 3 7 2" xfId="51710"/>
    <cellStyle name="Обычный 5 20 3 8" xfId="51711"/>
    <cellStyle name="Обычный 5 20 30" xfId="21837"/>
    <cellStyle name="Обычный 5 20 30 2" xfId="21838"/>
    <cellStyle name="Обычный 5 20 30 2 2" xfId="21839"/>
    <cellStyle name="Обычный 5 20 30 2 2 2" xfId="51712"/>
    <cellStyle name="Обычный 5 20 30 2 3" xfId="51713"/>
    <cellStyle name="Обычный 5 20 30 3" xfId="21840"/>
    <cellStyle name="Обычный 5 20 30 3 2" xfId="51714"/>
    <cellStyle name="Обычный 5 20 30 4" xfId="51715"/>
    <cellStyle name="Обычный 5 20 31" xfId="21841"/>
    <cellStyle name="Обычный 5 20 31 2" xfId="21842"/>
    <cellStyle name="Обычный 5 20 31 2 2" xfId="21843"/>
    <cellStyle name="Обычный 5 20 31 2 2 2" xfId="51716"/>
    <cellStyle name="Обычный 5 20 31 2 3" xfId="51717"/>
    <cellStyle name="Обычный 5 20 31 3" xfId="21844"/>
    <cellStyle name="Обычный 5 20 31 3 2" xfId="51718"/>
    <cellStyle name="Обычный 5 20 31 4" xfId="51719"/>
    <cellStyle name="Обычный 5 20 32" xfId="21845"/>
    <cellStyle name="Обычный 5 20 32 2" xfId="21846"/>
    <cellStyle name="Обычный 5 20 32 2 2" xfId="21847"/>
    <cellStyle name="Обычный 5 20 32 2 2 2" xfId="51720"/>
    <cellStyle name="Обычный 5 20 32 2 3" xfId="51721"/>
    <cellStyle name="Обычный 5 20 32 3" xfId="21848"/>
    <cellStyle name="Обычный 5 20 32 3 2" xfId="51722"/>
    <cellStyle name="Обычный 5 20 32 4" xfId="51723"/>
    <cellStyle name="Обычный 5 20 33" xfId="21849"/>
    <cellStyle name="Обычный 5 20 33 2" xfId="21850"/>
    <cellStyle name="Обычный 5 20 33 2 2" xfId="51724"/>
    <cellStyle name="Обычный 5 20 33 3" xfId="51725"/>
    <cellStyle name="Обычный 5 20 34" xfId="21851"/>
    <cellStyle name="Обычный 5 20 34 2" xfId="51726"/>
    <cellStyle name="Обычный 5 20 35" xfId="21852"/>
    <cellStyle name="Обычный 5 20 35 2" xfId="51727"/>
    <cellStyle name="Обычный 5 20 36" xfId="51728"/>
    <cellStyle name="Обычный 5 20 4" xfId="21853"/>
    <cellStyle name="Обычный 5 20 4 2" xfId="21854"/>
    <cellStyle name="Обычный 5 20 4 2 2" xfId="21855"/>
    <cellStyle name="Обычный 5 20 4 2 2 2" xfId="21856"/>
    <cellStyle name="Обычный 5 20 4 2 2 2 2" xfId="51729"/>
    <cellStyle name="Обычный 5 20 4 2 2 3" xfId="51730"/>
    <cellStyle name="Обычный 5 20 4 2 3" xfId="21857"/>
    <cellStyle name="Обычный 5 20 4 2 3 2" xfId="51731"/>
    <cellStyle name="Обычный 5 20 4 2 4" xfId="51732"/>
    <cellStyle name="Обычный 5 20 4 3" xfId="21858"/>
    <cellStyle name="Обычный 5 20 4 3 2" xfId="21859"/>
    <cellStyle name="Обычный 5 20 4 3 2 2" xfId="21860"/>
    <cellStyle name="Обычный 5 20 4 3 2 2 2" xfId="51733"/>
    <cellStyle name="Обычный 5 20 4 3 2 3" xfId="51734"/>
    <cellStyle name="Обычный 5 20 4 3 3" xfId="21861"/>
    <cellStyle name="Обычный 5 20 4 3 3 2" xfId="51735"/>
    <cellStyle name="Обычный 5 20 4 3 4" xfId="51736"/>
    <cellStyle name="Обычный 5 20 4 4" xfId="21862"/>
    <cellStyle name="Обычный 5 20 4 4 2" xfId="21863"/>
    <cellStyle name="Обычный 5 20 4 4 2 2" xfId="21864"/>
    <cellStyle name="Обычный 5 20 4 4 2 2 2" xfId="51737"/>
    <cellStyle name="Обычный 5 20 4 4 2 3" xfId="51738"/>
    <cellStyle name="Обычный 5 20 4 4 3" xfId="21865"/>
    <cellStyle name="Обычный 5 20 4 4 3 2" xfId="51739"/>
    <cellStyle name="Обычный 5 20 4 4 4" xfId="51740"/>
    <cellStyle name="Обычный 5 20 4 5" xfId="21866"/>
    <cellStyle name="Обычный 5 20 4 5 2" xfId="21867"/>
    <cellStyle name="Обычный 5 20 4 5 2 2" xfId="51741"/>
    <cellStyle name="Обычный 5 20 4 5 3" xfId="51742"/>
    <cellStyle name="Обычный 5 20 4 6" xfId="21868"/>
    <cellStyle name="Обычный 5 20 4 6 2" xfId="51743"/>
    <cellStyle name="Обычный 5 20 4 7" xfId="21869"/>
    <cellStyle name="Обычный 5 20 4 7 2" xfId="51744"/>
    <cellStyle name="Обычный 5 20 4 8" xfId="51745"/>
    <cellStyle name="Обычный 5 20 5" xfId="21870"/>
    <cellStyle name="Обычный 5 20 5 2" xfId="21871"/>
    <cellStyle name="Обычный 5 20 5 2 2" xfId="21872"/>
    <cellStyle name="Обычный 5 20 5 2 2 2" xfId="21873"/>
    <cellStyle name="Обычный 5 20 5 2 2 2 2" xfId="51746"/>
    <cellStyle name="Обычный 5 20 5 2 2 3" xfId="51747"/>
    <cellStyle name="Обычный 5 20 5 2 3" xfId="21874"/>
    <cellStyle name="Обычный 5 20 5 2 3 2" xfId="51748"/>
    <cellStyle name="Обычный 5 20 5 2 4" xfId="51749"/>
    <cellStyle name="Обычный 5 20 5 3" xfId="21875"/>
    <cellStyle name="Обычный 5 20 5 3 2" xfId="21876"/>
    <cellStyle name="Обычный 5 20 5 3 2 2" xfId="21877"/>
    <cellStyle name="Обычный 5 20 5 3 2 2 2" xfId="51750"/>
    <cellStyle name="Обычный 5 20 5 3 2 3" xfId="51751"/>
    <cellStyle name="Обычный 5 20 5 3 3" xfId="21878"/>
    <cellStyle name="Обычный 5 20 5 3 3 2" xfId="51752"/>
    <cellStyle name="Обычный 5 20 5 3 4" xfId="51753"/>
    <cellStyle name="Обычный 5 20 5 4" xfId="21879"/>
    <cellStyle name="Обычный 5 20 5 4 2" xfId="21880"/>
    <cellStyle name="Обычный 5 20 5 4 2 2" xfId="21881"/>
    <cellStyle name="Обычный 5 20 5 4 2 2 2" xfId="51754"/>
    <cellStyle name="Обычный 5 20 5 4 2 3" xfId="51755"/>
    <cellStyle name="Обычный 5 20 5 4 3" xfId="21882"/>
    <cellStyle name="Обычный 5 20 5 4 3 2" xfId="51756"/>
    <cellStyle name="Обычный 5 20 5 4 4" xfId="51757"/>
    <cellStyle name="Обычный 5 20 5 5" xfId="21883"/>
    <cellStyle name="Обычный 5 20 5 5 2" xfId="21884"/>
    <cellStyle name="Обычный 5 20 5 5 2 2" xfId="51758"/>
    <cellStyle name="Обычный 5 20 5 5 3" xfId="51759"/>
    <cellStyle name="Обычный 5 20 5 6" xfId="21885"/>
    <cellStyle name="Обычный 5 20 5 6 2" xfId="51760"/>
    <cellStyle name="Обычный 5 20 5 7" xfId="21886"/>
    <cellStyle name="Обычный 5 20 5 7 2" xfId="51761"/>
    <cellStyle name="Обычный 5 20 5 8" xfId="51762"/>
    <cellStyle name="Обычный 5 20 6" xfId="21887"/>
    <cellStyle name="Обычный 5 20 6 2" xfId="21888"/>
    <cellStyle name="Обычный 5 20 6 2 2" xfId="21889"/>
    <cellStyle name="Обычный 5 20 6 2 2 2" xfId="21890"/>
    <cellStyle name="Обычный 5 20 6 2 2 2 2" xfId="51763"/>
    <cellStyle name="Обычный 5 20 6 2 2 3" xfId="51764"/>
    <cellStyle name="Обычный 5 20 6 2 3" xfId="21891"/>
    <cellStyle name="Обычный 5 20 6 2 3 2" xfId="51765"/>
    <cellStyle name="Обычный 5 20 6 2 4" xfId="51766"/>
    <cellStyle name="Обычный 5 20 6 3" xfId="21892"/>
    <cellStyle name="Обычный 5 20 6 3 2" xfId="21893"/>
    <cellStyle name="Обычный 5 20 6 3 2 2" xfId="21894"/>
    <cellStyle name="Обычный 5 20 6 3 2 2 2" xfId="51767"/>
    <cellStyle name="Обычный 5 20 6 3 2 3" xfId="51768"/>
    <cellStyle name="Обычный 5 20 6 3 3" xfId="21895"/>
    <cellStyle name="Обычный 5 20 6 3 3 2" xfId="51769"/>
    <cellStyle name="Обычный 5 20 6 3 4" xfId="51770"/>
    <cellStyle name="Обычный 5 20 6 4" xfId="21896"/>
    <cellStyle name="Обычный 5 20 6 4 2" xfId="21897"/>
    <cellStyle name="Обычный 5 20 6 4 2 2" xfId="21898"/>
    <cellStyle name="Обычный 5 20 6 4 2 2 2" xfId="51771"/>
    <cellStyle name="Обычный 5 20 6 4 2 3" xfId="51772"/>
    <cellStyle name="Обычный 5 20 6 4 3" xfId="21899"/>
    <cellStyle name="Обычный 5 20 6 4 3 2" xfId="51773"/>
    <cellStyle name="Обычный 5 20 6 4 4" xfId="51774"/>
    <cellStyle name="Обычный 5 20 6 5" xfId="21900"/>
    <cellStyle name="Обычный 5 20 6 5 2" xfId="21901"/>
    <cellStyle name="Обычный 5 20 6 5 2 2" xfId="51775"/>
    <cellStyle name="Обычный 5 20 6 5 3" xfId="51776"/>
    <cellStyle name="Обычный 5 20 6 6" xfId="21902"/>
    <cellStyle name="Обычный 5 20 6 6 2" xfId="51777"/>
    <cellStyle name="Обычный 5 20 6 7" xfId="21903"/>
    <cellStyle name="Обычный 5 20 6 7 2" xfId="51778"/>
    <cellStyle name="Обычный 5 20 6 8" xfId="51779"/>
    <cellStyle name="Обычный 5 20 7" xfId="21904"/>
    <cellStyle name="Обычный 5 20 7 2" xfId="21905"/>
    <cellStyle name="Обычный 5 20 7 2 2" xfId="21906"/>
    <cellStyle name="Обычный 5 20 7 2 2 2" xfId="21907"/>
    <cellStyle name="Обычный 5 20 7 2 2 2 2" xfId="51780"/>
    <cellStyle name="Обычный 5 20 7 2 2 3" xfId="51781"/>
    <cellStyle name="Обычный 5 20 7 2 3" xfId="21908"/>
    <cellStyle name="Обычный 5 20 7 2 3 2" xfId="51782"/>
    <cellStyle name="Обычный 5 20 7 2 4" xfId="51783"/>
    <cellStyle name="Обычный 5 20 7 3" xfId="21909"/>
    <cellStyle name="Обычный 5 20 7 3 2" xfId="21910"/>
    <cellStyle name="Обычный 5 20 7 3 2 2" xfId="21911"/>
    <cellStyle name="Обычный 5 20 7 3 2 2 2" xfId="51784"/>
    <cellStyle name="Обычный 5 20 7 3 2 3" xfId="51785"/>
    <cellStyle name="Обычный 5 20 7 3 3" xfId="21912"/>
    <cellStyle name="Обычный 5 20 7 3 3 2" xfId="51786"/>
    <cellStyle name="Обычный 5 20 7 3 4" xfId="51787"/>
    <cellStyle name="Обычный 5 20 7 4" xfId="21913"/>
    <cellStyle name="Обычный 5 20 7 4 2" xfId="21914"/>
    <cellStyle name="Обычный 5 20 7 4 2 2" xfId="21915"/>
    <cellStyle name="Обычный 5 20 7 4 2 2 2" xfId="51788"/>
    <cellStyle name="Обычный 5 20 7 4 2 3" xfId="51789"/>
    <cellStyle name="Обычный 5 20 7 4 3" xfId="21916"/>
    <cellStyle name="Обычный 5 20 7 4 3 2" xfId="51790"/>
    <cellStyle name="Обычный 5 20 7 4 4" xfId="51791"/>
    <cellStyle name="Обычный 5 20 7 5" xfId="21917"/>
    <cellStyle name="Обычный 5 20 7 5 2" xfId="21918"/>
    <cellStyle name="Обычный 5 20 7 5 2 2" xfId="51792"/>
    <cellStyle name="Обычный 5 20 7 5 3" xfId="51793"/>
    <cellStyle name="Обычный 5 20 7 6" xfId="21919"/>
    <cellStyle name="Обычный 5 20 7 6 2" xfId="51794"/>
    <cellStyle name="Обычный 5 20 7 7" xfId="21920"/>
    <cellStyle name="Обычный 5 20 7 7 2" xfId="51795"/>
    <cellStyle name="Обычный 5 20 7 8" xfId="51796"/>
    <cellStyle name="Обычный 5 20 8" xfId="21921"/>
    <cellStyle name="Обычный 5 20 8 2" xfId="21922"/>
    <cellStyle name="Обычный 5 20 8 2 2" xfId="21923"/>
    <cellStyle name="Обычный 5 20 8 2 2 2" xfId="21924"/>
    <cellStyle name="Обычный 5 20 8 2 2 2 2" xfId="51797"/>
    <cellStyle name="Обычный 5 20 8 2 2 3" xfId="51798"/>
    <cellStyle name="Обычный 5 20 8 2 3" xfId="21925"/>
    <cellStyle name="Обычный 5 20 8 2 3 2" xfId="51799"/>
    <cellStyle name="Обычный 5 20 8 2 4" xfId="51800"/>
    <cellStyle name="Обычный 5 20 8 3" xfId="21926"/>
    <cellStyle name="Обычный 5 20 8 3 2" xfId="21927"/>
    <cellStyle name="Обычный 5 20 8 3 2 2" xfId="21928"/>
    <cellStyle name="Обычный 5 20 8 3 2 2 2" xfId="51801"/>
    <cellStyle name="Обычный 5 20 8 3 2 3" xfId="51802"/>
    <cellStyle name="Обычный 5 20 8 3 3" xfId="21929"/>
    <cellStyle name="Обычный 5 20 8 3 3 2" xfId="51803"/>
    <cellStyle name="Обычный 5 20 8 3 4" xfId="51804"/>
    <cellStyle name="Обычный 5 20 8 4" xfId="21930"/>
    <cellStyle name="Обычный 5 20 8 4 2" xfId="21931"/>
    <cellStyle name="Обычный 5 20 8 4 2 2" xfId="21932"/>
    <cellStyle name="Обычный 5 20 8 4 2 2 2" xfId="51805"/>
    <cellStyle name="Обычный 5 20 8 4 2 3" xfId="51806"/>
    <cellStyle name="Обычный 5 20 8 4 3" xfId="21933"/>
    <cellStyle name="Обычный 5 20 8 4 3 2" xfId="51807"/>
    <cellStyle name="Обычный 5 20 8 4 4" xfId="51808"/>
    <cellStyle name="Обычный 5 20 8 5" xfId="21934"/>
    <cellStyle name="Обычный 5 20 8 5 2" xfId="21935"/>
    <cellStyle name="Обычный 5 20 8 5 2 2" xfId="51809"/>
    <cellStyle name="Обычный 5 20 8 5 3" xfId="51810"/>
    <cellStyle name="Обычный 5 20 8 6" xfId="21936"/>
    <cellStyle name="Обычный 5 20 8 6 2" xfId="51811"/>
    <cellStyle name="Обычный 5 20 8 7" xfId="21937"/>
    <cellStyle name="Обычный 5 20 8 7 2" xfId="51812"/>
    <cellStyle name="Обычный 5 20 8 8" xfId="51813"/>
    <cellStyle name="Обычный 5 20 9" xfId="21938"/>
    <cellStyle name="Обычный 5 20 9 2" xfId="21939"/>
    <cellStyle name="Обычный 5 20 9 2 2" xfId="21940"/>
    <cellStyle name="Обычный 5 20 9 2 2 2" xfId="21941"/>
    <cellStyle name="Обычный 5 20 9 2 2 2 2" xfId="51814"/>
    <cellStyle name="Обычный 5 20 9 2 2 3" xfId="51815"/>
    <cellStyle name="Обычный 5 20 9 2 3" xfId="21942"/>
    <cellStyle name="Обычный 5 20 9 2 3 2" xfId="51816"/>
    <cellStyle name="Обычный 5 20 9 2 4" xfId="51817"/>
    <cellStyle name="Обычный 5 20 9 3" xfId="21943"/>
    <cellStyle name="Обычный 5 20 9 3 2" xfId="21944"/>
    <cellStyle name="Обычный 5 20 9 3 2 2" xfId="21945"/>
    <cellStyle name="Обычный 5 20 9 3 2 2 2" xfId="51818"/>
    <cellStyle name="Обычный 5 20 9 3 2 3" xfId="51819"/>
    <cellStyle name="Обычный 5 20 9 3 3" xfId="21946"/>
    <cellStyle name="Обычный 5 20 9 3 3 2" xfId="51820"/>
    <cellStyle name="Обычный 5 20 9 3 4" xfId="51821"/>
    <cellStyle name="Обычный 5 20 9 4" xfId="21947"/>
    <cellStyle name="Обычный 5 20 9 4 2" xfId="21948"/>
    <cellStyle name="Обычный 5 20 9 4 2 2" xfId="21949"/>
    <cellStyle name="Обычный 5 20 9 4 2 2 2" xfId="51822"/>
    <cellStyle name="Обычный 5 20 9 4 2 3" xfId="51823"/>
    <cellStyle name="Обычный 5 20 9 4 3" xfId="21950"/>
    <cellStyle name="Обычный 5 20 9 4 3 2" xfId="51824"/>
    <cellStyle name="Обычный 5 20 9 4 4" xfId="51825"/>
    <cellStyle name="Обычный 5 20 9 5" xfId="21951"/>
    <cellStyle name="Обычный 5 20 9 5 2" xfId="21952"/>
    <cellStyle name="Обычный 5 20 9 5 2 2" xfId="51826"/>
    <cellStyle name="Обычный 5 20 9 5 3" xfId="51827"/>
    <cellStyle name="Обычный 5 20 9 6" xfId="21953"/>
    <cellStyle name="Обычный 5 20 9 6 2" xfId="51828"/>
    <cellStyle name="Обычный 5 20 9 7" xfId="21954"/>
    <cellStyle name="Обычный 5 20 9 7 2" xfId="51829"/>
    <cellStyle name="Обычный 5 20 9 8" xfId="51830"/>
    <cellStyle name="Обычный 5 21" xfId="21955"/>
    <cellStyle name="Обычный 5 21 10" xfId="21956"/>
    <cellStyle name="Обычный 5 21 10 2" xfId="21957"/>
    <cellStyle name="Обычный 5 21 10 2 2" xfId="21958"/>
    <cellStyle name="Обычный 5 21 10 2 2 2" xfId="21959"/>
    <cellStyle name="Обычный 5 21 10 2 2 2 2" xfId="51831"/>
    <cellStyle name="Обычный 5 21 10 2 2 3" xfId="51832"/>
    <cellStyle name="Обычный 5 21 10 2 3" xfId="21960"/>
    <cellStyle name="Обычный 5 21 10 2 3 2" xfId="51833"/>
    <cellStyle name="Обычный 5 21 10 2 4" xfId="51834"/>
    <cellStyle name="Обычный 5 21 10 3" xfId="21961"/>
    <cellStyle name="Обычный 5 21 10 3 2" xfId="21962"/>
    <cellStyle name="Обычный 5 21 10 3 2 2" xfId="21963"/>
    <cellStyle name="Обычный 5 21 10 3 2 2 2" xfId="51835"/>
    <cellStyle name="Обычный 5 21 10 3 2 3" xfId="51836"/>
    <cellStyle name="Обычный 5 21 10 3 3" xfId="21964"/>
    <cellStyle name="Обычный 5 21 10 3 3 2" xfId="51837"/>
    <cellStyle name="Обычный 5 21 10 3 4" xfId="51838"/>
    <cellStyle name="Обычный 5 21 10 4" xfId="21965"/>
    <cellStyle name="Обычный 5 21 10 4 2" xfId="21966"/>
    <cellStyle name="Обычный 5 21 10 4 2 2" xfId="21967"/>
    <cellStyle name="Обычный 5 21 10 4 2 2 2" xfId="51839"/>
    <cellStyle name="Обычный 5 21 10 4 2 3" xfId="51840"/>
    <cellStyle name="Обычный 5 21 10 4 3" xfId="21968"/>
    <cellStyle name="Обычный 5 21 10 4 3 2" xfId="51841"/>
    <cellStyle name="Обычный 5 21 10 4 4" xfId="51842"/>
    <cellStyle name="Обычный 5 21 10 5" xfId="21969"/>
    <cellStyle name="Обычный 5 21 10 5 2" xfId="21970"/>
    <cellStyle name="Обычный 5 21 10 5 2 2" xfId="51843"/>
    <cellStyle name="Обычный 5 21 10 5 3" xfId="51844"/>
    <cellStyle name="Обычный 5 21 10 6" xfId="21971"/>
    <cellStyle name="Обычный 5 21 10 6 2" xfId="51845"/>
    <cellStyle name="Обычный 5 21 10 7" xfId="21972"/>
    <cellStyle name="Обычный 5 21 10 7 2" xfId="51846"/>
    <cellStyle name="Обычный 5 21 10 8" xfId="51847"/>
    <cellStyle name="Обычный 5 21 11" xfId="21973"/>
    <cellStyle name="Обычный 5 21 11 2" xfId="21974"/>
    <cellStyle name="Обычный 5 21 11 2 2" xfId="21975"/>
    <cellStyle name="Обычный 5 21 11 2 2 2" xfId="21976"/>
    <cellStyle name="Обычный 5 21 11 2 2 2 2" xfId="51848"/>
    <cellStyle name="Обычный 5 21 11 2 2 3" xfId="51849"/>
    <cellStyle name="Обычный 5 21 11 2 3" xfId="21977"/>
    <cellStyle name="Обычный 5 21 11 2 3 2" xfId="51850"/>
    <cellStyle name="Обычный 5 21 11 2 4" xfId="51851"/>
    <cellStyle name="Обычный 5 21 11 3" xfId="21978"/>
    <cellStyle name="Обычный 5 21 11 3 2" xfId="21979"/>
    <cellStyle name="Обычный 5 21 11 3 2 2" xfId="21980"/>
    <cellStyle name="Обычный 5 21 11 3 2 2 2" xfId="51852"/>
    <cellStyle name="Обычный 5 21 11 3 2 3" xfId="51853"/>
    <cellStyle name="Обычный 5 21 11 3 3" xfId="21981"/>
    <cellStyle name="Обычный 5 21 11 3 3 2" xfId="51854"/>
    <cellStyle name="Обычный 5 21 11 3 4" xfId="51855"/>
    <cellStyle name="Обычный 5 21 11 4" xfId="21982"/>
    <cellStyle name="Обычный 5 21 11 4 2" xfId="21983"/>
    <cellStyle name="Обычный 5 21 11 4 2 2" xfId="21984"/>
    <cellStyle name="Обычный 5 21 11 4 2 2 2" xfId="51856"/>
    <cellStyle name="Обычный 5 21 11 4 2 3" xfId="51857"/>
    <cellStyle name="Обычный 5 21 11 4 3" xfId="21985"/>
    <cellStyle name="Обычный 5 21 11 4 3 2" xfId="51858"/>
    <cellStyle name="Обычный 5 21 11 4 4" xfId="51859"/>
    <cellStyle name="Обычный 5 21 11 5" xfId="21986"/>
    <cellStyle name="Обычный 5 21 11 5 2" xfId="21987"/>
    <cellStyle name="Обычный 5 21 11 5 2 2" xfId="51860"/>
    <cellStyle name="Обычный 5 21 11 5 3" xfId="51861"/>
    <cellStyle name="Обычный 5 21 11 6" xfId="21988"/>
    <cellStyle name="Обычный 5 21 11 6 2" xfId="51862"/>
    <cellStyle name="Обычный 5 21 11 7" xfId="21989"/>
    <cellStyle name="Обычный 5 21 11 7 2" xfId="51863"/>
    <cellStyle name="Обычный 5 21 11 8" xfId="51864"/>
    <cellStyle name="Обычный 5 21 12" xfId="21990"/>
    <cellStyle name="Обычный 5 21 12 2" xfId="21991"/>
    <cellStyle name="Обычный 5 21 12 2 2" xfId="21992"/>
    <cellStyle name="Обычный 5 21 12 2 2 2" xfId="21993"/>
    <cellStyle name="Обычный 5 21 12 2 2 2 2" xfId="51865"/>
    <cellStyle name="Обычный 5 21 12 2 2 3" xfId="51866"/>
    <cellStyle name="Обычный 5 21 12 2 3" xfId="21994"/>
    <cellStyle name="Обычный 5 21 12 2 3 2" xfId="51867"/>
    <cellStyle name="Обычный 5 21 12 2 4" xfId="51868"/>
    <cellStyle name="Обычный 5 21 12 3" xfId="21995"/>
    <cellStyle name="Обычный 5 21 12 3 2" xfId="21996"/>
    <cellStyle name="Обычный 5 21 12 3 2 2" xfId="21997"/>
    <cellStyle name="Обычный 5 21 12 3 2 2 2" xfId="51869"/>
    <cellStyle name="Обычный 5 21 12 3 2 3" xfId="51870"/>
    <cellStyle name="Обычный 5 21 12 3 3" xfId="21998"/>
    <cellStyle name="Обычный 5 21 12 3 3 2" xfId="51871"/>
    <cellStyle name="Обычный 5 21 12 3 4" xfId="51872"/>
    <cellStyle name="Обычный 5 21 12 4" xfId="21999"/>
    <cellStyle name="Обычный 5 21 12 4 2" xfId="22000"/>
    <cellStyle name="Обычный 5 21 12 4 2 2" xfId="22001"/>
    <cellStyle name="Обычный 5 21 12 4 2 2 2" xfId="51873"/>
    <cellStyle name="Обычный 5 21 12 4 2 3" xfId="51874"/>
    <cellStyle name="Обычный 5 21 12 4 3" xfId="22002"/>
    <cellStyle name="Обычный 5 21 12 4 3 2" xfId="51875"/>
    <cellStyle name="Обычный 5 21 12 4 4" xfId="51876"/>
    <cellStyle name="Обычный 5 21 12 5" xfId="22003"/>
    <cellStyle name="Обычный 5 21 12 5 2" xfId="22004"/>
    <cellStyle name="Обычный 5 21 12 5 2 2" xfId="51877"/>
    <cellStyle name="Обычный 5 21 12 5 3" xfId="51878"/>
    <cellStyle name="Обычный 5 21 12 6" xfId="22005"/>
    <cellStyle name="Обычный 5 21 12 6 2" xfId="51879"/>
    <cellStyle name="Обычный 5 21 12 7" xfId="22006"/>
    <cellStyle name="Обычный 5 21 12 7 2" xfId="51880"/>
    <cellStyle name="Обычный 5 21 12 8" xfId="51881"/>
    <cellStyle name="Обычный 5 21 13" xfId="22007"/>
    <cellStyle name="Обычный 5 21 13 2" xfId="22008"/>
    <cellStyle name="Обычный 5 21 13 2 2" xfId="22009"/>
    <cellStyle name="Обычный 5 21 13 2 2 2" xfId="22010"/>
    <cellStyle name="Обычный 5 21 13 2 2 2 2" xfId="51882"/>
    <cellStyle name="Обычный 5 21 13 2 2 3" xfId="51883"/>
    <cellStyle name="Обычный 5 21 13 2 3" xfId="22011"/>
    <cellStyle name="Обычный 5 21 13 2 3 2" xfId="51884"/>
    <cellStyle name="Обычный 5 21 13 2 4" xfId="51885"/>
    <cellStyle name="Обычный 5 21 13 3" xfId="22012"/>
    <cellStyle name="Обычный 5 21 13 3 2" xfId="22013"/>
    <cellStyle name="Обычный 5 21 13 3 2 2" xfId="22014"/>
    <cellStyle name="Обычный 5 21 13 3 2 2 2" xfId="51886"/>
    <cellStyle name="Обычный 5 21 13 3 2 3" xfId="51887"/>
    <cellStyle name="Обычный 5 21 13 3 3" xfId="22015"/>
    <cellStyle name="Обычный 5 21 13 3 3 2" xfId="51888"/>
    <cellStyle name="Обычный 5 21 13 3 4" xfId="51889"/>
    <cellStyle name="Обычный 5 21 13 4" xfId="22016"/>
    <cellStyle name="Обычный 5 21 13 4 2" xfId="22017"/>
    <cellStyle name="Обычный 5 21 13 4 2 2" xfId="22018"/>
    <cellStyle name="Обычный 5 21 13 4 2 2 2" xfId="51890"/>
    <cellStyle name="Обычный 5 21 13 4 2 3" xfId="51891"/>
    <cellStyle name="Обычный 5 21 13 4 3" xfId="22019"/>
    <cellStyle name="Обычный 5 21 13 4 3 2" xfId="51892"/>
    <cellStyle name="Обычный 5 21 13 4 4" xfId="51893"/>
    <cellStyle name="Обычный 5 21 13 5" xfId="22020"/>
    <cellStyle name="Обычный 5 21 13 5 2" xfId="22021"/>
    <cellStyle name="Обычный 5 21 13 5 2 2" xfId="51894"/>
    <cellStyle name="Обычный 5 21 13 5 3" xfId="51895"/>
    <cellStyle name="Обычный 5 21 13 6" xfId="22022"/>
    <cellStyle name="Обычный 5 21 13 6 2" xfId="51896"/>
    <cellStyle name="Обычный 5 21 13 7" xfId="22023"/>
    <cellStyle name="Обычный 5 21 13 7 2" xfId="51897"/>
    <cellStyle name="Обычный 5 21 13 8" xfId="51898"/>
    <cellStyle name="Обычный 5 21 14" xfId="22024"/>
    <cellStyle name="Обычный 5 21 14 2" xfId="22025"/>
    <cellStyle name="Обычный 5 21 14 2 2" xfId="22026"/>
    <cellStyle name="Обычный 5 21 14 2 2 2" xfId="22027"/>
    <cellStyle name="Обычный 5 21 14 2 2 2 2" xfId="51899"/>
    <cellStyle name="Обычный 5 21 14 2 2 3" xfId="51900"/>
    <cellStyle name="Обычный 5 21 14 2 3" xfId="22028"/>
    <cellStyle name="Обычный 5 21 14 2 3 2" xfId="51901"/>
    <cellStyle name="Обычный 5 21 14 2 4" xfId="51902"/>
    <cellStyle name="Обычный 5 21 14 3" xfId="22029"/>
    <cellStyle name="Обычный 5 21 14 3 2" xfId="22030"/>
    <cellStyle name="Обычный 5 21 14 3 2 2" xfId="22031"/>
    <cellStyle name="Обычный 5 21 14 3 2 2 2" xfId="51903"/>
    <cellStyle name="Обычный 5 21 14 3 2 3" xfId="51904"/>
    <cellStyle name="Обычный 5 21 14 3 3" xfId="22032"/>
    <cellStyle name="Обычный 5 21 14 3 3 2" xfId="51905"/>
    <cellStyle name="Обычный 5 21 14 3 4" xfId="51906"/>
    <cellStyle name="Обычный 5 21 14 4" xfId="22033"/>
    <cellStyle name="Обычный 5 21 14 4 2" xfId="22034"/>
    <cellStyle name="Обычный 5 21 14 4 2 2" xfId="22035"/>
    <cellStyle name="Обычный 5 21 14 4 2 2 2" xfId="51907"/>
    <cellStyle name="Обычный 5 21 14 4 2 3" xfId="51908"/>
    <cellStyle name="Обычный 5 21 14 4 3" xfId="22036"/>
    <cellStyle name="Обычный 5 21 14 4 3 2" xfId="51909"/>
    <cellStyle name="Обычный 5 21 14 4 4" xfId="51910"/>
    <cellStyle name="Обычный 5 21 14 5" xfId="22037"/>
    <cellStyle name="Обычный 5 21 14 5 2" xfId="22038"/>
    <cellStyle name="Обычный 5 21 14 5 2 2" xfId="51911"/>
    <cellStyle name="Обычный 5 21 14 5 3" xfId="51912"/>
    <cellStyle name="Обычный 5 21 14 6" xfId="22039"/>
    <cellStyle name="Обычный 5 21 14 6 2" xfId="51913"/>
    <cellStyle name="Обычный 5 21 14 7" xfId="22040"/>
    <cellStyle name="Обычный 5 21 14 7 2" xfId="51914"/>
    <cellStyle name="Обычный 5 21 14 8" xfId="51915"/>
    <cellStyle name="Обычный 5 21 15" xfId="22041"/>
    <cellStyle name="Обычный 5 21 15 2" xfId="22042"/>
    <cellStyle name="Обычный 5 21 15 2 2" xfId="22043"/>
    <cellStyle name="Обычный 5 21 15 2 2 2" xfId="22044"/>
    <cellStyle name="Обычный 5 21 15 2 2 2 2" xfId="51916"/>
    <cellStyle name="Обычный 5 21 15 2 2 3" xfId="51917"/>
    <cellStyle name="Обычный 5 21 15 2 3" xfId="22045"/>
    <cellStyle name="Обычный 5 21 15 2 3 2" xfId="51918"/>
    <cellStyle name="Обычный 5 21 15 2 4" xfId="51919"/>
    <cellStyle name="Обычный 5 21 15 3" xfId="22046"/>
    <cellStyle name="Обычный 5 21 15 3 2" xfId="22047"/>
    <cellStyle name="Обычный 5 21 15 3 2 2" xfId="22048"/>
    <cellStyle name="Обычный 5 21 15 3 2 2 2" xfId="51920"/>
    <cellStyle name="Обычный 5 21 15 3 2 3" xfId="51921"/>
    <cellStyle name="Обычный 5 21 15 3 3" xfId="22049"/>
    <cellStyle name="Обычный 5 21 15 3 3 2" xfId="51922"/>
    <cellStyle name="Обычный 5 21 15 3 4" xfId="51923"/>
    <cellStyle name="Обычный 5 21 15 4" xfId="22050"/>
    <cellStyle name="Обычный 5 21 15 4 2" xfId="22051"/>
    <cellStyle name="Обычный 5 21 15 4 2 2" xfId="22052"/>
    <cellStyle name="Обычный 5 21 15 4 2 2 2" xfId="51924"/>
    <cellStyle name="Обычный 5 21 15 4 2 3" xfId="51925"/>
    <cellStyle name="Обычный 5 21 15 4 3" xfId="22053"/>
    <cellStyle name="Обычный 5 21 15 4 3 2" xfId="51926"/>
    <cellStyle name="Обычный 5 21 15 4 4" xfId="51927"/>
    <cellStyle name="Обычный 5 21 15 5" xfId="22054"/>
    <cellStyle name="Обычный 5 21 15 5 2" xfId="22055"/>
    <cellStyle name="Обычный 5 21 15 5 2 2" xfId="51928"/>
    <cellStyle name="Обычный 5 21 15 5 3" xfId="51929"/>
    <cellStyle name="Обычный 5 21 15 6" xfId="22056"/>
    <cellStyle name="Обычный 5 21 15 6 2" xfId="51930"/>
    <cellStyle name="Обычный 5 21 15 7" xfId="22057"/>
    <cellStyle name="Обычный 5 21 15 7 2" xfId="51931"/>
    <cellStyle name="Обычный 5 21 15 8" xfId="51932"/>
    <cellStyle name="Обычный 5 21 16" xfId="22058"/>
    <cellStyle name="Обычный 5 21 16 2" xfId="22059"/>
    <cellStyle name="Обычный 5 21 16 2 2" xfId="22060"/>
    <cellStyle name="Обычный 5 21 16 2 2 2" xfId="22061"/>
    <cellStyle name="Обычный 5 21 16 2 2 2 2" xfId="51933"/>
    <cellStyle name="Обычный 5 21 16 2 2 3" xfId="51934"/>
    <cellStyle name="Обычный 5 21 16 2 3" xfId="22062"/>
    <cellStyle name="Обычный 5 21 16 2 3 2" xfId="51935"/>
    <cellStyle name="Обычный 5 21 16 2 4" xfId="51936"/>
    <cellStyle name="Обычный 5 21 16 3" xfId="22063"/>
    <cellStyle name="Обычный 5 21 16 3 2" xfId="22064"/>
    <cellStyle name="Обычный 5 21 16 3 2 2" xfId="22065"/>
    <cellStyle name="Обычный 5 21 16 3 2 2 2" xfId="51937"/>
    <cellStyle name="Обычный 5 21 16 3 2 3" xfId="51938"/>
    <cellStyle name="Обычный 5 21 16 3 3" xfId="22066"/>
    <cellStyle name="Обычный 5 21 16 3 3 2" xfId="51939"/>
    <cellStyle name="Обычный 5 21 16 3 4" xfId="51940"/>
    <cellStyle name="Обычный 5 21 16 4" xfId="22067"/>
    <cellStyle name="Обычный 5 21 16 4 2" xfId="22068"/>
    <cellStyle name="Обычный 5 21 16 4 2 2" xfId="22069"/>
    <cellStyle name="Обычный 5 21 16 4 2 2 2" xfId="51941"/>
    <cellStyle name="Обычный 5 21 16 4 2 3" xfId="51942"/>
    <cellStyle name="Обычный 5 21 16 4 3" xfId="22070"/>
    <cellStyle name="Обычный 5 21 16 4 3 2" xfId="51943"/>
    <cellStyle name="Обычный 5 21 16 4 4" xfId="51944"/>
    <cellStyle name="Обычный 5 21 16 5" xfId="22071"/>
    <cellStyle name="Обычный 5 21 16 5 2" xfId="22072"/>
    <cellStyle name="Обычный 5 21 16 5 2 2" xfId="51945"/>
    <cellStyle name="Обычный 5 21 16 5 3" xfId="51946"/>
    <cellStyle name="Обычный 5 21 16 6" xfId="22073"/>
    <cellStyle name="Обычный 5 21 16 6 2" xfId="51947"/>
    <cellStyle name="Обычный 5 21 16 7" xfId="22074"/>
    <cellStyle name="Обычный 5 21 16 7 2" xfId="51948"/>
    <cellStyle name="Обычный 5 21 16 8" xfId="51949"/>
    <cellStyle name="Обычный 5 21 17" xfId="22075"/>
    <cellStyle name="Обычный 5 21 17 2" xfId="22076"/>
    <cellStyle name="Обычный 5 21 17 2 2" xfId="22077"/>
    <cellStyle name="Обычный 5 21 17 2 2 2" xfId="22078"/>
    <cellStyle name="Обычный 5 21 17 2 2 2 2" xfId="51950"/>
    <cellStyle name="Обычный 5 21 17 2 2 3" xfId="51951"/>
    <cellStyle name="Обычный 5 21 17 2 3" xfId="22079"/>
    <cellStyle name="Обычный 5 21 17 2 3 2" xfId="51952"/>
    <cellStyle name="Обычный 5 21 17 2 4" xfId="51953"/>
    <cellStyle name="Обычный 5 21 17 3" xfId="22080"/>
    <cellStyle name="Обычный 5 21 17 3 2" xfId="22081"/>
    <cellStyle name="Обычный 5 21 17 3 2 2" xfId="22082"/>
    <cellStyle name="Обычный 5 21 17 3 2 2 2" xfId="51954"/>
    <cellStyle name="Обычный 5 21 17 3 2 3" xfId="51955"/>
    <cellStyle name="Обычный 5 21 17 3 3" xfId="22083"/>
    <cellStyle name="Обычный 5 21 17 3 3 2" xfId="51956"/>
    <cellStyle name="Обычный 5 21 17 3 4" xfId="51957"/>
    <cellStyle name="Обычный 5 21 17 4" xfId="22084"/>
    <cellStyle name="Обычный 5 21 17 4 2" xfId="22085"/>
    <cellStyle name="Обычный 5 21 17 4 2 2" xfId="22086"/>
    <cellStyle name="Обычный 5 21 17 4 2 2 2" xfId="51958"/>
    <cellStyle name="Обычный 5 21 17 4 2 3" xfId="51959"/>
    <cellStyle name="Обычный 5 21 17 4 3" xfId="22087"/>
    <cellStyle name="Обычный 5 21 17 4 3 2" xfId="51960"/>
    <cellStyle name="Обычный 5 21 17 4 4" xfId="51961"/>
    <cellStyle name="Обычный 5 21 17 5" xfId="22088"/>
    <cellStyle name="Обычный 5 21 17 5 2" xfId="22089"/>
    <cellStyle name="Обычный 5 21 17 5 2 2" xfId="51962"/>
    <cellStyle name="Обычный 5 21 17 5 3" xfId="51963"/>
    <cellStyle name="Обычный 5 21 17 6" xfId="22090"/>
    <cellStyle name="Обычный 5 21 17 6 2" xfId="51964"/>
    <cellStyle name="Обычный 5 21 17 7" xfId="22091"/>
    <cellStyle name="Обычный 5 21 17 7 2" xfId="51965"/>
    <cellStyle name="Обычный 5 21 17 8" xfId="51966"/>
    <cellStyle name="Обычный 5 21 18" xfId="22092"/>
    <cellStyle name="Обычный 5 21 18 2" xfId="22093"/>
    <cellStyle name="Обычный 5 21 18 2 2" xfId="22094"/>
    <cellStyle name="Обычный 5 21 18 2 2 2" xfId="22095"/>
    <cellStyle name="Обычный 5 21 18 2 2 2 2" xfId="51967"/>
    <cellStyle name="Обычный 5 21 18 2 2 3" xfId="51968"/>
    <cellStyle name="Обычный 5 21 18 2 3" xfId="22096"/>
    <cellStyle name="Обычный 5 21 18 2 3 2" xfId="51969"/>
    <cellStyle name="Обычный 5 21 18 2 4" xfId="51970"/>
    <cellStyle name="Обычный 5 21 18 3" xfId="22097"/>
    <cellStyle name="Обычный 5 21 18 3 2" xfId="22098"/>
    <cellStyle name="Обычный 5 21 18 3 2 2" xfId="22099"/>
    <cellStyle name="Обычный 5 21 18 3 2 2 2" xfId="51971"/>
    <cellStyle name="Обычный 5 21 18 3 2 3" xfId="51972"/>
    <cellStyle name="Обычный 5 21 18 3 3" xfId="22100"/>
    <cellStyle name="Обычный 5 21 18 3 3 2" xfId="51973"/>
    <cellStyle name="Обычный 5 21 18 3 4" xfId="51974"/>
    <cellStyle name="Обычный 5 21 18 4" xfId="22101"/>
    <cellStyle name="Обычный 5 21 18 4 2" xfId="22102"/>
    <cellStyle name="Обычный 5 21 18 4 2 2" xfId="22103"/>
    <cellStyle name="Обычный 5 21 18 4 2 2 2" xfId="51975"/>
    <cellStyle name="Обычный 5 21 18 4 2 3" xfId="51976"/>
    <cellStyle name="Обычный 5 21 18 4 3" xfId="22104"/>
    <cellStyle name="Обычный 5 21 18 4 3 2" xfId="51977"/>
    <cellStyle name="Обычный 5 21 18 4 4" xfId="51978"/>
    <cellStyle name="Обычный 5 21 18 5" xfId="22105"/>
    <cellStyle name="Обычный 5 21 18 5 2" xfId="22106"/>
    <cellStyle name="Обычный 5 21 18 5 2 2" xfId="51979"/>
    <cellStyle name="Обычный 5 21 18 5 3" xfId="51980"/>
    <cellStyle name="Обычный 5 21 18 6" xfId="22107"/>
    <cellStyle name="Обычный 5 21 18 6 2" xfId="51981"/>
    <cellStyle name="Обычный 5 21 18 7" xfId="22108"/>
    <cellStyle name="Обычный 5 21 18 7 2" xfId="51982"/>
    <cellStyle name="Обычный 5 21 18 8" xfId="51983"/>
    <cellStyle name="Обычный 5 21 19" xfId="22109"/>
    <cellStyle name="Обычный 5 21 19 2" xfId="22110"/>
    <cellStyle name="Обычный 5 21 19 2 2" xfId="22111"/>
    <cellStyle name="Обычный 5 21 19 2 2 2" xfId="22112"/>
    <cellStyle name="Обычный 5 21 19 2 2 2 2" xfId="51984"/>
    <cellStyle name="Обычный 5 21 19 2 2 3" xfId="51985"/>
    <cellStyle name="Обычный 5 21 19 2 3" xfId="22113"/>
    <cellStyle name="Обычный 5 21 19 2 3 2" xfId="51986"/>
    <cellStyle name="Обычный 5 21 19 2 4" xfId="51987"/>
    <cellStyle name="Обычный 5 21 19 3" xfId="22114"/>
    <cellStyle name="Обычный 5 21 19 3 2" xfId="22115"/>
    <cellStyle name="Обычный 5 21 19 3 2 2" xfId="22116"/>
    <cellStyle name="Обычный 5 21 19 3 2 2 2" xfId="51988"/>
    <cellStyle name="Обычный 5 21 19 3 2 3" xfId="51989"/>
    <cellStyle name="Обычный 5 21 19 3 3" xfId="22117"/>
    <cellStyle name="Обычный 5 21 19 3 3 2" xfId="51990"/>
    <cellStyle name="Обычный 5 21 19 3 4" xfId="51991"/>
    <cellStyle name="Обычный 5 21 19 4" xfId="22118"/>
    <cellStyle name="Обычный 5 21 19 4 2" xfId="22119"/>
    <cellStyle name="Обычный 5 21 19 4 2 2" xfId="22120"/>
    <cellStyle name="Обычный 5 21 19 4 2 2 2" xfId="51992"/>
    <cellStyle name="Обычный 5 21 19 4 2 3" xfId="51993"/>
    <cellStyle name="Обычный 5 21 19 4 3" xfId="22121"/>
    <cellStyle name="Обычный 5 21 19 4 3 2" xfId="51994"/>
    <cellStyle name="Обычный 5 21 19 4 4" xfId="51995"/>
    <cellStyle name="Обычный 5 21 19 5" xfId="22122"/>
    <cellStyle name="Обычный 5 21 19 5 2" xfId="22123"/>
    <cellStyle name="Обычный 5 21 19 5 2 2" xfId="51996"/>
    <cellStyle name="Обычный 5 21 19 5 3" xfId="51997"/>
    <cellStyle name="Обычный 5 21 19 6" xfId="22124"/>
    <cellStyle name="Обычный 5 21 19 6 2" xfId="51998"/>
    <cellStyle name="Обычный 5 21 19 7" xfId="22125"/>
    <cellStyle name="Обычный 5 21 19 7 2" xfId="51999"/>
    <cellStyle name="Обычный 5 21 19 8" xfId="52000"/>
    <cellStyle name="Обычный 5 21 2" xfId="22126"/>
    <cellStyle name="Обычный 5 21 2 2" xfId="22127"/>
    <cellStyle name="Обычный 5 21 2 2 2" xfId="22128"/>
    <cellStyle name="Обычный 5 21 2 2 2 2" xfId="22129"/>
    <cellStyle name="Обычный 5 21 2 2 2 2 2" xfId="52001"/>
    <cellStyle name="Обычный 5 21 2 2 2 3" xfId="52002"/>
    <cellStyle name="Обычный 5 21 2 2 3" xfId="22130"/>
    <cellStyle name="Обычный 5 21 2 2 3 2" xfId="52003"/>
    <cellStyle name="Обычный 5 21 2 2 4" xfId="52004"/>
    <cellStyle name="Обычный 5 21 2 3" xfId="22131"/>
    <cellStyle name="Обычный 5 21 2 3 2" xfId="22132"/>
    <cellStyle name="Обычный 5 21 2 3 2 2" xfId="22133"/>
    <cellStyle name="Обычный 5 21 2 3 2 2 2" xfId="52005"/>
    <cellStyle name="Обычный 5 21 2 3 2 3" xfId="52006"/>
    <cellStyle name="Обычный 5 21 2 3 3" xfId="22134"/>
    <cellStyle name="Обычный 5 21 2 3 3 2" xfId="52007"/>
    <cellStyle name="Обычный 5 21 2 3 4" xfId="52008"/>
    <cellStyle name="Обычный 5 21 2 4" xfId="22135"/>
    <cellStyle name="Обычный 5 21 2 4 2" xfId="22136"/>
    <cellStyle name="Обычный 5 21 2 4 2 2" xfId="22137"/>
    <cellStyle name="Обычный 5 21 2 4 2 2 2" xfId="52009"/>
    <cellStyle name="Обычный 5 21 2 4 2 3" xfId="52010"/>
    <cellStyle name="Обычный 5 21 2 4 3" xfId="22138"/>
    <cellStyle name="Обычный 5 21 2 4 3 2" xfId="52011"/>
    <cellStyle name="Обычный 5 21 2 4 4" xfId="52012"/>
    <cellStyle name="Обычный 5 21 2 5" xfId="22139"/>
    <cellStyle name="Обычный 5 21 2 5 2" xfId="22140"/>
    <cellStyle name="Обычный 5 21 2 5 2 2" xfId="52013"/>
    <cellStyle name="Обычный 5 21 2 5 3" xfId="52014"/>
    <cellStyle name="Обычный 5 21 2 6" xfId="22141"/>
    <cellStyle name="Обычный 5 21 2 6 2" xfId="52015"/>
    <cellStyle name="Обычный 5 21 2 7" xfId="22142"/>
    <cellStyle name="Обычный 5 21 2 7 2" xfId="52016"/>
    <cellStyle name="Обычный 5 21 2 8" xfId="52017"/>
    <cellStyle name="Обычный 5 21 20" xfId="22143"/>
    <cellStyle name="Обычный 5 21 20 2" xfId="22144"/>
    <cellStyle name="Обычный 5 21 20 2 2" xfId="22145"/>
    <cellStyle name="Обычный 5 21 20 2 2 2" xfId="22146"/>
    <cellStyle name="Обычный 5 21 20 2 2 2 2" xfId="52018"/>
    <cellStyle name="Обычный 5 21 20 2 2 3" xfId="52019"/>
    <cellStyle name="Обычный 5 21 20 2 3" xfId="22147"/>
    <cellStyle name="Обычный 5 21 20 2 3 2" xfId="52020"/>
    <cellStyle name="Обычный 5 21 20 2 4" xfId="52021"/>
    <cellStyle name="Обычный 5 21 20 3" xfId="22148"/>
    <cellStyle name="Обычный 5 21 20 3 2" xfId="22149"/>
    <cellStyle name="Обычный 5 21 20 3 2 2" xfId="22150"/>
    <cellStyle name="Обычный 5 21 20 3 2 2 2" xfId="52022"/>
    <cellStyle name="Обычный 5 21 20 3 2 3" xfId="52023"/>
    <cellStyle name="Обычный 5 21 20 3 3" xfId="22151"/>
    <cellStyle name="Обычный 5 21 20 3 3 2" xfId="52024"/>
    <cellStyle name="Обычный 5 21 20 3 4" xfId="52025"/>
    <cellStyle name="Обычный 5 21 20 4" xfId="22152"/>
    <cellStyle name="Обычный 5 21 20 4 2" xfId="22153"/>
    <cellStyle name="Обычный 5 21 20 4 2 2" xfId="22154"/>
    <cellStyle name="Обычный 5 21 20 4 2 2 2" xfId="52026"/>
    <cellStyle name="Обычный 5 21 20 4 2 3" xfId="52027"/>
    <cellStyle name="Обычный 5 21 20 4 3" xfId="22155"/>
    <cellStyle name="Обычный 5 21 20 4 3 2" xfId="52028"/>
    <cellStyle name="Обычный 5 21 20 4 4" xfId="52029"/>
    <cellStyle name="Обычный 5 21 20 5" xfId="22156"/>
    <cellStyle name="Обычный 5 21 20 5 2" xfId="22157"/>
    <cellStyle name="Обычный 5 21 20 5 2 2" xfId="52030"/>
    <cellStyle name="Обычный 5 21 20 5 3" xfId="52031"/>
    <cellStyle name="Обычный 5 21 20 6" xfId="22158"/>
    <cellStyle name="Обычный 5 21 20 6 2" xfId="52032"/>
    <cellStyle name="Обычный 5 21 20 7" xfId="22159"/>
    <cellStyle name="Обычный 5 21 20 7 2" xfId="52033"/>
    <cellStyle name="Обычный 5 21 20 8" xfId="52034"/>
    <cellStyle name="Обычный 5 21 21" xfId="22160"/>
    <cellStyle name="Обычный 5 21 21 2" xfId="22161"/>
    <cellStyle name="Обычный 5 21 21 2 2" xfId="22162"/>
    <cellStyle name="Обычный 5 21 21 2 2 2" xfId="22163"/>
    <cellStyle name="Обычный 5 21 21 2 2 2 2" xfId="52035"/>
    <cellStyle name="Обычный 5 21 21 2 2 3" xfId="52036"/>
    <cellStyle name="Обычный 5 21 21 2 3" xfId="22164"/>
    <cellStyle name="Обычный 5 21 21 2 3 2" xfId="52037"/>
    <cellStyle name="Обычный 5 21 21 2 4" xfId="52038"/>
    <cellStyle name="Обычный 5 21 21 3" xfId="22165"/>
    <cellStyle name="Обычный 5 21 21 3 2" xfId="22166"/>
    <cellStyle name="Обычный 5 21 21 3 2 2" xfId="22167"/>
    <cellStyle name="Обычный 5 21 21 3 2 2 2" xfId="52039"/>
    <cellStyle name="Обычный 5 21 21 3 2 3" xfId="52040"/>
    <cellStyle name="Обычный 5 21 21 3 3" xfId="22168"/>
    <cellStyle name="Обычный 5 21 21 3 3 2" xfId="52041"/>
    <cellStyle name="Обычный 5 21 21 3 4" xfId="52042"/>
    <cellStyle name="Обычный 5 21 21 4" xfId="22169"/>
    <cellStyle name="Обычный 5 21 21 4 2" xfId="22170"/>
    <cellStyle name="Обычный 5 21 21 4 2 2" xfId="22171"/>
    <cellStyle name="Обычный 5 21 21 4 2 2 2" xfId="52043"/>
    <cellStyle name="Обычный 5 21 21 4 2 3" xfId="52044"/>
    <cellStyle name="Обычный 5 21 21 4 3" xfId="22172"/>
    <cellStyle name="Обычный 5 21 21 4 3 2" xfId="52045"/>
    <cellStyle name="Обычный 5 21 21 4 4" xfId="52046"/>
    <cellStyle name="Обычный 5 21 21 5" xfId="22173"/>
    <cellStyle name="Обычный 5 21 21 5 2" xfId="22174"/>
    <cellStyle name="Обычный 5 21 21 5 2 2" xfId="52047"/>
    <cellStyle name="Обычный 5 21 21 5 3" xfId="52048"/>
    <cellStyle name="Обычный 5 21 21 6" xfId="22175"/>
    <cellStyle name="Обычный 5 21 21 6 2" xfId="52049"/>
    <cellStyle name="Обычный 5 21 21 7" xfId="22176"/>
    <cellStyle name="Обычный 5 21 21 7 2" xfId="52050"/>
    <cellStyle name="Обычный 5 21 21 8" xfId="52051"/>
    <cellStyle name="Обычный 5 21 22" xfId="22177"/>
    <cellStyle name="Обычный 5 21 22 2" xfId="22178"/>
    <cellStyle name="Обычный 5 21 22 2 2" xfId="22179"/>
    <cellStyle name="Обычный 5 21 22 2 2 2" xfId="22180"/>
    <cellStyle name="Обычный 5 21 22 2 2 2 2" xfId="52052"/>
    <cellStyle name="Обычный 5 21 22 2 2 3" xfId="52053"/>
    <cellStyle name="Обычный 5 21 22 2 3" xfId="22181"/>
    <cellStyle name="Обычный 5 21 22 2 3 2" xfId="52054"/>
    <cellStyle name="Обычный 5 21 22 2 4" xfId="52055"/>
    <cellStyle name="Обычный 5 21 22 3" xfId="22182"/>
    <cellStyle name="Обычный 5 21 22 3 2" xfId="22183"/>
    <cellStyle name="Обычный 5 21 22 3 2 2" xfId="22184"/>
    <cellStyle name="Обычный 5 21 22 3 2 2 2" xfId="52056"/>
    <cellStyle name="Обычный 5 21 22 3 2 3" xfId="52057"/>
    <cellStyle name="Обычный 5 21 22 3 3" xfId="22185"/>
    <cellStyle name="Обычный 5 21 22 3 3 2" xfId="52058"/>
    <cellStyle name="Обычный 5 21 22 3 4" xfId="52059"/>
    <cellStyle name="Обычный 5 21 22 4" xfId="22186"/>
    <cellStyle name="Обычный 5 21 22 4 2" xfId="22187"/>
    <cellStyle name="Обычный 5 21 22 4 2 2" xfId="22188"/>
    <cellStyle name="Обычный 5 21 22 4 2 2 2" xfId="52060"/>
    <cellStyle name="Обычный 5 21 22 4 2 3" xfId="52061"/>
    <cellStyle name="Обычный 5 21 22 4 3" xfId="22189"/>
    <cellStyle name="Обычный 5 21 22 4 3 2" xfId="52062"/>
    <cellStyle name="Обычный 5 21 22 4 4" xfId="52063"/>
    <cellStyle name="Обычный 5 21 22 5" xfId="22190"/>
    <cellStyle name="Обычный 5 21 22 5 2" xfId="22191"/>
    <cellStyle name="Обычный 5 21 22 5 2 2" xfId="52064"/>
    <cellStyle name="Обычный 5 21 22 5 3" xfId="52065"/>
    <cellStyle name="Обычный 5 21 22 6" xfId="22192"/>
    <cellStyle name="Обычный 5 21 22 6 2" xfId="52066"/>
    <cellStyle name="Обычный 5 21 22 7" xfId="22193"/>
    <cellStyle name="Обычный 5 21 22 7 2" xfId="52067"/>
    <cellStyle name="Обычный 5 21 22 8" xfId="52068"/>
    <cellStyle name="Обычный 5 21 23" xfId="22194"/>
    <cellStyle name="Обычный 5 21 23 2" xfId="22195"/>
    <cellStyle name="Обычный 5 21 23 2 2" xfId="22196"/>
    <cellStyle name="Обычный 5 21 23 2 2 2" xfId="22197"/>
    <cellStyle name="Обычный 5 21 23 2 2 2 2" xfId="52069"/>
    <cellStyle name="Обычный 5 21 23 2 2 3" xfId="52070"/>
    <cellStyle name="Обычный 5 21 23 2 3" xfId="22198"/>
    <cellStyle name="Обычный 5 21 23 2 3 2" xfId="52071"/>
    <cellStyle name="Обычный 5 21 23 2 4" xfId="52072"/>
    <cellStyle name="Обычный 5 21 23 3" xfId="22199"/>
    <cellStyle name="Обычный 5 21 23 3 2" xfId="22200"/>
    <cellStyle name="Обычный 5 21 23 3 2 2" xfId="22201"/>
    <cellStyle name="Обычный 5 21 23 3 2 2 2" xfId="52073"/>
    <cellStyle name="Обычный 5 21 23 3 2 3" xfId="52074"/>
    <cellStyle name="Обычный 5 21 23 3 3" xfId="22202"/>
    <cellStyle name="Обычный 5 21 23 3 3 2" xfId="52075"/>
    <cellStyle name="Обычный 5 21 23 3 4" xfId="52076"/>
    <cellStyle name="Обычный 5 21 23 4" xfId="22203"/>
    <cellStyle name="Обычный 5 21 23 4 2" xfId="22204"/>
    <cellStyle name="Обычный 5 21 23 4 2 2" xfId="22205"/>
    <cellStyle name="Обычный 5 21 23 4 2 2 2" xfId="52077"/>
    <cellStyle name="Обычный 5 21 23 4 2 3" xfId="52078"/>
    <cellStyle name="Обычный 5 21 23 4 3" xfId="22206"/>
    <cellStyle name="Обычный 5 21 23 4 3 2" xfId="52079"/>
    <cellStyle name="Обычный 5 21 23 4 4" xfId="52080"/>
    <cellStyle name="Обычный 5 21 23 5" xfId="22207"/>
    <cellStyle name="Обычный 5 21 23 5 2" xfId="22208"/>
    <cellStyle name="Обычный 5 21 23 5 2 2" xfId="52081"/>
    <cellStyle name="Обычный 5 21 23 5 3" xfId="52082"/>
    <cellStyle name="Обычный 5 21 23 6" xfId="22209"/>
    <cellStyle name="Обычный 5 21 23 6 2" xfId="52083"/>
    <cellStyle name="Обычный 5 21 23 7" xfId="22210"/>
    <cellStyle name="Обычный 5 21 23 7 2" xfId="52084"/>
    <cellStyle name="Обычный 5 21 23 8" xfId="52085"/>
    <cellStyle name="Обычный 5 21 24" xfId="22211"/>
    <cellStyle name="Обычный 5 21 24 2" xfId="22212"/>
    <cellStyle name="Обычный 5 21 24 2 2" xfId="22213"/>
    <cellStyle name="Обычный 5 21 24 2 2 2" xfId="22214"/>
    <cellStyle name="Обычный 5 21 24 2 2 2 2" xfId="52086"/>
    <cellStyle name="Обычный 5 21 24 2 2 3" xfId="52087"/>
    <cellStyle name="Обычный 5 21 24 2 3" xfId="22215"/>
    <cellStyle name="Обычный 5 21 24 2 3 2" xfId="52088"/>
    <cellStyle name="Обычный 5 21 24 2 4" xfId="52089"/>
    <cellStyle name="Обычный 5 21 24 3" xfId="22216"/>
    <cellStyle name="Обычный 5 21 24 3 2" xfId="22217"/>
    <cellStyle name="Обычный 5 21 24 3 2 2" xfId="22218"/>
    <cellStyle name="Обычный 5 21 24 3 2 2 2" xfId="52090"/>
    <cellStyle name="Обычный 5 21 24 3 2 3" xfId="52091"/>
    <cellStyle name="Обычный 5 21 24 3 3" xfId="22219"/>
    <cellStyle name="Обычный 5 21 24 3 3 2" xfId="52092"/>
    <cellStyle name="Обычный 5 21 24 3 4" xfId="52093"/>
    <cellStyle name="Обычный 5 21 24 4" xfId="22220"/>
    <cellStyle name="Обычный 5 21 24 4 2" xfId="22221"/>
    <cellStyle name="Обычный 5 21 24 4 2 2" xfId="22222"/>
    <cellStyle name="Обычный 5 21 24 4 2 2 2" xfId="52094"/>
    <cellStyle name="Обычный 5 21 24 4 2 3" xfId="52095"/>
    <cellStyle name="Обычный 5 21 24 4 3" xfId="22223"/>
    <cellStyle name="Обычный 5 21 24 4 3 2" xfId="52096"/>
    <cellStyle name="Обычный 5 21 24 4 4" xfId="52097"/>
    <cellStyle name="Обычный 5 21 24 5" xfId="22224"/>
    <cellStyle name="Обычный 5 21 24 5 2" xfId="22225"/>
    <cellStyle name="Обычный 5 21 24 5 2 2" xfId="52098"/>
    <cellStyle name="Обычный 5 21 24 5 3" xfId="52099"/>
    <cellStyle name="Обычный 5 21 24 6" xfId="22226"/>
    <cellStyle name="Обычный 5 21 24 6 2" xfId="52100"/>
    <cellStyle name="Обычный 5 21 24 7" xfId="22227"/>
    <cellStyle name="Обычный 5 21 24 7 2" xfId="52101"/>
    <cellStyle name="Обычный 5 21 24 8" xfId="52102"/>
    <cellStyle name="Обычный 5 21 25" xfId="22228"/>
    <cellStyle name="Обычный 5 21 25 2" xfId="22229"/>
    <cellStyle name="Обычный 5 21 25 2 2" xfId="22230"/>
    <cellStyle name="Обычный 5 21 25 2 2 2" xfId="22231"/>
    <cellStyle name="Обычный 5 21 25 2 2 2 2" xfId="52103"/>
    <cellStyle name="Обычный 5 21 25 2 2 3" xfId="52104"/>
    <cellStyle name="Обычный 5 21 25 2 3" xfId="22232"/>
    <cellStyle name="Обычный 5 21 25 2 3 2" xfId="52105"/>
    <cellStyle name="Обычный 5 21 25 2 4" xfId="52106"/>
    <cellStyle name="Обычный 5 21 25 3" xfId="22233"/>
    <cellStyle name="Обычный 5 21 25 3 2" xfId="22234"/>
    <cellStyle name="Обычный 5 21 25 3 2 2" xfId="22235"/>
    <cellStyle name="Обычный 5 21 25 3 2 2 2" xfId="52107"/>
    <cellStyle name="Обычный 5 21 25 3 2 3" xfId="52108"/>
    <cellStyle name="Обычный 5 21 25 3 3" xfId="22236"/>
    <cellStyle name="Обычный 5 21 25 3 3 2" xfId="52109"/>
    <cellStyle name="Обычный 5 21 25 3 4" xfId="52110"/>
    <cellStyle name="Обычный 5 21 25 4" xfId="22237"/>
    <cellStyle name="Обычный 5 21 25 4 2" xfId="22238"/>
    <cellStyle name="Обычный 5 21 25 4 2 2" xfId="22239"/>
    <cellStyle name="Обычный 5 21 25 4 2 2 2" xfId="52111"/>
    <cellStyle name="Обычный 5 21 25 4 2 3" xfId="52112"/>
    <cellStyle name="Обычный 5 21 25 4 3" xfId="22240"/>
    <cellStyle name="Обычный 5 21 25 4 3 2" xfId="52113"/>
    <cellStyle name="Обычный 5 21 25 4 4" xfId="52114"/>
    <cellStyle name="Обычный 5 21 25 5" xfId="22241"/>
    <cellStyle name="Обычный 5 21 25 5 2" xfId="22242"/>
    <cellStyle name="Обычный 5 21 25 5 2 2" xfId="52115"/>
    <cellStyle name="Обычный 5 21 25 5 3" xfId="52116"/>
    <cellStyle name="Обычный 5 21 25 6" xfId="22243"/>
    <cellStyle name="Обычный 5 21 25 6 2" xfId="52117"/>
    <cellStyle name="Обычный 5 21 25 7" xfId="22244"/>
    <cellStyle name="Обычный 5 21 25 7 2" xfId="52118"/>
    <cellStyle name="Обычный 5 21 25 8" xfId="52119"/>
    <cellStyle name="Обычный 5 21 26" xfId="22245"/>
    <cellStyle name="Обычный 5 21 26 2" xfId="22246"/>
    <cellStyle name="Обычный 5 21 26 2 2" xfId="22247"/>
    <cellStyle name="Обычный 5 21 26 2 2 2" xfId="22248"/>
    <cellStyle name="Обычный 5 21 26 2 2 2 2" xfId="52120"/>
    <cellStyle name="Обычный 5 21 26 2 2 3" xfId="52121"/>
    <cellStyle name="Обычный 5 21 26 2 3" xfId="22249"/>
    <cellStyle name="Обычный 5 21 26 2 3 2" xfId="52122"/>
    <cellStyle name="Обычный 5 21 26 2 4" xfId="52123"/>
    <cellStyle name="Обычный 5 21 26 3" xfId="22250"/>
    <cellStyle name="Обычный 5 21 26 3 2" xfId="22251"/>
    <cellStyle name="Обычный 5 21 26 3 2 2" xfId="22252"/>
    <cellStyle name="Обычный 5 21 26 3 2 2 2" xfId="52124"/>
    <cellStyle name="Обычный 5 21 26 3 2 3" xfId="52125"/>
    <cellStyle name="Обычный 5 21 26 3 3" xfId="22253"/>
    <cellStyle name="Обычный 5 21 26 3 3 2" xfId="52126"/>
    <cellStyle name="Обычный 5 21 26 3 4" xfId="52127"/>
    <cellStyle name="Обычный 5 21 26 4" xfId="22254"/>
    <cellStyle name="Обычный 5 21 26 4 2" xfId="22255"/>
    <cellStyle name="Обычный 5 21 26 4 2 2" xfId="22256"/>
    <cellStyle name="Обычный 5 21 26 4 2 2 2" xfId="52128"/>
    <cellStyle name="Обычный 5 21 26 4 2 3" xfId="52129"/>
    <cellStyle name="Обычный 5 21 26 4 3" xfId="22257"/>
    <cellStyle name="Обычный 5 21 26 4 3 2" xfId="52130"/>
    <cellStyle name="Обычный 5 21 26 4 4" xfId="52131"/>
    <cellStyle name="Обычный 5 21 26 5" xfId="22258"/>
    <cellStyle name="Обычный 5 21 26 5 2" xfId="22259"/>
    <cellStyle name="Обычный 5 21 26 5 2 2" xfId="52132"/>
    <cellStyle name="Обычный 5 21 26 5 3" xfId="52133"/>
    <cellStyle name="Обычный 5 21 26 6" xfId="22260"/>
    <cellStyle name="Обычный 5 21 26 6 2" xfId="52134"/>
    <cellStyle name="Обычный 5 21 26 7" xfId="22261"/>
    <cellStyle name="Обычный 5 21 26 7 2" xfId="52135"/>
    <cellStyle name="Обычный 5 21 26 8" xfId="52136"/>
    <cellStyle name="Обычный 5 21 27" xfId="22262"/>
    <cellStyle name="Обычный 5 21 27 2" xfId="22263"/>
    <cellStyle name="Обычный 5 21 27 2 2" xfId="22264"/>
    <cellStyle name="Обычный 5 21 27 2 2 2" xfId="22265"/>
    <cellStyle name="Обычный 5 21 27 2 2 2 2" xfId="52137"/>
    <cellStyle name="Обычный 5 21 27 2 2 3" xfId="52138"/>
    <cellStyle name="Обычный 5 21 27 2 3" xfId="22266"/>
    <cellStyle name="Обычный 5 21 27 2 3 2" xfId="52139"/>
    <cellStyle name="Обычный 5 21 27 2 4" xfId="52140"/>
    <cellStyle name="Обычный 5 21 27 3" xfId="22267"/>
    <cellStyle name="Обычный 5 21 27 3 2" xfId="22268"/>
    <cellStyle name="Обычный 5 21 27 3 2 2" xfId="22269"/>
    <cellStyle name="Обычный 5 21 27 3 2 2 2" xfId="52141"/>
    <cellStyle name="Обычный 5 21 27 3 2 3" xfId="52142"/>
    <cellStyle name="Обычный 5 21 27 3 3" xfId="22270"/>
    <cellStyle name="Обычный 5 21 27 3 3 2" xfId="52143"/>
    <cellStyle name="Обычный 5 21 27 3 4" xfId="52144"/>
    <cellStyle name="Обычный 5 21 27 4" xfId="22271"/>
    <cellStyle name="Обычный 5 21 27 4 2" xfId="22272"/>
    <cellStyle name="Обычный 5 21 27 4 2 2" xfId="22273"/>
    <cellStyle name="Обычный 5 21 27 4 2 2 2" xfId="52145"/>
    <cellStyle name="Обычный 5 21 27 4 2 3" xfId="52146"/>
    <cellStyle name="Обычный 5 21 27 4 3" xfId="22274"/>
    <cellStyle name="Обычный 5 21 27 4 3 2" xfId="52147"/>
    <cellStyle name="Обычный 5 21 27 4 4" xfId="52148"/>
    <cellStyle name="Обычный 5 21 27 5" xfId="22275"/>
    <cellStyle name="Обычный 5 21 27 5 2" xfId="22276"/>
    <cellStyle name="Обычный 5 21 27 5 2 2" xfId="52149"/>
    <cellStyle name="Обычный 5 21 27 5 3" xfId="52150"/>
    <cellStyle name="Обычный 5 21 27 6" xfId="22277"/>
    <cellStyle name="Обычный 5 21 27 6 2" xfId="52151"/>
    <cellStyle name="Обычный 5 21 27 7" xfId="22278"/>
    <cellStyle name="Обычный 5 21 27 7 2" xfId="52152"/>
    <cellStyle name="Обычный 5 21 27 8" xfId="52153"/>
    <cellStyle name="Обычный 5 21 28" xfId="22279"/>
    <cellStyle name="Обычный 5 21 28 2" xfId="22280"/>
    <cellStyle name="Обычный 5 21 28 2 2" xfId="22281"/>
    <cellStyle name="Обычный 5 21 28 2 2 2" xfId="22282"/>
    <cellStyle name="Обычный 5 21 28 2 2 2 2" xfId="52154"/>
    <cellStyle name="Обычный 5 21 28 2 2 3" xfId="52155"/>
    <cellStyle name="Обычный 5 21 28 2 3" xfId="22283"/>
    <cellStyle name="Обычный 5 21 28 2 3 2" xfId="52156"/>
    <cellStyle name="Обычный 5 21 28 2 4" xfId="52157"/>
    <cellStyle name="Обычный 5 21 28 3" xfId="22284"/>
    <cellStyle name="Обычный 5 21 28 3 2" xfId="22285"/>
    <cellStyle name="Обычный 5 21 28 3 2 2" xfId="22286"/>
    <cellStyle name="Обычный 5 21 28 3 2 2 2" xfId="52158"/>
    <cellStyle name="Обычный 5 21 28 3 2 3" xfId="52159"/>
    <cellStyle name="Обычный 5 21 28 3 3" xfId="22287"/>
    <cellStyle name="Обычный 5 21 28 3 3 2" xfId="52160"/>
    <cellStyle name="Обычный 5 21 28 3 4" xfId="52161"/>
    <cellStyle name="Обычный 5 21 28 4" xfId="22288"/>
    <cellStyle name="Обычный 5 21 28 4 2" xfId="22289"/>
    <cellStyle name="Обычный 5 21 28 4 2 2" xfId="22290"/>
    <cellStyle name="Обычный 5 21 28 4 2 2 2" xfId="52162"/>
    <cellStyle name="Обычный 5 21 28 4 2 3" xfId="52163"/>
    <cellStyle name="Обычный 5 21 28 4 3" xfId="22291"/>
    <cellStyle name="Обычный 5 21 28 4 3 2" xfId="52164"/>
    <cellStyle name="Обычный 5 21 28 4 4" xfId="52165"/>
    <cellStyle name="Обычный 5 21 28 5" xfId="22292"/>
    <cellStyle name="Обычный 5 21 28 5 2" xfId="22293"/>
    <cellStyle name="Обычный 5 21 28 5 2 2" xfId="52166"/>
    <cellStyle name="Обычный 5 21 28 5 3" xfId="52167"/>
    <cellStyle name="Обычный 5 21 28 6" xfId="22294"/>
    <cellStyle name="Обычный 5 21 28 6 2" xfId="52168"/>
    <cellStyle name="Обычный 5 21 28 7" xfId="22295"/>
    <cellStyle name="Обычный 5 21 28 7 2" xfId="52169"/>
    <cellStyle name="Обычный 5 21 28 8" xfId="52170"/>
    <cellStyle name="Обычный 5 21 29" xfId="22296"/>
    <cellStyle name="Обычный 5 21 29 2" xfId="22297"/>
    <cellStyle name="Обычный 5 21 29 2 2" xfId="22298"/>
    <cellStyle name="Обычный 5 21 29 2 2 2" xfId="22299"/>
    <cellStyle name="Обычный 5 21 29 2 2 2 2" xfId="52171"/>
    <cellStyle name="Обычный 5 21 29 2 2 3" xfId="52172"/>
    <cellStyle name="Обычный 5 21 29 2 3" xfId="22300"/>
    <cellStyle name="Обычный 5 21 29 2 3 2" xfId="52173"/>
    <cellStyle name="Обычный 5 21 29 2 4" xfId="52174"/>
    <cellStyle name="Обычный 5 21 29 3" xfId="22301"/>
    <cellStyle name="Обычный 5 21 29 3 2" xfId="22302"/>
    <cellStyle name="Обычный 5 21 29 3 2 2" xfId="22303"/>
    <cellStyle name="Обычный 5 21 29 3 2 2 2" xfId="52175"/>
    <cellStyle name="Обычный 5 21 29 3 2 3" xfId="52176"/>
    <cellStyle name="Обычный 5 21 29 3 3" xfId="22304"/>
    <cellStyle name="Обычный 5 21 29 3 3 2" xfId="52177"/>
    <cellStyle name="Обычный 5 21 29 3 4" xfId="52178"/>
    <cellStyle name="Обычный 5 21 29 4" xfId="22305"/>
    <cellStyle name="Обычный 5 21 29 4 2" xfId="22306"/>
    <cellStyle name="Обычный 5 21 29 4 2 2" xfId="22307"/>
    <cellStyle name="Обычный 5 21 29 4 2 2 2" xfId="52179"/>
    <cellStyle name="Обычный 5 21 29 4 2 3" xfId="52180"/>
    <cellStyle name="Обычный 5 21 29 4 3" xfId="22308"/>
    <cellStyle name="Обычный 5 21 29 4 3 2" xfId="52181"/>
    <cellStyle name="Обычный 5 21 29 4 4" xfId="52182"/>
    <cellStyle name="Обычный 5 21 29 5" xfId="22309"/>
    <cellStyle name="Обычный 5 21 29 5 2" xfId="22310"/>
    <cellStyle name="Обычный 5 21 29 5 2 2" xfId="52183"/>
    <cellStyle name="Обычный 5 21 29 5 3" xfId="52184"/>
    <cellStyle name="Обычный 5 21 29 6" xfId="22311"/>
    <cellStyle name="Обычный 5 21 29 6 2" xfId="52185"/>
    <cellStyle name="Обычный 5 21 29 7" xfId="22312"/>
    <cellStyle name="Обычный 5 21 29 7 2" xfId="52186"/>
    <cellStyle name="Обычный 5 21 29 8" xfId="52187"/>
    <cellStyle name="Обычный 5 21 3" xfId="22313"/>
    <cellStyle name="Обычный 5 21 3 2" xfId="22314"/>
    <cellStyle name="Обычный 5 21 3 2 2" xfId="22315"/>
    <cellStyle name="Обычный 5 21 3 2 2 2" xfId="22316"/>
    <cellStyle name="Обычный 5 21 3 2 2 2 2" xfId="52188"/>
    <cellStyle name="Обычный 5 21 3 2 2 3" xfId="52189"/>
    <cellStyle name="Обычный 5 21 3 2 3" xfId="22317"/>
    <cellStyle name="Обычный 5 21 3 2 3 2" xfId="52190"/>
    <cellStyle name="Обычный 5 21 3 2 4" xfId="52191"/>
    <cellStyle name="Обычный 5 21 3 3" xfId="22318"/>
    <cellStyle name="Обычный 5 21 3 3 2" xfId="22319"/>
    <cellStyle name="Обычный 5 21 3 3 2 2" xfId="22320"/>
    <cellStyle name="Обычный 5 21 3 3 2 2 2" xfId="52192"/>
    <cellStyle name="Обычный 5 21 3 3 2 3" xfId="52193"/>
    <cellStyle name="Обычный 5 21 3 3 3" xfId="22321"/>
    <cellStyle name="Обычный 5 21 3 3 3 2" xfId="52194"/>
    <cellStyle name="Обычный 5 21 3 3 4" xfId="52195"/>
    <cellStyle name="Обычный 5 21 3 4" xfId="22322"/>
    <cellStyle name="Обычный 5 21 3 4 2" xfId="22323"/>
    <cellStyle name="Обычный 5 21 3 4 2 2" xfId="22324"/>
    <cellStyle name="Обычный 5 21 3 4 2 2 2" xfId="52196"/>
    <cellStyle name="Обычный 5 21 3 4 2 3" xfId="52197"/>
    <cellStyle name="Обычный 5 21 3 4 3" xfId="22325"/>
    <cellStyle name="Обычный 5 21 3 4 3 2" xfId="52198"/>
    <cellStyle name="Обычный 5 21 3 4 4" xfId="52199"/>
    <cellStyle name="Обычный 5 21 3 5" xfId="22326"/>
    <cellStyle name="Обычный 5 21 3 5 2" xfId="22327"/>
    <cellStyle name="Обычный 5 21 3 5 2 2" xfId="52200"/>
    <cellStyle name="Обычный 5 21 3 5 3" xfId="52201"/>
    <cellStyle name="Обычный 5 21 3 6" xfId="22328"/>
    <cellStyle name="Обычный 5 21 3 6 2" xfId="52202"/>
    <cellStyle name="Обычный 5 21 3 7" xfId="22329"/>
    <cellStyle name="Обычный 5 21 3 7 2" xfId="52203"/>
    <cellStyle name="Обычный 5 21 3 8" xfId="52204"/>
    <cellStyle name="Обычный 5 21 30" xfId="22330"/>
    <cellStyle name="Обычный 5 21 30 2" xfId="22331"/>
    <cellStyle name="Обычный 5 21 30 2 2" xfId="22332"/>
    <cellStyle name="Обычный 5 21 30 2 2 2" xfId="52205"/>
    <cellStyle name="Обычный 5 21 30 2 3" xfId="52206"/>
    <cellStyle name="Обычный 5 21 30 3" xfId="22333"/>
    <cellStyle name="Обычный 5 21 30 3 2" xfId="52207"/>
    <cellStyle name="Обычный 5 21 30 4" xfId="52208"/>
    <cellStyle name="Обычный 5 21 31" xfId="22334"/>
    <cellStyle name="Обычный 5 21 31 2" xfId="22335"/>
    <cellStyle name="Обычный 5 21 31 2 2" xfId="22336"/>
    <cellStyle name="Обычный 5 21 31 2 2 2" xfId="52209"/>
    <cellStyle name="Обычный 5 21 31 2 3" xfId="52210"/>
    <cellStyle name="Обычный 5 21 31 3" xfId="22337"/>
    <cellStyle name="Обычный 5 21 31 3 2" xfId="52211"/>
    <cellStyle name="Обычный 5 21 31 4" xfId="52212"/>
    <cellStyle name="Обычный 5 21 32" xfId="22338"/>
    <cellStyle name="Обычный 5 21 32 2" xfId="22339"/>
    <cellStyle name="Обычный 5 21 32 2 2" xfId="22340"/>
    <cellStyle name="Обычный 5 21 32 2 2 2" xfId="52213"/>
    <cellStyle name="Обычный 5 21 32 2 3" xfId="52214"/>
    <cellStyle name="Обычный 5 21 32 3" xfId="22341"/>
    <cellStyle name="Обычный 5 21 32 3 2" xfId="52215"/>
    <cellStyle name="Обычный 5 21 32 4" xfId="52216"/>
    <cellStyle name="Обычный 5 21 33" xfId="22342"/>
    <cellStyle name="Обычный 5 21 33 2" xfId="22343"/>
    <cellStyle name="Обычный 5 21 33 2 2" xfId="52217"/>
    <cellStyle name="Обычный 5 21 33 3" xfId="52218"/>
    <cellStyle name="Обычный 5 21 34" xfId="22344"/>
    <cellStyle name="Обычный 5 21 34 2" xfId="52219"/>
    <cellStyle name="Обычный 5 21 35" xfId="22345"/>
    <cellStyle name="Обычный 5 21 35 2" xfId="52220"/>
    <cellStyle name="Обычный 5 21 36" xfId="52221"/>
    <cellStyle name="Обычный 5 21 4" xfId="22346"/>
    <cellStyle name="Обычный 5 21 4 2" xfId="22347"/>
    <cellStyle name="Обычный 5 21 4 2 2" xfId="22348"/>
    <cellStyle name="Обычный 5 21 4 2 2 2" xfId="22349"/>
    <cellStyle name="Обычный 5 21 4 2 2 2 2" xfId="52222"/>
    <cellStyle name="Обычный 5 21 4 2 2 3" xfId="52223"/>
    <cellStyle name="Обычный 5 21 4 2 3" xfId="22350"/>
    <cellStyle name="Обычный 5 21 4 2 3 2" xfId="52224"/>
    <cellStyle name="Обычный 5 21 4 2 4" xfId="52225"/>
    <cellStyle name="Обычный 5 21 4 3" xfId="22351"/>
    <cellStyle name="Обычный 5 21 4 3 2" xfId="22352"/>
    <cellStyle name="Обычный 5 21 4 3 2 2" xfId="22353"/>
    <cellStyle name="Обычный 5 21 4 3 2 2 2" xfId="52226"/>
    <cellStyle name="Обычный 5 21 4 3 2 3" xfId="52227"/>
    <cellStyle name="Обычный 5 21 4 3 3" xfId="22354"/>
    <cellStyle name="Обычный 5 21 4 3 3 2" xfId="52228"/>
    <cellStyle name="Обычный 5 21 4 3 4" xfId="52229"/>
    <cellStyle name="Обычный 5 21 4 4" xfId="22355"/>
    <cellStyle name="Обычный 5 21 4 4 2" xfId="22356"/>
    <cellStyle name="Обычный 5 21 4 4 2 2" xfId="22357"/>
    <cellStyle name="Обычный 5 21 4 4 2 2 2" xfId="52230"/>
    <cellStyle name="Обычный 5 21 4 4 2 3" xfId="52231"/>
    <cellStyle name="Обычный 5 21 4 4 3" xfId="22358"/>
    <cellStyle name="Обычный 5 21 4 4 3 2" xfId="52232"/>
    <cellStyle name="Обычный 5 21 4 4 4" xfId="52233"/>
    <cellStyle name="Обычный 5 21 4 5" xfId="22359"/>
    <cellStyle name="Обычный 5 21 4 5 2" xfId="22360"/>
    <cellStyle name="Обычный 5 21 4 5 2 2" xfId="52234"/>
    <cellStyle name="Обычный 5 21 4 5 3" xfId="52235"/>
    <cellStyle name="Обычный 5 21 4 6" xfId="22361"/>
    <cellStyle name="Обычный 5 21 4 6 2" xfId="52236"/>
    <cellStyle name="Обычный 5 21 4 7" xfId="22362"/>
    <cellStyle name="Обычный 5 21 4 7 2" xfId="52237"/>
    <cellStyle name="Обычный 5 21 4 8" xfId="52238"/>
    <cellStyle name="Обычный 5 21 5" xfId="22363"/>
    <cellStyle name="Обычный 5 21 5 2" xfId="22364"/>
    <cellStyle name="Обычный 5 21 5 2 2" xfId="22365"/>
    <cellStyle name="Обычный 5 21 5 2 2 2" xfId="22366"/>
    <cellStyle name="Обычный 5 21 5 2 2 2 2" xfId="52239"/>
    <cellStyle name="Обычный 5 21 5 2 2 3" xfId="52240"/>
    <cellStyle name="Обычный 5 21 5 2 3" xfId="22367"/>
    <cellStyle name="Обычный 5 21 5 2 3 2" xfId="52241"/>
    <cellStyle name="Обычный 5 21 5 2 4" xfId="52242"/>
    <cellStyle name="Обычный 5 21 5 3" xfId="22368"/>
    <cellStyle name="Обычный 5 21 5 3 2" xfId="22369"/>
    <cellStyle name="Обычный 5 21 5 3 2 2" xfId="22370"/>
    <cellStyle name="Обычный 5 21 5 3 2 2 2" xfId="52243"/>
    <cellStyle name="Обычный 5 21 5 3 2 3" xfId="52244"/>
    <cellStyle name="Обычный 5 21 5 3 3" xfId="22371"/>
    <cellStyle name="Обычный 5 21 5 3 3 2" xfId="52245"/>
    <cellStyle name="Обычный 5 21 5 3 4" xfId="52246"/>
    <cellStyle name="Обычный 5 21 5 4" xfId="22372"/>
    <cellStyle name="Обычный 5 21 5 4 2" xfId="22373"/>
    <cellStyle name="Обычный 5 21 5 4 2 2" xfId="22374"/>
    <cellStyle name="Обычный 5 21 5 4 2 2 2" xfId="52247"/>
    <cellStyle name="Обычный 5 21 5 4 2 3" xfId="52248"/>
    <cellStyle name="Обычный 5 21 5 4 3" xfId="22375"/>
    <cellStyle name="Обычный 5 21 5 4 3 2" xfId="52249"/>
    <cellStyle name="Обычный 5 21 5 4 4" xfId="52250"/>
    <cellStyle name="Обычный 5 21 5 5" xfId="22376"/>
    <cellStyle name="Обычный 5 21 5 5 2" xfId="22377"/>
    <cellStyle name="Обычный 5 21 5 5 2 2" xfId="52251"/>
    <cellStyle name="Обычный 5 21 5 5 3" xfId="52252"/>
    <cellStyle name="Обычный 5 21 5 6" xfId="22378"/>
    <cellStyle name="Обычный 5 21 5 6 2" xfId="52253"/>
    <cellStyle name="Обычный 5 21 5 7" xfId="22379"/>
    <cellStyle name="Обычный 5 21 5 7 2" xfId="52254"/>
    <cellStyle name="Обычный 5 21 5 8" xfId="52255"/>
    <cellStyle name="Обычный 5 21 6" xfId="22380"/>
    <cellStyle name="Обычный 5 21 6 2" xfId="22381"/>
    <cellStyle name="Обычный 5 21 6 2 2" xfId="22382"/>
    <cellStyle name="Обычный 5 21 6 2 2 2" xfId="22383"/>
    <cellStyle name="Обычный 5 21 6 2 2 2 2" xfId="52256"/>
    <cellStyle name="Обычный 5 21 6 2 2 3" xfId="52257"/>
    <cellStyle name="Обычный 5 21 6 2 3" xfId="22384"/>
    <cellStyle name="Обычный 5 21 6 2 3 2" xfId="52258"/>
    <cellStyle name="Обычный 5 21 6 2 4" xfId="52259"/>
    <cellStyle name="Обычный 5 21 6 3" xfId="22385"/>
    <cellStyle name="Обычный 5 21 6 3 2" xfId="22386"/>
    <cellStyle name="Обычный 5 21 6 3 2 2" xfId="22387"/>
    <cellStyle name="Обычный 5 21 6 3 2 2 2" xfId="52260"/>
    <cellStyle name="Обычный 5 21 6 3 2 3" xfId="52261"/>
    <cellStyle name="Обычный 5 21 6 3 3" xfId="22388"/>
    <cellStyle name="Обычный 5 21 6 3 3 2" xfId="52262"/>
    <cellStyle name="Обычный 5 21 6 3 4" xfId="52263"/>
    <cellStyle name="Обычный 5 21 6 4" xfId="22389"/>
    <cellStyle name="Обычный 5 21 6 4 2" xfId="22390"/>
    <cellStyle name="Обычный 5 21 6 4 2 2" xfId="22391"/>
    <cellStyle name="Обычный 5 21 6 4 2 2 2" xfId="52264"/>
    <cellStyle name="Обычный 5 21 6 4 2 3" xfId="52265"/>
    <cellStyle name="Обычный 5 21 6 4 3" xfId="22392"/>
    <cellStyle name="Обычный 5 21 6 4 3 2" xfId="52266"/>
    <cellStyle name="Обычный 5 21 6 4 4" xfId="52267"/>
    <cellStyle name="Обычный 5 21 6 5" xfId="22393"/>
    <cellStyle name="Обычный 5 21 6 5 2" xfId="22394"/>
    <cellStyle name="Обычный 5 21 6 5 2 2" xfId="52268"/>
    <cellStyle name="Обычный 5 21 6 5 3" xfId="52269"/>
    <cellStyle name="Обычный 5 21 6 6" xfId="22395"/>
    <cellStyle name="Обычный 5 21 6 6 2" xfId="52270"/>
    <cellStyle name="Обычный 5 21 6 7" xfId="22396"/>
    <cellStyle name="Обычный 5 21 6 7 2" xfId="52271"/>
    <cellStyle name="Обычный 5 21 6 8" xfId="52272"/>
    <cellStyle name="Обычный 5 21 7" xfId="22397"/>
    <cellStyle name="Обычный 5 21 7 2" xfId="22398"/>
    <cellStyle name="Обычный 5 21 7 2 2" xfId="22399"/>
    <cellStyle name="Обычный 5 21 7 2 2 2" xfId="22400"/>
    <cellStyle name="Обычный 5 21 7 2 2 2 2" xfId="52273"/>
    <cellStyle name="Обычный 5 21 7 2 2 3" xfId="52274"/>
    <cellStyle name="Обычный 5 21 7 2 3" xfId="22401"/>
    <cellStyle name="Обычный 5 21 7 2 3 2" xfId="52275"/>
    <cellStyle name="Обычный 5 21 7 2 4" xfId="52276"/>
    <cellStyle name="Обычный 5 21 7 3" xfId="22402"/>
    <cellStyle name="Обычный 5 21 7 3 2" xfId="22403"/>
    <cellStyle name="Обычный 5 21 7 3 2 2" xfId="22404"/>
    <cellStyle name="Обычный 5 21 7 3 2 2 2" xfId="52277"/>
    <cellStyle name="Обычный 5 21 7 3 2 3" xfId="52278"/>
    <cellStyle name="Обычный 5 21 7 3 3" xfId="22405"/>
    <cellStyle name="Обычный 5 21 7 3 3 2" xfId="52279"/>
    <cellStyle name="Обычный 5 21 7 3 4" xfId="52280"/>
    <cellStyle name="Обычный 5 21 7 4" xfId="22406"/>
    <cellStyle name="Обычный 5 21 7 4 2" xfId="22407"/>
    <cellStyle name="Обычный 5 21 7 4 2 2" xfId="22408"/>
    <cellStyle name="Обычный 5 21 7 4 2 2 2" xfId="52281"/>
    <cellStyle name="Обычный 5 21 7 4 2 3" xfId="52282"/>
    <cellStyle name="Обычный 5 21 7 4 3" xfId="22409"/>
    <cellStyle name="Обычный 5 21 7 4 3 2" xfId="52283"/>
    <cellStyle name="Обычный 5 21 7 4 4" xfId="52284"/>
    <cellStyle name="Обычный 5 21 7 5" xfId="22410"/>
    <cellStyle name="Обычный 5 21 7 5 2" xfId="22411"/>
    <cellStyle name="Обычный 5 21 7 5 2 2" xfId="52285"/>
    <cellStyle name="Обычный 5 21 7 5 3" xfId="52286"/>
    <cellStyle name="Обычный 5 21 7 6" xfId="22412"/>
    <cellStyle name="Обычный 5 21 7 6 2" xfId="52287"/>
    <cellStyle name="Обычный 5 21 7 7" xfId="22413"/>
    <cellStyle name="Обычный 5 21 7 7 2" xfId="52288"/>
    <cellStyle name="Обычный 5 21 7 8" xfId="52289"/>
    <cellStyle name="Обычный 5 21 8" xfId="22414"/>
    <cellStyle name="Обычный 5 21 8 2" xfId="22415"/>
    <cellStyle name="Обычный 5 21 8 2 2" xfId="22416"/>
    <cellStyle name="Обычный 5 21 8 2 2 2" xfId="22417"/>
    <cellStyle name="Обычный 5 21 8 2 2 2 2" xfId="52290"/>
    <cellStyle name="Обычный 5 21 8 2 2 3" xfId="52291"/>
    <cellStyle name="Обычный 5 21 8 2 3" xfId="22418"/>
    <cellStyle name="Обычный 5 21 8 2 3 2" xfId="52292"/>
    <cellStyle name="Обычный 5 21 8 2 4" xfId="52293"/>
    <cellStyle name="Обычный 5 21 8 3" xfId="22419"/>
    <cellStyle name="Обычный 5 21 8 3 2" xfId="22420"/>
    <cellStyle name="Обычный 5 21 8 3 2 2" xfId="22421"/>
    <cellStyle name="Обычный 5 21 8 3 2 2 2" xfId="52294"/>
    <cellStyle name="Обычный 5 21 8 3 2 3" xfId="52295"/>
    <cellStyle name="Обычный 5 21 8 3 3" xfId="22422"/>
    <cellStyle name="Обычный 5 21 8 3 3 2" xfId="52296"/>
    <cellStyle name="Обычный 5 21 8 3 4" xfId="52297"/>
    <cellStyle name="Обычный 5 21 8 4" xfId="22423"/>
    <cellStyle name="Обычный 5 21 8 4 2" xfId="22424"/>
    <cellStyle name="Обычный 5 21 8 4 2 2" xfId="22425"/>
    <cellStyle name="Обычный 5 21 8 4 2 2 2" xfId="52298"/>
    <cellStyle name="Обычный 5 21 8 4 2 3" xfId="52299"/>
    <cellStyle name="Обычный 5 21 8 4 3" xfId="22426"/>
    <cellStyle name="Обычный 5 21 8 4 3 2" xfId="52300"/>
    <cellStyle name="Обычный 5 21 8 4 4" xfId="52301"/>
    <cellStyle name="Обычный 5 21 8 5" xfId="22427"/>
    <cellStyle name="Обычный 5 21 8 5 2" xfId="22428"/>
    <cellStyle name="Обычный 5 21 8 5 2 2" xfId="52302"/>
    <cellStyle name="Обычный 5 21 8 5 3" xfId="52303"/>
    <cellStyle name="Обычный 5 21 8 6" xfId="22429"/>
    <cellStyle name="Обычный 5 21 8 6 2" xfId="52304"/>
    <cellStyle name="Обычный 5 21 8 7" xfId="22430"/>
    <cellStyle name="Обычный 5 21 8 7 2" xfId="52305"/>
    <cellStyle name="Обычный 5 21 8 8" xfId="52306"/>
    <cellStyle name="Обычный 5 21 9" xfId="22431"/>
    <cellStyle name="Обычный 5 21 9 2" xfId="22432"/>
    <cellStyle name="Обычный 5 21 9 2 2" xfId="22433"/>
    <cellStyle name="Обычный 5 21 9 2 2 2" xfId="22434"/>
    <cellStyle name="Обычный 5 21 9 2 2 2 2" xfId="52307"/>
    <cellStyle name="Обычный 5 21 9 2 2 3" xfId="52308"/>
    <cellStyle name="Обычный 5 21 9 2 3" xfId="22435"/>
    <cellStyle name="Обычный 5 21 9 2 3 2" xfId="52309"/>
    <cellStyle name="Обычный 5 21 9 2 4" xfId="52310"/>
    <cellStyle name="Обычный 5 21 9 3" xfId="22436"/>
    <cellStyle name="Обычный 5 21 9 3 2" xfId="22437"/>
    <cellStyle name="Обычный 5 21 9 3 2 2" xfId="22438"/>
    <cellStyle name="Обычный 5 21 9 3 2 2 2" xfId="52311"/>
    <cellStyle name="Обычный 5 21 9 3 2 3" xfId="52312"/>
    <cellStyle name="Обычный 5 21 9 3 3" xfId="22439"/>
    <cellStyle name="Обычный 5 21 9 3 3 2" xfId="52313"/>
    <cellStyle name="Обычный 5 21 9 3 4" xfId="52314"/>
    <cellStyle name="Обычный 5 21 9 4" xfId="22440"/>
    <cellStyle name="Обычный 5 21 9 4 2" xfId="22441"/>
    <cellStyle name="Обычный 5 21 9 4 2 2" xfId="22442"/>
    <cellStyle name="Обычный 5 21 9 4 2 2 2" xfId="52315"/>
    <cellStyle name="Обычный 5 21 9 4 2 3" xfId="52316"/>
    <cellStyle name="Обычный 5 21 9 4 3" xfId="22443"/>
    <cellStyle name="Обычный 5 21 9 4 3 2" xfId="52317"/>
    <cellStyle name="Обычный 5 21 9 4 4" xfId="52318"/>
    <cellStyle name="Обычный 5 21 9 5" xfId="22444"/>
    <cellStyle name="Обычный 5 21 9 5 2" xfId="22445"/>
    <cellStyle name="Обычный 5 21 9 5 2 2" xfId="52319"/>
    <cellStyle name="Обычный 5 21 9 5 3" xfId="52320"/>
    <cellStyle name="Обычный 5 21 9 6" xfId="22446"/>
    <cellStyle name="Обычный 5 21 9 6 2" xfId="52321"/>
    <cellStyle name="Обычный 5 21 9 7" xfId="22447"/>
    <cellStyle name="Обычный 5 21 9 7 2" xfId="52322"/>
    <cellStyle name="Обычный 5 21 9 8" xfId="52323"/>
    <cellStyle name="Обычный 5 22" xfId="22448"/>
    <cellStyle name="Обычный 5 22 10" xfId="22449"/>
    <cellStyle name="Обычный 5 22 10 2" xfId="22450"/>
    <cellStyle name="Обычный 5 22 10 2 2" xfId="22451"/>
    <cellStyle name="Обычный 5 22 10 2 2 2" xfId="22452"/>
    <cellStyle name="Обычный 5 22 10 2 2 2 2" xfId="52324"/>
    <cellStyle name="Обычный 5 22 10 2 2 3" xfId="52325"/>
    <cellStyle name="Обычный 5 22 10 2 3" xfId="22453"/>
    <cellStyle name="Обычный 5 22 10 2 3 2" xfId="52326"/>
    <cellStyle name="Обычный 5 22 10 2 4" xfId="52327"/>
    <cellStyle name="Обычный 5 22 10 3" xfId="22454"/>
    <cellStyle name="Обычный 5 22 10 3 2" xfId="22455"/>
    <cellStyle name="Обычный 5 22 10 3 2 2" xfId="22456"/>
    <cellStyle name="Обычный 5 22 10 3 2 2 2" xfId="52328"/>
    <cellStyle name="Обычный 5 22 10 3 2 3" xfId="52329"/>
    <cellStyle name="Обычный 5 22 10 3 3" xfId="22457"/>
    <cellStyle name="Обычный 5 22 10 3 3 2" xfId="52330"/>
    <cellStyle name="Обычный 5 22 10 3 4" xfId="52331"/>
    <cellStyle name="Обычный 5 22 10 4" xfId="22458"/>
    <cellStyle name="Обычный 5 22 10 4 2" xfId="22459"/>
    <cellStyle name="Обычный 5 22 10 4 2 2" xfId="22460"/>
    <cellStyle name="Обычный 5 22 10 4 2 2 2" xfId="52332"/>
    <cellStyle name="Обычный 5 22 10 4 2 3" xfId="52333"/>
    <cellStyle name="Обычный 5 22 10 4 3" xfId="22461"/>
    <cellStyle name="Обычный 5 22 10 4 3 2" xfId="52334"/>
    <cellStyle name="Обычный 5 22 10 4 4" xfId="52335"/>
    <cellStyle name="Обычный 5 22 10 5" xfId="22462"/>
    <cellStyle name="Обычный 5 22 10 5 2" xfId="22463"/>
    <cellStyle name="Обычный 5 22 10 5 2 2" xfId="52336"/>
    <cellStyle name="Обычный 5 22 10 5 3" xfId="52337"/>
    <cellStyle name="Обычный 5 22 10 6" xfId="22464"/>
    <cellStyle name="Обычный 5 22 10 6 2" xfId="52338"/>
    <cellStyle name="Обычный 5 22 10 7" xfId="22465"/>
    <cellStyle name="Обычный 5 22 10 7 2" xfId="52339"/>
    <cellStyle name="Обычный 5 22 10 8" xfId="52340"/>
    <cellStyle name="Обычный 5 22 11" xfId="22466"/>
    <cellStyle name="Обычный 5 22 11 2" xfId="22467"/>
    <cellStyle name="Обычный 5 22 11 2 2" xfId="22468"/>
    <cellStyle name="Обычный 5 22 11 2 2 2" xfId="22469"/>
    <cellStyle name="Обычный 5 22 11 2 2 2 2" xfId="52341"/>
    <cellStyle name="Обычный 5 22 11 2 2 3" xfId="52342"/>
    <cellStyle name="Обычный 5 22 11 2 3" xfId="22470"/>
    <cellStyle name="Обычный 5 22 11 2 3 2" xfId="52343"/>
    <cellStyle name="Обычный 5 22 11 2 4" xfId="52344"/>
    <cellStyle name="Обычный 5 22 11 3" xfId="22471"/>
    <cellStyle name="Обычный 5 22 11 3 2" xfId="22472"/>
    <cellStyle name="Обычный 5 22 11 3 2 2" xfId="22473"/>
    <cellStyle name="Обычный 5 22 11 3 2 2 2" xfId="52345"/>
    <cellStyle name="Обычный 5 22 11 3 2 3" xfId="52346"/>
    <cellStyle name="Обычный 5 22 11 3 3" xfId="22474"/>
    <cellStyle name="Обычный 5 22 11 3 3 2" xfId="52347"/>
    <cellStyle name="Обычный 5 22 11 3 4" xfId="52348"/>
    <cellStyle name="Обычный 5 22 11 4" xfId="22475"/>
    <cellStyle name="Обычный 5 22 11 4 2" xfId="22476"/>
    <cellStyle name="Обычный 5 22 11 4 2 2" xfId="22477"/>
    <cellStyle name="Обычный 5 22 11 4 2 2 2" xfId="52349"/>
    <cellStyle name="Обычный 5 22 11 4 2 3" xfId="52350"/>
    <cellStyle name="Обычный 5 22 11 4 3" xfId="22478"/>
    <cellStyle name="Обычный 5 22 11 4 3 2" xfId="52351"/>
    <cellStyle name="Обычный 5 22 11 4 4" xfId="52352"/>
    <cellStyle name="Обычный 5 22 11 5" xfId="22479"/>
    <cellStyle name="Обычный 5 22 11 5 2" xfId="22480"/>
    <cellStyle name="Обычный 5 22 11 5 2 2" xfId="52353"/>
    <cellStyle name="Обычный 5 22 11 5 3" xfId="52354"/>
    <cellStyle name="Обычный 5 22 11 6" xfId="22481"/>
    <cellStyle name="Обычный 5 22 11 6 2" xfId="52355"/>
    <cellStyle name="Обычный 5 22 11 7" xfId="22482"/>
    <cellStyle name="Обычный 5 22 11 7 2" xfId="52356"/>
    <cellStyle name="Обычный 5 22 11 8" xfId="52357"/>
    <cellStyle name="Обычный 5 22 12" xfId="22483"/>
    <cellStyle name="Обычный 5 22 12 2" xfId="22484"/>
    <cellStyle name="Обычный 5 22 12 2 2" xfId="22485"/>
    <cellStyle name="Обычный 5 22 12 2 2 2" xfId="22486"/>
    <cellStyle name="Обычный 5 22 12 2 2 2 2" xfId="52358"/>
    <cellStyle name="Обычный 5 22 12 2 2 3" xfId="52359"/>
    <cellStyle name="Обычный 5 22 12 2 3" xfId="22487"/>
    <cellStyle name="Обычный 5 22 12 2 3 2" xfId="52360"/>
    <cellStyle name="Обычный 5 22 12 2 4" xfId="52361"/>
    <cellStyle name="Обычный 5 22 12 3" xfId="22488"/>
    <cellStyle name="Обычный 5 22 12 3 2" xfId="22489"/>
    <cellStyle name="Обычный 5 22 12 3 2 2" xfId="22490"/>
    <cellStyle name="Обычный 5 22 12 3 2 2 2" xfId="52362"/>
    <cellStyle name="Обычный 5 22 12 3 2 3" xfId="52363"/>
    <cellStyle name="Обычный 5 22 12 3 3" xfId="22491"/>
    <cellStyle name="Обычный 5 22 12 3 3 2" xfId="52364"/>
    <cellStyle name="Обычный 5 22 12 3 4" xfId="52365"/>
    <cellStyle name="Обычный 5 22 12 4" xfId="22492"/>
    <cellStyle name="Обычный 5 22 12 4 2" xfId="22493"/>
    <cellStyle name="Обычный 5 22 12 4 2 2" xfId="22494"/>
    <cellStyle name="Обычный 5 22 12 4 2 2 2" xfId="52366"/>
    <cellStyle name="Обычный 5 22 12 4 2 3" xfId="52367"/>
    <cellStyle name="Обычный 5 22 12 4 3" xfId="22495"/>
    <cellStyle name="Обычный 5 22 12 4 3 2" xfId="52368"/>
    <cellStyle name="Обычный 5 22 12 4 4" xfId="52369"/>
    <cellStyle name="Обычный 5 22 12 5" xfId="22496"/>
    <cellStyle name="Обычный 5 22 12 5 2" xfId="22497"/>
    <cellStyle name="Обычный 5 22 12 5 2 2" xfId="52370"/>
    <cellStyle name="Обычный 5 22 12 5 3" xfId="52371"/>
    <cellStyle name="Обычный 5 22 12 6" xfId="22498"/>
    <cellStyle name="Обычный 5 22 12 6 2" xfId="52372"/>
    <cellStyle name="Обычный 5 22 12 7" xfId="22499"/>
    <cellStyle name="Обычный 5 22 12 7 2" xfId="52373"/>
    <cellStyle name="Обычный 5 22 12 8" xfId="52374"/>
    <cellStyle name="Обычный 5 22 13" xfId="22500"/>
    <cellStyle name="Обычный 5 22 13 2" xfId="22501"/>
    <cellStyle name="Обычный 5 22 13 2 2" xfId="22502"/>
    <cellStyle name="Обычный 5 22 13 2 2 2" xfId="22503"/>
    <cellStyle name="Обычный 5 22 13 2 2 2 2" xfId="52375"/>
    <cellStyle name="Обычный 5 22 13 2 2 3" xfId="52376"/>
    <cellStyle name="Обычный 5 22 13 2 3" xfId="22504"/>
    <cellStyle name="Обычный 5 22 13 2 3 2" xfId="52377"/>
    <cellStyle name="Обычный 5 22 13 2 4" xfId="52378"/>
    <cellStyle name="Обычный 5 22 13 3" xfId="22505"/>
    <cellStyle name="Обычный 5 22 13 3 2" xfId="22506"/>
    <cellStyle name="Обычный 5 22 13 3 2 2" xfId="22507"/>
    <cellStyle name="Обычный 5 22 13 3 2 2 2" xfId="52379"/>
    <cellStyle name="Обычный 5 22 13 3 2 3" xfId="52380"/>
    <cellStyle name="Обычный 5 22 13 3 3" xfId="22508"/>
    <cellStyle name="Обычный 5 22 13 3 3 2" xfId="52381"/>
    <cellStyle name="Обычный 5 22 13 3 4" xfId="52382"/>
    <cellStyle name="Обычный 5 22 13 4" xfId="22509"/>
    <cellStyle name="Обычный 5 22 13 4 2" xfId="22510"/>
    <cellStyle name="Обычный 5 22 13 4 2 2" xfId="22511"/>
    <cellStyle name="Обычный 5 22 13 4 2 2 2" xfId="52383"/>
    <cellStyle name="Обычный 5 22 13 4 2 3" xfId="52384"/>
    <cellStyle name="Обычный 5 22 13 4 3" xfId="22512"/>
    <cellStyle name="Обычный 5 22 13 4 3 2" xfId="52385"/>
    <cellStyle name="Обычный 5 22 13 4 4" xfId="52386"/>
    <cellStyle name="Обычный 5 22 13 5" xfId="22513"/>
    <cellStyle name="Обычный 5 22 13 5 2" xfId="22514"/>
    <cellStyle name="Обычный 5 22 13 5 2 2" xfId="52387"/>
    <cellStyle name="Обычный 5 22 13 5 3" xfId="52388"/>
    <cellStyle name="Обычный 5 22 13 6" xfId="22515"/>
    <cellStyle name="Обычный 5 22 13 6 2" xfId="52389"/>
    <cellStyle name="Обычный 5 22 13 7" xfId="22516"/>
    <cellStyle name="Обычный 5 22 13 7 2" xfId="52390"/>
    <cellStyle name="Обычный 5 22 13 8" xfId="52391"/>
    <cellStyle name="Обычный 5 22 14" xfId="22517"/>
    <cellStyle name="Обычный 5 22 14 2" xfId="22518"/>
    <cellStyle name="Обычный 5 22 14 2 2" xfId="22519"/>
    <cellStyle name="Обычный 5 22 14 2 2 2" xfId="22520"/>
    <cellStyle name="Обычный 5 22 14 2 2 2 2" xfId="52392"/>
    <cellStyle name="Обычный 5 22 14 2 2 3" xfId="52393"/>
    <cellStyle name="Обычный 5 22 14 2 3" xfId="22521"/>
    <cellStyle name="Обычный 5 22 14 2 3 2" xfId="52394"/>
    <cellStyle name="Обычный 5 22 14 2 4" xfId="52395"/>
    <cellStyle name="Обычный 5 22 14 3" xfId="22522"/>
    <cellStyle name="Обычный 5 22 14 3 2" xfId="22523"/>
    <cellStyle name="Обычный 5 22 14 3 2 2" xfId="22524"/>
    <cellStyle name="Обычный 5 22 14 3 2 2 2" xfId="52396"/>
    <cellStyle name="Обычный 5 22 14 3 2 3" xfId="52397"/>
    <cellStyle name="Обычный 5 22 14 3 3" xfId="22525"/>
    <cellStyle name="Обычный 5 22 14 3 3 2" xfId="52398"/>
    <cellStyle name="Обычный 5 22 14 3 4" xfId="52399"/>
    <cellStyle name="Обычный 5 22 14 4" xfId="22526"/>
    <cellStyle name="Обычный 5 22 14 4 2" xfId="22527"/>
    <cellStyle name="Обычный 5 22 14 4 2 2" xfId="22528"/>
    <cellStyle name="Обычный 5 22 14 4 2 2 2" xfId="52400"/>
    <cellStyle name="Обычный 5 22 14 4 2 3" xfId="52401"/>
    <cellStyle name="Обычный 5 22 14 4 3" xfId="22529"/>
    <cellStyle name="Обычный 5 22 14 4 3 2" xfId="52402"/>
    <cellStyle name="Обычный 5 22 14 4 4" xfId="52403"/>
    <cellStyle name="Обычный 5 22 14 5" xfId="22530"/>
    <cellStyle name="Обычный 5 22 14 5 2" xfId="22531"/>
    <cellStyle name="Обычный 5 22 14 5 2 2" xfId="52404"/>
    <cellStyle name="Обычный 5 22 14 5 3" xfId="52405"/>
    <cellStyle name="Обычный 5 22 14 6" xfId="22532"/>
    <cellStyle name="Обычный 5 22 14 6 2" xfId="52406"/>
    <cellStyle name="Обычный 5 22 14 7" xfId="22533"/>
    <cellStyle name="Обычный 5 22 14 7 2" xfId="52407"/>
    <cellStyle name="Обычный 5 22 14 8" xfId="52408"/>
    <cellStyle name="Обычный 5 22 15" xfId="22534"/>
    <cellStyle name="Обычный 5 22 15 2" xfId="22535"/>
    <cellStyle name="Обычный 5 22 15 2 2" xfId="22536"/>
    <cellStyle name="Обычный 5 22 15 2 2 2" xfId="22537"/>
    <cellStyle name="Обычный 5 22 15 2 2 2 2" xfId="52409"/>
    <cellStyle name="Обычный 5 22 15 2 2 3" xfId="52410"/>
    <cellStyle name="Обычный 5 22 15 2 3" xfId="22538"/>
    <cellStyle name="Обычный 5 22 15 2 3 2" xfId="52411"/>
    <cellStyle name="Обычный 5 22 15 2 4" xfId="52412"/>
    <cellStyle name="Обычный 5 22 15 3" xfId="22539"/>
    <cellStyle name="Обычный 5 22 15 3 2" xfId="22540"/>
    <cellStyle name="Обычный 5 22 15 3 2 2" xfId="22541"/>
    <cellStyle name="Обычный 5 22 15 3 2 2 2" xfId="52413"/>
    <cellStyle name="Обычный 5 22 15 3 2 3" xfId="52414"/>
    <cellStyle name="Обычный 5 22 15 3 3" xfId="22542"/>
    <cellStyle name="Обычный 5 22 15 3 3 2" xfId="52415"/>
    <cellStyle name="Обычный 5 22 15 3 4" xfId="52416"/>
    <cellStyle name="Обычный 5 22 15 4" xfId="22543"/>
    <cellStyle name="Обычный 5 22 15 4 2" xfId="22544"/>
    <cellStyle name="Обычный 5 22 15 4 2 2" xfId="22545"/>
    <cellStyle name="Обычный 5 22 15 4 2 2 2" xfId="52417"/>
    <cellStyle name="Обычный 5 22 15 4 2 3" xfId="52418"/>
    <cellStyle name="Обычный 5 22 15 4 3" xfId="22546"/>
    <cellStyle name="Обычный 5 22 15 4 3 2" xfId="52419"/>
    <cellStyle name="Обычный 5 22 15 4 4" xfId="52420"/>
    <cellStyle name="Обычный 5 22 15 5" xfId="22547"/>
    <cellStyle name="Обычный 5 22 15 5 2" xfId="22548"/>
    <cellStyle name="Обычный 5 22 15 5 2 2" xfId="52421"/>
    <cellStyle name="Обычный 5 22 15 5 3" xfId="52422"/>
    <cellStyle name="Обычный 5 22 15 6" xfId="22549"/>
    <cellStyle name="Обычный 5 22 15 6 2" xfId="52423"/>
    <cellStyle name="Обычный 5 22 15 7" xfId="22550"/>
    <cellStyle name="Обычный 5 22 15 7 2" xfId="52424"/>
    <cellStyle name="Обычный 5 22 15 8" xfId="52425"/>
    <cellStyle name="Обычный 5 22 16" xfId="22551"/>
    <cellStyle name="Обычный 5 22 16 2" xfId="22552"/>
    <cellStyle name="Обычный 5 22 16 2 2" xfId="22553"/>
    <cellStyle name="Обычный 5 22 16 2 2 2" xfId="22554"/>
    <cellStyle name="Обычный 5 22 16 2 2 2 2" xfId="52426"/>
    <cellStyle name="Обычный 5 22 16 2 2 3" xfId="52427"/>
    <cellStyle name="Обычный 5 22 16 2 3" xfId="22555"/>
    <cellStyle name="Обычный 5 22 16 2 3 2" xfId="52428"/>
    <cellStyle name="Обычный 5 22 16 2 4" xfId="52429"/>
    <cellStyle name="Обычный 5 22 16 3" xfId="22556"/>
    <cellStyle name="Обычный 5 22 16 3 2" xfId="22557"/>
    <cellStyle name="Обычный 5 22 16 3 2 2" xfId="22558"/>
    <cellStyle name="Обычный 5 22 16 3 2 2 2" xfId="52430"/>
    <cellStyle name="Обычный 5 22 16 3 2 3" xfId="52431"/>
    <cellStyle name="Обычный 5 22 16 3 3" xfId="22559"/>
    <cellStyle name="Обычный 5 22 16 3 3 2" xfId="52432"/>
    <cellStyle name="Обычный 5 22 16 3 4" xfId="52433"/>
    <cellStyle name="Обычный 5 22 16 4" xfId="22560"/>
    <cellStyle name="Обычный 5 22 16 4 2" xfId="22561"/>
    <cellStyle name="Обычный 5 22 16 4 2 2" xfId="22562"/>
    <cellStyle name="Обычный 5 22 16 4 2 2 2" xfId="52434"/>
    <cellStyle name="Обычный 5 22 16 4 2 3" xfId="52435"/>
    <cellStyle name="Обычный 5 22 16 4 3" xfId="22563"/>
    <cellStyle name="Обычный 5 22 16 4 3 2" xfId="52436"/>
    <cellStyle name="Обычный 5 22 16 4 4" xfId="52437"/>
    <cellStyle name="Обычный 5 22 16 5" xfId="22564"/>
    <cellStyle name="Обычный 5 22 16 5 2" xfId="22565"/>
    <cellStyle name="Обычный 5 22 16 5 2 2" xfId="52438"/>
    <cellStyle name="Обычный 5 22 16 5 3" xfId="52439"/>
    <cellStyle name="Обычный 5 22 16 6" xfId="22566"/>
    <cellStyle name="Обычный 5 22 16 6 2" xfId="52440"/>
    <cellStyle name="Обычный 5 22 16 7" xfId="22567"/>
    <cellStyle name="Обычный 5 22 16 7 2" xfId="52441"/>
    <cellStyle name="Обычный 5 22 16 8" xfId="52442"/>
    <cellStyle name="Обычный 5 22 17" xfId="22568"/>
    <cellStyle name="Обычный 5 22 17 2" xfId="22569"/>
    <cellStyle name="Обычный 5 22 17 2 2" xfId="22570"/>
    <cellStyle name="Обычный 5 22 17 2 2 2" xfId="22571"/>
    <cellStyle name="Обычный 5 22 17 2 2 2 2" xfId="52443"/>
    <cellStyle name="Обычный 5 22 17 2 2 3" xfId="52444"/>
    <cellStyle name="Обычный 5 22 17 2 3" xfId="22572"/>
    <cellStyle name="Обычный 5 22 17 2 3 2" xfId="52445"/>
    <cellStyle name="Обычный 5 22 17 2 4" xfId="52446"/>
    <cellStyle name="Обычный 5 22 17 3" xfId="22573"/>
    <cellStyle name="Обычный 5 22 17 3 2" xfId="22574"/>
    <cellStyle name="Обычный 5 22 17 3 2 2" xfId="22575"/>
    <cellStyle name="Обычный 5 22 17 3 2 2 2" xfId="52447"/>
    <cellStyle name="Обычный 5 22 17 3 2 3" xfId="52448"/>
    <cellStyle name="Обычный 5 22 17 3 3" xfId="22576"/>
    <cellStyle name="Обычный 5 22 17 3 3 2" xfId="52449"/>
    <cellStyle name="Обычный 5 22 17 3 4" xfId="52450"/>
    <cellStyle name="Обычный 5 22 17 4" xfId="22577"/>
    <cellStyle name="Обычный 5 22 17 4 2" xfId="22578"/>
    <cellStyle name="Обычный 5 22 17 4 2 2" xfId="22579"/>
    <cellStyle name="Обычный 5 22 17 4 2 2 2" xfId="52451"/>
    <cellStyle name="Обычный 5 22 17 4 2 3" xfId="52452"/>
    <cellStyle name="Обычный 5 22 17 4 3" xfId="22580"/>
    <cellStyle name="Обычный 5 22 17 4 3 2" xfId="52453"/>
    <cellStyle name="Обычный 5 22 17 4 4" xfId="52454"/>
    <cellStyle name="Обычный 5 22 17 5" xfId="22581"/>
    <cellStyle name="Обычный 5 22 17 5 2" xfId="22582"/>
    <cellStyle name="Обычный 5 22 17 5 2 2" xfId="52455"/>
    <cellStyle name="Обычный 5 22 17 5 3" xfId="52456"/>
    <cellStyle name="Обычный 5 22 17 6" xfId="22583"/>
    <cellStyle name="Обычный 5 22 17 6 2" xfId="52457"/>
    <cellStyle name="Обычный 5 22 17 7" xfId="22584"/>
    <cellStyle name="Обычный 5 22 17 7 2" xfId="52458"/>
    <cellStyle name="Обычный 5 22 17 8" xfId="52459"/>
    <cellStyle name="Обычный 5 22 18" xfId="22585"/>
    <cellStyle name="Обычный 5 22 18 2" xfId="22586"/>
    <cellStyle name="Обычный 5 22 18 2 2" xfId="22587"/>
    <cellStyle name="Обычный 5 22 18 2 2 2" xfId="22588"/>
    <cellStyle name="Обычный 5 22 18 2 2 2 2" xfId="52460"/>
    <cellStyle name="Обычный 5 22 18 2 2 3" xfId="52461"/>
    <cellStyle name="Обычный 5 22 18 2 3" xfId="22589"/>
    <cellStyle name="Обычный 5 22 18 2 3 2" xfId="52462"/>
    <cellStyle name="Обычный 5 22 18 2 4" xfId="52463"/>
    <cellStyle name="Обычный 5 22 18 3" xfId="22590"/>
    <cellStyle name="Обычный 5 22 18 3 2" xfId="22591"/>
    <cellStyle name="Обычный 5 22 18 3 2 2" xfId="22592"/>
    <cellStyle name="Обычный 5 22 18 3 2 2 2" xfId="52464"/>
    <cellStyle name="Обычный 5 22 18 3 2 3" xfId="52465"/>
    <cellStyle name="Обычный 5 22 18 3 3" xfId="22593"/>
    <cellStyle name="Обычный 5 22 18 3 3 2" xfId="52466"/>
    <cellStyle name="Обычный 5 22 18 3 4" xfId="52467"/>
    <cellStyle name="Обычный 5 22 18 4" xfId="22594"/>
    <cellStyle name="Обычный 5 22 18 4 2" xfId="22595"/>
    <cellStyle name="Обычный 5 22 18 4 2 2" xfId="22596"/>
    <cellStyle name="Обычный 5 22 18 4 2 2 2" xfId="52468"/>
    <cellStyle name="Обычный 5 22 18 4 2 3" xfId="52469"/>
    <cellStyle name="Обычный 5 22 18 4 3" xfId="22597"/>
    <cellStyle name="Обычный 5 22 18 4 3 2" xfId="52470"/>
    <cellStyle name="Обычный 5 22 18 4 4" xfId="52471"/>
    <cellStyle name="Обычный 5 22 18 5" xfId="22598"/>
    <cellStyle name="Обычный 5 22 18 5 2" xfId="22599"/>
    <cellStyle name="Обычный 5 22 18 5 2 2" xfId="52472"/>
    <cellStyle name="Обычный 5 22 18 5 3" xfId="52473"/>
    <cellStyle name="Обычный 5 22 18 6" xfId="22600"/>
    <cellStyle name="Обычный 5 22 18 6 2" xfId="52474"/>
    <cellStyle name="Обычный 5 22 18 7" xfId="22601"/>
    <cellStyle name="Обычный 5 22 18 7 2" xfId="52475"/>
    <cellStyle name="Обычный 5 22 18 8" xfId="52476"/>
    <cellStyle name="Обычный 5 22 19" xfId="22602"/>
    <cellStyle name="Обычный 5 22 19 2" xfId="22603"/>
    <cellStyle name="Обычный 5 22 19 2 2" xfId="22604"/>
    <cellStyle name="Обычный 5 22 19 2 2 2" xfId="22605"/>
    <cellStyle name="Обычный 5 22 19 2 2 2 2" xfId="52477"/>
    <cellStyle name="Обычный 5 22 19 2 2 3" xfId="52478"/>
    <cellStyle name="Обычный 5 22 19 2 3" xfId="22606"/>
    <cellStyle name="Обычный 5 22 19 2 3 2" xfId="52479"/>
    <cellStyle name="Обычный 5 22 19 2 4" xfId="52480"/>
    <cellStyle name="Обычный 5 22 19 3" xfId="22607"/>
    <cellStyle name="Обычный 5 22 19 3 2" xfId="22608"/>
    <cellStyle name="Обычный 5 22 19 3 2 2" xfId="22609"/>
    <cellStyle name="Обычный 5 22 19 3 2 2 2" xfId="52481"/>
    <cellStyle name="Обычный 5 22 19 3 2 3" xfId="52482"/>
    <cellStyle name="Обычный 5 22 19 3 3" xfId="22610"/>
    <cellStyle name="Обычный 5 22 19 3 3 2" xfId="52483"/>
    <cellStyle name="Обычный 5 22 19 3 4" xfId="52484"/>
    <cellStyle name="Обычный 5 22 19 4" xfId="22611"/>
    <cellStyle name="Обычный 5 22 19 4 2" xfId="22612"/>
    <cellStyle name="Обычный 5 22 19 4 2 2" xfId="22613"/>
    <cellStyle name="Обычный 5 22 19 4 2 2 2" xfId="52485"/>
    <cellStyle name="Обычный 5 22 19 4 2 3" xfId="52486"/>
    <cellStyle name="Обычный 5 22 19 4 3" xfId="22614"/>
    <cellStyle name="Обычный 5 22 19 4 3 2" xfId="52487"/>
    <cellStyle name="Обычный 5 22 19 4 4" xfId="52488"/>
    <cellStyle name="Обычный 5 22 19 5" xfId="22615"/>
    <cellStyle name="Обычный 5 22 19 5 2" xfId="22616"/>
    <cellStyle name="Обычный 5 22 19 5 2 2" xfId="52489"/>
    <cellStyle name="Обычный 5 22 19 5 3" xfId="52490"/>
    <cellStyle name="Обычный 5 22 19 6" xfId="22617"/>
    <cellStyle name="Обычный 5 22 19 6 2" xfId="52491"/>
    <cellStyle name="Обычный 5 22 19 7" xfId="22618"/>
    <cellStyle name="Обычный 5 22 19 7 2" xfId="52492"/>
    <cellStyle name="Обычный 5 22 19 8" xfId="52493"/>
    <cellStyle name="Обычный 5 22 2" xfId="22619"/>
    <cellStyle name="Обычный 5 22 2 2" xfId="22620"/>
    <cellStyle name="Обычный 5 22 2 2 2" xfId="22621"/>
    <cellStyle name="Обычный 5 22 2 2 2 2" xfId="22622"/>
    <cellStyle name="Обычный 5 22 2 2 2 2 2" xfId="52494"/>
    <cellStyle name="Обычный 5 22 2 2 2 3" xfId="52495"/>
    <cellStyle name="Обычный 5 22 2 2 3" xfId="22623"/>
    <cellStyle name="Обычный 5 22 2 2 3 2" xfId="52496"/>
    <cellStyle name="Обычный 5 22 2 2 4" xfId="52497"/>
    <cellStyle name="Обычный 5 22 2 3" xfId="22624"/>
    <cellStyle name="Обычный 5 22 2 3 2" xfId="22625"/>
    <cellStyle name="Обычный 5 22 2 3 2 2" xfId="22626"/>
    <cellStyle name="Обычный 5 22 2 3 2 2 2" xfId="52498"/>
    <cellStyle name="Обычный 5 22 2 3 2 3" xfId="52499"/>
    <cellStyle name="Обычный 5 22 2 3 3" xfId="22627"/>
    <cellStyle name="Обычный 5 22 2 3 3 2" xfId="52500"/>
    <cellStyle name="Обычный 5 22 2 3 4" xfId="52501"/>
    <cellStyle name="Обычный 5 22 2 4" xfId="22628"/>
    <cellStyle name="Обычный 5 22 2 4 2" xfId="22629"/>
    <cellStyle name="Обычный 5 22 2 4 2 2" xfId="22630"/>
    <cellStyle name="Обычный 5 22 2 4 2 2 2" xfId="52502"/>
    <cellStyle name="Обычный 5 22 2 4 2 3" xfId="52503"/>
    <cellStyle name="Обычный 5 22 2 4 3" xfId="22631"/>
    <cellStyle name="Обычный 5 22 2 4 3 2" xfId="52504"/>
    <cellStyle name="Обычный 5 22 2 4 4" xfId="52505"/>
    <cellStyle name="Обычный 5 22 2 5" xfId="22632"/>
    <cellStyle name="Обычный 5 22 2 5 2" xfId="22633"/>
    <cellStyle name="Обычный 5 22 2 5 2 2" xfId="52506"/>
    <cellStyle name="Обычный 5 22 2 5 3" xfId="52507"/>
    <cellStyle name="Обычный 5 22 2 6" xfId="22634"/>
    <cellStyle name="Обычный 5 22 2 6 2" xfId="52508"/>
    <cellStyle name="Обычный 5 22 2 7" xfId="22635"/>
    <cellStyle name="Обычный 5 22 2 7 2" xfId="52509"/>
    <cellStyle name="Обычный 5 22 2 8" xfId="52510"/>
    <cellStyle name="Обычный 5 22 20" xfId="22636"/>
    <cellStyle name="Обычный 5 22 20 2" xfId="22637"/>
    <cellStyle name="Обычный 5 22 20 2 2" xfId="22638"/>
    <cellStyle name="Обычный 5 22 20 2 2 2" xfId="22639"/>
    <cellStyle name="Обычный 5 22 20 2 2 2 2" xfId="52511"/>
    <cellStyle name="Обычный 5 22 20 2 2 3" xfId="52512"/>
    <cellStyle name="Обычный 5 22 20 2 3" xfId="22640"/>
    <cellStyle name="Обычный 5 22 20 2 3 2" xfId="52513"/>
    <cellStyle name="Обычный 5 22 20 2 4" xfId="52514"/>
    <cellStyle name="Обычный 5 22 20 3" xfId="22641"/>
    <cellStyle name="Обычный 5 22 20 3 2" xfId="22642"/>
    <cellStyle name="Обычный 5 22 20 3 2 2" xfId="22643"/>
    <cellStyle name="Обычный 5 22 20 3 2 2 2" xfId="52515"/>
    <cellStyle name="Обычный 5 22 20 3 2 3" xfId="52516"/>
    <cellStyle name="Обычный 5 22 20 3 3" xfId="22644"/>
    <cellStyle name="Обычный 5 22 20 3 3 2" xfId="52517"/>
    <cellStyle name="Обычный 5 22 20 3 4" xfId="52518"/>
    <cellStyle name="Обычный 5 22 20 4" xfId="22645"/>
    <cellStyle name="Обычный 5 22 20 4 2" xfId="22646"/>
    <cellStyle name="Обычный 5 22 20 4 2 2" xfId="22647"/>
    <cellStyle name="Обычный 5 22 20 4 2 2 2" xfId="52519"/>
    <cellStyle name="Обычный 5 22 20 4 2 3" xfId="52520"/>
    <cellStyle name="Обычный 5 22 20 4 3" xfId="22648"/>
    <cellStyle name="Обычный 5 22 20 4 3 2" xfId="52521"/>
    <cellStyle name="Обычный 5 22 20 4 4" xfId="52522"/>
    <cellStyle name="Обычный 5 22 20 5" xfId="22649"/>
    <cellStyle name="Обычный 5 22 20 5 2" xfId="22650"/>
    <cellStyle name="Обычный 5 22 20 5 2 2" xfId="52523"/>
    <cellStyle name="Обычный 5 22 20 5 3" xfId="52524"/>
    <cellStyle name="Обычный 5 22 20 6" xfId="22651"/>
    <cellStyle name="Обычный 5 22 20 6 2" xfId="52525"/>
    <cellStyle name="Обычный 5 22 20 7" xfId="22652"/>
    <cellStyle name="Обычный 5 22 20 7 2" xfId="52526"/>
    <cellStyle name="Обычный 5 22 20 8" xfId="52527"/>
    <cellStyle name="Обычный 5 22 21" xfId="22653"/>
    <cellStyle name="Обычный 5 22 21 2" xfId="22654"/>
    <cellStyle name="Обычный 5 22 21 2 2" xfId="22655"/>
    <cellStyle name="Обычный 5 22 21 2 2 2" xfId="22656"/>
    <cellStyle name="Обычный 5 22 21 2 2 2 2" xfId="52528"/>
    <cellStyle name="Обычный 5 22 21 2 2 3" xfId="52529"/>
    <cellStyle name="Обычный 5 22 21 2 3" xfId="22657"/>
    <cellStyle name="Обычный 5 22 21 2 3 2" xfId="52530"/>
    <cellStyle name="Обычный 5 22 21 2 4" xfId="52531"/>
    <cellStyle name="Обычный 5 22 21 3" xfId="22658"/>
    <cellStyle name="Обычный 5 22 21 3 2" xfId="22659"/>
    <cellStyle name="Обычный 5 22 21 3 2 2" xfId="22660"/>
    <cellStyle name="Обычный 5 22 21 3 2 2 2" xfId="52532"/>
    <cellStyle name="Обычный 5 22 21 3 2 3" xfId="52533"/>
    <cellStyle name="Обычный 5 22 21 3 3" xfId="22661"/>
    <cellStyle name="Обычный 5 22 21 3 3 2" xfId="52534"/>
    <cellStyle name="Обычный 5 22 21 3 4" xfId="52535"/>
    <cellStyle name="Обычный 5 22 21 4" xfId="22662"/>
    <cellStyle name="Обычный 5 22 21 4 2" xfId="22663"/>
    <cellStyle name="Обычный 5 22 21 4 2 2" xfId="22664"/>
    <cellStyle name="Обычный 5 22 21 4 2 2 2" xfId="52536"/>
    <cellStyle name="Обычный 5 22 21 4 2 3" xfId="52537"/>
    <cellStyle name="Обычный 5 22 21 4 3" xfId="22665"/>
    <cellStyle name="Обычный 5 22 21 4 3 2" xfId="52538"/>
    <cellStyle name="Обычный 5 22 21 4 4" xfId="52539"/>
    <cellStyle name="Обычный 5 22 21 5" xfId="22666"/>
    <cellStyle name="Обычный 5 22 21 5 2" xfId="22667"/>
    <cellStyle name="Обычный 5 22 21 5 2 2" xfId="52540"/>
    <cellStyle name="Обычный 5 22 21 5 3" xfId="52541"/>
    <cellStyle name="Обычный 5 22 21 6" xfId="22668"/>
    <cellStyle name="Обычный 5 22 21 6 2" xfId="52542"/>
    <cellStyle name="Обычный 5 22 21 7" xfId="22669"/>
    <cellStyle name="Обычный 5 22 21 7 2" xfId="52543"/>
    <cellStyle name="Обычный 5 22 21 8" xfId="52544"/>
    <cellStyle name="Обычный 5 22 22" xfId="22670"/>
    <cellStyle name="Обычный 5 22 22 2" xfId="22671"/>
    <cellStyle name="Обычный 5 22 22 2 2" xfId="22672"/>
    <cellStyle name="Обычный 5 22 22 2 2 2" xfId="22673"/>
    <cellStyle name="Обычный 5 22 22 2 2 2 2" xfId="52545"/>
    <cellStyle name="Обычный 5 22 22 2 2 3" xfId="52546"/>
    <cellStyle name="Обычный 5 22 22 2 3" xfId="22674"/>
    <cellStyle name="Обычный 5 22 22 2 3 2" xfId="52547"/>
    <cellStyle name="Обычный 5 22 22 2 4" xfId="52548"/>
    <cellStyle name="Обычный 5 22 22 3" xfId="22675"/>
    <cellStyle name="Обычный 5 22 22 3 2" xfId="22676"/>
    <cellStyle name="Обычный 5 22 22 3 2 2" xfId="22677"/>
    <cellStyle name="Обычный 5 22 22 3 2 2 2" xfId="52549"/>
    <cellStyle name="Обычный 5 22 22 3 2 3" xfId="52550"/>
    <cellStyle name="Обычный 5 22 22 3 3" xfId="22678"/>
    <cellStyle name="Обычный 5 22 22 3 3 2" xfId="52551"/>
    <cellStyle name="Обычный 5 22 22 3 4" xfId="52552"/>
    <cellStyle name="Обычный 5 22 22 4" xfId="22679"/>
    <cellStyle name="Обычный 5 22 22 4 2" xfId="22680"/>
    <cellStyle name="Обычный 5 22 22 4 2 2" xfId="22681"/>
    <cellStyle name="Обычный 5 22 22 4 2 2 2" xfId="52553"/>
    <cellStyle name="Обычный 5 22 22 4 2 3" xfId="52554"/>
    <cellStyle name="Обычный 5 22 22 4 3" xfId="22682"/>
    <cellStyle name="Обычный 5 22 22 4 3 2" xfId="52555"/>
    <cellStyle name="Обычный 5 22 22 4 4" xfId="52556"/>
    <cellStyle name="Обычный 5 22 22 5" xfId="22683"/>
    <cellStyle name="Обычный 5 22 22 5 2" xfId="22684"/>
    <cellStyle name="Обычный 5 22 22 5 2 2" xfId="52557"/>
    <cellStyle name="Обычный 5 22 22 5 3" xfId="52558"/>
    <cellStyle name="Обычный 5 22 22 6" xfId="22685"/>
    <cellStyle name="Обычный 5 22 22 6 2" xfId="52559"/>
    <cellStyle name="Обычный 5 22 22 7" xfId="22686"/>
    <cellStyle name="Обычный 5 22 22 7 2" xfId="52560"/>
    <cellStyle name="Обычный 5 22 22 8" xfId="52561"/>
    <cellStyle name="Обычный 5 22 23" xfId="22687"/>
    <cellStyle name="Обычный 5 22 23 2" xfId="22688"/>
    <cellStyle name="Обычный 5 22 23 2 2" xfId="22689"/>
    <cellStyle name="Обычный 5 22 23 2 2 2" xfId="22690"/>
    <cellStyle name="Обычный 5 22 23 2 2 2 2" xfId="52562"/>
    <cellStyle name="Обычный 5 22 23 2 2 3" xfId="52563"/>
    <cellStyle name="Обычный 5 22 23 2 3" xfId="22691"/>
    <cellStyle name="Обычный 5 22 23 2 3 2" xfId="52564"/>
    <cellStyle name="Обычный 5 22 23 2 4" xfId="52565"/>
    <cellStyle name="Обычный 5 22 23 3" xfId="22692"/>
    <cellStyle name="Обычный 5 22 23 3 2" xfId="22693"/>
    <cellStyle name="Обычный 5 22 23 3 2 2" xfId="22694"/>
    <cellStyle name="Обычный 5 22 23 3 2 2 2" xfId="52566"/>
    <cellStyle name="Обычный 5 22 23 3 2 3" xfId="52567"/>
    <cellStyle name="Обычный 5 22 23 3 3" xfId="22695"/>
    <cellStyle name="Обычный 5 22 23 3 3 2" xfId="52568"/>
    <cellStyle name="Обычный 5 22 23 3 4" xfId="52569"/>
    <cellStyle name="Обычный 5 22 23 4" xfId="22696"/>
    <cellStyle name="Обычный 5 22 23 4 2" xfId="22697"/>
    <cellStyle name="Обычный 5 22 23 4 2 2" xfId="22698"/>
    <cellStyle name="Обычный 5 22 23 4 2 2 2" xfId="52570"/>
    <cellStyle name="Обычный 5 22 23 4 2 3" xfId="52571"/>
    <cellStyle name="Обычный 5 22 23 4 3" xfId="22699"/>
    <cellStyle name="Обычный 5 22 23 4 3 2" xfId="52572"/>
    <cellStyle name="Обычный 5 22 23 4 4" xfId="52573"/>
    <cellStyle name="Обычный 5 22 23 5" xfId="22700"/>
    <cellStyle name="Обычный 5 22 23 5 2" xfId="22701"/>
    <cellStyle name="Обычный 5 22 23 5 2 2" xfId="52574"/>
    <cellStyle name="Обычный 5 22 23 5 3" xfId="52575"/>
    <cellStyle name="Обычный 5 22 23 6" xfId="22702"/>
    <cellStyle name="Обычный 5 22 23 6 2" xfId="52576"/>
    <cellStyle name="Обычный 5 22 23 7" xfId="22703"/>
    <cellStyle name="Обычный 5 22 23 7 2" xfId="52577"/>
    <cellStyle name="Обычный 5 22 23 8" xfId="52578"/>
    <cellStyle name="Обычный 5 22 24" xfId="22704"/>
    <cellStyle name="Обычный 5 22 24 2" xfId="22705"/>
    <cellStyle name="Обычный 5 22 24 2 2" xfId="22706"/>
    <cellStyle name="Обычный 5 22 24 2 2 2" xfId="22707"/>
    <cellStyle name="Обычный 5 22 24 2 2 2 2" xfId="52579"/>
    <cellStyle name="Обычный 5 22 24 2 2 3" xfId="52580"/>
    <cellStyle name="Обычный 5 22 24 2 3" xfId="22708"/>
    <cellStyle name="Обычный 5 22 24 2 3 2" xfId="52581"/>
    <cellStyle name="Обычный 5 22 24 2 4" xfId="52582"/>
    <cellStyle name="Обычный 5 22 24 3" xfId="22709"/>
    <cellStyle name="Обычный 5 22 24 3 2" xfId="22710"/>
    <cellStyle name="Обычный 5 22 24 3 2 2" xfId="22711"/>
    <cellStyle name="Обычный 5 22 24 3 2 2 2" xfId="52583"/>
    <cellStyle name="Обычный 5 22 24 3 2 3" xfId="52584"/>
    <cellStyle name="Обычный 5 22 24 3 3" xfId="22712"/>
    <cellStyle name="Обычный 5 22 24 3 3 2" xfId="52585"/>
    <cellStyle name="Обычный 5 22 24 3 4" xfId="52586"/>
    <cellStyle name="Обычный 5 22 24 4" xfId="22713"/>
    <cellStyle name="Обычный 5 22 24 4 2" xfId="22714"/>
    <cellStyle name="Обычный 5 22 24 4 2 2" xfId="22715"/>
    <cellStyle name="Обычный 5 22 24 4 2 2 2" xfId="52587"/>
    <cellStyle name="Обычный 5 22 24 4 2 3" xfId="52588"/>
    <cellStyle name="Обычный 5 22 24 4 3" xfId="22716"/>
    <cellStyle name="Обычный 5 22 24 4 3 2" xfId="52589"/>
    <cellStyle name="Обычный 5 22 24 4 4" xfId="52590"/>
    <cellStyle name="Обычный 5 22 24 5" xfId="22717"/>
    <cellStyle name="Обычный 5 22 24 5 2" xfId="22718"/>
    <cellStyle name="Обычный 5 22 24 5 2 2" xfId="52591"/>
    <cellStyle name="Обычный 5 22 24 5 3" xfId="52592"/>
    <cellStyle name="Обычный 5 22 24 6" xfId="22719"/>
    <cellStyle name="Обычный 5 22 24 6 2" xfId="52593"/>
    <cellStyle name="Обычный 5 22 24 7" xfId="22720"/>
    <cellStyle name="Обычный 5 22 24 7 2" xfId="52594"/>
    <cellStyle name="Обычный 5 22 24 8" xfId="52595"/>
    <cellStyle name="Обычный 5 22 25" xfId="22721"/>
    <cellStyle name="Обычный 5 22 25 2" xfId="22722"/>
    <cellStyle name="Обычный 5 22 25 2 2" xfId="22723"/>
    <cellStyle name="Обычный 5 22 25 2 2 2" xfId="22724"/>
    <cellStyle name="Обычный 5 22 25 2 2 2 2" xfId="52596"/>
    <cellStyle name="Обычный 5 22 25 2 2 3" xfId="52597"/>
    <cellStyle name="Обычный 5 22 25 2 3" xfId="22725"/>
    <cellStyle name="Обычный 5 22 25 2 3 2" xfId="52598"/>
    <cellStyle name="Обычный 5 22 25 2 4" xfId="52599"/>
    <cellStyle name="Обычный 5 22 25 3" xfId="22726"/>
    <cellStyle name="Обычный 5 22 25 3 2" xfId="22727"/>
    <cellStyle name="Обычный 5 22 25 3 2 2" xfId="22728"/>
    <cellStyle name="Обычный 5 22 25 3 2 2 2" xfId="52600"/>
    <cellStyle name="Обычный 5 22 25 3 2 3" xfId="52601"/>
    <cellStyle name="Обычный 5 22 25 3 3" xfId="22729"/>
    <cellStyle name="Обычный 5 22 25 3 3 2" xfId="52602"/>
    <cellStyle name="Обычный 5 22 25 3 4" xfId="52603"/>
    <cellStyle name="Обычный 5 22 25 4" xfId="22730"/>
    <cellStyle name="Обычный 5 22 25 4 2" xfId="22731"/>
    <cellStyle name="Обычный 5 22 25 4 2 2" xfId="22732"/>
    <cellStyle name="Обычный 5 22 25 4 2 2 2" xfId="52604"/>
    <cellStyle name="Обычный 5 22 25 4 2 3" xfId="52605"/>
    <cellStyle name="Обычный 5 22 25 4 3" xfId="22733"/>
    <cellStyle name="Обычный 5 22 25 4 3 2" xfId="52606"/>
    <cellStyle name="Обычный 5 22 25 4 4" xfId="52607"/>
    <cellStyle name="Обычный 5 22 25 5" xfId="22734"/>
    <cellStyle name="Обычный 5 22 25 5 2" xfId="22735"/>
    <cellStyle name="Обычный 5 22 25 5 2 2" xfId="52608"/>
    <cellStyle name="Обычный 5 22 25 5 3" xfId="52609"/>
    <cellStyle name="Обычный 5 22 25 6" xfId="22736"/>
    <cellStyle name="Обычный 5 22 25 6 2" xfId="52610"/>
    <cellStyle name="Обычный 5 22 25 7" xfId="22737"/>
    <cellStyle name="Обычный 5 22 25 7 2" xfId="52611"/>
    <cellStyle name="Обычный 5 22 25 8" xfId="52612"/>
    <cellStyle name="Обычный 5 22 26" xfId="22738"/>
    <cellStyle name="Обычный 5 22 26 2" xfId="22739"/>
    <cellStyle name="Обычный 5 22 26 2 2" xfId="22740"/>
    <cellStyle name="Обычный 5 22 26 2 2 2" xfId="22741"/>
    <cellStyle name="Обычный 5 22 26 2 2 2 2" xfId="52613"/>
    <cellStyle name="Обычный 5 22 26 2 2 3" xfId="52614"/>
    <cellStyle name="Обычный 5 22 26 2 3" xfId="22742"/>
    <cellStyle name="Обычный 5 22 26 2 3 2" xfId="52615"/>
    <cellStyle name="Обычный 5 22 26 2 4" xfId="52616"/>
    <cellStyle name="Обычный 5 22 26 3" xfId="22743"/>
    <cellStyle name="Обычный 5 22 26 3 2" xfId="22744"/>
    <cellStyle name="Обычный 5 22 26 3 2 2" xfId="22745"/>
    <cellStyle name="Обычный 5 22 26 3 2 2 2" xfId="52617"/>
    <cellStyle name="Обычный 5 22 26 3 2 3" xfId="52618"/>
    <cellStyle name="Обычный 5 22 26 3 3" xfId="22746"/>
    <cellStyle name="Обычный 5 22 26 3 3 2" xfId="52619"/>
    <cellStyle name="Обычный 5 22 26 3 4" xfId="52620"/>
    <cellStyle name="Обычный 5 22 26 4" xfId="22747"/>
    <cellStyle name="Обычный 5 22 26 4 2" xfId="22748"/>
    <cellStyle name="Обычный 5 22 26 4 2 2" xfId="22749"/>
    <cellStyle name="Обычный 5 22 26 4 2 2 2" xfId="52621"/>
    <cellStyle name="Обычный 5 22 26 4 2 3" xfId="52622"/>
    <cellStyle name="Обычный 5 22 26 4 3" xfId="22750"/>
    <cellStyle name="Обычный 5 22 26 4 3 2" xfId="52623"/>
    <cellStyle name="Обычный 5 22 26 4 4" xfId="52624"/>
    <cellStyle name="Обычный 5 22 26 5" xfId="22751"/>
    <cellStyle name="Обычный 5 22 26 5 2" xfId="22752"/>
    <cellStyle name="Обычный 5 22 26 5 2 2" xfId="52625"/>
    <cellStyle name="Обычный 5 22 26 5 3" xfId="52626"/>
    <cellStyle name="Обычный 5 22 26 6" xfId="22753"/>
    <cellStyle name="Обычный 5 22 26 6 2" xfId="52627"/>
    <cellStyle name="Обычный 5 22 26 7" xfId="22754"/>
    <cellStyle name="Обычный 5 22 26 7 2" xfId="52628"/>
    <cellStyle name="Обычный 5 22 26 8" xfId="52629"/>
    <cellStyle name="Обычный 5 22 27" xfId="22755"/>
    <cellStyle name="Обычный 5 22 27 2" xfId="22756"/>
    <cellStyle name="Обычный 5 22 27 2 2" xfId="22757"/>
    <cellStyle name="Обычный 5 22 27 2 2 2" xfId="22758"/>
    <cellStyle name="Обычный 5 22 27 2 2 2 2" xfId="52630"/>
    <cellStyle name="Обычный 5 22 27 2 2 3" xfId="52631"/>
    <cellStyle name="Обычный 5 22 27 2 3" xfId="22759"/>
    <cellStyle name="Обычный 5 22 27 2 3 2" xfId="52632"/>
    <cellStyle name="Обычный 5 22 27 2 4" xfId="52633"/>
    <cellStyle name="Обычный 5 22 27 3" xfId="22760"/>
    <cellStyle name="Обычный 5 22 27 3 2" xfId="22761"/>
    <cellStyle name="Обычный 5 22 27 3 2 2" xfId="22762"/>
    <cellStyle name="Обычный 5 22 27 3 2 2 2" xfId="52634"/>
    <cellStyle name="Обычный 5 22 27 3 2 3" xfId="52635"/>
    <cellStyle name="Обычный 5 22 27 3 3" xfId="22763"/>
    <cellStyle name="Обычный 5 22 27 3 3 2" xfId="52636"/>
    <cellStyle name="Обычный 5 22 27 3 4" xfId="52637"/>
    <cellStyle name="Обычный 5 22 27 4" xfId="22764"/>
    <cellStyle name="Обычный 5 22 27 4 2" xfId="22765"/>
    <cellStyle name="Обычный 5 22 27 4 2 2" xfId="22766"/>
    <cellStyle name="Обычный 5 22 27 4 2 2 2" xfId="52638"/>
    <cellStyle name="Обычный 5 22 27 4 2 3" xfId="52639"/>
    <cellStyle name="Обычный 5 22 27 4 3" xfId="22767"/>
    <cellStyle name="Обычный 5 22 27 4 3 2" xfId="52640"/>
    <cellStyle name="Обычный 5 22 27 4 4" xfId="52641"/>
    <cellStyle name="Обычный 5 22 27 5" xfId="22768"/>
    <cellStyle name="Обычный 5 22 27 5 2" xfId="22769"/>
    <cellStyle name="Обычный 5 22 27 5 2 2" xfId="52642"/>
    <cellStyle name="Обычный 5 22 27 5 3" xfId="52643"/>
    <cellStyle name="Обычный 5 22 27 6" xfId="22770"/>
    <cellStyle name="Обычный 5 22 27 6 2" xfId="52644"/>
    <cellStyle name="Обычный 5 22 27 7" xfId="22771"/>
    <cellStyle name="Обычный 5 22 27 7 2" xfId="52645"/>
    <cellStyle name="Обычный 5 22 27 8" xfId="52646"/>
    <cellStyle name="Обычный 5 22 28" xfId="22772"/>
    <cellStyle name="Обычный 5 22 28 2" xfId="22773"/>
    <cellStyle name="Обычный 5 22 28 2 2" xfId="22774"/>
    <cellStyle name="Обычный 5 22 28 2 2 2" xfId="22775"/>
    <cellStyle name="Обычный 5 22 28 2 2 2 2" xfId="52647"/>
    <cellStyle name="Обычный 5 22 28 2 2 3" xfId="52648"/>
    <cellStyle name="Обычный 5 22 28 2 3" xfId="22776"/>
    <cellStyle name="Обычный 5 22 28 2 3 2" xfId="52649"/>
    <cellStyle name="Обычный 5 22 28 2 4" xfId="52650"/>
    <cellStyle name="Обычный 5 22 28 3" xfId="22777"/>
    <cellStyle name="Обычный 5 22 28 3 2" xfId="22778"/>
    <cellStyle name="Обычный 5 22 28 3 2 2" xfId="22779"/>
    <cellStyle name="Обычный 5 22 28 3 2 2 2" xfId="52651"/>
    <cellStyle name="Обычный 5 22 28 3 2 3" xfId="52652"/>
    <cellStyle name="Обычный 5 22 28 3 3" xfId="22780"/>
    <cellStyle name="Обычный 5 22 28 3 3 2" xfId="52653"/>
    <cellStyle name="Обычный 5 22 28 3 4" xfId="52654"/>
    <cellStyle name="Обычный 5 22 28 4" xfId="22781"/>
    <cellStyle name="Обычный 5 22 28 4 2" xfId="22782"/>
    <cellStyle name="Обычный 5 22 28 4 2 2" xfId="22783"/>
    <cellStyle name="Обычный 5 22 28 4 2 2 2" xfId="52655"/>
    <cellStyle name="Обычный 5 22 28 4 2 3" xfId="52656"/>
    <cellStyle name="Обычный 5 22 28 4 3" xfId="22784"/>
    <cellStyle name="Обычный 5 22 28 4 3 2" xfId="52657"/>
    <cellStyle name="Обычный 5 22 28 4 4" xfId="52658"/>
    <cellStyle name="Обычный 5 22 28 5" xfId="22785"/>
    <cellStyle name="Обычный 5 22 28 5 2" xfId="22786"/>
    <cellStyle name="Обычный 5 22 28 5 2 2" xfId="52659"/>
    <cellStyle name="Обычный 5 22 28 5 3" xfId="52660"/>
    <cellStyle name="Обычный 5 22 28 6" xfId="22787"/>
    <cellStyle name="Обычный 5 22 28 6 2" xfId="52661"/>
    <cellStyle name="Обычный 5 22 28 7" xfId="22788"/>
    <cellStyle name="Обычный 5 22 28 7 2" xfId="52662"/>
    <cellStyle name="Обычный 5 22 28 8" xfId="52663"/>
    <cellStyle name="Обычный 5 22 29" xfId="22789"/>
    <cellStyle name="Обычный 5 22 29 2" xfId="22790"/>
    <cellStyle name="Обычный 5 22 29 2 2" xfId="22791"/>
    <cellStyle name="Обычный 5 22 29 2 2 2" xfId="22792"/>
    <cellStyle name="Обычный 5 22 29 2 2 2 2" xfId="52664"/>
    <cellStyle name="Обычный 5 22 29 2 2 3" xfId="52665"/>
    <cellStyle name="Обычный 5 22 29 2 3" xfId="22793"/>
    <cellStyle name="Обычный 5 22 29 2 3 2" xfId="52666"/>
    <cellStyle name="Обычный 5 22 29 2 4" xfId="52667"/>
    <cellStyle name="Обычный 5 22 29 3" xfId="22794"/>
    <cellStyle name="Обычный 5 22 29 3 2" xfId="22795"/>
    <cellStyle name="Обычный 5 22 29 3 2 2" xfId="22796"/>
    <cellStyle name="Обычный 5 22 29 3 2 2 2" xfId="52668"/>
    <cellStyle name="Обычный 5 22 29 3 2 3" xfId="52669"/>
    <cellStyle name="Обычный 5 22 29 3 3" xfId="22797"/>
    <cellStyle name="Обычный 5 22 29 3 3 2" xfId="52670"/>
    <cellStyle name="Обычный 5 22 29 3 4" xfId="52671"/>
    <cellStyle name="Обычный 5 22 29 4" xfId="22798"/>
    <cellStyle name="Обычный 5 22 29 4 2" xfId="22799"/>
    <cellStyle name="Обычный 5 22 29 4 2 2" xfId="22800"/>
    <cellStyle name="Обычный 5 22 29 4 2 2 2" xfId="52672"/>
    <cellStyle name="Обычный 5 22 29 4 2 3" xfId="52673"/>
    <cellStyle name="Обычный 5 22 29 4 3" xfId="22801"/>
    <cellStyle name="Обычный 5 22 29 4 3 2" xfId="52674"/>
    <cellStyle name="Обычный 5 22 29 4 4" xfId="52675"/>
    <cellStyle name="Обычный 5 22 29 5" xfId="22802"/>
    <cellStyle name="Обычный 5 22 29 5 2" xfId="22803"/>
    <cellStyle name="Обычный 5 22 29 5 2 2" xfId="52676"/>
    <cellStyle name="Обычный 5 22 29 5 3" xfId="52677"/>
    <cellStyle name="Обычный 5 22 29 6" xfId="22804"/>
    <cellStyle name="Обычный 5 22 29 6 2" xfId="52678"/>
    <cellStyle name="Обычный 5 22 29 7" xfId="22805"/>
    <cellStyle name="Обычный 5 22 29 7 2" xfId="52679"/>
    <cellStyle name="Обычный 5 22 29 8" xfId="52680"/>
    <cellStyle name="Обычный 5 22 3" xfId="22806"/>
    <cellStyle name="Обычный 5 22 3 2" xfId="22807"/>
    <cellStyle name="Обычный 5 22 3 2 2" xfId="22808"/>
    <cellStyle name="Обычный 5 22 3 2 2 2" xfId="22809"/>
    <cellStyle name="Обычный 5 22 3 2 2 2 2" xfId="52681"/>
    <cellStyle name="Обычный 5 22 3 2 2 3" xfId="52682"/>
    <cellStyle name="Обычный 5 22 3 2 3" xfId="22810"/>
    <cellStyle name="Обычный 5 22 3 2 3 2" xfId="52683"/>
    <cellStyle name="Обычный 5 22 3 2 4" xfId="52684"/>
    <cellStyle name="Обычный 5 22 3 3" xfId="22811"/>
    <cellStyle name="Обычный 5 22 3 3 2" xfId="22812"/>
    <cellStyle name="Обычный 5 22 3 3 2 2" xfId="22813"/>
    <cellStyle name="Обычный 5 22 3 3 2 2 2" xfId="52685"/>
    <cellStyle name="Обычный 5 22 3 3 2 3" xfId="52686"/>
    <cellStyle name="Обычный 5 22 3 3 3" xfId="22814"/>
    <cellStyle name="Обычный 5 22 3 3 3 2" xfId="52687"/>
    <cellStyle name="Обычный 5 22 3 3 4" xfId="52688"/>
    <cellStyle name="Обычный 5 22 3 4" xfId="22815"/>
    <cellStyle name="Обычный 5 22 3 4 2" xfId="22816"/>
    <cellStyle name="Обычный 5 22 3 4 2 2" xfId="22817"/>
    <cellStyle name="Обычный 5 22 3 4 2 2 2" xfId="52689"/>
    <cellStyle name="Обычный 5 22 3 4 2 3" xfId="52690"/>
    <cellStyle name="Обычный 5 22 3 4 3" xfId="22818"/>
    <cellStyle name="Обычный 5 22 3 4 3 2" xfId="52691"/>
    <cellStyle name="Обычный 5 22 3 4 4" xfId="52692"/>
    <cellStyle name="Обычный 5 22 3 5" xfId="22819"/>
    <cellStyle name="Обычный 5 22 3 5 2" xfId="22820"/>
    <cellStyle name="Обычный 5 22 3 5 2 2" xfId="52693"/>
    <cellStyle name="Обычный 5 22 3 5 3" xfId="52694"/>
    <cellStyle name="Обычный 5 22 3 6" xfId="22821"/>
    <cellStyle name="Обычный 5 22 3 6 2" xfId="52695"/>
    <cellStyle name="Обычный 5 22 3 7" xfId="22822"/>
    <cellStyle name="Обычный 5 22 3 7 2" xfId="52696"/>
    <cellStyle name="Обычный 5 22 3 8" xfId="52697"/>
    <cellStyle name="Обычный 5 22 30" xfId="22823"/>
    <cellStyle name="Обычный 5 22 30 2" xfId="22824"/>
    <cellStyle name="Обычный 5 22 30 2 2" xfId="22825"/>
    <cellStyle name="Обычный 5 22 30 2 2 2" xfId="52698"/>
    <cellStyle name="Обычный 5 22 30 2 3" xfId="52699"/>
    <cellStyle name="Обычный 5 22 30 3" xfId="22826"/>
    <cellStyle name="Обычный 5 22 30 3 2" xfId="52700"/>
    <cellStyle name="Обычный 5 22 30 4" xfId="52701"/>
    <cellStyle name="Обычный 5 22 31" xfId="22827"/>
    <cellStyle name="Обычный 5 22 31 2" xfId="22828"/>
    <cellStyle name="Обычный 5 22 31 2 2" xfId="22829"/>
    <cellStyle name="Обычный 5 22 31 2 2 2" xfId="52702"/>
    <cellStyle name="Обычный 5 22 31 2 3" xfId="52703"/>
    <cellStyle name="Обычный 5 22 31 3" xfId="22830"/>
    <cellStyle name="Обычный 5 22 31 3 2" xfId="52704"/>
    <cellStyle name="Обычный 5 22 31 4" xfId="52705"/>
    <cellStyle name="Обычный 5 22 32" xfId="22831"/>
    <cellStyle name="Обычный 5 22 32 2" xfId="22832"/>
    <cellStyle name="Обычный 5 22 32 2 2" xfId="22833"/>
    <cellStyle name="Обычный 5 22 32 2 2 2" xfId="52706"/>
    <cellStyle name="Обычный 5 22 32 2 3" xfId="52707"/>
    <cellStyle name="Обычный 5 22 32 3" xfId="22834"/>
    <cellStyle name="Обычный 5 22 32 3 2" xfId="52708"/>
    <cellStyle name="Обычный 5 22 32 4" xfId="52709"/>
    <cellStyle name="Обычный 5 22 33" xfId="22835"/>
    <cellStyle name="Обычный 5 22 33 2" xfId="22836"/>
    <cellStyle name="Обычный 5 22 33 2 2" xfId="52710"/>
    <cellStyle name="Обычный 5 22 33 3" xfId="52711"/>
    <cellStyle name="Обычный 5 22 34" xfId="22837"/>
    <cellStyle name="Обычный 5 22 34 2" xfId="52712"/>
    <cellStyle name="Обычный 5 22 35" xfId="22838"/>
    <cellStyle name="Обычный 5 22 35 2" xfId="52713"/>
    <cellStyle name="Обычный 5 22 36" xfId="52714"/>
    <cellStyle name="Обычный 5 22 4" xfId="22839"/>
    <cellStyle name="Обычный 5 22 4 2" xfId="22840"/>
    <cellStyle name="Обычный 5 22 4 2 2" xfId="22841"/>
    <cellStyle name="Обычный 5 22 4 2 2 2" xfId="22842"/>
    <cellStyle name="Обычный 5 22 4 2 2 2 2" xfId="52715"/>
    <cellStyle name="Обычный 5 22 4 2 2 3" xfId="52716"/>
    <cellStyle name="Обычный 5 22 4 2 3" xfId="22843"/>
    <cellStyle name="Обычный 5 22 4 2 3 2" xfId="52717"/>
    <cellStyle name="Обычный 5 22 4 2 4" xfId="52718"/>
    <cellStyle name="Обычный 5 22 4 3" xfId="22844"/>
    <cellStyle name="Обычный 5 22 4 3 2" xfId="22845"/>
    <cellStyle name="Обычный 5 22 4 3 2 2" xfId="22846"/>
    <cellStyle name="Обычный 5 22 4 3 2 2 2" xfId="52719"/>
    <cellStyle name="Обычный 5 22 4 3 2 3" xfId="52720"/>
    <cellStyle name="Обычный 5 22 4 3 3" xfId="22847"/>
    <cellStyle name="Обычный 5 22 4 3 3 2" xfId="52721"/>
    <cellStyle name="Обычный 5 22 4 3 4" xfId="52722"/>
    <cellStyle name="Обычный 5 22 4 4" xfId="22848"/>
    <cellStyle name="Обычный 5 22 4 4 2" xfId="22849"/>
    <cellStyle name="Обычный 5 22 4 4 2 2" xfId="22850"/>
    <cellStyle name="Обычный 5 22 4 4 2 2 2" xfId="52723"/>
    <cellStyle name="Обычный 5 22 4 4 2 3" xfId="52724"/>
    <cellStyle name="Обычный 5 22 4 4 3" xfId="22851"/>
    <cellStyle name="Обычный 5 22 4 4 3 2" xfId="52725"/>
    <cellStyle name="Обычный 5 22 4 4 4" xfId="52726"/>
    <cellStyle name="Обычный 5 22 4 5" xfId="22852"/>
    <cellStyle name="Обычный 5 22 4 5 2" xfId="22853"/>
    <cellStyle name="Обычный 5 22 4 5 2 2" xfId="52727"/>
    <cellStyle name="Обычный 5 22 4 5 3" xfId="52728"/>
    <cellStyle name="Обычный 5 22 4 6" xfId="22854"/>
    <cellStyle name="Обычный 5 22 4 6 2" xfId="52729"/>
    <cellStyle name="Обычный 5 22 4 7" xfId="22855"/>
    <cellStyle name="Обычный 5 22 4 7 2" xfId="52730"/>
    <cellStyle name="Обычный 5 22 4 8" xfId="52731"/>
    <cellStyle name="Обычный 5 22 5" xfId="22856"/>
    <cellStyle name="Обычный 5 22 5 2" xfId="22857"/>
    <cellStyle name="Обычный 5 22 5 2 2" xfId="22858"/>
    <cellStyle name="Обычный 5 22 5 2 2 2" xfId="22859"/>
    <cellStyle name="Обычный 5 22 5 2 2 2 2" xfId="52732"/>
    <cellStyle name="Обычный 5 22 5 2 2 3" xfId="52733"/>
    <cellStyle name="Обычный 5 22 5 2 3" xfId="22860"/>
    <cellStyle name="Обычный 5 22 5 2 3 2" xfId="52734"/>
    <cellStyle name="Обычный 5 22 5 2 4" xfId="52735"/>
    <cellStyle name="Обычный 5 22 5 3" xfId="22861"/>
    <cellStyle name="Обычный 5 22 5 3 2" xfId="22862"/>
    <cellStyle name="Обычный 5 22 5 3 2 2" xfId="22863"/>
    <cellStyle name="Обычный 5 22 5 3 2 2 2" xfId="52736"/>
    <cellStyle name="Обычный 5 22 5 3 2 3" xfId="52737"/>
    <cellStyle name="Обычный 5 22 5 3 3" xfId="22864"/>
    <cellStyle name="Обычный 5 22 5 3 3 2" xfId="52738"/>
    <cellStyle name="Обычный 5 22 5 3 4" xfId="52739"/>
    <cellStyle name="Обычный 5 22 5 4" xfId="22865"/>
    <cellStyle name="Обычный 5 22 5 4 2" xfId="22866"/>
    <cellStyle name="Обычный 5 22 5 4 2 2" xfId="22867"/>
    <cellStyle name="Обычный 5 22 5 4 2 2 2" xfId="52740"/>
    <cellStyle name="Обычный 5 22 5 4 2 3" xfId="52741"/>
    <cellStyle name="Обычный 5 22 5 4 3" xfId="22868"/>
    <cellStyle name="Обычный 5 22 5 4 3 2" xfId="52742"/>
    <cellStyle name="Обычный 5 22 5 4 4" xfId="52743"/>
    <cellStyle name="Обычный 5 22 5 5" xfId="22869"/>
    <cellStyle name="Обычный 5 22 5 5 2" xfId="22870"/>
    <cellStyle name="Обычный 5 22 5 5 2 2" xfId="52744"/>
    <cellStyle name="Обычный 5 22 5 5 3" xfId="52745"/>
    <cellStyle name="Обычный 5 22 5 6" xfId="22871"/>
    <cellStyle name="Обычный 5 22 5 6 2" xfId="52746"/>
    <cellStyle name="Обычный 5 22 5 7" xfId="22872"/>
    <cellStyle name="Обычный 5 22 5 7 2" xfId="52747"/>
    <cellStyle name="Обычный 5 22 5 8" xfId="52748"/>
    <cellStyle name="Обычный 5 22 6" xfId="22873"/>
    <cellStyle name="Обычный 5 22 6 2" xfId="22874"/>
    <cellStyle name="Обычный 5 22 6 2 2" xfId="22875"/>
    <cellStyle name="Обычный 5 22 6 2 2 2" xfId="22876"/>
    <cellStyle name="Обычный 5 22 6 2 2 2 2" xfId="52749"/>
    <cellStyle name="Обычный 5 22 6 2 2 3" xfId="52750"/>
    <cellStyle name="Обычный 5 22 6 2 3" xfId="22877"/>
    <cellStyle name="Обычный 5 22 6 2 3 2" xfId="52751"/>
    <cellStyle name="Обычный 5 22 6 2 4" xfId="52752"/>
    <cellStyle name="Обычный 5 22 6 3" xfId="22878"/>
    <cellStyle name="Обычный 5 22 6 3 2" xfId="22879"/>
    <cellStyle name="Обычный 5 22 6 3 2 2" xfId="22880"/>
    <cellStyle name="Обычный 5 22 6 3 2 2 2" xfId="52753"/>
    <cellStyle name="Обычный 5 22 6 3 2 3" xfId="52754"/>
    <cellStyle name="Обычный 5 22 6 3 3" xfId="22881"/>
    <cellStyle name="Обычный 5 22 6 3 3 2" xfId="52755"/>
    <cellStyle name="Обычный 5 22 6 3 4" xfId="52756"/>
    <cellStyle name="Обычный 5 22 6 4" xfId="22882"/>
    <cellStyle name="Обычный 5 22 6 4 2" xfId="22883"/>
    <cellStyle name="Обычный 5 22 6 4 2 2" xfId="22884"/>
    <cellStyle name="Обычный 5 22 6 4 2 2 2" xfId="52757"/>
    <cellStyle name="Обычный 5 22 6 4 2 3" xfId="52758"/>
    <cellStyle name="Обычный 5 22 6 4 3" xfId="22885"/>
    <cellStyle name="Обычный 5 22 6 4 3 2" xfId="52759"/>
    <cellStyle name="Обычный 5 22 6 4 4" xfId="52760"/>
    <cellStyle name="Обычный 5 22 6 5" xfId="22886"/>
    <cellStyle name="Обычный 5 22 6 5 2" xfId="22887"/>
    <cellStyle name="Обычный 5 22 6 5 2 2" xfId="52761"/>
    <cellStyle name="Обычный 5 22 6 5 3" xfId="52762"/>
    <cellStyle name="Обычный 5 22 6 6" xfId="22888"/>
    <cellStyle name="Обычный 5 22 6 6 2" xfId="52763"/>
    <cellStyle name="Обычный 5 22 6 7" xfId="22889"/>
    <cellStyle name="Обычный 5 22 6 7 2" xfId="52764"/>
    <cellStyle name="Обычный 5 22 6 8" xfId="52765"/>
    <cellStyle name="Обычный 5 22 7" xfId="22890"/>
    <cellStyle name="Обычный 5 22 7 2" xfId="22891"/>
    <cellStyle name="Обычный 5 22 7 2 2" xfId="22892"/>
    <cellStyle name="Обычный 5 22 7 2 2 2" xfId="22893"/>
    <cellStyle name="Обычный 5 22 7 2 2 2 2" xfId="52766"/>
    <cellStyle name="Обычный 5 22 7 2 2 3" xfId="52767"/>
    <cellStyle name="Обычный 5 22 7 2 3" xfId="22894"/>
    <cellStyle name="Обычный 5 22 7 2 3 2" xfId="52768"/>
    <cellStyle name="Обычный 5 22 7 2 4" xfId="52769"/>
    <cellStyle name="Обычный 5 22 7 3" xfId="22895"/>
    <cellStyle name="Обычный 5 22 7 3 2" xfId="22896"/>
    <cellStyle name="Обычный 5 22 7 3 2 2" xfId="22897"/>
    <cellStyle name="Обычный 5 22 7 3 2 2 2" xfId="52770"/>
    <cellStyle name="Обычный 5 22 7 3 2 3" xfId="52771"/>
    <cellStyle name="Обычный 5 22 7 3 3" xfId="22898"/>
    <cellStyle name="Обычный 5 22 7 3 3 2" xfId="52772"/>
    <cellStyle name="Обычный 5 22 7 3 4" xfId="52773"/>
    <cellStyle name="Обычный 5 22 7 4" xfId="22899"/>
    <cellStyle name="Обычный 5 22 7 4 2" xfId="22900"/>
    <cellStyle name="Обычный 5 22 7 4 2 2" xfId="22901"/>
    <cellStyle name="Обычный 5 22 7 4 2 2 2" xfId="52774"/>
    <cellStyle name="Обычный 5 22 7 4 2 3" xfId="52775"/>
    <cellStyle name="Обычный 5 22 7 4 3" xfId="22902"/>
    <cellStyle name="Обычный 5 22 7 4 3 2" xfId="52776"/>
    <cellStyle name="Обычный 5 22 7 4 4" xfId="52777"/>
    <cellStyle name="Обычный 5 22 7 5" xfId="22903"/>
    <cellStyle name="Обычный 5 22 7 5 2" xfId="22904"/>
    <cellStyle name="Обычный 5 22 7 5 2 2" xfId="52778"/>
    <cellStyle name="Обычный 5 22 7 5 3" xfId="52779"/>
    <cellStyle name="Обычный 5 22 7 6" xfId="22905"/>
    <cellStyle name="Обычный 5 22 7 6 2" xfId="52780"/>
    <cellStyle name="Обычный 5 22 7 7" xfId="22906"/>
    <cellStyle name="Обычный 5 22 7 7 2" xfId="52781"/>
    <cellStyle name="Обычный 5 22 7 8" xfId="52782"/>
    <cellStyle name="Обычный 5 22 8" xfId="22907"/>
    <cellStyle name="Обычный 5 22 8 2" xfId="22908"/>
    <cellStyle name="Обычный 5 22 8 2 2" xfId="22909"/>
    <cellStyle name="Обычный 5 22 8 2 2 2" xfId="22910"/>
    <cellStyle name="Обычный 5 22 8 2 2 2 2" xfId="52783"/>
    <cellStyle name="Обычный 5 22 8 2 2 3" xfId="52784"/>
    <cellStyle name="Обычный 5 22 8 2 3" xfId="22911"/>
    <cellStyle name="Обычный 5 22 8 2 3 2" xfId="52785"/>
    <cellStyle name="Обычный 5 22 8 2 4" xfId="52786"/>
    <cellStyle name="Обычный 5 22 8 3" xfId="22912"/>
    <cellStyle name="Обычный 5 22 8 3 2" xfId="22913"/>
    <cellStyle name="Обычный 5 22 8 3 2 2" xfId="22914"/>
    <cellStyle name="Обычный 5 22 8 3 2 2 2" xfId="52787"/>
    <cellStyle name="Обычный 5 22 8 3 2 3" xfId="52788"/>
    <cellStyle name="Обычный 5 22 8 3 3" xfId="22915"/>
    <cellStyle name="Обычный 5 22 8 3 3 2" xfId="52789"/>
    <cellStyle name="Обычный 5 22 8 3 4" xfId="52790"/>
    <cellStyle name="Обычный 5 22 8 4" xfId="22916"/>
    <cellStyle name="Обычный 5 22 8 4 2" xfId="22917"/>
    <cellStyle name="Обычный 5 22 8 4 2 2" xfId="22918"/>
    <cellStyle name="Обычный 5 22 8 4 2 2 2" xfId="52791"/>
    <cellStyle name="Обычный 5 22 8 4 2 3" xfId="52792"/>
    <cellStyle name="Обычный 5 22 8 4 3" xfId="22919"/>
    <cellStyle name="Обычный 5 22 8 4 3 2" xfId="52793"/>
    <cellStyle name="Обычный 5 22 8 4 4" xfId="52794"/>
    <cellStyle name="Обычный 5 22 8 5" xfId="22920"/>
    <cellStyle name="Обычный 5 22 8 5 2" xfId="22921"/>
    <cellStyle name="Обычный 5 22 8 5 2 2" xfId="52795"/>
    <cellStyle name="Обычный 5 22 8 5 3" xfId="52796"/>
    <cellStyle name="Обычный 5 22 8 6" xfId="22922"/>
    <cellStyle name="Обычный 5 22 8 6 2" xfId="52797"/>
    <cellStyle name="Обычный 5 22 8 7" xfId="22923"/>
    <cellStyle name="Обычный 5 22 8 7 2" xfId="52798"/>
    <cellStyle name="Обычный 5 22 8 8" xfId="52799"/>
    <cellStyle name="Обычный 5 22 9" xfId="22924"/>
    <cellStyle name="Обычный 5 22 9 2" xfId="22925"/>
    <cellStyle name="Обычный 5 22 9 2 2" xfId="22926"/>
    <cellStyle name="Обычный 5 22 9 2 2 2" xfId="22927"/>
    <cellStyle name="Обычный 5 22 9 2 2 2 2" xfId="52800"/>
    <cellStyle name="Обычный 5 22 9 2 2 3" xfId="52801"/>
    <cellStyle name="Обычный 5 22 9 2 3" xfId="22928"/>
    <cellStyle name="Обычный 5 22 9 2 3 2" xfId="52802"/>
    <cellStyle name="Обычный 5 22 9 2 4" xfId="52803"/>
    <cellStyle name="Обычный 5 22 9 3" xfId="22929"/>
    <cellStyle name="Обычный 5 22 9 3 2" xfId="22930"/>
    <cellStyle name="Обычный 5 22 9 3 2 2" xfId="22931"/>
    <cellStyle name="Обычный 5 22 9 3 2 2 2" xfId="52804"/>
    <cellStyle name="Обычный 5 22 9 3 2 3" xfId="52805"/>
    <cellStyle name="Обычный 5 22 9 3 3" xfId="22932"/>
    <cellStyle name="Обычный 5 22 9 3 3 2" xfId="52806"/>
    <cellStyle name="Обычный 5 22 9 3 4" xfId="52807"/>
    <cellStyle name="Обычный 5 22 9 4" xfId="22933"/>
    <cellStyle name="Обычный 5 22 9 4 2" xfId="22934"/>
    <cellStyle name="Обычный 5 22 9 4 2 2" xfId="22935"/>
    <cellStyle name="Обычный 5 22 9 4 2 2 2" xfId="52808"/>
    <cellStyle name="Обычный 5 22 9 4 2 3" xfId="52809"/>
    <cellStyle name="Обычный 5 22 9 4 3" xfId="22936"/>
    <cellStyle name="Обычный 5 22 9 4 3 2" xfId="52810"/>
    <cellStyle name="Обычный 5 22 9 4 4" xfId="52811"/>
    <cellStyle name="Обычный 5 22 9 5" xfId="22937"/>
    <cellStyle name="Обычный 5 22 9 5 2" xfId="22938"/>
    <cellStyle name="Обычный 5 22 9 5 2 2" xfId="52812"/>
    <cellStyle name="Обычный 5 22 9 5 3" xfId="52813"/>
    <cellStyle name="Обычный 5 22 9 6" xfId="22939"/>
    <cellStyle name="Обычный 5 22 9 6 2" xfId="52814"/>
    <cellStyle name="Обычный 5 22 9 7" xfId="22940"/>
    <cellStyle name="Обычный 5 22 9 7 2" xfId="52815"/>
    <cellStyle name="Обычный 5 22 9 8" xfId="52816"/>
    <cellStyle name="Обычный 5 23" xfId="22941"/>
    <cellStyle name="Обычный 5 23 10" xfId="22942"/>
    <cellStyle name="Обычный 5 23 10 2" xfId="22943"/>
    <cellStyle name="Обычный 5 23 10 2 2" xfId="22944"/>
    <cellStyle name="Обычный 5 23 10 2 2 2" xfId="22945"/>
    <cellStyle name="Обычный 5 23 10 2 2 2 2" xfId="52817"/>
    <cellStyle name="Обычный 5 23 10 2 2 3" xfId="52818"/>
    <cellStyle name="Обычный 5 23 10 2 3" xfId="22946"/>
    <cellStyle name="Обычный 5 23 10 2 3 2" xfId="52819"/>
    <cellStyle name="Обычный 5 23 10 2 4" xfId="52820"/>
    <cellStyle name="Обычный 5 23 10 3" xfId="22947"/>
    <cellStyle name="Обычный 5 23 10 3 2" xfId="22948"/>
    <cellStyle name="Обычный 5 23 10 3 2 2" xfId="22949"/>
    <cellStyle name="Обычный 5 23 10 3 2 2 2" xfId="52821"/>
    <cellStyle name="Обычный 5 23 10 3 2 3" xfId="52822"/>
    <cellStyle name="Обычный 5 23 10 3 3" xfId="22950"/>
    <cellStyle name="Обычный 5 23 10 3 3 2" xfId="52823"/>
    <cellStyle name="Обычный 5 23 10 3 4" xfId="52824"/>
    <cellStyle name="Обычный 5 23 10 4" xfId="22951"/>
    <cellStyle name="Обычный 5 23 10 4 2" xfId="22952"/>
    <cellStyle name="Обычный 5 23 10 4 2 2" xfId="22953"/>
    <cellStyle name="Обычный 5 23 10 4 2 2 2" xfId="52825"/>
    <cellStyle name="Обычный 5 23 10 4 2 3" xfId="52826"/>
    <cellStyle name="Обычный 5 23 10 4 3" xfId="22954"/>
    <cellStyle name="Обычный 5 23 10 4 3 2" xfId="52827"/>
    <cellStyle name="Обычный 5 23 10 4 4" xfId="52828"/>
    <cellStyle name="Обычный 5 23 10 5" xfId="22955"/>
    <cellStyle name="Обычный 5 23 10 5 2" xfId="22956"/>
    <cellStyle name="Обычный 5 23 10 5 2 2" xfId="52829"/>
    <cellStyle name="Обычный 5 23 10 5 3" xfId="52830"/>
    <cellStyle name="Обычный 5 23 10 6" xfId="22957"/>
    <cellStyle name="Обычный 5 23 10 6 2" xfId="52831"/>
    <cellStyle name="Обычный 5 23 10 7" xfId="22958"/>
    <cellStyle name="Обычный 5 23 10 7 2" xfId="52832"/>
    <cellStyle name="Обычный 5 23 10 8" xfId="52833"/>
    <cellStyle name="Обычный 5 23 11" xfId="22959"/>
    <cellStyle name="Обычный 5 23 11 2" xfId="22960"/>
    <cellStyle name="Обычный 5 23 11 2 2" xfId="22961"/>
    <cellStyle name="Обычный 5 23 11 2 2 2" xfId="22962"/>
    <cellStyle name="Обычный 5 23 11 2 2 2 2" xfId="52834"/>
    <cellStyle name="Обычный 5 23 11 2 2 3" xfId="52835"/>
    <cellStyle name="Обычный 5 23 11 2 3" xfId="22963"/>
    <cellStyle name="Обычный 5 23 11 2 3 2" xfId="52836"/>
    <cellStyle name="Обычный 5 23 11 2 4" xfId="52837"/>
    <cellStyle name="Обычный 5 23 11 3" xfId="22964"/>
    <cellStyle name="Обычный 5 23 11 3 2" xfId="22965"/>
    <cellStyle name="Обычный 5 23 11 3 2 2" xfId="22966"/>
    <cellStyle name="Обычный 5 23 11 3 2 2 2" xfId="52838"/>
    <cellStyle name="Обычный 5 23 11 3 2 3" xfId="52839"/>
    <cellStyle name="Обычный 5 23 11 3 3" xfId="22967"/>
    <cellStyle name="Обычный 5 23 11 3 3 2" xfId="52840"/>
    <cellStyle name="Обычный 5 23 11 3 4" xfId="52841"/>
    <cellStyle name="Обычный 5 23 11 4" xfId="22968"/>
    <cellStyle name="Обычный 5 23 11 4 2" xfId="22969"/>
    <cellStyle name="Обычный 5 23 11 4 2 2" xfId="22970"/>
    <cellStyle name="Обычный 5 23 11 4 2 2 2" xfId="52842"/>
    <cellStyle name="Обычный 5 23 11 4 2 3" xfId="52843"/>
    <cellStyle name="Обычный 5 23 11 4 3" xfId="22971"/>
    <cellStyle name="Обычный 5 23 11 4 3 2" xfId="52844"/>
    <cellStyle name="Обычный 5 23 11 4 4" xfId="52845"/>
    <cellStyle name="Обычный 5 23 11 5" xfId="22972"/>
    <cellStyle name="Обычный 5 23 11 5 2" xfId="22973"/>
    <cellStyle name="Обычный 5 23 11 5 2 2" xfId="52846"/>
    <cellStyle name="Обычный 5 23 11 5 3" xfId="52847"/>
    <cellStyle name="Обычный 5 23 11 6" xfId="22974"/>
    <cellStyle name="Обычный 5 23 11 6 2" xfId="52848"/>
    <cellStyle name="Обычный 5 23 11 7" xfId="22975"/>
    <cellStyle name="Обычный 5 23 11 7 2" xfId="52849"/>
    <cellStyle name="Обычный 5 23 11 8" xfId="52850"/>
    <cellStyle name="Обычный 5 23 12" xfId="22976"/>
    <cellStyle name="Обычный 5 23 12 2" xfId="22977"/>
    <cellStyle name="Обычный 5 23 12 2 2" xfId="22978"/>
    <cellStyle name="Обычный 5 23 12 2 2 2" xfId="22979"/>
    <cellStyle name="Обычный 5 23 12 2 2 2 2" xfId="52851"/>
    <cellStyle name="Обычный 5 23 12 2 2 3" xfId="52852"/>
    <cellStyle name="Обычный 5 23 12 2 3" xfId="22980"/>
    <cellStyle name="Обычный 5 23 12 2 3 2" xfId="52853"/>
    <cellStyle name="Обычный 5 23 12 2 4" xfId="52854"/>
    <cellStyle name="Обычный 5 23 12 3" xfId="22981"/>
    <cellStyle name="Обычный 5 23 12 3 2" xfId="22982"/>
    <cellStyle name="Обычный 5 23 12 3 2 2" xfId="22983"/>
    <cellStyle name="Обычный 5 23 12 3 2 2 2" xfId="52855"/>
    <cellStyle name="Обычный 5 23 12 3 2 3" xfId="52856"/>
    <cellStyle name="Обычный 5 23 12 3 3" xfId="22984"/>
    <cellStyle name="Обычный 5 23 12 3 3 2" xfId="52857"/>
    <cellStyle name="Обычный 5 23 12 3 4" xfId="52858"/>
    <cellStyle name="Обычный 5 23 12 4" xfId="22985"/>
    <cellStyle name="Обычный 5 23 12 4 2" xfId="22986"/>
    <cellStyle name="Обычный 5 23 12 4 2 2" xfId="22987"/>
    <cellStyle name="Обычный 5 23 12 4 2 2 2" xfId="52859"/>
    <cellStyle name="Обычный 5 23 12 4 2 3" xfId="52860"/>
    <cellStyle name="Обычный 5 23 12 4 3" xfId="22988"/>
    <cellStyle name="Обычный 5 23 12 4 3 2" xfId="52861"/>
    <cellStyle name="Обычный 5 23 12 4 4" xfId="52862"/>
    <cellStyle name="Обычный 5 23 12 5" xfId="22989"/>
    <cellStyle name="Обычный 5 23 12 5 2" xfId="22990"/>
    <cellStyle name="Обычный 5 23 12 5 2 2" xfId="52863"/>
    <cellStyle name="Обычный 5 23 12 5 3" xfId="52864"/>
    <cellStyle name="Обычный 5 23 12 6" xfId="22991"/>
    <cellStyle name="Обычный 5 23 12 6 2" xfId="52865"/>
    <cellStyle name="Обычный 5 23 12 7" xfId="22992"/>
    <cellStyle name="Обычный 5 23 12 7 2" xfId="52866"/>
    <cellStyle name="Обычный 5 23 12 8" xfId="52867"/>
    <cellStyle name="Обычный 5 23 13" xfId="22993"/>
    <cellStyle name="Обычный 5 23 13 2" xfId="22994"/>
    <cellStyle name="Обычный 5 23 13 2 2" xfId="22995"/>
    <cellStyle name="Обычный 5 23 13 2 2 2" xfId="22996"/>
    <cellStyle name="Обычный 5 23 13 2 2 2 2" xfId="52868"/>
    <cellStyle name="Обычный 5 23 13 2 2 3" xfId="52869"/>
    <cellStyle name="Обычный 5 23 13 2 3" xfId="22997"/>
    <cellStyle name="Обычный 5 23 13 2 3 2" xfId="52870"/>
    <cellStyle name="Обычный 5 23 13 2 4" xfId="52871"/>
    <cellStyle name="Обычный 5 23 13 3" xfId="22998"/>
    <cellStyle name="Обычный 5 23 13 3 2" xfId="22999"/>
    <cellStyle name="Обычный 5 23 13 3 2 2" xfId="23000"/>
    <cellStyle name="Обычный 5 23 13 3 2 2 2" xfId="52872"/>
    <cellStyle name="Обычный 5 23 13 3 2 3" xfId="52873"/>
    <cellStyle name="Обычный 5 23 13 3 3" xfId="23001"/>
    <cellStyle name="Обычный 5 23 13 3 3 2" xfId="52874"/>
    <cellStyle name="Обычный 5 23 13 3 4" xfId="52875"/>
    <cellStyle name="Обычный 5 23 13 4" xfId="23002"/>
    <cellStyle name="Обычный 5 23 13 4 2" xfId="23003"/>
    <cellStyle name="Обычный 5 23 13 4 2 2" xfId="23004"/>
    <cellStyle name="Обычный 5 23 13 4 2 2 2" xfId="52876"/>
    <cellStyle name="Обычный 5 23 13 4 2 3" xfId="52877"/>
    <cellStyle name="Обычный 5 23 13 4 3" xfId="23005"/>
    <cellStyle name="Обычный 5 23 13 4 3 2" xfId="52878"/>
    <cellStyle name="Обычный 5 23 13 4 4" xfId="52879"/>
    <cellStyle name="Обычный 5 23 13 5" xfId="23006"/>
    <cellStyle name="Обычный 5 23 13 5 2" xfId="23007"/>
    <cellStyle name="Обычный 5 23 13 5 2 2" xfId="52880"/>
    <cellStyle name="Обычный 5 23 13 5 3" xfId="52881"/>
    <cellStyle name="Обычный 5 23 13 6" xfId="23008"/>
    <cellStyle name="Обычный 5 23 13 6 2" xfId="52882"/>
    <cellStyle name="Обычный 5 23 13 7" xfId="23009"/>
    <cellStyle name="Обычный 5 23 13 7 2" xfId="52883"/>
    <cellStyle name="Обычный 5 23 13 8" xfId="52884"/>
    <cellStyle name="Обычный 5 23 14" xfId="23010"/>
    <cellStyle name="Обычный 5 23 14 2" xfId="23011"/>
    <cellStyle name="Обычный 5 23 14 2 2" xfId="23012"/>
    <cellStyle name="Обычный 5 23 14 2 2 2" xfId="23013"/>
    <cellStyle name="Обычный 5 23 14 2 2 2 2" xfId="52885"/>
    <cellStyle name="Обычный 5 23 14 2 2 3" xfId="52886"/>
    <cellStyle name="Обычный 5 23 14 2 3" xfId="23014"/>
    <cellStyle name="Обычный 5 23 14 2 3 2" xfId="52887"/>
    <cellStyle name="Обычный 5 23 14 2 4" xfId="52888"/>
    <cellStyle name="Обычный 5 23 14 3" xfId="23015"/>
    <cellStyle name="Обычный 5 23 14 3 2" xfId="23016"/>
    <cellStyle name="Обычный 5 23 14 3 2 2" xfId="23017"/>
    <cellStyle name="Обычный 5 23 14 3 2 2 2" xfId="52889"/>
    <cellStyle name="Обычный 5 23 14 3 2 3" xfId="52890"/>
    <cellStyle name="Обычный 5 23 14 3 3" xfId="23018"/>
    <cellStyle name="Обычный 5 23 14 3 3 2" xfId="52891"/>
    <cellStyle name="Обычный 5 23 14 3 4" xfId="52892"/>
    <cellStyle name="Обычный 5 23 14 4" xfId="23019"/>
    <cellStyle name="Обычный 5 23 14 4 2" xfId="23020"/>
    <cellStyle name="Обычный 5 23 14 4 2 2" xfId="23021"/>
    <cellStyle name="Обычный 5 23 14 4 2 2 2" xfId="52893"/>
    <cellStyle name="Обычный 5 23 14 4 2 3" xfId="52894"/>
    <cellStyle name="Обычный 5 23 14 4 3" xfId="23022"/>
    <cellStyle name="Обычный 5 23 14 4 3 2" xfId="52895"/>
    <cellStyle name="Обычный 5 23 14 4 4" xfId="52896"/>
    <cellStyle name="Обычный 5 23 14 5" xfId="23023"/>
    <cellStyle name="Обычный 5 23 14 5 2" xfId="23024"/>
    <cellStyle name="Обычный 5 23 14 5 2 2" xfId="52897"/>
    <cellStyle name="Обычный 5 23 14 5 3" xfId="52898"/>
    <cellStyle name="Обычный 5 23 14 6" xfId="23025"/>
    <cellStyle name="Обычный 5 23 14 6 2" xfId="52899"/>
    <cellStyle name="Обычный 5 23 14 7" xfId="23026"/>
    <cellStyle name="Обычный 5 23 14 7 2" xfId="52900"/>
    <cellStyle name="Обычный 5 23 14 8" xfId="52901"/>
    <cellStyle name="Обычный 5 23 15" xfId="23027"/>
    <cellStyle name="Обычный 5 23 15 2" xfId="23028"/>
    <cellStyle name="Обычный 5 23 15 2 2" xfId="23029"/>
    <cellStyle name="Обычный 5 23 15 2 2 2" xfId="23030"/>
    <cellStyle name="Обычный 5 23 15 2 2 2 2" xfId="52902"/>
    <cellStyle name="Обычный 5 23 15 2 2 3" xfId="52903"/>
    <cellStyle name="Обычный 5 23 15 2 3" xfId="23031"/>
    <cellStyle name="Обычный 5 23 15 2 3 2" xfId="52904"/>
    <cellStyle name="Обычный 5 23 15 2 4" xfId="52905"/>
    <cellStyle name="Обычный 5 23 15 3" xfId="23032"/>
    <cellStyle name="Обычный 5 23 15 3 2" xfId="23033"/>
    <cellStyle name="Обычный 5 23 15 3 2 2" xfId="23034"/>
    <cellStyle name="Обычный 5 23 15 3 2 2 2" xfId="52906"/>
    <cellStyle name="Обычный 5 23 15 3 2 3" xfId="52907"/>
    <cellStyle name="Обычный 5 23 15 3 3" xfId="23035"/>
    <cellStyle name="Обычный 5 23 15 3 3 2" xfId="52908"/>
    <cellStyle name="Обычный 5 23 15 3 4" xfId="52909"/>
    <cellStyle name="Обычный 5 23 15 4" xfId="23036"/>
    <cellStyle name="Обычный 5 23 15 4 2" xfId="23037"/>
    <cellStyle name="Обычный 5 23 15 4 2 2" xfId="23038"/>
    <cellStyle name="Обычный 5 23 15 4 2 2 2" xfId="52910"/>
    <cellStyle name="Обычный 5 23 15 4 2 3" xfId="52911"/>
    <cellStyle name="Обычный 5 23 15 4 3" xfId="23039"/>
    <cellStyle name="Обычный 5 23 15 4 3 2" xfId="52912"/>
    <cellStyle name="Обычный 5 23 15 4 4" xfId="52913"/>
    <cellStyle name="Обычный 5 23 15 5" xfId="23040"/>
    <cellStyle name="Обычный 5 23 15 5 2" xfId="23041"/>
    <cellStyle name="Обычный 5 23 15 5 2 2" xfId="52914"/>
    <cellStyle name="Обычный 5 23 15 5 3" xfId="52915"/>
    <cellStyle name="Обычный 5 23 15 6" xfId="23042"/>
    <cellStyle name="Обычный 5 23 15 6 2" xfId="52916"/>
    <cellStyle name="Обычный 5 23 15 7" xfId="23043"/>
    <cellStyle name="Обычный 5 23 15 7 2" xfId="52917"/>
    <cellStyle name="Обычный 5 23 15 8" xfId="52918"/>
    <cellStyle name="Обычный 5 23 16" xfId="23044"/>
    <cellStyle name="Обычный 5 23 16 2" xfId="23045"/>
    <cellStyle name="Обычный 5 23 16 2 2" xfId="23046"/>
    <cellStyle name="Обычный 5 23 16 2 2 2" xfId="23047"/>
    <cellStyle name="Обычный 5 23 16 2 2 2 2" xfId="52919"/>
    <cellStyle name="Обычный 5 23 16 2 2 3" xfId="52920"/>
    <cellStyle name="Обычный 5 23 16 2 3" xfId="23048"/>
    <cellStyle name="Обычный 5 23 16 2 3 2" xfId="52921"/>
    <cellStyle name="Обычный 5 23 16 2 4" xfId="52922"/>
    <cellStyle name="Обычный 5 23 16 3" xfId="23049"/>
    <cellStyle name="Обычный 5 23 16 3 2" xfId="23050"/>
    <cellStyle name="Обычный 5 23 16 3 2 2" xfId="23051"/>
    <cellStyle name="Обычный 5 23 16 3 2 2 2" xfId="52923"/>
    <cellStyle name="Обычный 5 23 16 3 2 3" xfId="52924"/>
    <cellStyle name="Обычный 5 23 16 3 3" xfId="23052"/>
    <cellStyle name="Обычный 5 23 16 3 3 2" xfId="52925"/>
    <cellStyle name="Обычный 5 23 16 3 4" xfId="52926"/>
    <cellStyle name="Обычный 5 23 16 4" xfId="23053"/>
    <cellStyle name="Обычный 5 23 16 4 2" xfId="23054"/>
    <cellStyle name="Обычный 5 23 16 4 2 2" xfId="23055"/>
    <cellStyle name="Обычный 5 23 16 4 2 2 2" xfId="52927"/>
    <cellStyle name="Обычный 5 23 16 4 2 3" xfId="52928"/>
    <cellStyle name="Обычный 5 23 16 4 3" xfId="23056"/>
    <cellStyle name="Обычный 5 23 16 4 3 2" xfId="52929"/>
    <cellStyle name="Обычный 5 23 16 4 4" xfId="52930"/>
    <cellStyle name="Обычный 5 23 16 5" xfId="23057"/>
    <cellStyle name="Обычный 5 23 16 5 2" xfId="23058"/>
    <cellStyle name="Обычный 5 23 16 5 2 2" xfId="52931"/>
    <cellStyle name="Обычный 5 23 16 5 3" xfId="52932"/>
    <cellStyle name="Обычный 5 23 16 6" xfId="23059"/>
    <cellStyle name="Обычный 5 23 16 6 2" xfId="52933"/>
    <cellStyle name="Обычный 5 23 16 7" xfId="23060"/>
    <cellStyle name="Обычный 5 23 16 7 2" xfId="52934"/>
    <cellStyle name="Обычный 5 23 16 8" xfId="52935"/>
    <cellStyle name="Обычный 5 23 17" xfId="23061"/>
    <cellStyle name="Обычный 5 23 17 2" xfId="23062"/>
    <cellStyle name="Обычный 5 23 17 2 2" xfId="23063"/>
    <cellStyle name="Обычный 5 23 17 2 2 2" xfId="23064"/>
    <cellStyle name="Обычный 5 23 17 2 2 2 2" xfId="52936"/>
    <cellStyle name="Обычный 5 23 17 2 2 3" xfId="52937"/>
    <cellStyle name="Обычный 5 23 17 2 3" xfId="23065"/>
    <cellStyle name="Обычный 5 23 17 2 3 2" xfId="52938"/>
    <cellStyle name="Обычный 5 23 17 2 4" xfId="52939"/>
    <cellStyle name="Обычный 5 23 17 3" xfId="23066"/>
    <cellStyle name="Обычный 5 23 17 3 2" xfId="23067"/>
    <cellStyle name="Обычный 5 23 17 3 2 2" xfId="23068"/>
    <cellStyle name="Обычный 5 23 17 3 2 2 2" xfId="52940"/>
    <cellStyle name="Обычный 5 23 17 3 2 3" xfId="52941"/>
    <cellStyle name="Обычный 5 23 17 3 3" xfId="23069"/>
    <cellStyle name="Обычный 5 23 17 3 3 2" xfId="52942"/>
    <cellStyle name="Обычный 5 23 17 3 4" xfId="52943"/>
    <cellStyle name="Обычный 5 23 17 4" xfId="23070"/>
    <cellStyle name="Обычный 5 23 17 4 2" xfId="23071"/>
    <cellStyle name="Обычный 5 23 17 4 2 2" xfId="23072"/>
    <cellStyle name="Обычный 5 23 17 4 2 2 2" xfId="52944"/>
    <cellStyle name="Обычный 5 23 17 4 2 3" xfId="52945"/>
    <cellStyle name="Обычный 5 23 17 4 3" xfId="23073"/>
    <cellStyle name="Обычный 5 23 17 4 3 2" xfId="52946"/>
    <cellStyle name="Обычный 5 23 17 4 4" xfId="52947"/>
    <cellStyle name="Обычный 5 23 17 5" xfId="23074"/>
    <cellStyle name="Обычный 5 23 17 5 2" xfId="23075"/>
    <cellStyle name="Обычный 5 23 17 5 2 2" xfId="52948"/>
    <cellStyle name="Обычный 5 23 17 5 3" xfId="52949"/>
    <cellStyle name="Обычный 5 23 17 6" xfId="23076"/>
    <cellStyle name="Обычный 5 23 17 6 2" xfId="52950"/>
    <cellStyle name="Обычный 5 23 17 7" xfId="23077"/>
    <cellStyle name="Обычный 5 23 17 7 2" xfId="52951"/>
    <cellStyle name="Обычный 5 23 17 8" xfId="52952"/>
    <cellStyle name="Обычный 5 23 18" xfId="23078"/>
    <cellStyle name="Обычный 5 23 18 2" xfId="23079"/>
    <cellStyle name="Обычный 5 23 18 2 2" xfId="23080"/>
    <cellStyle name="Обычный 5 23 18 2 2 2" xfId="23081"/>
    <cellStyle name="Обычный 5 23 18 2 2 2 2" xfId="52953"/>
    <cellStyle name="Обычный 5 23 18 2 2 3" xfId="52954"/>
    <cellStyle name="Обычный 5 23 18 2 3" xfId="23082"/>
    <cellStyle name="Обычный 5 23 18 2 3 2" xfId="52955"/>
    <cellStyle name="Обычный 5 23 18 2 4" xfId="52956"/>
    <cellStyle name="Обычный 5 23 18 3" xfId="23083"/>
    <cellStyle name="Обычный 5 23 18 3 2" xfId="23084"/>
    <cellStyle name="Обычный 5 23 18 3 2 2" xfId="23085"/>
    <cellStyle name="Обычный 5 23 18 3 2 2 2" xfId="52957"/>
    <cellStyle name="Обычный 5 23 18 3 2 3" xfId="52958"/>
    <cellStyle name="Обычный 5 23 18 3 3" xfId="23086"/>
    <cellStyle name="Обычный 5 23 18 3 3 2" xfId="52959"/>
    <cellStyle name="Обычный 5 23 18 3 4" xfId="52960"/>
    <cellStyle name="Обычный 5 23 18 4" xfId="23087"/>
    <cellStyle name="Обычный 5 23 18 4 2" xfId="23088"/>
    <cellStyle name="Обычный 5 23 18 4 2 2" xfId="23089"/>
    <cellStyle name="Обычный 5 23 18 4 2 2 2" xfId="52961"/>
    <cellStyle name="Обычный 5 23 18 4 2 3" xfId="52962"/>
    <cellStyle name="Обычный 5 23 18 4 3" xfId="23090"/>
    <cellStyle name="Обычный 5 23 18 4 3 2" xfId="52963"/>
    <cellStyle name="Обычный 5 23 18 4 4" xfId="52964"/>
    <cellStyle name="Обычный 5 23 18 5" xfId="23091"/>
    <cellStyle name="Обычный 5 23 18 5 2" xfId="23092"/>
    <cellStyle name="Обычный 5 23 18 5 2 2" xfId="52965"/>
    <cellStyle name="Обычный 5 23 18 5 3" xfId="52966"/>
    <cellStyle name="Обычный 5 23 18 6" xfId="23093"/>
    <cellStyle name="Обычный 5 23 18 6 2" xfId="52967"/>
    <cellStyle name="Обычный 5 23 18 7" xfId="23094"/>
    <cellStyle name="Обычный 5 23 18 7 2" xfId="52968"/>
    <cellStyle name="Обычный 5 23 18 8" xfId="52969"/>
    <cellStyle name="Обычный 5 23 19" xfId="23095"/>
    <cellStyle name="Обычный 5 23 19 2" xfId="23096"/>
    <cellStyle name="Обычный 5 23 19 2 2" xfId="23097"/>
    <cellStyle name="Обычный 5 23 19 2 2 2" xfId="23098"/>
    <cellStyle name="Обычный 5 23 19 2 2 2 2" xfId="52970"/>
    <cellStyle name="Обычный 5 23 19 2 2 3" xfId="52971"/>
    <cellStyle name="Обычный 5 23 19 2 3" xfId="23099"/>
    <cellStyle name="Обычный 5 23 19 2 3 2" xfId="52972"/>
    <cellStyle name="Обычный 5 23 19 2 4" xfId="52973"/>
    <cellStyle name="Обычный 5 23 19 3" xfId="23100"/>
    <cellStyle name="Обычный 5 23 19 3 2" xfId="23101"/>
    <cellStyle name="Обычный 5 23 19 3 2 2" xfId="23102"/>
    <cellStyle name="Обычный 5 23 19 3 2 2 2" xfId="52974"/>
    <cellStyle name="Обычный 5 23 19 3 2 3" xfId="52975"/>
    <cellStyle name="Обычный 5 23 19 3 3" xfId="23103"/>
    <cellStyle name="Обычный 5 23 19 3 3 2" xfId="52976"/>
    <cellStyle name="Обычный 5 23 19 3 4" xfId="52977"/>
    <cellStyle name="Обычный 5 23 19 4" xfId="23104"/>
    <cellStyle name="Обычный 5 23 19 4 2" xfId="23105"/>
    <cellStyle name="Обычный 5 23 19 4 2 2" xfId="23106"/>
    <cellStyle name="Обычный 5 23 19 4 2 2 2" xfId="52978"/>
    <cellStyle name="Обычный 5 23 19 4 2 3" xfId="52979"/>
    <cellStyle name="Обычный 5 23 19 4 3" xfId="23107"/>
    <cellStyle name="Обычный 5 23 19 4 3 2" xfId="52980"/>
    <cellStyle name="Обычный 5 23 19 4 4" xfId="52981"/>
    <cellStyle name="Обычный 5 23 19 5" xfId="23108"/>
    <cellStyle name="Обычный 5 23 19 5 2" xfId="23109"/>
    <cellStyle name="Обычный 5 23 19 5 2 2" xfId="52982"/>
    <cellStyle name="Обычный 5 23 19 5 3" xfId="52983"/>
    <cellStyle name="Обычный 5 23 19 6" xfId="23110"/>
    <cellStyle name="Обычный 5 23 19 6 2" xfId="52984"/>
    <cellStyle name="Обычный 5 23 19 7" xfId="23111"/>
    <cellStyle name="Обычный 5 23 19 7 2" xfId="52985"/>
    <cellStyle name="Обычный 5 23 19 8" xfId="52986"/>
    <cellStyle name="Обычный 5 23 2" xfId="23112"/>
    <cellStyle name="Обычный 5 23 2 2" xfId="23113"/>
    <cellStyle name="Обычный 5 23 2 2 2" xfId="23114"/>
    <cellStyle name="Обычный 5 23 2 2 2 2" xfId="23115"/>
    <cellStyle name="Обычный 5 23 2 2 2 2 2" xfId="52987"/>
    <cellStyle name="Обычный 5 23 2 2 2 3" xfId="52988"/>
    <cellStyle name="Обычный 5 23 2 2 3" xfId="23116"/>
    <cellStyle name="Обычный 5 23 2 2 3 2" xfId="52989"/>
    <cellStyle name="Обычный 5 23 2 2 4" xfId="52990"/>
    <cellStyle name="Обычный 5 23 2 3" xfId="23117"/>
    <cellStyle name="Обычный 5 23 2 3 2" xfId="23118"/>
    <cellStyle name="Обычный 5 23 2 3 2 2" xfId="23119"/>
    <cellStyle name="Обычный 5 23 2 3 2 2 2" xfId="52991"/>
    <cellStyle name="Обычный 5 23 2 3 2 3" xfId="52992"/>
    <cellStyle name="Обычный 5 23 2 3 3" xfId="23120"/>
    <cellStyle name="Обычный 5 23 2 3 3 2" xfId="52993"/>
    <cellStyle name="Обычный 5 23 2 3 4" xfId="52994"/>
    <cellStyle name="Обычный 5 23 2 4" xfId="23121"/>
    <cellStyle name="Обычный 5 23 2 4 2" xfId="23122"/>
    <cellStyle name="Обычный 5 23 2 4 2 2" xfId="23123"/>
    <cellStyle name="Обычный 5 23 2 4 2 2 2" xfId="52995"/>
    <cellStyle name="Обычный 5 23 2 4 2 3" xfId="52996"/>
    <cellStyle name="Обычный 5 23 2 4 3" xfId="23124"/>
    <cellStyle name="Обычный 5 23 2 4 3 2" xfId="52997"/>
    <cellStyle name="Обычный 5 23 2 4 4" xfId="52998"/>
    <cellStyle name="Обычный 5 23 2 5" xfId="23125"/>
    <cellStyle name="Обычный 5 23 2 5 2" xfId="23126"/>
    <cellStyle name="Обычный 5 23 2 5 2 2" xfId="52999"/>
    <cellStyle name="Обычный 5 23 2 5 3" xfId="53000"/>
    <cellStyle name="Обычный 5 23 2 6" xfId="23127"/>
    <cellStyle name="Обычный 5 23 2 6 2" xfId="53001"/>
    <cellStyle name="Обычный 5 23 2 7" xfId="23128"/>
    <cellStyle name="Обычный 5 23 2 7 2" xfId="53002"/>
    <cellStyle name="Обычный 5 23 2 8" xfId="53003"/>
    <cellStyle name="Обычный 5 23 20" xfId="23129"/>
    <cellStyle name="Обычный 5 23 20 2" xfId="23130"/>
    <cellStyle name="Обычный 5 23 20 2 2" xfId="23131"/>
    <cellStyle name="Обычный 5 23 20 2 2 2" xfId="23132"/>
    <cellStyle name="Обычный 5 23 20 2 2 2 2" xfId="53004"/>
    <cellStyle name="Обычный 5 23 20 2 2 3" xfId="53005"/>
    <cellStyle name="Обычный 5 23 20 2 3" xfId="23133"/>
    <cellStyle name="Обычный 5 23 20 2 3 2" xfId="53006"/>
    <cellStyle name="Обычный 5 23 20 2 4" xfId="53007"/>
    <cellStyle name="Обычный 5 23 20 3" xfId="23134"/>
    <cellStyle name="Обычный 5 23 20 3 2" xfId="23135"/>
    <cellStyle name="Обычный 5 23 20 3 2 2" xfId="23136"/>
    <cellStyle name="Обычный 5 23 20 3 2 2 2" xfId="53008"/>
    <cellStyle name="Обычный 5 23 20 3 2 3" xfId="53009"/>
    <cellStyle name="Обычный 5 23 20 3 3" xfId="23137"/>
    <cellStyle name="Обычный 5 23 20 3 3 2" xfId="53010"/>
    <cellStyle name="Обычный 5 23 20 3 4" xfId="53011"/>
    <cellStyle name="Обычный 5 23 20 4" xfId="23138"/>
    <cellStyle name="Обычный 5 23 20 4 2" xfId="23139"/>
    <cellStyle name="Обычный 5 23 20 4 2 2" xfId="23140"/>
    <cellStyle name="Обычный 5 23 20 4 2 2 2" xfId="53012"/>
    <cellStyle name="Обычный 5 23 20 4 2 3" xfId="53013"/>
    <cellStyle name="Обычный 5 23 20 4 3" xfId="23141"/>
    <cellStyle name="Обычный 5 23 20 4 3 2" xfId="53014"/>
    <cellStyle name="Обычный 5 23 20 4 4" xfId="53015"/>
    <cellStyle name="Обычный 5 23 20 5" xfId="23142"/>
    <cellStyle name="Обычный 5 23 20 5 2" xfId="23143"/>
    <cellStyle name="Обычный 5 23 20 5 2 2" xfId="53016"/>
    <cellStyle name="Обычный 5 23 20 5 3" xfId="53017"/>
    <cellStyle name="Обычный 5 23 20 6" xfId="23144"/>
    <cellStyle name="Обычный 5 23 20 6 2" xfId="53018"/>
    <cellStyle name="Обычный 5 23 20 7" xfId="23145"/>
    <cellStyle name="Обычный 5 23 20 7 2" xfId="53019"/>
    <cellStyle name="Обычный 5 23 20 8" xfId="53020"/>
    <cellStyle name="Обычный 5 23 21" xfId="23146"/>
    <cellStyle name="Обычный 5 23 21 2" xfId="23147"/>
    <cellStyle name="Обычный 5 23 21 2 2" xfId="23148"/>
    <cellStyle name="Обычный 5 23 21 2 2 2" xfId="23149"/>
    <cellStyle name="Обычный 5 23 21 2 2 2 2" xfId="53021"/>
    <cellStyle name="Обычный 5 23 21 2 2 3" xfId="53022"/>
    <cellStyle name="Обычный 5 23 21 2 3" xfId="23150"/>
    <cellStyle name="Обычный 5 23 21 2 3 2" xfId="53023"/>
    <cellStyle name="Обычный 5 23 21 2 4" xfId="53024"/>
    <cellStyle name="Обычный 5 23 21 3" xfId="23151"/>
    <cellStyle name="Обычный 5 23 21 3 2" xfId="23152"/>
    <cellStyle name="Обычный 5 23 21 3 2 2" xfId="23153"/>
    <cellStyle name="Обычный 5 23 21 3 2 2 2" xfId="53025"/>
    <cellStyle name="Обычный 5 23 21 3 2 3" xfId="53026"/>
    <cellStyle name="Обычный 5 23 21 3 3" xfId="23154"/>
    <cellStyle name="Обычный 5 23 21 3 3 2" xfId="53027"/>
    <cellStyle name="Обычный 5 23 21 3 4" xfId="53028"/>
    <cellStyle name="Обычный 5 23 21 4" xfId="23155"/>
    <cellStyle name="Обычный 5 23 21 4 2" xfId="23156"/>
    <cellStyle name="Обычный 5 23 21 4 2 2" xfId="23157"/>
    <cellStyle name="Обычный 5 23 21 4 2 2 2" xfId="53029"/>
    <cellStyle name="Обычный 5 23 21 4 2 3" xfId="53030"/>
    <cellStyle name="Обычный 5 23 21 4 3" xfId="23158"/>
    <cellStyle name="Обычный 5 23 21 4 3 2" xfId="53031"/>
    <cellStyle name="Обычный 5 23 21 4 4" xfId="53032"/>
    <cellStyle name="Обычный 5 23 21 5" xfId="23159"/>
    <cellStyle name="Обычный 5 23 21 5 2" xfId="23160"/>
    <cellStyle name="Обычный 5 23 21 5 2 2" xfId="53033"/>
    <cellStyle name="Обычный 5 23 21 5 3" xfId="53034"/>
    <cellStyle name="Обычный 5 23 21 6" xfId="23161"/>
    <cellStyle name="Обычный 5 23 21 6 2" xfId="53035"/>
    <cellStyle name="Обычный 5 23 21 7" xfId="23162"/>
    <cellStyle name="Обычный 5 23 21 7 2" xfId="53036"/>
    <cellStyle name="Обычный 5 23 21 8" xfId="53037"/>
    <cellStyle name="Обычный 5 23 22" xfId="23163"/>
    <cellStyle name="Обычный 5 23 22 2" xfId="23164"/>
    <cellStyle name="Обычный 5 23 22 2 2" xfId="23165"/>
    <cellStyle name="Обычный 5 23 22 2 2 2" xfId="23166"/>
    <cellStyle name="Обычный 5 23 22 2 2 2 2" xfId="53038"/>
    <cellStyle name="Обычный 5 23 22 2 2 3" xfId="53039"/>
    <cellStyle name="Обычный 5 23 22 2 3" xfId="23167"/>
    <cellStyle name="Обычный 5 23 22 2 3 2" xfId="53040"/>
    <cellStyle name="Обычный 5 23 22 2 4" xfId="53041"/>
    <cellStyle name="Обычный 5 23 22 3" xfId="23168"/>
    <cellStyle name="Обычный 5 23 22 3 2" xfId="23169"/>
    <cellStyle name="Обычный 5 23 22 3 2 2" xfId="23170"/>
    <cellStyle name="Обычный 5 23 22 3 2 2 2" xfId="53042"/>
    <cellStyle name="Обычный 5 23 22 3 2 3" xfId="53043"/>
    <cellStyle name="Обычный 5 23 22 3 3" xfId="23171"/>
    <cellStyle name="Обычный 5 23 22 3 3 2" xfId="53044"/>
    <cellStyle name="Обычный 5 23 22 3 4" xfId="53045"/>
    <cellStyle name="Обычный 5 23 22 4" xfId="23172"/>
    <cellStyle name="Обычный 5 23 22 4 2" xfId="23173"/>
    <cellStyle name="Обычный 5 23 22 4 2 2" xfId="23174"/>
    <cellStyle name="Обычный 5 23 22 4 2 2 2" xfId="53046"/>
    <cellStyle name="Обычный 5 23 22 4 2 3" xfId="53047"/>
    <cellStyle name="Обычный 5 23 22 4 3" xfId="23175"/>
    <cellStyle name="Обычный 5 23 22 4 3 2" xfId="53048"/>
    <cellStyle name="Обычный 5 23 22 4 4" xfId="53049"/>
    <cellStyle name="Обычный 5 23 22 5" xfId="23176"/>
    <cellStyle name="Обычный 5 23 22 5 2" xfId="23177"/>
    <cellStyle name="Обычный 5 23 22 5 2 2" xfId="53050"/>
    <cellStyle name="Обычный 5 23 22 5 3" xfId="53051"/>
    <cellStyle name="Обычный 5 23 22 6" xfId="23178"/>
    <cellStyle name="Обычный 5 23 22 6 2" xfId="53052"/>
    <cellStyle name="Обычный 5 23 22 7" xfId="23179"/>
    <cellStyle name="Обычный 5 23 22 7 2" xfId="53053"/>
    <cellStyle name="Обычный 5 23 22 8" xfId="53054"/>
    <cellStyle name="Обычный 5 23 23" xfId="23180"/>
    <cellStyle name="Обычный 5 23 23 2" xfId="23181"/>
    <cellStyle name="Обычный 5 23 23 2 2" xfId="23182"/>
    <cellStyle name="Обычный 5 23 23 2 2 2" xfId="23183"/>
    <cellStyle name="Обычный 5 23 23 2 2 2 2" xfId="53055"/>
    <cellStyle name="Обычный 5 23 23 2 2 3" xfId="53056"/>
    <cellStyle name="Обычный 5 23 23 2 3" xfId="23184"/>
    <cellStyle name="Обычный 5 23 23 2 3 2" xfId="53057"/>
    <cellStyle name="Обычный 5 23 23 2 4" xfId="53058"/>
    <cellStyle name="Обычный 5 23 23 3" xfId="23185"/>
    <cellStyle name="Обычный 5 23 23 3 2" xfId="23186"/>
    <cellStyle name="Обычный 5 23 23 3 2 2" xfId="23187"/>
    <cellStyle name="Обычный 5 23 23 3 2 2 2" xfId="53059"/>
    <cellStyle name="Обычный 5 23 23 3 2 3" xfId="53060"/>
    <cellStyle name="Обычный 5 23 23 3 3" xfId="23188"/>
    <cellStyle name="Обычный 5 23 23 3 3 2" xfId="53061"/>
    <cellStyle name="Обычный 5 23 23 3 4" xfId="53062"/>
    <cellStyle name="Обычный 5 23 23 4" xfId="23189"/>
    <cellStyle name="Обычный 5 23 23 4 2" xfId="23190"/>
    <cellStyle name="Обычный 5 23 23 4 2 2" xfId="23191"/>
    <cellStyle name="Обычный 5 23 23 4 2 2 2" xfId="53063"/>
    <cellStyle name="Обычный 5 23 23 4 2 3" xfId="53064"/>
    <cellStyle name="Обычный 5 23 23 4 3" xfId="23192"/>
    <cellStyle name="Обычный 5 23 23 4 3 2" xfId="53065"/>
    <cellStyle name="Обычный 5 23 23 4 4" xfId="53066"/>
    <cellStyle name="Обычный 5 23 23 5" xfId="23193"/>
    <cellStyle name="Обычный 5 23 23 5 2" xfId="23194"/>
    <cellStyle name="Обычный 5 23 23 5 2 2" xfId="53067"/>
    <cellStyle name="Обычный 5 23 23 5 3" xfId="53068"/>
    <cellStyle name="Обычный 5 23 23 6" xfId="23195"/>
    <cellStyle name="Обычный 5 23 23 6 2" xfId="53069"/>
    <cellStyle name="Обычный 5 23 23 7" xfId="23196"/>
    <cellStyle name="Обычный 5 23 23 7 2" xfId="53070"/>
    <cellStyle name="Обычный 5 23 23 8" xfId="53071"/>
    <cellStyle name="Обычный 5 23 24" xfId="23197"/>
    <cellStyle name="Обычный 5 23 24 2" xfId="23198"/>
    <cellStyle name="Обычный 5 23 24 2 2" xfId="23199"/>
    <cellStyle name="Обычный 5 23 24 2 2 2" xfId="23200"/>
    <cellStyle name="Обычный 5 23 24 2 2 2 2" xfId="53072"/>
    <cellStyle name="Обычный 5 23 24 2 2 3" xfId="53073"/>
    <cellStyle name="Обычный 5 23 24 2 3" xfId="23201"/>
    <cellStyle name="Обычный 5 23 24 2 3 2" xfId="53074"/>
    <cellStyle name="Обычный 5 23 24 2 4" xfId="53075"/>
    <cellStyle name="Обычный 5 23 24 3" xfId="23202"/>
    <cellStyle name="Обычный 5 23 24 3 2" xfId="23203"/>
    <cellStyle name="Обычный 5 23 24 3 2 2" xfId="23204"/>
    <cellStyle name="Обычный 5 23 24 3 2 2 2" xfId="53076"/>
    <cellStyle name="Обычный 5 23 24 3 2 3" xfId="53077"/>
    <cellStyle name="Обычный 5 23 24 3 3" xfId="23205"/>
    <cellStyle name="Обычный 5 23 24 3 3 2" xfId="53078"/>
    <cellStyle name="Обычный 5 23 24 3 4" xfId="53079"/>
    <cellStyle name="Обычный 5 23 24 4" xfId="23206"/>
    <cellStyle name="Обычный 5 23 24 4 2" xfId="23207"/>
    <cellStyle name="Обычный 5 23 24 4 2 2" xfId="23208"/>
    <cellStyle name="Обычный 5 23 24 4 2 2 2" xfId="53080"/>
    <cellStyle name="Обычный 5 23 24 4 2 3" xfId="53081"/>
    <cellStyle name="Обычный 5 23 24 4 3" xfId="23209"/>
    <cellStyle name="Обычный 5 23 24 4 3 2" xfId="53082"/>
    <cellStyle name="Обычный 5 23 24 4 4" xfId="53083"/>
    <cellStyle name="Обычный 5 23 24 5" xfId="23210"/>
    <cellStyle name="Обычный 5 23 24 5 2" xfId="23211"/>
    <cellStyle name="Обычный 5 23 24 5 2 2" xfId="53084"/>
    <cellStyle name="Обычный 5 23 24 5 3" xfId="53085"/>
    <cellStyle name="Обычный 5 23 24 6" xfId="23212"/>
    <cellStyle name="Обычный 5 23 24 6 2" xfId="53086"/>
    <cellStyle name="Обычный 5 23 24 7" xfId="23213"/>
    <cellStyle name="Обычный 5 23 24 7 2" xfId="53087"/>
    <cellStyle name="Обычный 5 23 24 8" xfId="53088"/>
    <cellStyle name="Обычный 5 23 25" xfId="23214"/>
    <cellStyle name="Обычный 5 23 25 2" xfId="23215"/>
    <cellStyle name="Обычный 5 23 25 2 2" xfId="23216"/>
    <cellStyle name="Обычный 5 23 25 2 2 2" xfId="23217"/>
    <cellStyle name="Обычный 5 23 25 2 2 2 2" xfId="53089"/>
    <cellStyle name="Обычный 5 23 25 2 2 3" xfId="53090"/>
    <cellStyle name="Обычный 5 23 25 2 3" xfId="23218"/>
    <cellStyle name="Обычный 5 23 25 2 3 2" xfId="53091"/>
    <cellStyle name="Обычный 5 23 25 2 4" xfId="53092"/>
    <cellStyle name="Обычный 5 23 25 3" xfId="23219"/>
    <cellStyle name="Обычный 5 23 25 3 2" xfId="23220"/>
    <cellStyle name="Обычный 5 23 25 3 2 2" xfId="23221"/>
    <cellStyle name="Обычный 5 23 25 3 2 2 2" xfId="53093"/>
    <cellStyle name="Обычный 5 23 25 3 2 3" xfId="53094"/>
    <cellStyle name="Обычный 5 23 25 3 3" xfId="23222"/>
    <cellStyle name="Обычный 5 23 25 3 3 2" xfId="53095"/>
    <cellStyle name="Обычный 5 23 25 3 4" xfId="53096"/>
    <cellStyle name="Обычный 5 23 25 4" xfId="23223"/>
    <cellStyle name="Обычный 5 23 25 4 2" xfId="23224"/>
    <cellStyle name="Обычный 5 23 25 4 2 2" xfId="23225"/>
    <cellStyle name="Обычный 5 23 25 4 2 2 2" xfId="53097"/>
    <cellStyle name="Обычный 5 23 25 4 2 3" xfId="53098"/>
    <cellStyle name="Обычный 5 23 25 4 3" xfId="23226"/>
    <cellStyle name="Обычный 5 23 25 4 3 2" xfId="53099"/>
    <cellStyle name="Обычный 5 23 25 4 4" xfId="53100"/>
    <cellStyle name="Обычный 5 23 25 5" xfId="23227"/>
    <cellStyle name="Обычный 5 23 25 5 2" xfId="23228"/>
    <cellStyle name="Обычный 5 23 25 5 2 2" xfId="53101"/>
    <cellStyle name="Обычный 5 23 25 5 3" xfId="53102"/>
    <cellStyle name="Обычный 5 23 25 6" xfId="23229"/>
    <cellStyle name="Обычный 5 23 25 6 2" xfId="53103"/>
    <cellStyle name="Обычный 5 23 25 7" xfId="23230"/>
    <cellStyle name="Обычный 5 23 25 7 2" xfId="53104"/>
    <cellStyle name="Обычный 5 23 25 8" xfId="53105"/>
    <cellStyle name="Обычный 5 23 26" xfId="23231"/>
    <cellStyle name="Обычный 5 23 26 2" xfId="23232"/>
    <cellStyle name="Обычный 5 23 26 2 2" xfId="23233"/>
    <cellStyle name="Обычный 5 23 26 2 2 2" xfId="23234"/>
    <cellStyle name="Обычный 5 23 26 2 2 2 2" xfId="53106"/>
    <cellStyle name="Обычный 5 23 26 2 2 3" xfId="53107"/>
    <cellStyle name="Обычный 5 23 26 2 3" xfId="23235"/>
    <cellStyle name="Обычный 5 23 26 2 3 2" xfId="53108"/>
    <cellStyle name="Обычный 5 23 26 2 4" xfId="53109"/>
    <cellStyle name="Обычный 5 23 26 3" xfId="23236"/>
    <cellStyle name="Обычный 5 23 26 3 2" xfId="23237"/>
    <cellStyle name="Обычный 5 23 26 3 2 2" xfId="23238"/>
    <cellStyle name="Обычный 5 23 26 3 2 2 2" xfId="53110"/>
    <cellStyle name="Обычный 5 23 26 3 2 3" xfId="53111"/>
    <cellStyle name="Обычный 5 23 26 3 3" xfId="23239"/>
    <cellStyle name="Обычный 5 23 26 3 3 2" xfId="53112"/>
    <cellStyle name="Обычный 5 23 26 3 4" xfId="53113"/>
    <cellStyle name="Обычный 5 23 26 4" xfId="23240"/>
    <cellStyle name="Обычный 5 23 26 4 2" xfId="23241"/>
    <cellStyle name="Обычный 5 23 26 4 2 2" xfId="23242"/>
    <cellStyle name="Обычный 5 23 26 4 2 2 2" xfId="53114"/>
    <cellStyle name="Обычный 5 23 26 4 2 3" xfId="53115"/>
    <cellStyle name="Обычный 5 23 26 4 3" xfId="23243"/>
    <cellStyle name="Обычный 5 23 26 4 3 2" xfId="53116"/>
    <cellStyle name="Обычный 5 23 26 4 4" xfId="53117"/>
    <cellStyle name="Обычный 5 23 26 5" xfId="23244"/>
    <cellStyle name="Обычный 5 23 26 5 2" xfId="23245"/>
    <cellStyle name="Обычный 5 23 26 5 2 2" xfId="53118"/>
    <cellStyle name="Обычный 5 23 26 5 3" xfId="53119"/>
    <cellStyle name="Обычный 5 23 26 6" xfId="23246"/>
    <cellStyle name="Обычный 5 23 26 6 2" xfId="53120"/>
    <cellStyle name="Обычный 5 23 26 7" xfId="23247"/>
    <cellStyle name="Обычный 5 23 26 7 2" xfId="53121"/>
    <cellStyle name="Обычный 5 23 26 8" xfId="53122"/>
    <cellStyle name="Обычный 5 23 27" xfId="23248"/>
    <cellStyle name="Обычный 5 23 27 2" xfId="23249"/>
    <cellStyle name="Обычный 5 23 27 2 2" xfId="23250"/>
    <cellStyle name="Обычный 5 23 27 2 2 2" xfId="23251"/>
    <cellStyle name="Обычный 5 23 27 2 2 2 2" xfId="53123"/>
    <cellStyle name="Обычный 5 23 27 2 2 3" xfId="53124"/>
    <cellStyle name="Обычный 5 23 27 2 3" xfId="23252"/>
    <cellStyle name="Обычный 5 23 27 2 3 2" xfId="53125"/>
    <cellStyle name="Обычный 5 23 27 2 4" xfId="53126"/>
    <cellStyle name="Обычный 5 23 27 3" xfId="23253"/>
    <cellStyle name="Обычный 5 23 27 3 2" xfId="23254"/>
    <cellStyle name="Обычный 5 23 27 3 2 2" xfId="23255"/>
    <cellStyle name="Обычный 5 23 27 3 2 2 2" xfId="53127"/>
    <cellStyle name="Обычный 5 23 27 3 2 3" xfId="53128"/>
    <cellStyle name="Обычный 5 23 27 3 3" xfId="23256"/>
    <cellStyle name="Обычный 5 23 27 3 3 2" xfId="53129"/>
    <cellStyle name="Обычный 5 23 27 3 4" xfId="53130"/>
    <cellStyle name="Обычный 5 23 27 4" xfId="23257"/>
    <cellStyle name="Обычный 5 23 27 4 2" xfId="23258"/>
    <cellStyle name="Обычный 5 23 27 4 2 2" xfId="23259"/>
    <cellStyle name="Обычный 5 23 27 4 2 2 2" xfId="53131"/>
    <cellStyle name="Обычный 5 23 27 4 2 3" xfId="53132"/>
    <cellStyle name="Обычный 5 23 27 4 3" xfId="23260"/>
    <cellStyle name="Обычный 5 23 27 4 3 2" xfId="53133"/>
    <cellStyle name="Обычный 5 23 27 4 4" xfId="53134"/>
    <cellStyle name="Обычный 5 23 27 5" xfId="23261"/>
    <cellStyle name="Обычный 5 23 27 5 2" xfId="23262"/>
    <cellStyle name="Обычный 5 23 27 5 2 2" xfId="53135"/>
    <cellStyle name="Обычный 5 23 27 5 3" xfId="53136"/>
    <cellStyle name="Обычный 5 23 27 6" xfId="23263"/>
    <cellStyle name="Обычный 5 23 27 6 2" xfId="53137"/>
    <cellStyle name="Обычный 5 23 27 7" xfId="23264"/>
    <cellStyle name="Обычный 5 23 27 7 2" xfId="53138"/>
    <cellStyle name="Обычный 5 23 27 8" xfId="53139"/>
    <cellStyle name="Обычный 5 23 28" xfId="23265"/>
    <cellStyle name="Обычный 5 23 28 2" xfId="23266"/>
    <cellStyle name="Обычный 5 23 28 2 2" xfId="23267"/>
    <cellStyle name="Обычный 5 23 28 2 2 2" xfId="23268"/>
    <cellStyle name="Обычный 5 23 28 2 2 2 2" xfId="53140"/>
    <cellStyle name="Обычный 5 23 28 2 2 3" xfId="53141"/>
    <cellStyle name="Обычный 5 23 28 2 3" xfId="23269"/>
    <cellStyle name="Обычный 5 23 28 2 3 2" xfId="53142"/>
    <cellStyle name="Обычный 5 23 28 2 4" xfId="53143"/>
    <cellStyle name="Обычный 5 23 28 3" xfId="23270"/>
    <cellStyle name="Обычный 5 23 28 3 2" xfId="23271"/>
    <cellStyle name="Обычный 5 23 28 3 2 2" xfId="23272"/>
    <cellStyle name="Обычный 5 23 28 3 2 2 2" xfId="53144"/>
    <cellStyle name="Обычный 5 23 28 3 2 3" xfId="53145"/>
    <cellStyle name="Обычный 5 23 28 3 3" xfId="23273"/>
    <cellStyle name="Обычный 5 23 28 3 3 2" xfId="53146"/>
    <cellStyle name="Обычный 5 23 28 3 4" xfId="53147"/>
    <cellStyle name="Обычный 5 23 28 4" xfId="23274"/>
    <cellStyle name="Обычный 5 23 28 4 2" xfId="23275"/>
    <cellStyle name="Обычный 5 23 28 4 2 2" xfId="23276"/>
    <cellStyle name="Обычный 5 23 28 4 2 2 2" xfId="53148"/>
    <cellStyle name="Обычный 5 23 28 4 2 3" xfId="53149"/>
    <cellStyle name="Обычный 5 23 28 4 3" xfId="23277"/>
    <cellStyle name="Обычный 5 23 28 4 3 2" xfId="53150"/>
    <cellStyle name="Обычный 5 23 28 4 4" xfId="53151"/>
    <cellStyle name="Обычный 5 23 28 5" xfId="23278"/>
    <cellStyle name="Обычный 5 23 28 5 2" xfId="23279"/>
    <cellStyle name="Обычный 5 23 28 5 2 2" xfId="53152"/>
    <cellStyle name="Обычный 5 23 28 5 3" xfId="53153"/>
    <cellStyle name="Обычный 5 23 28 6" xfId="23280"/>
    <cellStyle name="Обычный 5 23 28 6 2" xfId="53154"/>
    <cellStyle name="Обычный 5 23 28 7" xfId="23281"/>
    <cellStyle name="Обычный 5 23 28 7 2" xfId="53155"/>
    <cellStyle name="Обычный 5 23 28 8" xfId="53156"/>
    <cellStyle name="Обычный 5 23 29" xfId="23282"/>
    <cellStyle name="Обычный 5 23 29 2" xfId="23283"/>
    <cellStyle name="Обычный 5 23 29 2 2" xfId="23284"/>
    <cellStyle name="Обычный 5 23 29 2 2 2" xfId="23285"/>
    <cellStyle name="Обычный 5 23 29 2 2 2 2" xfId="53157"/>
    <cellStyle name="Обычный 5 23 29 2 2 3" xfId="53158"/>
    <cellStyle name="Обычный 5 23 29 2 3" xfId="23286"/>
    <cellStyle name="Обычный 5 23 29 2 3 2" xfId="53159"/>
    <cellStyle name="Обычный 5 23 29 2 4" xfId="53160"/>
    <cellStyle name="Обычный 5 23 29 3" xfId="23287"/>
    <cellStyle name="Обычный 5 23 29 3 2" xfId="23288"/>
    <cellStyle name="Обычный 5 23 29 3 2 2" xfId="23289"/>
    <cellStyle name="Обычный 5 23 29 3 2 2 2" xfId="53161"/>
    <cellStyle name="Обычный 5 23 29 3 2 3" xfId="53162"/>
    <cellStyle name="Обычный 5 23 29 3 3" xfId="23290"/>
    <cellStyle name="Обычный 5 23 29 3 3 2" xfId="53163"/>
    <cellStyle name="Обычный 5 23 29 3 4" xfId="53164"/>
    <cellStyle name="Обычный 5 23 29 4" xfId="23291"/>
    <cellStyle name="Обычный 5 23 29 4 2" xfId="23292"/>
    <cellStyle name="Обычный 5 23 29 4 2 2" xfId="23293"/>
    <cellStyle name="Обычный 5 23 29 4 2 2 2" xfId="53165"/>
    <cellStyle name="Обычный 5 23 29 4 2 3" xfId="53166"/>
    <cellStyle name="Обычный 5 23 29 4 3" xfId="23294"/>
    <cellStyle name="Обычный 5 23 29 4 3 2" xfId="53167"/>
    <cellStyle name="Обычный 5 23 29 4 4" xfId="53168"/>
    <cellStyle name="Обычный 5 23 29 5" xfId="23295"/>
    <cellStyle name="Обычный 5 23 29 5 2" xfId="23296"/>
    <cellStyle name="Обычный 5 23 29 5 2 2" xfId="53169"/>
    <cellStyle name="Обычный 5 23 29 5 3" xfId="53170"/>
    <cellStyle name="Обычный 5 23 29 6" xfId="23297"/>
    <cellStyle name="Обычный 5 23 29 6 2" xfId="53171"/>
    <cellStyle name="Обычный 5 23 29 7" xfId="23298"/>
    <cellStyle name="Обычный 5 23 29 7 2" xfId="53172"/>
    <cellStyle name="Обычный 5 23 29 8" xfId="53173"/>
    <cellStyle name="Обычный 5 23 3" xfId="23299"/>
    <cellStyle name="Обычный 5 23 3 2" xfId="23300"/>
    <cellStyle name="Обычный 5 23 3 2 2" xfId="23301"/>
    <cellStyle name="Обычный 5 23 3 2 2 2" xfId="23302"/>
    <cellStyle name="Обычный 5 23 3 2 2 2 2" xfId="53174"/>
    <cellStyle name="Обычный 5 23 3 2 2 3" xfId="53175"/>
    <cellStyle name="Обычный 5 23 3 2 3" xfId="23303"/>
    <cellStyle name="Обычный 5 23 3 2 3 2" xfId="53176"/>
    <cellStyle name="Обычный 5 23 3 2 4" xfId="53177"/>
    <cellStyle name="Обычный 5 23 3 3" xfId="23304"/>
    <cellStyle name="Обычный 5 23 3 3 2" xfId="23305"/>
    <cellStyle name="Обычный 5 23 3 3 2 2" xfId="23306"/>
    <cellStyle name="Обычный 5 23 3 3 2 2 2" xfId="53178"/>
    <cellStyle name="Обычный 5 23 3 3 2 3" xfId="53179"/>
    <cellStyle name="Обычный 5 23 3 3 3" xfId="23307"/>
    <cellStyle name="Обычный 5 23 3 3 3 2" xfId="53180"/>
    <cellStyle name="Обычный 5 23 3 3 4" xfId="53181"/>
    <cellStyle name="Обычный 5 23 3 4" xfId="23308"/>
    <cellStyle name="Обычный 5 23 3 4 2" xfId="23309"/>
    <cellStyle name="Обычный 5 23 3 4 2 2" xfId="23310"/>
    <cellStyle name="Обычный 5 23 3 4 2 2 2" xfId="53182"/>
    <cellStyle name="Обычный 5 23 3 4 2 3" xfId="53183"/>
    <cellStyle name="Обычный 5 23 3 4 3" xfId="23311"/>
    <cellStyle name="Обычный 5 23 3 4 3 2" xfId="53184"/>
    <cellStyle name="Обычный 5 23 3 4 4" xfId="53185"/>
    <cellStyle name="Обычный 5 23 3 5" xfId="23312"/>
    <cellStyle name="Обычный 5 23 3 5 2" xfId="23313"/>
    <cellStyle name="Обычный 5 23 3 5 2 2" xfId="53186"/>
    <cellStyle name="Обычный 5 23 3 5 3" xfId="53187"/>
    <cellStyle name="Обычный 5 23 3 6" xfId="23314"/>
    <cellStyle name="Обычный 5 23 3 6 2" xfId="53188"/>
    <cellStyle name="Обычный 5 23 3 7" xfId="23315"/>
    <cellStyle name="Обычный 5 23 3 7 2" xfId="53189"/>
    <cellStyle name="Обычный 5 23 3 8" xfId="53190"/>
    <cellStyle name="Обычный 5 23 30" xfId="23316"/>
    <cellStyle name="Обычный 5 23 30 2" xfId="23317"/>
    <cellStyle name="Обычный 5 23 30 2 2" xfId="23318"/>
    <cellStyle name="Обычный 5 23 30 2 2 2" xfId="53191"/>
    <cellStyle name="Обычный 5 23 30 2 3" xfId="53192"/>
    <cellStyle name="Обычный 5 23 30 3" xfId="23319"/>
    <cellStyle name="Обычный 5 23 30 3 2" xfId="53193"/>
    <cellStyle name="Обычный 5 23 30 4" xfId="53194"/>
    <cellStyle name="Обычный 5 23 31" xfId="23320"/>
    <cellStyle name="Обычный 5 23 31 2" xfId="23321"/>
    <cellStyle name="Обычный 5 23 31 2 2" xfId="23322"/>
    <cellStyle name="Обычный 5 23 31 2 2 2" xfId="53195"/>
    <cellStyle name="Обычный 5 23 31 2 3" xfId="53196"/>
    <cellStyle name="Обычный 5 23 31 3" xfId="23323"/>
    <cellStyle name="Обычный 5 23 31 3 2" xfId="53197"/>
    <cellStyle name="Обычный 5 23 31 4" xfId="53198"/>
    <cellStyle name="Обычный 5 23 32" xfId="23324"/>
    <cellStyle name="Обычный 5 23 32 2" xfId="23325"/>
    <cellStyle name="Обычный 5 23 32 2 2" xfId="23326"/>
    <cellStyle name="Обычный 5 23 32 2 2 2" xfId="53199"/>
    <cellStyle name="Обычный 5 23 32 2 3" xfId="53200"/>
    <cellStyle name="Обычный 5 23 32 3" xfId="23327"/>
    <cellStyle name="Обычный 5 23 32 3 2" xfId="53201"/>
    <cellStyle name="Обычный 5 23 32 4" xfId="53202"/>
    <cellStyle name="Обычный 5 23 33" xfId="23328"/>
    <cellStyle name="Обычный 5 23 33 2" xfId="23329"/>
    <cellStyle name="Обычный 5 23 33 2 2" xfId="53203"/>
    <cellStyle name="Обычный 5 23 33 3" xfId="53204"/>
    <cellStyle name="Обычный 5 23 34" xfId="23330"/>
    <cellStyle name="Обычный 5 23 34 2" xfId="53205"/>
    <cellStyle name="Обычный 5 23 35" xfId="23331"/>
    <cellStyle name="Обычный 5 23 35 2" xfId="53206"/>
    <cellStyle name="Обычный 5 23 36" xfId="53207"/>
    <cellStyle name="Обычный 5 23 4" xfId="23332"/>
    <cellStyle name="Обычный 5 23 4 2" xfId="23333"/>
    <cellStyle name="Обычный 5 23 4 2 2" xfId="23334"/>
    <cellStyle name="Обычный 5 23 4 2 2 2" xfId="23335"/>
    <cellStyle name="Обычный 5 23 4 2 2 2 2" xfId="53208"/>
    <cellStyle name="Обычный 5 23 4 2 2 3" xfId="53209"/>
    <cellStyle name="Обычный 5 23 4 2 3" xfId="23336"/>
    <cellStyle name="Обычный 5 23 4 2 3 2" xfId="53210"/>
    <cellStyle name="Обычный 5 23 4 2 4" xfId="53211"/>
    <cellStyle name="Обычный 5 23 4 3" xfId="23337"/>
    <cellStyle name="Обычный 5 23 4 3 2" xfId="23338"/>
    <cellStyle name="Обычный 5 23 4 3 2 2" xfId="23339"/>
    <cellStyle name="Обычный 5 23 4 3 2 2 2" xfId="53212"/>
    <cellStyle name="Обычный 5 23 4 3 2 3" xfId="53213"/>
    <cellStyle name="Обычный 5 23 4 3 3" xfId="23340"/>
    <cellStyle name="Обычный 5 23 4 3 3 2" xfId="53214"/>
    <cellStyle name="Обычный 5 23 4 3 4" xfId="53215"/>
    <cellStyle name="Обычный 5 23 4 4" xfId="23341"/>
    <cellStyle name="Обычный 5 23 4 4 2" xfId="23342"/>
    <cellStyle name="Обычный 5 23 4 4 2 2" xfId="23343"/>
    <cellStyle name="Обычный 5 23 4 4 2 2 2" xfId="53216"/>
    <cellStyle name="Обычный 5 23 4 4 2 3" xfId="53217"/>
    <cellStyle name="Обычный 5 23 4 4 3" xfId="23344"/>
    <cellStyle name="Обычный 5 23 4 4 3 2" xfId="53218"/>
    <cellStyle name="Обычный 5 23 4 4 4" xfId="53219"/>
    <cellStyle name="Обычный 5 23 4 5" xfId="23345"/>
    <cellStyle name="Обычный 5 23 4 5 2" xfId="23346"/>
    <cellStyle name="Обычный 5 23 4 5 2 2" xfId="53220"/>
    <cellStyle name="Обычный 5 23 4 5 3" xfId="53221"/>
    <cellStyle name="Обычный 5 23 4 6" xfId="23347"/>
    <cellStyle name="Обычный 5 23 4 6 2" xfId="53222"/>
    <cellStyle name="Обычный 5 23 4 7" xfId="23348"/>
    <cellStyle name="Обычный 5 23 4 7 2" xfId="53223"/>
    <cellStyle name="Обычный 5 23 4 8" xfId="53224"/>
    <cellStyle name="Обычный 5 23 5" xfId="23349"/>
    <cellStyle name="Обычный 5 23 5 2" xfId="23350"/>
    <cellStyle name="Обычный 5 23 5 2 2" xfId="23351"/>
    <cellStyle name="Обычный 5 23 5 2 2 2" xfId="23352"/>
    <cellStyle name="Обычный 5 23 5 2 2 2 2" xfId="53225"/>
    <cellStyle name="Обычный 5 23 5 2 2 3" xfId="53226"/>
    <cellStyle name="Обычный 5 23 5 2 3" xfId="23353"/>
    <cellStyle name="Обычный 5 23 5 2 3 2" xfId="53227"/>
    <cellStyle name="Обычный 5 23 5 2 4" xfId="53228"/>
    <cellStyle name="Обычный 5 23 5 3" xfId="23354"/>
    <cellStyle name="Обычный 5 23 5 3 2" xfId="23355"/>
    <cellStyle name="Обычный 5 23 5 3 2 2" xfId="23356"/>
    <cellStyle name="Обычный 5 23 5 3 2 2 2" xfId="53229"/>
    <cellStyle name="Обычный 5 23 5 3 2 3" xfId="53230"/>
    <cellStyle name="Обычный 5 23 5 3 3" xfId="23357"/>
    <cellStyle name="Обычный 5 23 5 3 3 2" xfId="53231"/>
    <cellStyle name="Обычный 5 23 5 3 4" xfId="53232"/>
    <cellStyle name="Обычный 5 23 5 4" xfId="23358"/>
    <cellStyle name="Обычный 5 23 5 4 2" xfId="23359"/>
    <cellStyle name="Обычный 5 23 5 4 2 2" xfId="23360"/>
    <cellStyle name="Обычный 5 23 5 4 2 2 2" xfId="53233"/>
    <cellStyle name="Обычный 5 23 5 4 2 3" xfId="53234"/>
    <cellStyle name="Обычный 5 23 5 4 3" xfId="23361"/>
    <cellStyle name="Обычный 5 23 5 4 3 2" xfId="53235"/>
    <cellStyle name="Обычный 5 23 5 4 4" xfId="53236"/>
    <cellStyle name="Обычный 5 23 5 5" xfId="23362"/>
    <cellStyle name="Обычный 5 23 5 5 2" xfId="23363"/>
    <cellStyle name="Обычный 5 23 5 5 2 2" xfId="53237"/>
    <cellStyle name="Обычный 5 23 5 5 3" xfId="53238"/>
    <cellStyle name="Обычный 5 23 5 6" xfId="23364"/>
    <cellStyle name="Обычный 5 23 5 6 2" xfId="53239"/>
    <cellStyle name="Обычный 5 23 5 7" xfId="23365"/>
    <cellStyle name="Обычный 5 23 5 7 2" xfId="53240"/>
    <cellStyle name="Обычный 5 23 5 8" xfId="53241"/>
    <cellStyle name="Обычный 5 23 6" xfId="23366"/>
    <cellStyle name="Обычный 5 23 6 2" xfId="23367"/>
    <cellStyle name="Обычный 5 23 6 2 2" xfId="23368"/>
    <cellStyle name="Обычный 5 23 6 2 2 2" xfId="23369"/>
    <cellStyle name="Обычный 5 23 6 2 2 2 2" xfId="53242"/>
    <cellStyle name="Обычный 5 23 6 2 2 3" xfId="53243"/>
    <cellStyle name="Обычный 5 23 6 2 3" xfId="23370"/>
    <cellStyle name="Обычный 5 23 6 2 3 2" xfId="53244"/>
    <cellStyle name="Обычный 5 23 6 2 4" xfId="53245"/>
    <cellStyle name="Обычный 5 23 6 3" xfId="23371"/>
    <cellStyle name="Обычный 5 23 6 3 2" xfId="23372"/>
    <cellStyle name="Обычный 5 23 6 3 2 2" xfId="23373"/>
    <cellStyle name="Обычный 5 23 6 3 2 2 2" xfId="53246"/>
    <cellStyle name="Обычный 5 23 6 3 2 3" xfId="53247"/>
    <cellStyle name="Обычный 5 23 6 3 3" xfId="23374"/>
    <cellStyle name="Обычный 5 23 6 3 3 2" xfId="53248"/>
    <cellStyle name="Обычный 5 23 6 3 4" xfId="53249"/>
    <cellStyle name="Обычный 5 23 6 4" xfId="23375"/>
    <cellStyle name="Обычный 5 23 6 4 2" xfId="23376"/>
    <cellStyle name="Обычный 5 23 6 4 2 2" xfId="23377"/>
    <cellStyle name="Обычный 5 23 6 4 2 2 2" xfId="53250"/>
    <cellStyle name="Обычный 5 23 6 4 2 3" xfId="53251"/>
    <cellStyle name="Обычный 5 23 6 4 3" xfId="23378"/>
    <cellStyle name="Обычный 5 23 6 4 3 2" xfId="53252"/>
    <cellStyle name="Обычный 5 23 6 4 4" xfId="53253"/>
    <cellStyle name="Обычный 5 23 6 5" xfId="23379"/>
    <cellStyle name="Обычный 5 23 6 5 2" xfId="23380"/>
    <cellStyle name="Обычный 5 23 6 5 2 2" xfId="53254"/>
    <cellStyle name="Обычный 5 23 6 5 3" xfId="53255"/>
    <cellStyle name="Обычный 5 23 6 6" xfId="23381"/>
    <cellStyle name="Обычный 5 23 6 6 2" xfId="53256"/>
    <cellStyle name="Обычный 5 23 6 7" xfId="23382"/>
    <cellStyle name="Обычный 5 23 6 7 2" xfId="53257"/>
    <cellStyle name="Обычный 5 23 6 8" xfId="53258"/>
    <cellStyle name="Обычный 5 23 7" xfId="23383"/>
    <cellStyle name="Обычный 5 23 7 2" xfId="23384"/>
    <cellStyle name="Обычный 5 23 7 2 2" xfId="23385"/>
    <cellStyle name="Обычный 5 23 7 2 2 2" xfId="23386"/>
    <cellStyle name="Обычный 5 23 7 2 2 2 2" xfId="53259"/>
    <cellStyle name="Обычный 5 23 7 2 2 3" xfId="53260"/>
    <cellStyle name="Обычный 5 23 7 2 3" xfId="23387"/>
    <cellStyle name="Обычный 5 23 7 2 3 2" xfId="53261"/>
    <cellStyle name="Обычный 5 23 7 2 4" xfId="53262"/>
    <cellStyle name="Обычный 5 23 7 3" xfId="23388"/>
    <cellStyle name="Обычный 5 23 7 3 2" xfId="23389"/>
    <cellStyle name="Обычный 5 23 7 3 2 2" xfId="23390"/>
    <cellStyle name="Обычный 5 23 7 3 2 2 2" xfId="53263"/>
    <cellStyle name="Обычный 5 23 7 3 2 3" xfId="53264"/>
    <cellStyle name="Обычный 5 23 7 3 3" xfId="23391"/>
    <cellStyle name="Обычный 5 23 7 3 3 2" xfId="53265"/>
    <cellStyle name="Обычный 5 23 7 3 4" xfId="53266"/>
    <cellStyle name="Обычный 5 23 7 4" xfId="23392"/>
    <cellStyle name="Обычный 5 23 7 4 2" xfId="23393"/>
    <cellStyle name="Обычный 5 23 7 4 2 2" xfId="23394"/>
    <cellStyle name="Обычный 5 23 7 4 2 2 2" xfId="53267"/>
    <cellStyle name="Обычный 5 23 7 4 2 3" xfId="53268"/>
    <cellStyle name="Обычный 5 23 7 4 3" xfId="23395"/>
    <cellStyle name="Обычный 5 23 7 4 3 2" xfId="53269"/>
    <cellStyle name="Обычный 5 23 7 4 4" xfId="53270"/>
    <cellStyle name="Обычный 5 23 7 5" xfId="23396"/>
    <cellStyle name="Обычный 5 23 7 5 2" xfId="23397"/>
    <cellStyle name="Обычный 5 23 7 5 2 2" xfId="53271"/>
    <cellStyle name="Обычный 5 23 7 5 3" xfId="53272"/>
    <cellStyle name="Обычный 5 23 7 6" xfId="23398"/>
    <cellStyle name="Обычный 5 23 7 6 2" xfId="53273"/>
    <cellStyle name="Обычный 5 23 7 7" xfId="23399"/>
    <cellStyle name="Обычный 5 23 7 7 2" xfId="53274"/>
    <cellStyle name="Обычный 5 23 7 8" xfId="53275"/>
    <cellStyle name="Обычный 5 23 8" xfId="23400"/>
    <cellStyle name="Обычный 5 23 8 2" xfId="23401"/>
    <cellStyle name="Обычный 5 23 8 2 2" xfId="23402"/>
    <cellStyle name="Обычный 5 23 8 2 2 2" xfId="23403"/>
    <cellStyle name="Обычный 5 23 8 2 2 2 2" xfId="53276"/>
    <cellStyle name="Обычный 5 23 8 2 2 3" xfId="53277"/>
    <cellStyle name="Обычный 5 23 8 2 3" xfId="23404"/>
    <cellStyle name="Обычный 5 23 8 2 3 2" xfId="53278"/>
    <cellStyle name="Обычный 5 23 8 2 4" xfId="53279"/>
    <cellStyle name="Обычный 5 23 8 3" xfId="23405"/>
    <cellStyle name="Обычный 5 23 8 3 2" xfId="23406"/>
    <cellStyle name="Обычный 5 23 8 3 2 2" xfId="23407"/>
    <cellStyle name="Обычный 5 23 8 3 2 2 2" xfId="53280"/>
    <cellStyle name="Обычный 5 23 8 3 2 3" xfId="53281"/>
    <cellStyle name="Обычный 5 23 8 3 3" xfId="23408"/>
    <cellStyle name="Обычный 5 23 8 3 3 2" xfId="53282"/>
    <cellStyle name="Обычный 5 23 8 3 4" xfId="53283"/>
    <cellStyle name="Обычный 5 23 8 4" xfId="23409"/>
    <cellStyle name="Обычный 5 23 8 4 2" xfId="23410"/>
    <cellStyle name="Обычный 5 23 8 4 2 2" xfId="23411"/>
    <cellStyle name="Обычный 5 23 8 4 2 2 2" xfId="53284"/>
    <cellStyle name="Обычный 5 23 8 4 2 3" xfId="53285"/>
    <cellStyle name="Обычный 5 23 8 4 3" xfId="23412"/>
    <cellStyle name="Обычный 5 23 8 4 3 2" xfId="53286"/>
    <cellStyle name="Обычный 5 23 8 4 4" xfId="53287"/>
    <cellStyle name="Обычный 5 23 8 5" xfId="23413"/>
    <cellStyle name="Обычный 5 23 8 5 2" xfId="23414"/>
    <cellStyle name="Обычный 5 23 8 5 2 2" xfId="53288"/>
    <cellStyle name="Обычный 5 23 8 5 3" xfId="53289"/>
    <cellStyle name="Обычный 5 23 8 6" xfId="23415"/>
    <cellStyle name="Обычный 5 23 8 6 2" xfId="53290"/>
    <cellStyle name="Обычный 5 23 8 7" xfId="23416"/>
    <cellStyle name="Обычный 5 23 8 7 2" xfId="53291"/>
    <cellStyle name="Обычный 5 23 8 8" xfId="53292"/>
    <cellStyle name="Обычный 5 23 9" xfId="23417"/>
    <cellStyle name="Обычный 5 23 9 2" xfId="23418"/>
    <cellStyle name="Обычный 5 23 9 2 2" xfId="23419"/>
    <cellStyle name="Обычный 5 23 9 2 2 2" xfId="23420"/>
    <cellStyle name="Обычный 5 23 9 2 2 2 2" xfId="53293"/>
    <cellStyle name="Обычный 5 23 9 2 2 3" xfId="53294"/>
    <cellStyle name="Обычный 5 23 9 2 3" xfId="23421"/>
    <cellStyle name="Обычный 5 23 9 2 3 2" xfId="53295"/>
    <cellStyle name="Обычный 5 23 9 2 4" xfId="53296"/>
    <cellStyle name="Обычный 5 23 9 3" xfId="23422"/>
    <cellStyle name="Обычный 5 23 9 3 2" xfId="23423"/>
    <cellStyle name="Обычный 5 23 9 3 2 2" xfId="23424"/>
    <cellStyle name="Обычный 5 23 9 3 2 2 2" xfId="53297"/>
    <cellStyle name="Обычный 5 23 9 3 2 3" xfId="53298"/>
    <cellStyle name="Обычный 5 23 9 3 3" xfId="23425"/>
    <cellStyle name="Обычный 5 23 9 3 3 2" xfId="53299"/>
    <cellStyle name="Обычный 5 23 9 3 4" xfId="53300"/>
    <cellStyle name="Обычный 5 23 9 4" xfId="23426"/>
    <cellStyle name="Обычный 5 23 9 4 2" xfId="23427"/>
    <cellStyle name="Обычный 5 23 9 4 2 2" xfId="23428"/>
    <cellStyle name="Обычный 5 23 9 4 2 2 2" xfId="53301"/>
    <cellStyle name="Обычный 5 23 9 4 2 3" xfId="53302"/>
    <cellStyle name="Обычный 5 23 9 4 3" xfId="23429"/>
    <cellStyle name="Обычный 5 23 9 4 3 2" xfId="53303"/>
    <cellStyle name="Обычный 5 23 9 4 4" xfId="53304"/>
    <cellStyle name="Обычный 5 23 9 5" xfId="23430"/>
    <cellStyle name="Обычный 5 23 9 5 2" xfId="23431"/>
    <cellStyle name="Обычный 5 23 9 5 2 2" xfId="53305"/>
    <cellStyle name="Обычный 5 23 9 5 3" xfId="53306"/>
    <cellStyle name="Обычный 5 23 9 6" xfId="23432"/>
    <cellStyle name="Обычный 5 23 9 6 2" xfId="53307"/>
    <cellStyle name="Обычный 5 23 9 7" xfId="23433"/>
    <cellStyle name="Обычный 5 23 9 7 2" xfId="53308"/>
    <cellStyle name="Обычный 5 23 9 8" xfId="53309"/>
    <cellStyle name="Обычный 5 24" xfId="23434"/>
    <cellStyle name="Обычный 5 24 2" xfId="23435"/>
    <cellStyle name="Обычный 5 24 2 2" xfId="23436"/>
    <cellStyle name="Обычный 5 24 2 2 2" xfId="23437"/>
    <cellStyle name="Обычный 5 24 2 2 2 2" xfId="53310"/>
    <cellStyle name="Обычный 5 24 2 2 3" xfId="53311"/>
    <cellStyle name="Обычный 5 24 2 3" xfId="23438"/>
    <cellStyle name="Обычный 5 24 2 3 2" xfId="53312"/>
    <cellStyle name="Обычный 5 24 2 4" xfId="53313"/>
    <cellStyle name="Обычный 5 24 3" xfId="23439"/>
    <cellStyle name="Обычный 5 24 3 2" xfId="23440"/>
    <cellStyle name="Обычный 5 24 3 2 2" xfId="23441"/>
    <cellStyle name="Обычный 5 24 3 2 2 2" xfId="53314"/>
    <cellStyle name="Обычный 5 24 3 2 3" xfId="53315"/>
    <cellStyle name="Обычный 5 24 3 3" xfId="23442"/>
    <cellStyle name="Обычный 5 24 3 3 2" xfId="53316"/>
    <cellStyle name="Обычный 5 24 3 4" xfId="53317"/>
    <cellStyle name="Обычный 5 24 4" xfId="23443"/>
    <cellStyle name="Обычный 5 24 4 2" xfId="23444"/>
    <cellStyle name="Обычный 5 24 4 2 2" xfId="23445"/>
    <cellStyle name="Обычный 5 24 4 2 2 2" xfId="53318"/>
    <cellStyle name="Обычный 5 24 4 2 3" xfId="53319"/>
    <cellStyle name="Обычный 5 24 4 3" xfId="23446"/>
    <cellStyle name="Обычный 5 24 4 3 2" xfId="53320"/>
    <cellStyle name="Обычный 5 24 4 4" xfId="53321"/>
    <cellStyle name="Обычный 5 24 5" xfId="23447"/>
    <cellStyle name="Обычный 5 24 5 2" xfId="23448"/>
    <cellStyle name="Обычный 5 24 5 2 2" xfId="53322"/>
    <cellStyle name="Обычный 5 24 5 3" xfId="53323"/>
    <cellStyle name="Обычный 5 24 6" xfId="23449"/>
    <cellStyle name="Обычный 5 24 6 2" xfId="53324"/>
    <cellStyle name="Обычный 5 24 7" xfId="23450"/>
    <cellStyle name="Обычный 5 24 7 2" xfId="53325"/>
    <cellStyle name="Обычный 5 24 8" xfId="53326"/>
    <cellStyle name="Обычный 5 25" xfId="23451"/>
    <cellStyle name="Обычный 5 25 2" xfId="23452"/>
    <cellStyle name="Обычный 5 25 2 2" xfId="23453"/>
    <cellStyle name="Обычный 5 25 2 2 2" xfId="23454"/>
    <cellStyle name="Обычный 5 25 2 2 2 2" xfId="53327"/>
    <cellStyle name="Обычный 5 25 2 2 3" xfId="53328"/>
    <cellStyle name="Обычный 5 25 2 3" xfId="23455"/>
    <cellStyle name="Обычный 5 25 2 3 2" xfId="53329"/>
    <cellStyle name="Обычный 5 25 2 4" xfId="53330"/>
    <cellStyle name="Обычный 5 25 3" xfId="23456"/>
    <cellStyle name="Обычный 5 25 3 2" xfId="23457"/>
    <cellStyle name="Обычный 5 25 3 2 2" xfId="23458"/>
    <cellStyle name="Обычный 5 25 3 2 2 2" xfId="53331"/>
    <cellStyle name="Обычный 5 25 3 2 3" xfId="53332"/>
    <cellStyle name="Обычный 5 25 3 3" xfId="23459"/>
    <cellStyle name="Обычный 5 25 3 3 2" xfId="53333"/>
    <cellStyle name="Обычный 5 25 3 4" xfId="53334"/>
    <cellStyle name="Обычный 5 25 4" xfId="23460"/>
    <cellStyle name="Обычный 5 25 4 2" xfId="23461"/>
    <cellStyle name="Обычный 5 25 4 2 2" xfId="23462"/>
    <cellStyle name="Обычный 5 25 4 2 2 2" xfId="53335"/>
    <cellStyle name="Обычный 5 25 4 2 3" xfId="53336"/>
    <cellStyle name="Обычный 5 25 4 3" xfId="23463"/>
    <cellStyle name="Обычный 5 25 4 3 2" xfId="53337"/>
    <cellStyle name="Обычный 5 25 4 4" xfId="53338"/>
    <cellStyle name="Обычный 5 25 5" xfId="23464"/>
    <cellStyle name="Обычный 5 25 5 2" xfId="23465"/>
    <cellStyle name="Обычный 5 25 5 2 2" xfId="53339"/>
    <cellStyle name="Обычный 5 25 5 3" xfId="53340"/>
    <cellStyle name="Обычный 5 25 6" xfId="23466"/>
    <cellStyle name="Обычный 5 25 6 2" xfId="53341"/>
    <cellStyle name="Обычный 5 25 7" xfId="23467"/>
    <cellStyle name="Обычный 5 25 7 2" xfId="53342"/>
    <cellStyle name="Обычный 5 25 8" xfId="53343"/>
    <cellStyle name="Обычный 5 26" xfId="23468"/>
    <cellStyle name="Обычный 5 26 2" xfId="23469"/>
    <cellStyle name="Обычный 5 26 2 2" xfId="23470"/>
    <cellStyle name="Обычный 5 26 2 2 2" xfId="23471"/>
    <cellStyle name="Обычный 5 26 2 2 2 2" xfId="53344"/>
    <cellStyle name="Обычный 5 26 2 2 3" xfId="53345"/>
    <cellStyle name="Обычный 5 26 2 3" xfId="23472"/>
    <cellStyle name="Обычный 5 26 2 3 2" xfId="53346"/>
    <cellStyle name="Обычный 5 26 2 4" xfId="53347"/>
    <cellStyle name="Обычный 5 26 3" xfId="23473"/>
    <cellStyle name="Обычный 5 26 3 2" xfId="23474"/>
    <cellStyle name="Обычный 5 26 3 2 2" xfId="23475"/>
    <cellStyle name="Обычный 5 26 3 2 2 2" xfId="53348"/>
    <cellStyle name="Обычный 5 26 3 2 3" xfId="53349"/>
    <cellStyle name="Обычный 5 26 3 3" xfId="23476"/>
    <cellStyle name="Обычный 5 26 3 3 2" xfId="53350"/>
    <cellStyle name="Обычный 5 26 3 4" xfId="53351"/>
    <cellStyle name="Обычный 5 26 4" xfId="23477"/>
    <cellStyle name="Обычный 5 26 4 2" xfId="23478"/>
    <cellStyle name="Обычный 5 26 4 2 2" xfId="23479"/>
    <cellStyle name="Обычный 5 26 4 2 2 2" xfId="53352"/>
    <cellStyle name="Обычный 5 26 4 2 3" xfId="53353"/>
    <cellStyle name="Обычный 5 26 4 3" xfId="23480"/>
    <cellStyle name="Обычный 5 26 4 3 2" xfId="53354"/>
    <cellStyle name="Обычный 5 26 4 4" xfId="53355"/>
    <cellStyle name="Обычный 5 26 5" xfId="23481"/>
    <cellStyle name="Обычный 5 26 5 2" xfId="23482"/>
    <cellStyle name="Обычный 5 26 5 2 2" xfId="53356"/>
    <cellStyle name="Обычный 5 26 5 3" xfId="53357"/>
    <cellStyle name="Обычный 5 26 6" xfId="23483"/>
    <cellStyle name="Обычный 5 26 6 2" xfId="53358"/>
    <cellStyle name="Обычный 5 26 7" xfId="23484"/>
    <cellStyle name="Обычный 5 26 7 2" xfId="53359"/>
    <cellStyle name="Обычный 5 26 8" xfId="53360"/>
    <cellStyle name="Обычный 5 27" xfId="23485"/>
    <cellStyle name="Обычный 5 27 2" xfId="23486"/>
    <cellStyle name="Обычный 5 27 2 2" xfId="23487"/>
    <cellStyle name="Обычный 5 27 2 2 2" xfId="23488"/>
    <cellStyle name="Обычный 5 27 2 2 2 2" xfId="53361"/>
    <cellStyle name="Обычный 5 27 2 2 3" xfId="53362"/>
    <cellStyle name="Обычный 5 27 2 3" xfId="23489"/>
    <cellStyle name="Обычный 5 27 2 3 2" xfId="53363"/>
    <cellStyle name="Обычный 5 27 2 4" xfId="53364"/>
    <cellStyle name="Обычный 5 27 3" xfId="23490"/>
    <cellStyle name="Обычный 5 27 3 2" xfId="23491"/>
    <cellStyle name="Обычный 5 27 3 2 2" xfId="23492"/>
    <cellStyle name="Обычный 5 27 3 2 2 2" xfId="53365"/>
    <cellStyle name="Обычный 5 27 3 2 3" xfId="53366"/>
    <cellStyle name="Обычный 5 27 3 3" xfId="23493"/>
    <cellStyle name="Обычный 5 27 3 3 2" xfId="53367"/>
    <cellStyle name="Обычный 5 27 3 4" xfId="53368"/>
    <cellStyle name="Обычный 5 27 4" xfId="23494"/>
    <cellStyle name="Обычный 5 27 4 2" xfId="23495"/>
    <cellStyle name="Обычный 5 27 4 2 2" xfId="23496"/>
    <cellStyle name="Обычный 5 27 4 2 2 2" xfId="53369"/>
    <cellStyle name="Обычный 5 27 4 2 3" xfId="53370"/>
    <cellStyle name="Обычный 5 27 4 3" xfId="23497"/>
    <cellStyle name="Обычный 5 27 4 3 2" xfId="53371"/>
    <cellStyle name="Обычный 5 27 4 4" xfId="53372"/>
    <cellStyle name="Обычный 5 27 5" xfId="23498"/>
    <cellStyle name="Обычный 5 27 5 2" xfId="23499"/>
    <cellStyle name="Обычный 5 27 5 2 2" xfId="53373"/>
    <cellStyle name="Обычный 5 27 5 3" xfId="53374"/>
    <cellStyle name="Обычный 5 27 6" xfId="23500"/>
    <cellStyle name="Обычный 5 27 6 2" xfId="53375"/>
    <cellStyle name="Обычный 5 27 7" xfId="23501"/>
    <cellStyle name="Обычный 5 27 7 2" xfId="53376"/>
    <cellStyle name="Обычный 5 27 8" xfId="53377"/>
    <cellStyle name="Обычный 5 28" xfId="23502"/>
    <cellStyle name="Обычный 5 28 2" xfId="23503"/>
    <cellStyle name="Обычный 5 28 2 2" xfId="23504"/>
    <cellStyle name="Обычный 5 28 2 2 2" xfId="23505"/>
    <cellStyle name="Обычный 5 28 2 2 2 2" xfId="53378"/>
    <cellStyle name="Обычный 5 28 2 2 3" xfId="53379"/>
    <cellStyle name="Обычный 5 28 2 3" xfId="23506"/>
    <cellStyle name="Обычный 5 28 2 3 2" xfId="53380"/>
    <cellStyle name="Обычный 5 28 2 4" xfId="53381"/>
    <cellStyle name="Обычный 5 28 3" xfId="23507"/>
    <cellStyle name="Обычный 5 28 3 2" xfId="23508"/>
    <cellStyle name="Обычный 5 28 3 2 2" xfId="23509"/>
    <cellStyle name="Обычный 5 28 3 2 2 2" xfId="53382"/>
    <cellStyle name="Обычный 5 28 3 2 3" xfId="53383"/>
    <cellStyle name="Обычный 5 28 3 3" xfId="23510"/>
    <cellStyle name="Обычный 5 28 3 3 2" xfId="53384"/>
    <cellStyle name="Обычный 5 28 3 4" xfId="53385"/>
    <cellStyle name="Обычный 5 28 4" xfId="23511"/>
    <cellStyle name="Обычный 5 28 4 2" xfId="23512"/>
    <cellStyle name="Обычный 5 28 4 2 2" xfId="23513"/>
    <cellStyle name="Обычный 5 28 4 2 2 2" xfId="53386"/>
    <cellStyle name="Обычный 5 28 4 2 3" xfId="53387"/>
    <cellStyle name="Обычный 5 28 4 3" xfId="23514"/>
    <cellStyle name="Обычный 5 28 4 3 2" xfId="53388"/>
    <cellStyle name="Обычный 5 28 4 4" xfId="53389"/>
    <cellStyle name="Обычный 5 28 5" xfId="23515"/>
    <cellStyle name="Обычный 5 28 5 2" xfId="23516"/>
    <cellStyle name="Обычный 5 28 5 2 2" xfId="53390"/>
    <cellStyle name="Обычный 5 28 5 3" xfId="53391"/>
    <cellStyle name="Обычный 5 28 6" xfId="23517"/>
    <cellStyle name="Обычный 5 28 6 2" xfId="53392"/>
    <cellStyle name="Обычный 5 28 7" xfId="23518"/>
    <cellStyle name="Обычный 5 28 7 2" xfId="53393"/>
    <cellStyle name="Обычный 5 28 8" xfId="53394"/>
    <cellStyle name="Обычный 5 29" xfId="23519"/>
    <cellStyle name="Обычный 5 29 2" xfId="23520"/>
    <cellStyle name="Обычный 5 29 2 2" xfId="23521"/>
    <cellStyle name="Обычный 5 29 2 2 2" xfId="23522"/>
    <cellStyle name="Обычный 5 29 2 2 2 2" xfId="53395"/>
    <cellStyle name="Обычный 5 29 2 2 3" xfId="53396"/>
    <cellStyle name="Обычный 5 29 2 3" xfId="23523"/>
    <cellStyle name="Обычный 5 29 2 3 2" xfId="53397"/>
    <cellStyle name="Обычный 5 29 2 4" xfId="53398"/>
    <cellStyle name="Обычный 5 29 3" xfId="23524"/>
    <cellStyle name="Обычный 5 29 3 2" xfId="23525"/>
    <cellStyle name="Обычный 5 29 3 2 2" xfId="23526"/>
    <cellStyle name="Обычный 5 29 3 2 2 2" xfId="53399"/>
    <cellStyle name="Обычный 5 29 3 2 3" xfId="53400"/>
    <cellStyle name="Обычный 5 29 3 3" xfId="23527"/>
    <cellStyle name="Обычный 5 29 3 3 2" xfId="53401"/>
    <cellStyle name="Обычный 5 29 3 4" xfId="53402"/>
    <cellStyle name="Обычный 5 29 4" xfId="23528"/>
    <cellStyle name="Обычный 5 29 4 2" xfId="23529"/>
    <cellStyle name="Обычный 5 29 4 2 2" xfId="23530"/>
    <cellStyle name="Обычный 5 29 4 2 2 2" xfId="53403"/>
    <cellStyle name="Обычный 5 29 4 2 3" xfId="53404"/>
    <cellStyle name="Обычный 5 29 4 3" xfId="23531"/>
    <cellStyle name="Обычный 5 29 4 3 2" xfId="53405"/>
    <cellStyle name="Обычный 5 29 4 4" xfId="53406"/>
    <cellStyle name="Обычный 5 29 5" xfId="23532"/>
    <cellStyle name="Обычный 5 29 5 2" xfId="23533"/>
    <cellStyle name="Обычный 5 29 5 2 2" xfId="53407"/>
    <cellStyle name="Обычный 5 29 5 3" xfId="53408"/>
    <cellStyle name="Обычный 5 29 6" xfId="23534"/>
    <cellStyle name="Обычный 5 29 6 2" xfId="53409"/>
    <cellStyle name="Обычный 5 29 7" xfId="23535"/>
    <cellStyle name="Обычный 5 29 7 2" xfId="53410"/>
    <cellStyle name="Обычный 5 29 8" xfId="53411"/>
    <cellStyle name="Обычный 5 3" xfId="23536"/>
    <cellStyle name="Обычный 5 3 10" xfId="23537"/>
    <cellStyle name="Обычный 5 3 10 2" xfId="23538"/>
    <cellStyle name="Обычный 5 3 10 2 2" xfId="23539"/>
    <cellStyle name="Обычный 5 3 10 2 2 2" xfId="23540"/>
    <cellStyle name="Обычный 5 3 10 2 2 2 2" xfId="53412"/>
    <cellStyle name="Обычный 5 3 10 2 2 3" xfId="53413"/>
    <cellStyle name="Обычный 5 3 10 2 3" xfId="23541"/>
    <cellStyle name="Обычный 5 3 10 2 3 2" xfId="53414"/>
    <cellStyle name="Обычный 5 3 10 2 4" xfId="53415"/>
    <cellStyle name="Обычный 5 3 10 3" xfId="23542"/>
    <cellStyle name="Обычный 5 3 10 3 2" xfId="23543"/>
    <cellStyle name="Обычный 5 3 10 3 2 2" xfId="23544"/>
    <cellStyle name="Обычный 5 3 10 3 2 2 2" xfId="53416"/>
    <cellStyle name="Обычный 5 3 10 3 2 3" xfId="53417"/>
    <cellStyle name="Обычный 5 3 10 3 3" xfId="23545"/>
    <cellStyle name="Обычный 5 3 10 3 3 2" xfId="53418"/>
    <cellStyle name="Обычный 5 3 10 3 4" xfId="53419"/>
    <cellStyle name="Обычный 5 3 10 4" xfId="23546"/>
    <cellStyle name="Обычный 5 3 10 4 2" xfId="23547"/>
    <cellStyle name="Обычный 5 3 10 4 2 2" xfId="23548"/>
    <cellStyle name="Обычный 5 3 10 4 2 2 2" xfId="53420"/>
    <cellStyle name="Обычный 5 3 10 4 2 3" xfId="53421"/>
    <cellStyle name="Обычный 5 3 10 4 3" xfId="23549"/>
    <cellStyle name="Обычный 5 3 10 4 3 2" xfId="53422"/>
    <cellStyle name="Обычный 5 3 10 4 4" xfId="53423"/>
    <cellStyle name="Обычный 5 3 10 5" xfId="23550"/>
    <cellStyle name="Обычный 5 3 10 5 2" xfId="23551"/>
    <cellStyle name="Обычный 5 3 10 5 2 2" xfId="53424"/>
    <cellStyle name="Обычный 5 3 10 5 3" xfId="53425"/>
    <cellStyle name="Обычный 5 3 10 6" xfId="23552"/>
    <cellStyle name="Обычный 5 3 10 6 2" xfId="53426"/>
    <cellStyle name="Обычный 5 3 10 7" xfId="23553"/>
    <cellStyle name="Обычный 5 3 10 7 2" xfId="53427"/>
    <cellStyle name="Обычный 5 3 10 8" xfId="53428"/>
    <cellStyle name="Обычный 5 3 11" xfId="23554"/>
    <cellStyle name="Обычный 5 3 11 2" xfId="23555"/>
    <cellStyle name="Обычный 5 3 11 2 2" xfId="23556"/>
    <cellStyle name="Обычный 5 3 11 2 2 2" xfId="23557"/>
    <cellStyle name="Обычный 5 3 11 2 2 2 2" xfId="53429"/>
    <cellStyle name="Обычный 5 3 11 2 2 3" xfId="53430"/>
    <cellStyle name="Обычный 5 3 11 2 3" xfId="23558"/>
    <cellStyle name="Обычный 5 3 11 2 3 2" xfId="53431"/>
    <cellStyle name="Обычный 5 3 11 2 4" xfId="53432"/>
    <cellStyle name="Обычный 5 3 11 3" xfId="23559"/>
    <cellStyle name="Обычный 5 3 11 3 2" xfId="23560"/>
    <cellStyle name="Обычный 5 3 11 3 2 2" xfId="23561"/>
    <cellStyle name="Обычный 5 3 11 3 2 2 2" xfId="53433"/>
    <cellStyle name="Обычный 5 3 11 3 2 3" xfId="53434"/>
    <cellStyle name="Обычный 5 3 11 3 3" xfId="23562"/>
    <cellStyle name="Обычный 5 3 11 3 3 2" xfId="53435"/>
    <cellStyle name="Обычный 5 3 11 3 4" xfId="53436"/>
    <cellStyle name="Обычный 5 3 11 4" xfId="23563"/>
    <cellStyle name="Обычный 5 3 11 4 2" xfId="23564"/>
    <cellStyle name="Обычный 5 3 11 4 2 2" xfId="23565"/>
    <cellStyle name="Обычный 5 3 11 4 2 2 2" xfId="53437"/>
    <cellStyle name="Обычный 5 3 11 4 2 3" xfId="53438"/>
    <cellStyle name="Обычный 5 3 11 4 3" xfId="23566"/>
    <cellStyle name="Обычный 5 3 11 4 3 2" xfId="53439"/>
    <cellStyle name="Обычный 5 3 11 4 4" xfId="53440"/>
    <cellStyle name="Обычный 5 3 11 5" xfId="23567"/>
    <cellStyle name="Обычный 5 3 11 5 2" xfId="23568"/>
    <cellStyle name="Обычный 5 3 11 5 2 2" xfId="53441"/>
    <cellStyle name="Обычный 5 3 11 5 3" xfId="53442"/>
    <cellStyle name="Обычный 5 3 11 6" xfId="23569"/>
    <cellStyle name="Обычный 5 3 11 6 2" xfId="53443"/>
    <cellStyle name="Обычный 5 3 11 7" xfId="23570"/>
    <cellStyle name="Обычный 5 3 11 7 2" xfId="53444"/>
    <cellStyle name="Обычный 5 3 11 8" xfId="53445"/>
    <cellStyle name="Обычный 5 3 12" xfId="23571"/>
    <cellStyle name="Обычный 5 3 12 2" xfId="23572"/>
    <cellStyle name="Обычный 5 3 12 2 2" xfId="23573"/>
    <cellStyle name="Обычный 5 3 12 2 2 2" xfId="23574"/>
    <cellStyle name="Обычный 5 3 12 2 2 2 2" xfId="53446"/>
    <cellStyle name="Обычный 5 3 12 2 2 3" xfId="53447"/>
    <cellStyle name="Обычный 5 3 12 2 3" xfId="23575"/>
    <cellStyle name="Обычный 5 3 12 2 3 2" xfId="53448"/>
    <cellStyle name="Обычный 5 3 12 2 4" xfId="53449"/>
    <cellStyle name="Обычный 5 3 12 3" xfId="23576"/>
    <cellStyle name="Обычный 5 3 12 3 2" xfId="23577"/>
    <cellStyle name="Обычный 5 3 12 3 2 2" xfId="23578"/>
    <cellStyle name="Обычный 5 3 12 3 2 2 2" xfId="53450"/>
    <cellStyle name="Обычный 5 3 12 3 2 3" xfId="53451"/>
    <cellStyle name="Обычный 5 3 12 3 3" xfId="23579"/>
    <cellStyle name="Обычный 5 3 12 3 3 2" xfId="53452"/>
    <cellStyle name="Обычный 5 3 12 3 4" xfId="53453"/>
    <cellStyle name="Обычный 5 3 12 4" xfId="23580"/>
    <cellStyle name="Обычный 5 3 12 4 2" xfId="23581"/>
    <cellStyle name="Обычный 5 3 12 4 2 2" xfId="23582"/>
    <cellStyle name="Обычный 5 3 12 4 2 2 2" xfId="53454"/>
    <cellStyle name="Обычный 5 3 12 4 2 3" xfId="53455"/>
    <cellStyle name="Обычный 5 3 12 4 3" xfId="23583"/>
    <cellStyle name="Обычный 5 3 12 4 3 2" xfId="53456"/>
    <cellStyle name="Обычный 5 3 12 4 4" xfId="53457"/>
    <cellStyle name="Обычный 5 3 12 5" xfId="23584"/>
    <cellStyle name="Обычный 5 3 12 5 2" xfId="23585"/>
    <cellStyle name="Обычный 5 3 12 5 2 2" xfId="53458"/>
    <cellStyle name="Обычный 5 3 12 5 3" xfId="53459"/>
    <cellStyle name="Обычный 5 3 12 6" xfId="23586"/>
    <cellStyle name="Обычный 5 3 12 6 2" xfId="53460"/>
    <cellStyle name="Обычный 5 3 12 7" xfId="23587"/>
    <cellStyle name="Обычный 5 3 12 7 2" xfId="53461"/>
    <cellStyle name="Обычный 5 3 12 8" xfId="53462"/>
    <cellStyle name="Обычный 5 3 13" xfId="23588"/>
    <cellStyle name="Обычный 5 3 13 2" xfId="23589"/>
    <cellStyle name="Обычный 5 3 13 2 2" xfId="23590"/>
    <cellStyle name="Обычный 5 3 13 2 2 2" xfId="23591"/>
    <cellStyle name="Обычный 5 3 13 2 2 2 2" xfId="53463"/>
    <cellStyle name="Обычный 5 3 13 2 2 3" xfId="53464"/>
    <cellStyle name="Обычный 5 3 13 2 3" xfId="23592"/>
    <cellStyle name="Обычный 5 3 13 2 3 2" xfId="53465"/>
    <cellStyle name="Обычный 5 3 13 2 4" xfId="53466"/>
    <cellStyle name="Обычный 5 3 13 3" xfId="23593"/>
    <cellStyle name="Обычный 5 3 13 3 2" xfId="23594"/>
    <cellStyle name="Обычный 5 3 13 3 2 2" xfId="23595"/>
    <cellStyle name="Обычный 5 3 13 3 2 2 2" xfId="53467"/>
    <cellStyle name="Обычный 5 3 13 3 2 3" xfId="53468"/>
    <cellStyle name="Обычный 5 3 13 3 3" xfId="23596"/>
    <cellStyle name="Обычный 5 3 13 3 3 2" xfId="53469"/>
    <cellStyle name="Обычный 5 3 13 3 4" xfId="53470"/>
    <cellStyle name="Обычный 5 3 13 4" xfId="23597"/>
    <cellStyle name="Обычный 5 3 13 4 2" xfId="23598"/>
    <cellStyle name="Обычный 5 3 13 4 2 2" xfId="23599"/>
    <cellStyle name="Обычный 5 3 13 4 2 2 2" xfId="53471"/>
    <cellStyle name="Обычный 5 3 13 4 2 3" xfId="53472"/>
    <cellStyle name="Обычный 5 3 13 4 3" xfId="23600"/>
    <cellStyle name="Обычный 5 3 13 4 3 2" xfId="53473"/>
    <cellStyle name="Обычный 5 3 13 4 4" xfId="53474"/>
    <cellStyle name="Обычный 5 3 13 5" xfId="23601"/>
    <cellStyle name="Обычный 5 3 13 5 2" xfId="23602"/>
    <cellStyle name="Обычный 5 3 13 5 2 2" xfId="53475"/>
    <cellStyle name="Обычный 5 3 13 5 3" xfId="53476"/>
    <cellStyle name="Обычный 5 3 13 6" xfId="23603"/>
    <cellStyle name="Обычный 5 3 13 6 2" xfId="53477"/>
    <cellStyle name="Обычный 5 3 13 7" xfId="23604"/>
    <cellStyle name="Обычный 5 3 13 7 2" xfId="53478"/>
    <cellStyle name="Обычный 5 3 13 8" xfId="53479"/>
    <cellStyle name="Обычный 5 3 14" xfId="23605"/>
    <cellStyle name="Обычный 5 3 14 2" xfId="23606"/>
    <cellStyle name="Обычный 5 3 14 2 2" xfId="23607"/>
    <cellStyle name="Обычный 5 3 14 2 2 2" xfId="23608"/>
    <cellStyle name="Обычный 5 3 14 2 2 2 2" xfId="53480"/>
    <cellStyle name="Обычный 5 3 14 2 2 3" xfId="53481"/>
    <cellStyle name="Обычный 5 3 14 2 3" xfId="23609"/>
    <cellStyle name="Обычный 5 3 14 2 3 2" xfId="53482"/>
    <cellStyle name="Обычный 5 3 14 2 4" xfId="53483"/>
    <cellStyle name="Обычный 5 3 14 3" xfId="23610"/>
    <cellStyle name="Обычный 5 3 14 3 2" xfId="23611"/>
    <cellStyle name="Обычный 5 3 14 3 2 2" xfId="23612"/>
    <cellStyle name="Обычный 5 3 14 3 2 2 2" xfId="53484"/>
    <cellStyle name="Обычный 5 3 14 3 2 3" xfId="53485"/>
    <cellStyle name="Обычный 5 3 14 3 3" xfId="23613"/>
    <cellStyle name="Обычный 5 3 14 3 3 2" xfId="53486"/>
    <cellStyle name="Обычный 5 3 14 3 4" xfId="53487"/>
    <cellStyle name="Обычный 5 3 14 4" xfId="23614"/>
    <cellStyle name="Обычный 5 3 14 4 2" xfId="23615"/>
    <cellStyle name="Обычный 5 3 14 4 2 2" xfId="23616"/>
    <cellStyle name="Обычный 5 3 14 4 2 2 2" xfId="53488"/>
    <cellStyle name="Обычный 5 3 14 4 2 3" xfId="53489"/>
    <cellStyle name="Обычный 5 3 14 4 3" xfId="23617"/>
    <cellStyle name="Обычный 5 3 14 4 3 2" xfId="53490"/>
    <cellStyle name="Обычный 5 3 14 4 4" xfId="53491"/>
    <cellStyle name="Обычный 5 3 14 5" xfId="23618"/>
    <cellStyle name="Обычный 5 3 14 5 2" xfId="23619"/>
    <cellStyle name="Обычный 5 3 14 5 2 2" xfId="53492"/>
    <cellStyle name="Обычный 5 3 14 5 3" xfId="53493"/>
    <cellStyle name="Обычный 5 3 14 6" xfId="23620"/>
    <cellStyle name="Обычный 5 3 14 6 2" xfId="53494"/>
    <cellStyle name="Обычный 5 3 14 7" xfId="23621"/>
    <cellStyle name="Обычный 5 3 14 7 2" xfId="53495"/>
    <cellStyle name="Обычный 5 3 14 8" xfId="53496"/>
    <cellStyle name="Обычный 5 3 15" xfId="23622"/>
    <cellStyle name="Обычный 5 3 15 2" xfId="23623"/>
    <cellStyle name="Обычный 5 3 15 2 2" xfId="23624"/>
    <cellStyle name="Обычный 5 3 15 2 2 2" xfId="23625"/>
    <cellStyle name="Обычный 5 3 15 2 2 2 2" xfId="53497"/>
    <cellStyle name="Обычный 5 3 15 2 2 3" xfId="53498"/>
    <cellStyle name="Обычный 5 3 15 2 3" xfId="23626"/>
    <cellStyle name="Обычный 5 3 15 2 3 2" xfId="53499"/>
    <cellStyle name="Обычный 5 3 15 2 4" xfId="53500"/>
    <cellStyle name="Обычный 5 3 15 3" xfId="23627"/>
    <cellStyle name="Обычный 5 3 15 3 2" xfId="23628"/>
    <cellStyle name="Обычный 5 3 15 3 2 2" xfId="23629"/>
    <cellStyle name="Обычный 5 3 15 3 2 2 2" xfId="53501"/>
    <cellStyle name="Обычный 5 3 15 3 2 3" xfId="53502"/>
    <cellStyle name="Обычный 5 3 15 3 3" xfId="23630"/>
    <cellStyle name="Обычный 5 3 15 3 3 2" xfId="53503"/>
    <cellStyle name="Обычный 5 3 15 3 4" xfId="53504"/>
    <cellStyle name="Обычный 5 3 15 4" xfId="23631"/>
    <cellStyle name="Обычный 5 3 15 4 2" xfId="23632"/>
    <cellStyle name="Обычный 5 3 15 4 2 2" xfId="23633"/>
    <cellStyle name="Обычный 5 3 15 4 2 2 2" xfId="53505"/>
    <cellStyle name="Обычный 5 3 15 4 2 3" xfId="53506"/>
    <cellStyle name="Обычный 5 3 15 4 3" xfId="23634"/>
    <cellStyle name="Обычный 5 3 15 4 3 2" xfId="53507"/>
    <cellStyle name="Обычный 5 3 15 4 4" xfId="53508"/>
    <cellStyle name="Обычный 5 3 15 5" xfId="23635"/>
    <cellStyle name="Обычный 5 3 15 5 2" xfId="23636"/>
    <cellStyle name="Обычный 5 3 15 5 2 2" xfId="53509"/>
    <cellStyle name="Обычный 5 3 15 5 3" xfId="53510"/>
    <cellStyle name="Обычный 5 3 15 6" xfId="23637"/>
    <cellStyle name="Обычный 5 3 15 6 2" xfId="53511"/>
    <cellStyle name="Обычный 5 3 15 7" xfId="23638"/>
    <cellStyle name="Обычный 5 3 15 7 2" xfId="53512"/>
    <cellStyle name="Обычный 5 3 15 8" xfId="53513"/>
    <cellStyle name="Обычный 5 3 16" xfId="23639"/>
    <cellStyle name="Обычный 5 3 16 2" xfId="23640"/>
    <cellStyle name="Обычный 5 3 16 2 2" xfId="23641"/>
    <cellStyle name="Обычный 5 3 16 2 2 2" xfId="23642"/>
    <cellStyle name="Обычный 5 3 16 2 2 2 2" xfId="53514"/>
    <cellStyle name="Обычный 5 3 16 2 2 3" xfId="53515"/>
    <cellStyle name="Обычный 5 3 16 2 3" xfId="23643"/>
    <cellStyle name="Обычный 5 3 16 2 3 2" xfId="53516"/>
    <cellStyle name="Обычный 5 3 16 2 4" xfId="53517"/>
    <cellStyle name="Обычный 5 3 16 3" xfId="23644"/>
    <cellStyle name="Обычный 5 3 16 3 2" xfId="23645"/>
    <cellStyle name="Обычный 5 3 16 3 2 2" xfId="23646"/>
    <cellStyle name="Обычный 5 3 16 3 2 2 2" xfId="53518"/>
    <cellStyle name="Обычный 5 3 16 3 2 3" xfId="53519"/>
    <cellStyle name="Обычный 5 3 16 3 3" xfId="23647"/>
    <cellStyle name="Обычный 5 3 16 3 3 2" xfId="53520"/>
    <cellStyle name="Обычный 5 3 16 3 4" xfId="53521"/>
    <cellStyle name="Обычный 5 3 16 4" xfId="23648"/>
    <cellStyle name="Обычный 5 3 16 4 2" xfId="23649"/>
    <cellStyle name="Обычный 5 3 16 4 2 2" xfId="23650"/>
    <cellStyle name="Обычный 5 3 16 4 2 2 2" xfId="53522"/>
    <cellStyle name="Обычный 5 3 16 4 2 3" xfId="53523"/>
    <cellStyle name="Обычный 5 3 16 4 3" xfId="23651"/>
    <cellStyle name="Обычный 5 3 16 4 3 2" xfId="53524"/>
    <cellStyle name="Обычный 5 3 16 4 4" xfId="53525"/>
    <cellStyle name="Обычный 5 3 16 5" xfId="23652"/>
    <cellStyle name="Обычный 5 3 16 5 2" xfId="23653"/>
    <cellStyle name="Обычный 5 3 16 5 2 2" xfId="53526"/>
    <cellStyle name="Обычный 5 3 16 5 3" xfId="53527"/>
    <cellStyle name="Обычный 5 3 16 6" xfId="23654"/>
    <cellStyle name="Обычный 5 3 16 6 2" xfId="53528"/>
    <cellStyle name="Обычный 5 3 16 7" xfId="23655"/>
    <cellStyle name="Обычный 5 3 16 7 2" xfId="53529"/>
    <cellStyle name="Обычный 5 3 16 8" xfId="53530"/>
    <cellStyle name="Обычный 5 3 17" xfId="23656"/>
    <cellStyle name="Обычный 5 3 17 2" xfId="23657"/>
    <cellStyle name="Обычный 5 3 17 2 2" xfId="23658"/>
    <cellStyle name="Обычный 5 3 17 2 2 2" xfId="23659"/>
    <cellStyle name="Обычный 5 3 17 2 2 2 2" xfId="53531"/>
    <cellStyle name="Обычный 5 3 17 2 2 3" xfId="53532"/>
    <cellStyle name="Обычный 5 3 17 2 3" xfId="23660"/>
    <cellStyle name="Обычный 5 3 17 2 3 2" xfId="53533"/>
    <cellStyle name="Обычный 5 3 17 2 4" xfId="53534"/>
    <cellStyle name="Обычный 5 3 17 3" xfId="23661"/>
    <cellStyle name="Обычный 5 3 17 3 2" xfId="23662"/>
    <cellStyle name="Обычный 5 3 17 3 2 2" xfId="23663"/>
    <cellStyle name="Обычный 5 3 17 3 2 2 2" xfId="53535"/>
    <cellStyle name="Обычный 5 3 17 3 2 3" xfId="53536"/>
    <cellStyle name="Обычный 5 3 17 3 3" xfId="23664"/>
    <cellStyle name="Обычный 5 3 17 3 3 2" xfId="53537"/>
    <cellStyle name="Обычный 5 3 17 3 4" xfId="53538"/>
    <cellStyle name="Обычный 5 3 17 4" xfId="23665"/>
    <cellStyle name="Обычный 5 3 17 4 2" xfId="23666"/>
    <cellStyle name="Обычный 5 3 17 4 2 2" xfId="23667"/>
    <cellStyle name="Обычный 5 3 17 4 2 2 2" xfId="53539"/>
    <cellStyle name="Обычный 5 3 17 4 2 3" xfId="53540"/>
    <cellStyle name="Обычный 5 3 17 4 3" xfId="23668"/>
    <cellStyle name="Обычный 5 3 17 4 3 2" xfId="53541"/>
    <cellStyle name="Обычный 5 3 17 4 4" xfId="53542"/>
    <cellStyle name="Обычный 5 3 17 5" xfId="23669"/>
    <cellStyle name="Обычный 5 3 17 5 2" xfId="23670"/>
    <cellStyle name="Обычный 5 3 17 5 2 2" xfId="53543"/>
    <cellStyle name="Обычный 5 3 17 5 3" xfId="53544"/>
    <cellStyle name="Обычный 5 3 17 6" xfId="23671"/>
    <cellStyle name="Обычный 5 3 17 6 2" xfId="53545"/>
    <cellStyle name="Обычный 5 3 17 7" xfId="23672"/>
    <cellStyle name="Обычный 5 3 17 7 2" xfId="53546"/>
    <cellStyle name="Обычный 5 3 17 8" xfId="53547"/>
    <cellStyle name="Обычный 5 3 18" xfId="23673"/>
    <cellStyle name="Обычный 5 3 18 2" xfId="23674"/>
    <cellStyle name="Обычный 5 3 18 2 2" xfId="23675"/>
    <cellStyle name="Обычный 5 3 18 2 2 2" xfId="23676"/>
    <cellStyle name="Обычный 5 3 18 2 2 2 2" xfId="53548"/>
    <cellStyle name="Обычный 5 3 18 2 2 3" xfId="53549"/>
    <cellStyle name="Обычный 5 3 18 2 3" xfId="23677"/>
    <cellStyle name="Обычный 5 3 18 2 3 2" xfId="53550"/>
    <cellStyle name="Обычный 5 3 18 2 4" xfId="53551"/>
    <cellStyle name="Обычный 5 3 18 3" xfId="23678"/>
    <cellStyle name="Обычный 5 3 18 3 2" xfId="23679"/>
    <cellStyle name="Обычный 5 3 18 3 2 2" xfId="23680"/>
    <cellStyle name="Обычный 5 3 18 3 2 2 2" xfId="53552"/>
    <cellStyle name="Обычный 5 3 18 3 2 3" xfId="53553"/>
    <cellStyle name="Обычный 5 3 18 3 3" xfId="23681"/>
    <cellStyle name="Обычный 5 3 18 3 3 2" xfId="53554"/>
    <cellStyle name="Обычный 5 3 18 3 4" xfId="53555"/>
    <cellStyle name="Обычный 5 3 18 4" xfId="23682"/>
    <cellStyle name="Обычный 5 3 18 4 2" xfId="23683"/>
    <cellStyle name="Обычный 5 3 18 4 2 2" xfId="23684"/>
    <cellStyle name="Обычный 5 3 18 4 2 2 2" xfId="53556"/>
    <cellStyle name="Обычный 5 3 18 4 2 3" xfId="53557"/>
    <cellStyle name="Обычный 5 3 18 4 3" xfId="23685"/>
    <cellStyle name="Обычный 5 3 18 4 3 2" xfId="53558"/>
    <cellStyle name="Обычный 5 3 18 4 4" xfId="53559"/>
    <cellStyle name="Обычный 5 3 18 5" xfId="23686"/>
    <cellStyle name="Обычный 5 3 18 5 2" xfId="23687"/>
    <cellStyle name="Обычный 5 3 18 5 2 2" xfId="53560"/>
    <cellStyle name="Обычный 5 3 18 5 3" xfId="53561"/>
    <cellStyle name="Обычный 5 3 18 6" xfId="23688"/>
    <cellStyle name="Обычный 5 3 18 6 2" xfId="53562"/>
    <cellStyle name="Обычный 5 3 18 7" xfId="23689"/>
    <cellStyle name="Обычный 5 3 18 7 2" xfId="53563"/>
    <cellStyle name="Обычный 5 3 18 8" xfId="53564"/>
    <cellStyle name="Обычный 5 3 19" xfId="23690"/>
    <cellStyle name="Обычный 5 3 19 2" xfId="23691"/>
    <cellStyle name="Обычный 5 3 19 2 2" xfId="23692"/>
    <cellStyle name="Обычный 5 3 19 2 2 2" xfId="23693"/>
    <cellStyle name="Обычный 5 3 19 2 2 2 2" xfId="53565"/>
    <cellStyle name="Обычный 5 3 19 2 2 3" xfId="53566"/>
    <cellStyle name="Обычный 5 3 19 2 3" xfId="23694"/>
    <cellStyle name="Обычный 5 3 19 2 3 2" xfId="53567"/>
    <cellStyle name="Обычный 5 3 19 2 4" xfId="53568"/>
    <cellStyle name="Обычный 5 3 19 3" xfId="23695"/>
    <cellStyle name="Обычный 5 3 19 3 2" xfId="23696"/>
    <cellStyle name="Обычный 5 3 19 3 2 2" xfId="23697"/>
    <cellStyle name="Обычный 5 3 19 3 2 2 2" xfId="53569"/>
    <cellStyle name="Обычный 5 3 19 3 2 3" xfId="53570"/>
    <cellStyle name="Обычный 5 3 19 3 3" xfId="23698"/>
    <cellStyle name="Обычный 5 3 19 3 3 2" xfId="53571"/>
    <cellStyle name="Обычный 5 3 19 3 4" xfId="53572"/>
    <cellStyle name="Обычный 5 3 19 4" xfId="23699"/>
    <cellStyle name="Обычный 5 3 19 4 2" xfId="23700"/>
    <cellStyle name="Обычный 5 3 19 4 2 2" xfId="23701"/>
    <cellStyle name="Обычный 5 3 19 4 2 2 2" xfId="53573"/>
    <cellStyle name="Обычный 5 3 19 4 2 3" xfId="53574"/>
    <cellStyle name="Обычный 5 3 19 4 3" xfId="23702"/>
    <cellStyle name="Обычный 5 3 19 4 3 2" xfId="53575"/>
    <cellStyle name="Обычный 5 3 19 4 4" xfId="53576"/>
    <cellStyle name="Обычный 5 3 19 5" xfId="23703"/>
    <cellStyle name="Обычный 5 3 19 5 2" xfId="23704"/>
    <cellStyle name="Обычный 5 3 19 5 2 2" xfId="53577"/>
    <cellStyle name="Обычный 5 3 19 5 3" xfId="53578"/>
    <cellStyle name="Обычный 5 3 19 6" xfId="23705"/>
    <cellStyle name="Обычный 5 3 19 6 2" xfId="53579"/>
    <cellStyle name="Обычный 5 3 19 7" xfId="23706"/>
    <cellStyle name="Обычный 5 3 19 7 2" xfId="53580"/>
    <cellStyle name="Обычный 5 3 19 8" xfId="53581"/>
    <cellStyle name="Обычный 5 3 2" xfId="23707"/>
    <cellStyle name="Обычный 5 3 2 2" xfId="23708"/>
    <cellStyle name="Обычный 5 3 2 2 2" xfId="23709"/>
    <cellStyle name="Обычный 5 3 2 2 2 2" xfId="23710"/>
    <cellStyle name="Обычный 5 3 2 2 2 2 2" xfId="23711"/>
    <cellStyle name="Обычный 5 3 2 2 2 2 2 2" xfId="53582"/>
    <cellStyle name="Обычный 5 3 2 2 2 2 3" xfId="53583"/>
    <cellStyle name="Обычный 5 3 2 2 2 3" xfId="23712"/>
    <cellStyle name="Обычный 5 3 2 2 2 3 2" xfId="53584"/>
    <cellStyle name="Обычный 5 3 2 2 2 4" xfId="53585"/>
    <cellStyle name="Обычный 5 3 2 2 3" xfId="23713"/>
    <cellStyle name="Обычный 5 3 2 2 3 2" xfId="23714"/>
    <cellStyle name="Обычный 5 3 2 2 3 2 2" xfId="53586"/>
    <cellStyle name="Обычный 5 3 2 2 3 3" xfId="53587"/>
    <cellStyle name="Обычный 5 3 2 2 4" xfId="23715"/>
    <cellStyle name="Обычный 5 3 2 2 4 2" xfId="53588"/>
    <cellStyle name="Обычный 5 3 2 2 5" xfId="53589"/>
    <cellStyle name="Обычный 5 3 2 3" xfId="23716"/>
    <cellStyle name="Обычный 5 3 2 3 2" xfId="23717"/>
    <cellStyle name="Обычный 5 3 2 3 2 2" xfId="23718"/>
    <cellStyle name="Обычный 5 3 2 3 2 2 2" xfId="53590"/>
    <cellStyle name="Обычный 5 3 2 3 2 3" xfId="53591"/>
    <cellStyle name="Обычный 5 3 2 3 3" xfId="23719"/>
    <cellStyle name="Обычный 5 3 2 3 3 2" xfId="53592"/>
    <cellStyle name="Обычный 5 3 2 3 4" xfId="53593"/>
    <cellStyle name="Обычный 5 3 2 4" xfId="23720"/>
    <cellStyle name="Обычный 5 3 2 4 2" xfId="23721"/>
    <cellStyle name="Обычный 5 3 2 4 2 2" xfId="23722"/>
    <cellStyle name="Обычный 5 3 2 4 2 2 2" xfId="53594"/>
    <cellStyle name="Обычный 5 3 2 4 2 3" xfId="53595"/>
    <cellStyle name="Обычный 5 3 2 4 3" xfId="23723"/>
    <cellStyle name="Обычный 5 3 2 4 3 2" xfId="53596"/>
    <cellStyle name="Обычный 5 3 2 4 4" xfId="53597"/>
    <cellStyle name="Обычный 5 3 2 5" xfId="23724"/>
    <cellStyle name="Обычный 5 3 2 5 2" xfId="23725"/>
    <cellStyle name="Обычный 5 3 2 5 2 2" xfId="23726"/>
    <cellStyle name="Обычный 5 3 2 5 2 2 2" xfId="53598"/>
    <cellStyle name="Обычный 5 3 2 5 2 3" xfId="53599"/>
    <cellStyle name="Обычный 5 3 2 5 3" xfId="23727"/>
    <cellStyle name="Обычный 5 3 2 5 3 2" xfId="53600"/>
    <cellStyle name="Обычный 5 3 2 5 4" xfId="53601"/>
    <cellStyle name="Обычный 5 3 2 6" xfId="23728"/>
    <cellStyle name="Обычный 5 3 2 6 2" xfId="23729"/>
    <cellStyle name="Обычный 5 3 2 6 2 2" xfId="53602"/>
    <cellStyle name="Обычный 5 3 2 6 3" xfId="53603"/>
    <cellStyle name="Обычный 5 3 2 7" xfId="23730"/>
    <cellStyle name="Обычный 5 3 2 7 2" xfId="53604"/>
    <cellStyle name="Обычный 5 3 2 8" xfId="23731"/>
    <cellStyle name="Обычный 5 3 2 8 2" xfId="53605"/>
    <cellStyle name="Обычный 5 3 2 9" xfId="53606"/>
    <cellStyle name="Обычный 5 3 20" xfId="23732"/>
    <cellStyle name="Обычный 5 3 20 2" xfId="23733"/>
    <cellStyle name="Обычный 5 3 20 2 2" xfId="23734"/>
    <cellStyle name="Обычный 5 3 20 2 2 2" xfId="23735"/>
    <cellStyle name="Обычный 5 3 20 2 2 2 2" xfId="53607"/>
    <cellStyle name="Обычный 5 3 20 2 2 3" xfId="53608"/>
    <cellStyle name="Обычный 5 3 20 2 3" xfId="23736"/>
    <cellStyle name="Обычный 5 3 20 2 3 2" xfId="53609"/>
    <cellStyle name="Обычный 5 3 20 2 4" xfId="53610"/>
    <cellStyle name="Обычный 5 3 20 3" xfId="23737"/>
    <cellStyle name="Обычный 5 3 20 3 2" xfId="23738"/>
    <cellStyle name="Обычный 5 3 20 3 2 2" xfId="23739"/>
    <cellStyle name="Обычный 5 3 20 3 2 2 2" xfId="53611"/>
    <cellStyle name="Обычный 5 3 20 3 2 3" xfId="53612"/>
    <cellStyle name="Обычный 5 3 20 3 3" xfId="23740"/>
    <cellStyle name="Обычный 5 3 20 3 3 2" xfId="53613"/>
    <cellStyle name="Обычный 5 3 20 3 4" xfId="53614"/>
    <cellStyle name="Обычный 5 3 20 4" xfId="23741"/>
    <cellStyle name="Обычный 5 3 20 4 2" xfId="23742"/>
    <cellStyle name="Обычный 5 3 20 4 2 2" xfId="23743"/>
    <cellStyle name="Обычный 5 3 20 4 2 2 2" xfId="53615"/>
    <cellStyle name="Обычный 5 3 20 4 2 3" xfId="53616"/>
    <cellStyle name="Обычный 5 3 20 4 3" xfId="23744"/>
    <cellStyle name="Обычный 5 3 20 4 3 2" xfId="53617"/>
    <cellStyle name="Обычный 5 3 20 4 4" xfId="53618"/>
    <cellStyle name="Обычный 5 3 20 5" xfId="23745"/>
    <cellStyle name="Обычный 5 3 20 5 2" xfId="23746"/>
    <cellStyle name="Обычный 5 3 20 5 2 2" xfId="53619"/>
    <cellStyle name="Обычный 5 3 20 5 3" xfId="53620"/>
    <cellStyle name="Обычный 5 3 20 6" xfId="23747"/>
    <cellStyle name="Обычный 5 3 20 6 2" xfId="53621"/>
    <cellStyle name="Обычный 5 3 20 7" xfId="23748"/>
    <cellStyle name="Обычный 5 3 20 7 2" xfId="53622"/>
    <cellStyle name="Обычный 5 3 20 8" xfId="53623"/>
    <cellStyle name="Обычный 5 3 21" xfId="23749"/>
    <cellStyle name="Обычный 5 3 21 2" xfId="23750"/>
    <cellStyle name="Обычный 5 3 21 2 2" xfId="23751"/>
    <cellStyle name="Обычный 5 3 21 2 2 2" xfId="23752"/>
    <cellStyle name="Обычный 5 3 21 2 2 2 2" xfId="53624"/>
    <cellStyle name="Обычный 5 3 21 2 2 3" xfId="53625"/>
    <cellStyle name="Обычный 5 3 21 2 3" xfId="23753"/>
    <cellStyle name="Обычный 5 3 21 2 3 2" xfId="53626"/>
    <cellStyle name="Обычный 5 3 21 2 4" xfId="53627"/>
    <cellStyle name="Обычный 5 3 21 3" xfId="23754"/>
    <cellStyle name="Обычный 5 3 21 3 2" xfId="23755"/>
    <cellStyle name="Обычный 5 3 21 3 2 2" xfId="23756"/>
    <cellStyle name="Обычный 5 3 21 3 2 2 2" xfId="53628"/>
    <cellStyle name="Обычный 5 3 21 3 2 3" xfId="53629"/>
    <cellStyle name="Обычный 5 3 21 3 3" xfId="23757"/>
    <cellStyle name="Обычный 5 3 21 3 3 2" xfId="53630"/>
    <cellStyle name="Обычный 5 3 21 3 4" xfId="53631"/>
    <cellStyle name="Обычный 5 3 21 4" xfId="23758"/>
    <cellStyle name="Обычный 5 3 21 4 2" xfId="23759"/>
    <cellStyle name="Обычный 5 3 21 4 2 2" xfId="23760"/>
    <cellStyle name="Обычный 5 3 21 4 2 2 2" xfId="53632"/>
    <cellStyle name="Обычный 5 3 21 4 2 3" xfId="53633"/>
    <cellStyle name="Обычный 5 3 21 4 3" xfId="23761"/>
    <cellStyle name="Обычный 5 3 21 4 3 2" xfId="53634"/>
    <cellStyle name="Обычный 5 3 21 4 4" xfId="53635"/>
    <cellStyle name="Обычный 5 3 21 5" xfId="23762"/>
    <cellStyle name="Обычный 5 3 21 5 2" xfId="23763"/>
    <cellStyle name="Обычный 5 3 21 5 2 2" xfId="53636"/>
    <cellStyle name="Обычный 5 3 21 5 3" xfId="53637"/>
    <cellStyle name="Обычный 5 3 21 6" xfId="23764"/>
    <cellStyle name="Обычный 5 3 21 6 2" xfId="53638"/>
    <cellStyle name="Обычный 5 3 21 7" xfId="23765"/>
    <cellStyle name="Обычный 5 3 21 7 2" xfId="53639"/>
    <cellStyle name="Обычный 5 3 21 8" xfId="53640"/>
    <cellStyle name="Обычный 5 3 22" xfId="23766"/>
    <cellStyle name="Обычный 5 3 22 2" xfId="23767"/>
    <cellStyle name="Обычный 5 3 22 2 2" xfId="23768"/>
    <cellStyle name="Обычный 5 3 22 2 2 2" xfId="23769"/>
    <cellStyle name="Обычный 5 3 22 2 2 2 2" xfId="53641"/>
    <cellStyle name="Обычный 5 3 22 2 2 3" xfId="53642"/>
    <cellStyle name="Обычный 5 3 22 2 3" xfId="23770"/>
    <cellStyle name="Обычный 5 3 22 2 3 2" xfId="53643"/>
    <cellStyle name="Обычный 5 3 22 2 4" xfId="53644"/>
    <cellStyle name="Обычный 5 3 22 3" xfId="23771"/>
    <cellStyle name="Обычный 5 3 22 3 2" xfId="23772"/>
    <cellStyle name="Обычный 5 3 22 3 2 2" xfId="23773"/>
    <cellStyle name="Обычный 5 3 22 3 2 2 2" xfId="53645"/>
    <cellStyle name="Обычный 5 3 22 3 2 3" xfId="53646"/>
    <cellStyle name="Обычный 5 3 22 3 3" xfId="23774"/>
    <cellStyle name="Обычный 5 3 22 3 3 2" xfId="53647"/>
    <cellStyle name="Обычный 5 3 22 3 4" xfId="53648"/>
    <cellStyle name="Обычный 5 3 22 4" xfId="23775"/>
    <cellStyle name="Обычный 5 3 22 4 2" xfId="23776"/>
    <cellStyle name="Обычный 5 3 22 4 2 2" xfId="23777"/>
    <cellStyle name="Обычный 5 3 22 4 2 2 2" xfId="53649"/>
    <cellStyle name="Обычный 5 3 22 4 2 3" xfId="53650"/>
    <cellStyle name="Обычный 5 3 22 4 3" xfId="23778"/>
    <cellStyle name="Обычный 5 3 22 4 3 2" xfId="53651"/>
    <cellStyle name="Обычный 5 3 22 4 4" xfId="53652"/>
    <cellStyle name="Обычный 5 3 22 5" xfId="23779"/>
    <cellStyle name="Обычный 5 3 22 5 2" xfId="23780"/>
    <cellStyle name="Обычный 5 3 22 5 2 2" xfId="53653"/>
    <cellStyle name="Обычный 5 3 22 5 3" xfId="53654"/>
    <cellStyle name="Обычный 5 3 22 6" xfId="23781"/>
    <cellStyle name="Обычный 5 3 22 6 2" xfId="53655"/>
    <cellStyle name="Обычный 5 3 22 7" xfId="23782"/>
    <cellStyle name="Обычный 5 3 22 7 2" xfId="53656"/>
    <cellStyle name="Обычный 5 3 22 8" xfId="53657"/>
    <cellStyle name="Обычный 5 3 23" xfId="23783"/>
    <cellStyle name="Обычный 5 3 23 2" xfId="23784"/>
    <cellStyle name="Обычный 5 3 23 2 2" xfId="23785"/>
    <cellStyle name="Обычный 5 3 23 2 2 2" xfId="23786"/>
    <cellStyle name="Обычный 5 3 23 2 2 2 2" xfId="53658"/>
    <cellStyle name="Обычный 5 3 23 2 2 3" xfId="53659"/>
    <cellStyle name="Обычный 5 3 23 2 3" xfId="23787"/>
    <cellStyle name="Обычный 5 3 23 2 3 2" xfId="53660"/>
    <cellStyle name="Обычный 5 3 23 2 4" xfId="53661"/>
    <cellStyle name="Обычный 5 3 23 3" xfId="23788"/>
    <cellStyle name="Обычный 5 3 23 3 2" xfId="23789"/>
    <cellStyle name="Обычный 5 3 23 3 2 2" xfId="23790"/>
    <cellStyle name="Обычный 5 3 23 3 2 2 2" xfId="53662"/>
    <cellStyle name="Обычный 5 3 23 3 2 3" xfId="53663"/>
    <cellStyle name="Обычный 5 3 23 3 3" xfId="23791"/>
    <cellStyle name="Обычный 5 3 23 3 3 2" xfId="53664"/>
    <cellStyle name="Обычный 5 3 23 3 4" xfId="53665"/>
    <cellStyle name="Обычный 5 3 23 4" xfId="23792"/>
    <cellStyle name="Обычный 5 3 23 4 2" xfId="23793"/>
    <cellStyle name="Обычный 5 3 23 4 2 2" xfId="23794"/>
    <cellStyle name="Обычный 5 3 23 4 2 2 2" xfId="53666"/>
    <cellStyle name="Обычный 5 3 23 4 2 3" xfId="53667"/>
    <cellStyle name="Обычный 5 3 23 4 3" xfId="23795"/>
    <cellStyle name="Обычный 5 3 23 4 3 2" xfId="53668"/>
    <cellStyle name="Обычный 5 3 23 4 4" xfId="53669"/>
    <cellStyle name="Обычный 5 3 23 5" xfId="23796"/>
    <cellStyle name="Обычный 5 3 23 5 2" xfId="23797"/>
    <cellStyle name="Обычный 5 3 23 5 2 2" xfId="53670"/>
    <cellStyle name="Обычный 5 3 23 5 3" xfId="53671"/>
    <cellStyle name="Обычный 5 3 23 6" xfId="23798"/>
    <cellStyle name="Обычный 5 3 23 6 2" xfId="53672"/>
    <cellStyle name="Обычный 5 3 23 7" xfId="23799"/>
    <cellStyle name="Обычный 5 3 23 7 2" xfId="53673"/>
    <cellStyle name="Обычный 5 3 23 8" xfId="53674"/>
    <cellStyle name="Обычный 5 3 24" xfId="23800"/>
    <cellStyle name="Обычный 5 3 24 2" xfId="23801"/>
    <cellStyle name="Обычный 5 3 24 2 2" xfId="23802"/>
    <cellStyle name="Обычный 5 3 24 2 2 2" xfId="23803"/>
    <cellStyle name="Обычный 5 3 24 2 2 2 2" xfId="53675"/>
    <cellStyle name="Обычный 5 3 24 2 2 3" xfId="53676"/>
    <cellStyle name="Обычный 5 3 24 2 3" xfId="23804"/>
    <cellStyle name="Обычный 5 3 24 2 3 2" xfId="53677"/>
    <cellStyle name="Обычный 5 3 24 2 4" xfId="53678"/>
    <cellStyle name="Обычный 5 3 24 3" xfId="23805"/>
    <cellStyle name="Обычный 5 3 24 3 2" xfId="23806"/>
    <cellStyle name="Обычный 5 3 24 3 2 2" xfId="23807"/>
    <cellStyle name="Обычный 5 3 24 3 2 2 2" xfId="53679"/>
    <cellStyle name="Обычный 5 3 24 3 2 3" xfId="53680"/>
    <cellStyle name="Обычный 5 3 24 3 3" xfId="23808"/>
    <cellStyle name="Обычный 5 3 24 3 3 2" xfId="53681"/>
    <cellStyle name="Обычный 5 3 24 3 4" xfId="53682"/>
    <cellStyle name="Обычный 5 3 24 4" xfId="23809"/>
    <cellStyle name="Обычный 5 3 24 4 2" xfId="23810"/>
    <cellStyle name="Обычный 5 3 24 4 2 2" xfId="23811"/>
    <cellStyle name="Обычный 5 3 24 4 2 2 2" xfId="53683"/>
    <cellStyle name="Обычный 5 3 24 4 2 3" xfId="53684"/>
    <cellStyle name="Обычный 5 3 24 4 3" xfId="23812"/>
    <cellStyle name="Обычный 5 3 24 4 3 2" xfId="53685"/>
    <cellStyle name="Обычный 5 3 24 4 4" xfId="53686"/>
    <cellStyle name="Обычный 5 3 24 5" xfId="23813"/>
    <cellStyle name="Обычный 5 3 24 5 2" xfId="23814"/>
    <cellStyle name="Обычный 5 3 24 5 2 2" xfId="53687"/>
    <cellStyle name="Обычный 5 3 24 5 3" xfId="53688"/>
    <cellStyle name="Обычный 5 3 24 6" xfId="23815"/>
    <cellStyle name="Обычный 5 3 24 6 2" xfId="53689"/>
    <cellStyle name="Обычный 5 3 24 7" xfId="23816"/>
    <cellStyle name="Обычный 5 3 24 7 2" xfId="53690"/>
    <cellStyle name="Обычный 5 3 24 8" xfId="53691"/>
    <cellStyle name="Обычный 5 3 25" xfId="23817"/>
    <cellStyle name="Обычный 5 3 25 2" xfId="23818"/>
    <cellStyle name="Обычный 5 3 25 2 2" xfId="23819"/>
    <cellStyle name="Обычный 5 3 25 2 2 2" xfId="23820"/>
    <cellStyle name="Обычный 5 3 25 2 2 2 2" xfId="53692"/>
    <cellStyle name="Обычный 5 3 25 2 2 3" xfId="53693"/>
    <cellStyle name="Обычный 5 3 25 2 3" xfId="23821"/>
    <cellStyle name="Обычный 5 3 25 2 3 2" xfId="53694"/>
    <cellStyle name="Обычный 5 3 25 2 4" xfId="53695"/>
    <cellStyle name="Обычный 5 3 25 3" xfId="23822"/>
    <cellStyle name="Обычный 5 3 25 3 2" xfId="23823"/>
    <cellStyle name="Обычный 5 3 25 3 2 2" xfId="23824"/>
    <cellStyle name="Обычный 5 3 25 3 2 2 2" xfId="53696"/>
    <cellStyle name="Обычный 5 3 25 3 2 3" xfId="53697"/>
    <cellStyle name="Обычный 5 3 25 3 3" xfId="23825"/>
    <cellStyle name="Обычный 5 3 25 3 3 2" xfId="53698"/>
    <cellStyle name="Обычный 5 3 25 3 4" xfId="53699"/>
    <cellStyle name="Обычный 5 3 25 4" xfId="23826"/>
    <cellStyle name="Обычный 5 3 25 4 2" xfId="23827"/>
    <cellStyle name="Обычный 5 3 25 4 2 2" xfId="23828"/>
    <cellStyle name="Обычный 5 3 25 4 2 2 2" xfId="53700"/>
    <cellStyle name="Обычный 5 3 25 4 2 3" xfId="53701"/>
    <cellStyle name="Обычный 5 3 25 4 3" xfId="23829"/>
    <cellStyle name="Обычный 5 3 25 4 3 2" xfId="53702"/>
    <cellStyle name="Обычный 5 3 25 4 4" xfId="53703"/>
    <cellStyle name="Обычный 5 3 25 5" xfId="23830"/>
    <cellStyle name="Обычный 5 3 25 5 2" xfId="23831"/>
    <cellStyle name="Обычный 5 3 25 5 2 2" xfId="53704"/>
    <cellStyle name="Обычный 5 3 25 5 3" xfId="53705"/>
    <cellStyle name="Обычный 5 3 25 6" xfId="23832"/>
    <cellStyle name="Обычный 5 3 25 6 2" xfId="53706"/>
    <cellStyle name="Обычный 5 3 25 7" xfId="23833"/>
    <cellStyle name="Обычный 5 3 25 7 2" xfId="53707"/>
    <cellStyle name="Обычный 5 3 25 8" xfId="53708"/>
    <cellStyle name="Обычный 5 3 26" xfId="23834"/>
    <cellStyle name="Обычный 5 3 26 2" xfId="23835"/>
    <cellStyle name="Обычный 5 3 26 2 2" xfId="23836"/>
    <cellStyle name="Обычный 5 3 26 2 2 2" xfId="23837"/>
    <cellStyle name="Обычный 5 3 26 2 2 2 2" xfId="53709"/>
    <cellStyle name="Обычный 5 3 26 2 2 3" xfId="53710"/>
    <cellStyle name="Обычный 5 3 26 2 3" xfId="23838"/>
    <cellStyle name="Обычный 5 3 26 2 3 2" xfId="53711"/>
    <cellStyle name="Обычный 5 3 26 2 4" xfId="53712"/>
    <cellStyle name="Обычный 5 3 26 3" xfId="23839"/>
    <cellStyle name="Обычный 5 3 26 3 2" xfId="23840"/>
    <cellStyle name="Обычный 5 3 26 3 2 2" xfId="23841"/>
    <cellStyle name="Обычный 5 3 26 3 2 2 2" xfId="53713"/>
    <cellStyle name="Обычный 5 3 26 3 2 3" xfId="53714"/>
    <cellStyle name="Обычный 5 3 26 3 3" xfId="23842"/>
    <cellStyle name="Обычный 5 3 26 3 3 2" xfId="53715"/>
    <cellStyle name="Обычный 5 3 26 3 4" xfId="53716"/>
    <cellStyle name="Обычный 5 3 26 4" xfId="23843"/>
    <cellStyle name="Обычный 5 3 26 4 2" xfId="23844"/>
    <cellStyle name="Обычный 5 3 26 4 2 2" xfId="23845"/>
    <cellStyle name="Обычный 5 3 26 4 2 2 2" xfId="53717"/>
    <cellStyle name="Обычный 5 3 26 4 2 3" xfId="53718"/>
    <cellStyle name="Обычный 5 3 26 4 3" xfId="23846"/>
    <cellStyle name="Обычный 5 3 26 4 3 2" xfId="53719"/>
    <cellStyle name="Обычный 5 3 26 4 4" xfId="53720"/>
    <cellStyle name="Обычный 5 3 26 5" xfId="23847"/>
    <cellStyle name="Обычный 5 3 26 5 2" xfId="23848"/>
    <cellStyle name="Обычный 5 3 26 5 2 2" xfId="53721"/>
    <cellStyle name="Обычный 5 3 26 5 3" xfId="53722"/>
    <cellStyle name="Обычный 5 3 26 6" xfId="23849"/>
    <cellStyle name="Обычный 5 3 26 6 2" xfId="53723"/>
    <cellStyle name="Обычный 5 3 26 7" xfId="23850"/>
    <cellStyle name="Обычный 5 3 26 7 2" xfId="53724"/>
    <cellStyle name="Обычный 5 3 26 8" xfId="53725"/>
    <cellStyle name="Обычный 5 3 27" xfId="23851"/>
    <cellStyle name="Обычный 5 3 27 2" xfId="23852"/>
    <cellStyle name="Обычный 5 3 27 2 2" xfId="23853"/>
    <cellStyle name="Обычный 5 3 27 2 2 2" xfId="23854"/>
    <cellStyle name="Обычный 5 3 27 2 2 2 2" xfId="53726"/>
    <cellStyle name="Обычный 5 3 27 2 2 3" xfId="53727"/>
    <cellStyle name="Обычный 5 3 27 2 3" xfId="23855"/>
    <cellStyle name="Обычный 5 3 27 2 3 2" xfId="53728"/>
    <cellStyle name="Обычный 5 3 27 2 4" xfId="53729"/>
    <cellStyle name="Обычный 5 3 27 3" xfId="23856"/>
    <cellStyle name="Обычный 5 3 27 3 2" xfId="23857"/>
    <cellStyle name="Обычный 5 3 27 3 2 2" xfId="23858"/>
    <cellStyle name="Обычный 5 3 27 3 2 2 2" xfId="53730"/>
    <cellStyle name="Обычный 5 3 27 3 2 3" xfId="53731"/>
    <cellStyle name="Обычный 5 3 27 3 3" xfId="23859"/>
    <cellStyle name="Обычный 5 3 27 3 3 2" xfId="53732"/>
    <cellStyle name="Обычный 5 3 27 3 4" xfId="53733"/>
    <cellStyle name="Обычный 5 3 27 4" xfId="23860"/>
    <cellStyle name="Обычный 5 3 27 4 2" xfId="23861"/>
    <cellStyle name="Обычный 5 3 27 4 2 2" xfId="23862"/>
    <cellStyle name="Обычный 5 3 27 4 2 2 2" xfId="53734"/>
    <cellStyle name="Обычный 5 3 27 4 2 3" xfId="53735"/>
    <cellStyle name="Обычный 5 3 27 4 3" xfId="23863"/>
    <cellStyle name="Обычный 5 3 27 4 3 2" xfId="53736"/>
    <cellStyle name="Обычный 5 3 27 4 4" xfId="53737"/>
    <cellStyle name="Обычный 5 3 27 5" xfId="23864"/>
    <cellStyle name="Обычный 5 3 27 5 2" xfId="23865"/>
    <cellStyle name="Обычный 5 3 27 5 2 2" xfId="53738"/>
    <cellStyle name="Обычный 5 3 27 5 3" xfId="53739"/>
    <cellStyle name="Обычный 5 3 27 6" xfId="23866"/>
    <cellStyle name="Обычный 5 3 27 6 2" xfId="53740"/>
    <cellStyle name="Обычный 5 3 27 7" xfId="23867"/>
    <cellStyle name="Обычный 5 3 27 7 2" xfId="53741"/>
    <cellStyle name="Обычный 5 3 27 8" xfId="53742"/>
    <cellStyle name="Обычный 5 3 28" xfId="23868"/>
    <cellStyle name="Обычный 5 3 28 2" xfId="23869"/>
    <cellStyle name="Обычный 5 3 28 2 2" xfId="23870"/>
    <cellStyle name="Обычный 5 3 28 2 2 2" xfId="23871"/>
    <cellStyle name="Обычный 5 3 28 2 2 2 2" xfId="53743"/>
    <cellStyle name="Обычный 5 3 28 2 2 3" xfId="53744"/>
    <cellStyle name="Обычный 5 3 28 2 3" xfId="23872"/>
    <cellStyle name="Обычный 5 3 28 2 3 2" xfId="53745"/>
    <cellStyle name="Обычный 5 3 28 2 4" xfId="53746"/>
    <cellStyle name="Обычный 5 3 28 3" xfId="23873"/>
    <cellStyle name="Обычный 5 3 28 3 2" xfId="23874"/>
    <cellStyle name="Обычный 5 3 28 3 2 2" xfId="23875"/>
    <cellStyle name="Обычный 5 3 28 3 2 2 2" xfId="53747"/>
    <cellStyle name="Обычный 5 3 28 3 2 3" xfId="53748"/>
    <cellStyle name="Обычный 5 3 28 3 3" xfId="23876"/>
    <cellStyle name="Обычный 5 3 28 3 3 2" xfId="53749"/>
    <cellStyle name="Обычный 5 3 28 3 4" xfId="53750"/>
    <cellStyle name="Обычный 5 3 28 4" xfId="23877"/>
    <cellStyle name="Обычный 5 3 28 4 2" xfId="23878"/>
    <cellStyle name="Обычный 5 3 28 4 2 2" xfId="23879"/>
    <cellStyle name="Обычный 5 3 28 4 2 2 2" xfId="53751"/>
    <cellStyle name="Обычный 5 3 28 4 2 3" xfId="53752"/>
    <cellStyle name="Обычный 5 3 28 4 3" xfId="23880"/>
    <cellStyle name="Обычный 5 3 28 4 3 2" xfId="53753"/>
    <cellStyle name="Обычный 5 3 28 4 4" xfId="53754"/>
    <cellStyle name="Обычный 5 3 28 5" xfId="23881"/>
    <cellStyle name="Обычный 5 3 28 5 2" xfId="23882"/>
    <cellStyle name="Обычный 5 3 28 5 2 2" xfId="53755"/>
    <cellStyle name="Обычный 5 3 28 5 3" xfId="53756"/>
    <cellStyle name="Обычный 5 3 28 6" xfId="23883"/>
    <cellStyle name="Обычный 5 3 28 6 2" xfId="53757"/>
    <cellStyle name="Обычный 5 3 28 7" xfId="23884"/>
    <cellStyle name="Обычный 5 3 28 7 2" xfId="53758"/>
    <cellStyle name="Обычный 5 3 28 8" xfId="53759"/>
    <cellStyle name="Обычный 5 3 29" xfId="23885"/>
    <cellStyle name="Обычный 5 3 29 2" xfId="23886"/>
    <cellStyle name="Обычный 5 3 29 2 2" xfId="23887"/>
    <cellStyle name="Обычный 5 3 29 2 2 2" xfId="23888"/>
    <cellStyle name="Обычный 5 3 29 2 2 2 2" xfId="53760"/>
    <cellStyle name="Обычный 5 3 29 2 2 3" xfId="53761"/>
    <cellStyle name="Обычный 5 3 29 2 3" xfId="23889"/>
    <cellStyle name="Обычный 5 3 29 2 3 2" xfId="53762"/>
    <cellStyle name="Обычный 5 3 29 2 4" xfId="53763"/>
    <cellStyle name="Обычный 5 3 29 3" xfId="23890"/>
    <cellStyle name="Обычный 5 3 29 3 2" xfId="23891"/>
    <cellStyle name="Обычный 5 3 29 3 2 2" xfId="23892"/>
    <cellStyle name="Обычный 5 3 29 3 2 2 2" xfId="53764"/>
    <cellStyle name="Обычный 5 3 29 3 2 3" xfId="53765"/>
    <cellStyle name="Обычный 5 3 29 3 3" xfId="23893"/>
    <cellStyle name="Обычный 5 3 29 3 3 2" xfId="53766"/>
    <cellStyle name="Обычный 5 3 29 3 4" xfId="53767"/>
    <cellStyle name="Обычный 5 3 29 4" xfId="23894"/>
    <cellStyle name="Обычный 5 3 29 4 2" xfId="23895"/>
    <cellStyle name="Обычный 5 3 29 4 2 2" xfId="23896"/>
    <cellStyle name="Обычный 5 3 29 4 2 2 2" xfId="53768"/>
    <cellStyle name="Обычный 5 3 29 4 2 3" xfId="53769"/>
    <cellStyle name="Обычный 5 3 29 4 3" xfId="23897"/>
    <cellStyle name="Обычный 5 3 29 4 3 2" xfId="53770"/>
    <cellStyle name="Обычный 5 3 29 4 4" xfId="53771"/>
    <cellStyle name="Обычный 5 3 29 5" xfId="23898"/>
    <cellStyle name="Обычный 5 3 29 5 2" xfId="23899"/>
    <cellStyle name="Обычный 5 3 29 5 2 2" xfId="53772"/>
    <cellStyle name="Обычный 5 3 29 5 3" xfId="53773"/>
    <cellStyle name="Обычный 5 3 29 6" xfId="23900"/>
    <cellStyle name="Обычный 5 3 29 6 2" xfId="53774"/>
    <cellStyle name="Обычный 5 3 29 7" xfId="23901"/>
    <cellStyle name="Обычный 5 3 29 7 2" xfId="53775"/>
    <cellStyle name="Обычный 5 3 29 8" xfId="53776"/>
    <cellStyle name="Обычный 5 3 3" xfId="23902"/>
    <cellStyle name="Обычный 5 3 3 2" xfId="23903"/>
    <cellStyle name="Обычный 5 3 3 2 2" xfId="23904"/>
    <cellStyle name="Обычный 5 3 3 2 2 2" xfId="23905"/>
    <cellStyle name="Обычный 5 3 3 2 2 2 2" xfId="53777"/>
    <cellStyle name="Обычный 5 3 3 2 2 3" xfId="53778"/>
    <cellStyle name="Обычный 5 3 3 2 3" xfId="23906"/>
    <cellStyle name="Обычный 5 3 3 2 3 2" xfId="53779"/>
    <cellStyle name="Обычный 5 3 3 2 4" xfId="53780"/>
    <cellStyle name="Обычный 5 3 3 3" xfId="23907"/>
    <cellStyle name="Обычный 5 3 3 3 2" xfId="23908"/>
    <cellStyle name="Обычный 5 3 3 3 2 2" xfId="23909"/>
    <cellStyle name="Обычный 5 3 3 3 2 2 2" xfId="53781"/>
    <cellStyle name="Обычный 5 3 3 3 2 3" xfId="53782"/>
    <cellStyle name="Обычный 5 3 3 3 3" xfId="23910"/>
    <cellStyle name="Обычный 5 3 3 3 3 2" xfId="53783"/>
    <cellStyle name="Обычный 5 3 3 3 4" xfId="53784"/>
    <cellStyle name="Обычный 5 3 3 4" xfId="23911"/>
    <cellStyle name="Обычный 5 3 3 4 2" xfId="23912"/>
    <cellStyle name="Обычный 5 3 3 4 2 2" xfId="23913"/>
    <cellStyle name="Обычный 5 3 3 4 2 2 2" xfId="53785"/>
    <cellStyle name="Обычный 5 3 3 4 2 3" xfId="53786"/>
    <cellStyle name="Обычный 5 3 3 4 3" xfId="23914"/>
    <cellStyle name="Обычный 5 3 3 4 3 2" xfId="53787"/>
    <cellStyle name="Обычный 5 3 3 4 4" xfId="53788"/>
    <cellStyle name="Обычный 5 3 3 5" xfId="23915"/>
    <cellStyle name="Обычный 5 3 3 5 2" xfId="23916"/>
    <cellStyle name="Обычный 5 3 3 5 2 2" xfId="23917"/>
    <cellStyle name="Обычный 5 3 3 5 2 2 2" xfId="53789"/>
    <cellStyle name="Обычный 5 3 3 5 2 3" xfId="53790"/>
    <cellStyle name="Обычный 5 3 3 5 3" xfId="23918"/>
    <cellStyle name="Обычный 5 3 3 5 3 2" xfId="53791"/>
    <cellStyle name="Обычный 5 3 3 5 4" xfId="53792"/>
    <cellStyle name="Обычный 5 3 3 6" xfId="23919"/>
    <cellStyle name="Обычный 5 3 3 6 2" xfId="23920"/>
    <cellStyle name="Обычный 5 3 3 6 2 2" xfId="53793"/>
    <cellStyle name="Обычный 5 3 3 6 3" xfId="53794"/>
    <cellStyle name="Обычный 5 3 3 7" xfId="23921"/>
    <cellStyle name="Обычный 5 3 3 7 2" xfId="53795"/>
    <cellStyle name="Обычный 5 3 3 8" xfId="23922"/>
    <cellStyle name="Обычный 5 3 3 8 2" xfId="53796"/>
    <cellStyle name="Обычный 5 3 3 9" xfId="53797"/>
    <cellStyle name="Обычный 5 3 30" xfId="23923"/>
    <cellStyle name="Обычный 5 3 30 2" xfId="53798"/>
    <cellStyle name="Обычный 5 3 31" xfId="23924"/>
    <cellStyle name="Обычный 5 3 31 2" xfId="23925"/>
    <cellStyle name="Обычный 5 3 31 2 2" xfId="23926"/>
    <cellStyle name="Обычный 5 3 31 2 2 2" xfId="53799"/>
    <cellStyle name="Обычный 5 3 31 2 3" xfId="53800"/>
    <cellStyle name="Обычный 5 3 31 3" xfId="23927"/>
    <cellStyle name="Обычный 5 3 31 3 2" xfId="53801"/>
    <cellStyle name="Обычный 5 3 31 4" xfId="53802"/>
    <cellStyle name="Обычный 5 3 32" xfId="23928"/>
    <cellStyle name="Обычный 5 3 32 2" xfId="23929"/>
    <cellStyle name="Обычный 5 3 32 2 2" xfId="23930"/>
    <cellStyle name="Обычный 5 3 32 2 2 2" xfId="53803"/>
    <cellStyle name="Обычный 5 3 32 2 3" xfId="53804"/>
    <cellStyle name="Обычный 5 3 32 3" xfId="23931"/>
    <cellStyle name="Обычный 5 3 32 3 2" xfId="53805"/>
    <cellStyle name="Обычный 5 3 32 4" xfId="53806"/>
    <cellStyle name="Обычный 5 3 33" xfId="23932"/>
    <cellStyle name="Обычный 5 3 33 2" xfId="23933"/>
    <cellStyle name="Обычный 5 3 33 2 2" xfId="23934"/>
    <cellStyle name="Обычный 5 3 33 2 2 2" xfId="53807"/>
    <cellStyle name="Обычный 5 3 33 2 3" xfId="53808"/>
    <cellStyle name="Обычный 5 3 33 3" xfId="23935"/>
    <cellStyle name="Обычный 5 3 33 3 2" xfId="53809"/>
    <cellStyle name="Обычный 5 3 33 4" xfId="53810"/>
    <cellStyle name="Обычный 5 3 34" xfId="23936"/>
    <cellStyle name="Обычный 5 3 34 2" xfId="23937"/>
    <cellStyle name="Обычный 5 3 34 2 2" xfId="23938"/>
    <cellStyle name="Обычный 5 3 34 2 2 2" xfId="53811"/>
    <cellStyle name="Обычный 5 3 34 2 3" xfId="53812"/>
    <cellStyle name="Обычный 5 3 34 3" xfId="23939"/>
    <cellStyle name="Обычный 5 3 34 3 2" xfId="53813"/>
    <cellStyle name="Обычный 5 3 34 4" xfId="53814"/>
    <cellStyle name="Обычный 5 3 35" xfId="23940"/>
    <cellStyle name="Обычный 5 3 35 2" xfId="23941"/>
    <cellStyle name="Обычный 5 3 35 2 2" xfId="53815"/>
    <cellStyle name="Обычный 5 3 35 3" xfId="53816"/>
    <cellStyle name="Обычный 5 3 36" xfId="23942"/>
    <cellStyle name="Обычный 5 3 36 2" xfId="53817"/>
    <cellStyle name="Обычный 5 3 37" xfId="23943"/>
    <cellStyle name="Обычный 5 3 37 2" xfId="53818"/>
    <cellStyle name="Обычный 5 3 38" xfId="53819"/>
    <cellStyle name="Обычный 5 3 4" xfId="23944"/>
    <cellStyle name="Обычный 5 3 4 2" xfId="23945"/>
    <cellStyle name="Обычный 5 3 4 2 2" xfId="23946"/>
    <cellStyle name="Обычный 5 3 4 2 2 2" xfId="23947"/>
    <cellStyle name="Обычный 5 3 4 2 2 2 2" xfId="53820"/>
    <cellStyle name="Обычный 5 3 4 2 2 3" xfId="53821"/>
    <cellStyle name="Обычный 5 3 4 2 3" xfId="23948"/>
    <cellStyle name="Обычный 5 3 4 2 3 2" xfId="53822"/>
    <cellStyle name="Обычный 5 3 4 2 4" xfId="53823"/>
    <cellStyle name="Обычный 5 3 4 3" xfId="23949"/>
    <cellStyle name="Обычный 5 3 4 3 2" xfId="23950"/>
    <cellStyle name="Обычный 5 3 4 3 2 2" xfId="23951"/>
    <cellStyle name="Обычный 5 3 4 3 2 2 2" xfId="53824"/>
    <cellStyle name="Обычный 5 3 4 3 2 3" xfId="53825"/>
    <cellStyle name="Обычный 5 3 4 3 3" xfId="23952"/>
    <cellStyle name="Обычный 5 3 4 3 3 2" xfId="53826"/>
    <cellStyle name="Обычный 5 3 4 3 4" xfId="53827"/>
    <cellStyle name="Обычный 5 3 4 4" xfId="23953"/>
    <cellStyle name="Обычный 5 3 4 4 2" xfId="23954"/>
    <cellStyle name="Обычный 5 3 4 4 2 2" xfId="23955"/>
    <cellStyle name="Обычный 5 3 4 4 2 2 2" xfId="53828"/>
    <cellStyle name="Обычный 5 3 4 4 2 3" xfId="53829"/>
    <cellStyle name="Обычный 5 3 4 4 3" xfId="23956"/>
    <cellStyle name="Обычный 5 3 4 4 3 2" xfId="53830"/>
    <cellStyle name="Обычный 5 3 4 4 4" xfId="53831"/>
    <cellStyle name="Обычный 5 3 4 5" xfId="23957"/>
    <cellStyle name="Обычный 5 3 4 5 2" xfId="23958"/>
    <cellStyle name="Обычный 5 3 4 5 2 2" xfId="53832"/>
    <cellStyle name="Обычный 5 3 4 5 3" xfId="53833"/>
    <cellStyle name="Обычный 5 3 4 6" xfId="23959"/>
    <cellStyle name="Обычный 5 3 4 6 2" xfId="53834"/>
    <cellStyle name="Обычный 5 3 4 7" xfId="23960"/>
    <cellStyle name="Обычный 5 3 4 7 2" xfId="53835"/>
    <cellStyle name="Обычный 5 3 4 8" xfId="53836"/>
    <cellStyle name="Обычный 5 3 5" xfId="23961"/>
    <cellStyle name="Обычный 5 3 5 2" xfId="23962"/>
    <cellStyle name="Обычный 5 3 5 2 2" xfId="23963"/>
    <cellStyle name="Обычный 5 3 5 2 2 2" xfId="23964"/>
    <cellStyle name="Обычный 5 3 5 2 2 2 2" xfId="53837"/>
    <cellStyle name="Обычный 5 3 5 2 2 3" xfId="53838"/>
    <cellStyle name="Обычный 5 3 5 2 3" xfId="23965"/>
    <cellStyle name="Обычный 5 3 5 2 3 2" xfId="53839"/>
    <cellStyle name="Обычный 5 3 5 2 4" xfId="53840"/>
    <cellStyle name="Обычный 5 3 5 3" xfId="23966"/>
    <cellStyle name="Обычный 5 3 5 3 2" xfId="23967"/>
    <cellStyle name="Обычный 5 3 5 3 2 2" xfId="23968"/>
    <cellStyle name="Обычный 5 3 5 3 2 2 2" xfId="53841"/>
    <cellStyle name="Обычный 5 3 5 3 2 3" xfId="53842"/>
    <cellStyle name="Обычный 5 3 5 3 3" xfId="23969"/>
    <cellStyle name="Обычный 5 3 5 3 3 2" xfId="53843"/>
    <cellStyle name="Обычный 5 3 5 3 4" xfId="53844"/>
    <cellStyle name="Обычный 5 3 5 4" xfId="23970"/>
    <cellStyle name="Обычный 5 3 5 4 2" xfId="23971"/>
    <cellStyle name="Обычный 5 3 5 4 2 2" xfId="23972"/>
    <cellStyle name="Обычный 5 3 5 4 2 2 2" xfId="53845"/>
    <cellStyle name="Обычный 5 3 5 4 2 3" xfId="53846"/>
    <cellStyle name="Обычный 5 3 5 4 3" xfId="23973"/>
    <cellStyle name="Обычный 5 3 5 4 3 2" xfId="53847"/>
    <cellStyle name="Обычный 5 3 5 4 4" xfId="53848"/>
    <cellStyle name="Обычный 5 3 5 5" xfId="23974"/>
    <cellStyle name="Обычный 5 3 5 5 2" xfId="23975"/>
    <cellStyle name="Обычный 5 3 5 5 2 2" xfId="53849"/>
    <cellStyle name="Обычный 5 3 5 5 3" xfId="53850"/>
    <cellStyle name="Обычный 5 3 5 6" xfId="23976"/>
    <cellStyle name="Обычный 5 3 5 6 2" xfId="53851"/>
    <cellStyle name="Обычный 5 3 5 7" xfId="23977"/>
    <cellStyle name="Обычный 5 3 5 7 2" xfId="53852"/>
    <cellStyle name="Обычный 5 3 5 8" xfId="53853"/>
    <cellStyle name="Обычный 5 3 6" xfId="23978"/>
    <cellStyle name="Обычный 5 3 6 2" xfId="23979"/>
    <cellStyle name="Обычный 5 3 6 2 2" xfId="23980"/>
    <cellStyle name="Обычный 5 3 6 2 2 2" xfId="23981"/>
    <cellStyle name="Обычный 5 3 6 2 2 2 2" xfId="53854"/>
    <cellStyle name="Обычный 5 3 6 2 2 3" xfId="53855"/>
    <cellStyle name="Обычный 5 3 6 2 3" xfId="23982"/>
    <cellStyle name="Обычный 5 3 6 2 3 2" xfId="53856"/>
    <cellStyle name="Обычный 5 3 6 2 4" xfId="53857"/>
    <cellStyle name="Обычный 5 3 6 3" xfId="23983"/>
    <cellStyle name="Обычный 5 3 6 3 2" xfId="23984"/>
    <cellStyle name="Обычный 5 3 6 3 2 2" xfId="23985"/>
    <cellStyle name="Обычный 5 3 6 3 2 2 2" xfId="53858"/>
    <cellStyle name="Обычный 5 3 6 3 2 3" xfId="53859"/>
    <cellStyle name="Обычный 5 3 6 3 3" xfId="23986"/>
    <cellStyle name="Обычный 5 3 6 3 3 2" xfId="53860"/>
    <cellStyle name="Обычный 5 3 6 3 4" xfId="53861"/>
    <cellStyle name="Обычный 5 3 6 4" xfId="23987"/>
    <cellStyle name="Обычный 5 3 6 4 2" xfId="23988"/>
    <cellStyle name="Обычный 5 3 6 4 2 2" xfId="23989"/>
    <cellStyle name="Обычный 5 3 6 4 2 2 2" xfId="53862"/>
    <cellStyle name="Обычный 5 3 6 4 2 3" xfId="53863"/>
    <cellStyle name="Обычный 5 3 6 4 3" xfId="23990"/>
    <cellStyle name="Обычный 5 3 6 4 3 2" xfId="53864"/>
    <cellStyle name="Обычный 5 3 6 4 4" xfId="53865"/>
    <cellStyle name="Обычный 5 3 6 5" xfId="23991"/>
    <cellStyle name="Обычный 5 3 6 5 2" xfId="23992"/>
    <cellStyle name="Обычный 5 3 6 5 2 2" xfId="53866"/>
    <cellStyle name="Обычный 5 3 6 5 3" xfId="53867"/>
    <cellStyle name="Обычный 5 3 6 6" xfId="23993"/>
    <cellStyle name="Обычный 5 3 6 6 2" xfId="53868"/>
    <cellStyle name="Обычный 5 3 6 7" xfId="23994"/>
    <cellStyle name="Обычный 5 3 6 7 2" xfId="53869"/>
    <cellStyle name="Обычный 5 3 6 8" xfId="53870"/>
    <cellStyle name="Обычный 5 3 7" xfId="23995"/>
    <cellStyle name="Обычный 5 3 7 2" xfId="23996"/>
    <cellStyle name="Обычный 5 3 7 2 2" xfId="23997"/>
    <cellStyle name="Обычный 5 3 7 2 2 2" xfId="23998"/>
    <cellStyle name="Обычный 5 3 7 2 2 2 2" xfId="53871"/>
    <cellStyle name="Обычный 5 3 7 2 2 3" xfId="53872"/>
    <cellStyle name="Обычный 5 3 7 2 3" xfId="23999"/>
    <cellStyle name="Обычный 5 3 7 2 3 2" xfId="53873"/>
    <cellStyle name="Обычный 5 3 7 2 4" xfId="53874"/>
    <cellStyle name="Обычный 5 3 7 3" xfId="24000"/>
    <cellStyle name="Обычный 5 3 7 3 2" xfId="24001"/>
    <cellStyle name="Обычный 5 3 7 3 2 2" xfId="24002"/>
    <cellStyle name="Обычный 5 3 7 3 2 2 2" xfId="53875"/>
    <cellStyle name="Обычный 5 3 7 3 2 3" xfId="53876"/>
    <cellStyle name="Обычный 5 3 7 3 3" xfId="24003"/>
    <cellStyle name="Обычный 5 3 7 3 3 2" xfId="53877"/>
    <cellStyle name="Обычный 5 3 7 3 4" xfId="53878"/>
    <cellStyle name="Обычный 5 3 7 4" xfId="24004"/>
    <cellStyle name="Обычный 5 3 7 4 2" xfId="24005"/>
    <cellStyle name="Обычный 5 3 7 4 2 2" xfId="24006"/>
    <cellStyle name="Обычный 5 3 7 4 2 2 2" xfId="53879"/>
    <cellStyle name="Обычный 5 3 7 4 2 3" xfId="53880"/>
    <cellStyle name="Обычный 5 3 7 4 3" xfId="24007"/>
    <cellStyle name="Обычный 5 3 7 4 3 2" xfId="53881"/>
    <cellStyle name="Обычный 5 3 7 4 4" xfId="53882"/>
    <cellStyle name="Обычный 5 3 7 5" xfId="24008"/>
    <cellStyle name="Обычный 5 3 7 5 2" xfId="24009"/>
    <cellStyle name="Обычный 5 3 7 5 2 2" xfId="53883"/>
    <cellStyle name="Обычный 5 3 7 5 3" xfId="53884"/>
    <cellStyle name="Обычный 5 3 7 6" xfId="24010"/>
    <cellStyle name="Обычный 5 3 7 6 2" xfId="53885"/>
    <cellStyle name="Обычный 5 3 7 7" xfId="24011"/>
    <cellStyle name="Обычный 5 3 7 7 2" xfId="53886"/>
    <cellStyle name="Обычный 5 3 7 8" xfId="53887"/>
    <cellStyle name="Обычный 5 3 8" xfId="24012"/>
    <cellStyle name="Обычный 5 3 8 2" xfId="24013"/>
    <cellStyle name="Обычный 5 3 8 2 2" xfId="24014"/>
    <cellStyle name="Обычный 5 3 8 2 2 2" xfId="24015"/>
    <cellStyle name="Обычный 5 3 8 2 2 2 2" xfId="53888"/>
    <cellStyle name="Обычный 5 3 8 2 2 3" xfId="53889"/>
    <cellStyle name="Обычный 5 3 8 2 3" xfId="24016"/>
    <cellStyle name="Обычный 5 3 8 2 3 2" xfId="53890"/>
    <cellStyle name="Обычный 5 3 8 2 4" xfId="53891"/>
    <cellStyle name="Обычный 5 3 8 3" xfId="24017"/>
    <cellStyle name="Обычный 5 3 8 3 2" xfId="24018"/>
    <cellStyle name="Обычный 5 3 8 3 2 2" xfId="24019"/>
    <cellStyle name="Обычный 5 3 8 3 2 2 2" xfId="53892"/>
    <cellStyle name="Обычный 5 3 8 3 2 3" xfId="53893"/>
    <cellStyle name="Обычный 5 3 8 3 3" xfId="24020"/>
    <cellStyle name="Обычный 5 3 8 3 3 2" xfId="53894"/>
    <cellStyle name="Обычный 5 3 8 3 4" xfId="53895"/>
    <cellStyle name="Обычный 5 3 8 4" xfId="24021"/>
    <cellStyle name="Обычный 5 3 8 4 2" xfId="24022"/>
    <cellStyle name="Обычный 5 3 8 4 2 2" xfId="24023"/>
    <cellStyle name="Обычный 5 3 8 4 2 2 2" xfId="53896"/>
    <cellStyle name="Обычный 5 3 8 4 2 3" xfId="53897"/>
    <cellStyle name="Обычный 5 3 8 4 3" xfId="24024"/>
    <cellStyle name="Обычный 5 3 8 4 3 2" xfId="53898"/>
    <cellStyle name="Обычный 5 3 8 4 4" xfId="53899"/>
    <cellStyle name="Обычный 5 3 8 5" xfId="24025"/>
    <cellStyle name="Обычный 5 3 8 5 2" xfId="24026"/>
    <cellStyle name="Обычный 5 3 8 5 2 2" xfId="53900"/>
    <cellStyle name="Обычный 5 3 8 5 3" xfId="53901"/>
    <cellStyle name="Обычный 5 3 8 6" xfId="24027"/>
    <cellStyle name="Обычный 5 3 8 6 2" xfId="53902"/>
    <cellStyle name="Обычный 5 3 8 7" xfId="24028"/>
    <cellStyle name="Обычный 5 3 8 7 2" xfId="53903"/>
    <cellStyle name="Обычный 5 3 8 8" xfId="53904"/>
    <cellStyle name="Обычный 5 3 9" xfId="24029"/>
    <cellStyle name="Обычный 5 3 9 2" xfId="24030"/>
    <cellStyle name="Обычный 5 3 9 2 2" xfId="24031"/>
    <cellStyle name="Обычный 5 3 9 2 2 2" xfId="24032"/>
    <cellStyle name="Обычный 5 3 9 2 2 2 2" xfId="53905"/>
    <cellStyle name="Обычный 5 3 9 2 2 3" xfId="53906"/>
    <cellStyle name="Обычный 5 3 9 2 3" xfId="24033"/>
    <cellStyle name="Обычный 5 3 9 2 3 2" xfId="53907"/>
    <cellStyle name="Обычный 5 3 9 2 4" xfId="53908"/>
    <cellStyle name="Обычный 5 3 9 3" xfId="24034"/>
    <cellStyle name="Обычный 5 3 9 3 2" xfId="24035"/>
    <cellStyle name="Обычный 5 3 9 3 2 2" xfId="24036"/>
    <cellStyle name="Обычный 5 3 9 3 2 2 2" xfId="53909"/>
    <cellStyle name="Обычный 5 3 9 3 2 3" xfId="53910"/>
    <cellStyle name="Обычный 5 3 9 3 3" xfId="24037"/>
    <cellStyle name="Обычный 5 3 9 3 3 2" xfId="53911"/>
    <cellStyle name="Обычный 5 3 9 3 4" xfId="53912"/>
    <cellStyle name="Обычный 5 3 9 4" xfId="24038"/>
    <cellStyle name="Обычный 5 3 9 4 2" xfId="24039"/>
    <cellStyle name="Обычный 5 3 9 4 2 2" xfId="24040"/>
    <cellStyle name="Обычный 5 3 9 4 2 2 2" xfId="53913"/>
    <cellStyle name="Обычный 5 3 9 4 2 3" xfId="53914"/>
    <cellStyle name="Обычный 5 3 9 4 3" xfId="24041"/>
    <cellStyle name="Обычный 5 3 9 4 3 2" xfId="53915"/>
    <cellStyle name="Обычный 5 3 9 4 4" xfId="53916"/>
    <cellStyle name="Обычный 5 3 9 5" xfId="24042"/>
    <cellStyle name="Обычный 5 3 9 5 2" xfId="24043"/>
    <cellStyle name="Обычный 5 3 9 5 2 2" xfId="53917"/>
    <cellStyle name="Обычный 5 3 9 5 3" xfId="53918"/>
    <cellStyle name="Обычный 5 3 9 6" xfId="24044"/>
    <cellStyle name="Обычный 5 3 9 6 2" xfId="53919"/>
    <cellStyle name="Обычный 5 3 9 7" xfId="24045"/>
    <cellStyle name="Обычный 5 3 9 7 2" xfId="53920"/>
    <cellStyle name="Обычный 5 3 9 8" xfId="53921"/>
    <cellStyle name="Обычный 5 30" xfId="24046"/>
    <cellStyle name="Обычный 5 30 2" xfId="24047"/>
    <cellStyle name="Обычный 5 30 2 2" xfId="24048"/>
    <cellStyle name="Обычный 5 30 2 2 2" xfId="24049"/>
    <cellStyle name="Обычный 5 30 2 2 2 2" xfId="53922"/>
    <cellStyle name="Обычный 5 30 2 2 3" xfId="53923"/>
    <cellStyle name="Обычный 5 30 2 3" xfId="24050"/>
    <cellStyle name="Обычный 5 30 2 3 2" xfId="53924"/>
    <cellStyle name="Обычный 5 30 2 4" xfId="53925"/>
    <cellStyle name="Обычный 5 30 3" xfId="24051"/>
    <cellStyle name="Обычный 5 30 3 2" xfId="24052"/>
    <cellStyle name="Обычный 5 30 3 2 2" xfId="24053"/>
    <cellStyle name="Обычный 5 30 3 2 2 2" xfId="53926"/>
    <cellStyle name="Обычный 5 30 3 2 3" xfId="53927"/>
    <cellStyle name="Обычный 5 30 3 3" xfId="24054"/>
    <cellStyle name="Обычный 5 30 3 3 2" xfId="53928"/>
    <cellStyle name="Обычный 5 30 3 4" xfId="53929"/>
    <cellStyle name="Обычный 5 30 4" xfId="24055"/>
    <cellStyle name="Обычный 5 30 4 2" xfId="24056"/>
    <cellStyle name="Обычный 5 30 4 2 2" xfId="24057"/>
    <cellStyle name="Обычный 5 30 4 2 2 2" xfId="53930"/>
    <cellStyle name="Обычный 5 30 4 2 3" xfId="53931"/>
    <cellStyle name="Обычный 5 30 4 3" xfId="24058"/>
    <cellStyle name="Обычный 5 30 4 3 2" xfId="53932"/>
    <cellStyle name="Обычный 5 30 4 4" xfId="53933"/>
    <cellStyle name="Обычный 5 30 5" xfId="24059"/>
    <cellStyle name="Обычный 5 30 5 2" xfId="24060"/>
    <cellStyle name="Обычный 5 30 5 2 2" xfId="53934"/>
    <cellStyle name="Обычный 5 30 5 3" xfId="53935"/>
    <cellStyle name="Обычный 5 30 6" xfId="24061"/>
    <cellStyle name="Обычный 5 30 6 2" xfId="53936"/>
    <cellStyle name="Обычный 5 30 7" xfId="24062"/>
    <cellStyle name="Обычный 5 30 7 2" xfId="53937"/>
    <cellStyle name="Обычный 5 30 8" xfId="53938"/>
    <cellStyle name="Обычный 5 31" xfId="24063"/>
    <cellStyle name="Обычный 5 31 2" xfId="24064"/>
    <cellStyle name="Обычный 5 31 2 2" xfId="24065"/>
    <cellStyle name="Обычный 5 31 2 2 2" xfId="24066"/>
    <cellStyle name="Обычный 5 31 2 2 2 2" xfId="53939"/>
    <cellStyle name="Обычный 5 31 2 2 3" xfId="53940"/>
    <cellStyle name="Обычный 5 31 2 3" xfId="24067"/>
    <cellStyle name="Обычный 5 31 2 3 2" xfId="53941"/>
    <cellStyle name="Обычный 5 31 2 4" xfId="53942"/>
    <cellStyle name="Обычный 5 31 3" xfId="24068"/>
    <cellStyle name="Обычный 5 31 3 2" xfId="24069"/>
    <cellStyle name="Обычный 5 31 3 2 2" xfId="24070"/>
    <cellStyle name="Обычный 5 31 3 2 2 2" xfId="53943"/>
    <cellStyle name="Обычный 5 31 3 2 3" xfId="53944"/>
    <cellStyle name="Обычный 5 31 3 3" xfId="24071"/>
    <cellStyle name="Обычный 5 31 3 3 2" xfId="53945"/>
    <cellStyle name="Обычный 5 31 3 4" xfId="53946"/>
    <cellStyle name="Обычный 5 31 4" xfId="24072"/>
    <cellStyle name="Обычный 5 31 4 2" xfId="24073"/>
    <cellStyle name="Обычный 5 31 4 2 2" xfId="24074"/>
    <cellStyle name="Обычный 5 31 4 2 2 2" xfId="53947"/>
    <cellStyle name="Обычный 5 31 4 2 3" xfId="53948"/>
    <cellStyle name="Обычный 5 31 4 3" xfId="24075"/>
    <cellStyle name="Обычный 5 31 4 3 2" xfId="53949"/>
    <cellStyle name="Обычный 5 31 4 4" xfId="53950"/>
    <cellStyle name="Обычный 5 31 5" xfId="24076"/>
    <cellStyle name="Обычный 5 31 5 2" xfId="24077"/>
    <cellStyle name="Обычный 5 31 5 2 2" xfId="53951"/>
    <cellStyle name="Обычный 5 31 5 3" xfId="53952"/>
    <cellStyle name="Обычный 5 31 6" xfId="24078"/>
    <cellStyle name="Обычный 5 31 6 2" xfId="53953"/>
    <cellStyle name="Обычный 5 31 7" xfId="24079"/>
    <cellStyle name="Обычный 5 31 7 2" xfId="53954"/>
    <cellStyle name="Обычный 5 31 8" xfId="53955"/>
    <cellStyle name="Обычный 5 32" xfId="24080"/>
    <cellStyle name="Обычный 5 32 2" xfId="24081"/>
    <cellStyle name="Обычный 5 32 2 2" xfId="24082"/>
    <cellStyle name="Обычный 5 32 2 2 2" xfId="24083"/>
    <cellStyle name="Обычный 5 32 2 2 2 2" xfId="53956"/>
    <cellStyle name="Обычный 5 32 2 2 3" xfId="53957"/>
    <cellStyle name="Обычный 5 32 2 3" xfId="24084"/>
    <cellStyle name="Обычный 5 32 2 3 2" xfId="53958"/>
    <cellStyle name="Обычный 5 32 2 4" xfId="53959"/>
    <cellStyle name="Обычный 5 32 3" xfId="24085"/>
    <cellStyle name="Обычный 5 32 3 2" xfId="24086"/>
    <cellStyle name="Обычный 5 32 3 2 2" xfId="24087"/>
    <cellStyle name="Обычный 5 32 3 2 2 2" xfId="53960"/>
    <cellStyle name="Обычный 5 32 3 2 3" xfId="53961"/>
    <cellStyle name="Обычный 5 32 3 3" xfId="24088"/>
    <cellStyle name="Обычный 5 32 3 3 2" xfId="53962"/>
    <cellStyle name="Обычный 5 32 3 4" xfId="53963"/>
    <cellStyle name="Обычный 5 32 4" xfId="24089"/>
    <cellStyle name="Обычный 5 32 4 2" xfId="24090"/>
    <cellStyle name="Обычный 5 32 4 2 2" xfId="24091"/>
    <cellStyle name="Обычный 5 32 4 2 2 2" xfId="53964"/>
    <cellStyle name="Обычный 5 32 4 2 3" xfId="53965"/>
    <cellStyle name="Обычный 5 32 4 3" xfId="24092"/>
    <cellStyle name="Обычный 5 32 4 3 2" xfId="53966"/>
    <cellStyle name="Обычный 5 32 4 4" xfId="53967"/>
    <cellStyle name="Обычный 5 32 5" xfId="24093"/>
    <cellStyle name="Обычный 5 32 5 2" xfId="24094"/>
    <cellStyle name="Обычный 5 32 5 2 2" xfId="53968"/>
    <cellStyle name="Обычный 5 32 5 3" xfId="53969"/>
    <cellStyle name="Обычный 5 32 6" xfId="24095"/>
    <cellStyle name="Обычный 5 32 6 2" xfId="53970"/>
    <cellStyle name="Обычный 5 32 7" xfId="24096"/>
    <cellStyle name="Обычный 5 32 7 2" xfId="53971"/>
    <cellStyle name="Обычный 5 32 8" xfId="53972"/>
    <cellStyle name="Обычный 5 33" xfId="24097"/>
    <cellStyle name="Обычный 5 33 2" xfId="24098"/>
    <cellStyle name="Обычный 5 33 2 2" xfId="24099"/>
    <cellStyle name="Обычный 5 33 2 2 2" xfId="24100"/>
    <cellStyle name="Обычный 5 33 2 2 2 2" xfId="53973"/>
    <cellStyle name="Обычный 5 33 2 2 3" xfId="53974"/>
    <cellStyle name="Обычный 5 33 2 3" xfId="24101"/>
    <cellStyle name="Обычный 5 33 2 3 2" xfId="53975"/>
    <cellStyle name="Обычный 5 33 2 4" xfId="53976"/>
    <cellStyle name="Обычный 5 33 3" xfId="24102"/>
    <cellStyle name="Обычный 5 33 3 2" xfId="24103"/>
    <cellStyle name="Обычный 5 33 3 2 2" xfId="24104"/>
    <cellStyle name="Обычный 5 33 3 2 2 2" xfId="53977"/>
    <cellStyle name="Обычный 5 33 3 2 3" xfId="53978"/>
    <cellStyle name="Обычный 5 33 3 3" xfId="24105"/>
    <cellStyle name="Обычный 5 33 3 3 2" xfId="53979"/>
    <cellStyle name="Обычный 5 33 3 4" xfId="53980"/>
    <cellStyle name="Обычный 5 33 4" xfId="24106"/>
    <cellStyle name="Обычный 5 33 4 2" xfId="24107"/>
    <cellStyle name="Обычный 5 33 4 2 2" xfId="24108"/>
    <cellStyle name="Обычный 5 33 4 2 2 2" xfId="53981"/>
    <cellStyle name="Обычный 5 33 4 2 3" xfId="53982"/>
    <cellStyle name="Обычный 5 33 4 3" xfId="24109"/>
    <cellStyle name="Обычный 5 33 4 3 2" xfId="53983"/>
    <cellStyle name="Обычный 5 33 4 4" xfId="53984"/>
    <cellStyle name="Обычный 5 33 5" xfId="24110"/>
    <cellStyle name="Обычный 5 33 5 2" xfId="24111"/>
    <cellStyle name="Обычный 5 33 5 2 2" xfId="53985"/>
    <cellStyle name="Обычный 5 33 5 3" xfId="53986"/>
    <cellStyle name="Обычный 5 33 6" xfId="24112"/>
    <cellStyle name="Обычный 5 33 6 2" xfId="53987"/>
    <cellStyle name="Обычный 5 33 7" xfId="24113"/>
    <cellStyle name="Обычный 5 33 7 2" xfId="53988"/>
    <cellStyle name="Обычный 5 33 8" xfId="53989"/>
    <cellStyle name="Обычный 5 34" xfId="24114"/>
    <cellStyle name="Обычный 5 34 2" xfId="24115"/>
    <cellStyle name="Обычный 5 34 2 2" xfId="24116"/>
    <cellStyle name="Обычный 5 34 2 2 2" xfId="24117"/>
    <cellStyle name="Обычный 5 34 2 2 2 2" xfId="53990"/>
    <cellStyle name="Обычный 5 34 2 2 3" xfId="53991"/>
    <cellStyle name="Обычный 5 34 2 3" xfId="24118"/>
    <cellStyle name="Обычный 5 34 2 3 2" xfId="53992"/>
    <cellStyle name="Обычный 5 34 2 4" xfId="53993"/>
    <cellStyle name="Обычный 5 34 3" xfId="24119"/>
    <cellStyle name="Обычный 5 34 3 2" xfId="24120"/>
    <cellStyle name="Обычный 5 34 3 2 2" xfId="24121"/>
    <cellStyle name="Обычный 5 34 3 2 2 2" xfId="53994"/>
    <cellStyle name="Обычный 5 34 3 2 3" xfId="53995"/>
    <cellStyle name="Обычный 5 34 3 3" xfId="24122"/>
    <cellStyle name="Обычный 5 34 3 3 2" xfId="53996"/>
    <cellStyle name="Обычный 5 34 3 4" xfId="53997"/>
    <cellStyle name="Обычный 5 34 4" xfId="24123"/>
    <cellStyle name="Обычный 5 34 4 2" xfId="24124"/>
    <cellStyle name="Обычный 5 34 4 2 2" xfId="24125"/>
    <cellStyle name="Обычный 5 34 4 2 2 2" xfId="53998"/>
    <cellStyle name="Обычный 5 34 4 2 3" xfId="53999"/>
    <cellStyle name="Обычный 5 34 4 3" xfId="24126"/>
    <cellStyle name="Обычный 5 34 4 3 2" xfId="54000"/>
    <cellStyle name="Обычный 5 34 4 4" xfId="54001"/>
    <cellStyle name="Обычный 5 34 5" xfId="24127"/>
    <cellStyle name="Обычный 5 34 5 2" xfId="24128"/>
    <cellStyle name="Обычный 5 34 5 2 2" xfId="54002"/>
    <cellStyle name="Обычный 5 34 5 3" xfId="54003"/>
    <cellStyle name="Обычный 5 34 6" xfId="24129"/>
    <cellStyle name="Обычный 5 34 6 2" xfId="54004"/>
    <cellStyle name="Обычный 5 34 7" xfId="24130"/>
    <cellStyle name="Обычный 5 34 7 2" xfId="54005"/>
    <cellStyle name="Обычный 5 34 8" xfId="54006"/>
    <cellStyle name="Обычный 5 35" xfId="24131"/>
    <cellStyle name="Обычный 5 35 2" xfId="24132"/>
    <cellStyle name="Обычный 5 35 2 2" xfId="24133"/>
    <cellStyle name="Обычный 5 35 2 2 2" xfId="24134"/>
    <cellStyle name="Обычный 5 35 2 2 2 2" xfId="54007"/>
    <cellStyle name="Обычный 5 35 2 2 3" xfId="54008"/>
    <cellStyle name="Обычный 5 35 2 3" xfId="24135"/>
    <cellStyle name="Обычный 5 35 2 3 2" xfId="54009"/>
    <cellStyle name="Обычный 5 35 2 4" xfId="54010"/>
    <cellStyle name="Обычный 5 35 3" xfId="24136"/>
    <cellStyle name="Обычный 5 35 3 2" xfId="24137"/>
    <cellStyle name="Обычный 5 35 3 2 2" xfId="24138"/>
    <cellStyle name="Обычный 5 35 3 2 2 2" xfId="54011"/>
    <cellStyle name="Обычный 5 35 3 2 3" xfId="54012"/>
    <cellStyle name="Обычный 5 35 3 3" xfId="24139"/>
    <cellStyle name="Обычный 5 35 3 3 2" xfId="54013"/>
    <cellStyle name="Обычный 5 35 3 4" xfId="54014"/>
    <cellStyle name="Обычный 5 35 4" xfId="24140"/>
    <cellStyle name="Обычный 5 35 4 2" xfId="24141"/>
    <cellStyle name="Обычный 5 35 4 2 2" xfId="24142"/>
    <cellStyle name="Обычный 5 35 4 2 2 2" xfId="54015"/>
    <cellStyle name="Обычный 5 35 4 2 3" xfId="54016"/>
    <cellStyle name="Обычный 5 35 4 3" xfId="24143"/>
    <cellStyle name="Обычный 5 35 4 3 2" xfId="54017"/>
    <cellStyle name="Обычный 5 35 4 4" xfId="54018"/>
    <cellStyle name="Обычный 5 35 5" xfId="24144"/>
    <cellStyle name="Обычный 5 35 5 2" xfId="24145"/>
    <cellStyle name="Обычный 5 35 5 2 2" xfId="54019"/>
    <cellStyle name="Обычный 5 35 5 3" xfId="54020"/>
    <cellStyle name="Обычный 5 35 6" xfId="24146"/>
    <cellStyle name="Обычный 5 35 6 2" xfId="54021"/>
    <cellStyle name="Обычный 5 35 7" xfId="24147"/>
    <cellStyle name="Обычный 5 35 7 2" xfId="54022"/>
    <cellStyle name="Обычный 5 35 8" xfId="54023"/>
    <cellStyle name="Обычный 5 36" xfId="24148"/>
    <cellStyle name="Обычный 5 36 2" xfId="24149"/>
    <cellStyle name="Обычный 5 36 2 2" xfId="24150"/>
    <cellStyle name="Обычный 5 36 2 2 2" xfId="24151"/>
    <cellStyle name="Обычный 5 36 2 2 2 2" xfId="54024"/>
    <cellStyle name="Обычный 5 36 2 2 3" xfId="54025"/>
    <cellStyle name="Обычный 5 36 2 3" xfId="24152"/>
    <cellStyle name="Обычный 5 36 2 3 2" xfId="54026"/>
    <cellStyle name="Обычный 5 36 2 4" xfId="54027"/>
    <cellStyle name="Обычный 5 36 3" xfId="24153"/>
    <cellStyle name="Обычный 5 36 3 2" xfId="24154"/>
    <cellStyle name="Обычный 5 36 3 2 2" xfId="24155"/>
    <cellStyle name="Обычный 5 36 3 2 2 2" xfId="54028"/>
    <cellStyle name="Обычный 5 36 3 2 3" xfId="54029"/>
    <cellStyle name="Обычный 5 36 3 3" xfId="24156"/>
    <cellStyle name="Обычный 5 36 3 3 2" xfId="54030"/>
    <cellStyle name="Обычный 5 36 3 4" xfId="54031"/>
    <cellStyle name="Обычный 5 36 4" xfId="24157"/>
    <cellStyle name="Обычный 5 36 4 2" xfId="24158"/>
    <cellStyle name="Обычный 5 36 4 2 2" xfId="24159"/>
    <cellStyle name="Обычный 5 36 4 2 2 2" xfId="54032"/>
    <cellStyle name="Обычный 5 36 4 2 3" xfId="54033"/>
    <cellStyle name="Обычный 5 36 4 3" xfId="24160"/>
    <cellStyle name="Обычный 5 36 4 3 2" xfId="54034"/>
    <cellStyle name="Обычный 5 36 4 4" xfId="54035"/>
    <cellStyle name="Обычный 5 36 5" xfId="24161"/>
    <cellStyle name="Обычный 5 36 5 2" xfId="24162"/>
    <cellStyle name="Обычный 5 36 5 2 2" xfId="54036"/>
    <cellStyle name="Обычный 5 36 5 3" xfId="54037"/>
    <cellStyle name="Обычный 5 36 6" xfId="24163"/>
    <cellStyle name="Обычный 5 36 6 2" xfId="54038"/>
    <cellStyle name="Обычный 5 36 7" xfId="24164"/>
    <cellStyle name="Обычный 5 36 7 2" xfId="54039"/>
    <cellStyle name="Обычный 5 36 8" xfId="54040"/>
    <cellStyle name="Обычный 5 37" xfId="24165"/>
    <cellStyle name="Обычный 5 37 2" xfId="24166"/>
    <cellStyle name="Обычный 5 37 2 2" xfId="24167"/>
    <cellStyle name="Обычный 5 37 2 2 2" xfId="24168"/>
    <cellStyle name="Обычный 5 37 2 2 2 2" xfId="54041"/>
    <cellStyle name="Обычный 5 37 2 2 3" xfId="54042"/>
    <cellStyle name="Обычный 5 37 2 3" xfId="24169"/>
    <cellStyle name="Обычный 5 37 2 3 2" xfId="54043"/>
    <cellStyle name="Обычный 5 37 2 4" xfId="54044"/>
    <cellStyle name="Обычный 5 37 3" xfId="24170"/>
    <cellStyle name="Обычный 5 37 3 2" xfId="24171"/>
    <cellStyle name="Обычный 5 37 3 2 2" xfId="24172"/>
    <cellStyle name="Обычный 5 37 3 2 2 2" xfId="54045"/>
    <cellStyle name="Обычный 5 37 3 2 3" xfId="54046"/>
    <cellStyle name="Обычный 5 37 3 3" xfId="24173"/>
    <cellStyle name="Обычный 5 37 3 3 2" xfId="54047"/>
    <cellStyle name="Обычный 5 37 3 4" xfId="54048"/>
    <cellStyle name="Обычный 5 37 4" xfId="24174"/>
    <cellStyle name="Обычный 5 37 4 2" xfId="24175"/>
    <cellStyle name="Обычный 5 37 4 2 2" xfId="24176"/>
    <cellStyle name="Обычный 5 37 4 2 2 2" xfId="54049"/>
    <cellStyle name="Обычный 5 37 4 2 3" xfId="54050"/>
    <cellStyle name="Обычный 5 37 4 3" xfId="24177"/>
    <cellStyle name="Обычный 5 37 4 3 2" xfId="54051"/>
    <cellStyle name="Обычный 5 37 4 4" xfId="54052"/>
    <cellStyle name="Обычный 5 37 5" xfId="24178"/>
    <cellStyle name="Обычный 5 37 5 2" xfId="24179"/>
    <cellStyle name="Обычный 5 37 5 2 2" xfId="54053"/>
    <cellStyle name="Обычный 5 37 5 3" xfId="54054"/>
    <cellStyle name="Обычный 5 37 6" xfId="24180"/>
    <cellStyle name="Обычный 5 37 6 2" xfId="54055"/>
    <cellStyle name="Обычный 5 37 7" xfId="24181"/>
    <cellStyle name="Обычный 5 37 7 2" xfId="54056"/>
    <cellStyle name="Обычный 5 37 8" xfId="54057"/>
    <cellStyle name="Обычный 5 38" xfId="24182"/>
    <cellStyle name="Обычный 5 38 2" xfId="24183"/>
    <cellStyle name="Обычный 5 38 2 2" xfId="24184"/>
    <cellStyle name="Обычный 5 38 2 2 2" xfId="24185"/>
    <cellStyle name="Обычный 5 38 2 2 2 2" xfId="54058"/>
    <cellStyle name="Обычный 5 38 2 2 3" xfId="54059"/>
    <cellStyle name="Обычный 5 38 2 3" xfId="24186"/>
    <cellStyle name="Обычный 5 38 2 3 2" xfId="54060"/>
    <cellStyle name="Обычный 5 38 2 4" xfId="54061"/>
    <cellStyle name="Обычный 5 38 3" xfId="24187"/>
    <cellStyle name="Обычный 5 38 3 2" xfId="24188"/>
    <cellStyle name="Обычный 5 38 3 2 2" xfId="24189"/>
    <cellStyle name="Обычный 5 38 3 2 2 2" xfId="54062"/>
    <cellStyle name="Обычный 5 38 3 2 3" xfId="54063"/>
    <cellStyle name="Обычный 5 38 3 3" xfId="24190"/>
    <cellStyle name="Обычный 5 38 3 3 2" xfId="54064"/>
    <cellStyle name="Обычный 5 38 3 4" xfId="54065"/>
    <cellStyle name="Обычный 5 38 4" xfId="24191"/>
    <cellStyle name="Обычный 5 38 4 2" xfId="24192"/>
    <cellStyle name="Обычный 5 38 4 2 2" xfId="24193"/>
    <cellStyle name="Обычный 5 38 4 2 2 2" xfId="54066"/>
    <cellStyle name="Обычный 5 38 4 2 3" xfId="54067"/>
    <cellStyle name="Обычный 5 38 4 3" xfId="24194"/>
    <cellStyle name="Обычный 5 38 4 3 2" xfId="54068"/>
    <cellStyle name="Обычный 5 38 4 4" xfId="54069"/>
    <cellStyle name="Обычный 5 38 5" xfId="24195"/>
    <cellStyle name="Обычный 5 38 5 2" xfId="24196"/>
    <cellStyle name="Обычный 5 38 5 2 2" xfId="54070"/>
    <cellStyle name="Обычный 5 38 5 3" xfId="54071"/>
    <cellStyle name="Обычный 5 38 6" xfId="24197"/>
    <cellStyle name="Обычный 5 38 6 2" xfId="54072"/>
    <cellStyle name="Обычный 5 38 7" xfId="24198"/>
    <cellStyle name="Обычный 5 38 7 2" xfId="54073"/>
    <cellStyle name="Обычный 5 38 8" xfId="54074"/>
    <cellStyle name="Обычный 5 39" xfId="24199"/>
    <cellStyle name="Обычный 5 39 2" xfId="24200"/>
    <cellStyle name="Обычный 5 39 2 2" xfId="24201"/>
    <cellStyle name="Обычный 5 39 2 2 2" xfId="24202"/>
    <cellStyle name="Обычный 5 39 2 2 2 2" xfId="54075"/>
    <cellStyle name="Обычный 5 39 2 2 3" xfId="54076"/>
    <cellStyle name="Обычный 5 39 2 3" xfId="24203"/>
    <cellStyle name="Обычный 5 39 2 3 2" xfId="54077"/>
    <cellStyle name="Обычный 5 39 2 4" xfId="54078"/>
    <cellStyle name="Обычный 5 39 3" xfId="24204"/>
    <cellStyle name="Обычный 5 39 3 2" xfId="24205"/>
    <cellStyle name="Обычный 5 39 3 2 2" xfId="24206"/>
    <cellStyle name="Обычный 5 39 3 2 2 2" xfId="54079"/>
    <cellStyle name="Обычный 5 39 3 2 3" xfId="54080"/>
    <cellStyle name="Обычный 5 39 3 3" xfId="24207"/>
    <cellStyle name="Обычный 5 39 3 3 2" xfId="54081"/>
    <cellStyle name="Обычный 5 39 3 4" xfId="54082"/>
    <cellStyle name="Обычный 5 39 4" xfId="24208"/>
    <cellStyle name="Обычный 5 39 4 2" xfId="24209"/>
    <cellStyle name="Обычный 5 39 4 2 2" xfId="24210"/>
    <cellStyle name="Обычный 5 39 4 2 2 2" xfId="54083"/>
    <cellStyle name="Обычный 5 39 4 2 3" xfId="54084"/>
    <cellStyle name="Обычный 5 39 4 3" xfId="24211"/>
    <cellStyle name="Обычный 5 39 4 3 2" xfId="54085"/>
    <cellStyle name="Обычный 5 39 4 4" xfId="54086"/>
    <cellStyle name="Обычный 5 39 5" xfId="24212"/>
    <cellStyle name="Обычный 5 39 5 2" xfId="24213"/>
    <cellStyle name="Обычный 5 39 5 2 2" xfId="54087"/>
    <cellStyle name="Обычный 5 39 5 3" xfId="54088"/>
    <cellStyle name="Обычный 5 39 6" xfId="24214"/>
    <cellStyle name="Обычный 5 39 6 2" xfId="54089"/>
    <cellStyle name="Обычный 5 39 7" xfId="24215"/>
    <cellStyle name="Обычный 5 39 7 2" xfId="54090"/>
    <cellStyle name="Обычный 5 39 8" xfId="54091"/>
    <cellStyle name="Обычный 5 4" xfId="24216"/>
    <cellStyle name="Обычный 5 4 10" xfId="24217"/>
    <cellStyle name="Обычный 5 4 10 2" xfId="24218"/>
    <cellStyle name="Обычный 5 4 10 2 2" xfId="24219"/>
    <cellStyle name="Обычный 5 4 10 2 2 2" xfId="24220"/>
    <cellStyle name="Обычный 5 4 10 2 2 2 2" xfId="54092"/>
    <cellStyle name="Обычный 5 4 10 2 2 3" xfId="54093"/>
    <cellStyle name="Обычный 5 4 10 2 3" xfId="24221"/>
    <cellStyle name="Обычный 5 4 10 2 3 2" xfId="54094"/>
    <cellStyle name="Обычный 5 4 10 2 4" xfId="54095"/>
    <cellStyle name="Обычный 5 4 10 3" xfId="24222"/>
    <cellStyle name="Обычный 5 4 10 3 2" xfId="24223"/>
    <cellStyle name="Обычный 5 4 10 3 2 2" xfId="24224"/>
    <cellStyle name="Обычный 5 4 10 3 2 2 2" xfId="54096"/>
    <cellStyle name="Обычный 5 4 10 3 2 3" xfId="54097"/>
    <cellStyle name="Обычный 5 4 10 3 3" xfId="24225"/>
    <cellStyle name="Обычный 5 4 10 3 3 2" xfId="54098"/>
    <cellStyle name="Обычный 5 4 10 3 4" xfId="54099"/>
    <cellStyle name="Обычный 5 4 10 4" xfId="24226"/>
    <cellStyle name="Обычный 5 4 10 4 2" xfId="24227"/>
    <cellStyle name="Обычный 5 4 10 4 2 2" xfId="24228"/>
    <cellStyle name="Обычный 5 4 10 4 2 2 2" xfId="54100"/>
    <cellStyle name="Обычный 5 4 10 4 2 3" xfId="54101"/>
    <cellStyle name="Обычный 5 4 10 4 3" xfId="24229"/>
    <cellStyle name="Обычный 5 4 10 4 3 2" xfId="54102"/>
    <cellStyle name="Обычный 5 4 10 4 4" xfId="54103"/>
    <cellStyle name="Обычный 5 4 10 5" xfId="24230"/>
    <cellStyle name="Обычный 5 4 10 5 2" xfId="24231"/>
    <cellStyle name="Обычный 5 4 10 5 2 2" xfId="54104"/>
    <cellStyle name="Обычный 5 4 10 5 3" xfId="54105"/>
    <cellStyle name="Обычный 5 4 10 6" xfId="24232"/>
    <cellStyle name="Обычный 5 4 10 6 2" xfId="54106"/>
    <cellStyle name="Обычный 5 4 10 7" xfId="24233"/>
    <cellStyle name="Обычный 5 4 10 7 2" xfId="54107"/>
    <cellStyle name="Обычный 5 4 10 8" xfId="54108"/>
    <cellStyle name="Обычный 5 4 11" xfId="24234"/>
    <cellStyle name="Обычный 5 4 11 2" xfId="24235"/>
    <cellStyle name="Обычный 5 4 11 2 2" xfId="24236"/>
    <cellStyle name="Обычный 5 4 11 2 2 2" xfId="24237"/>
    <cellStyle name="Обычный 5 4 11 2 2 2 2" xfId="54109"/>
    <cellStyle name="Обычный 5 4 11 2 2 3" xfId="54110"/>
    <cellStyle name="Обычный 5 4 11 2 3" xfId="24238"/>
    <cellStyle name="Обычный 5 4 11 2 3 2" xfId="54111"/>
    <cellStyle name="Обычный 5 4 11 2 4" xfId="54112"/>
    <cellStyle name="Обычный 5 4 11 3" xfId="24239"/>
    <cellStyle name="Обычный 5 4 11 3 2" xfId="24240"/>
    <cellStyle name="Обычный 5 4 11 3 2 2" xfId="24241"/>
    <cellStyle name="Обычный 5 4 11 3 2 2 2" xfId="54113"/>
    <cellStyle name="Обычный 5 4 11 3 2 3" xfId="54114"/>
    <cellStyle name="Обычный 5 4 11 3 3" xfId="24242"/>
    <cellStyle name="Обычный 5 4 11 3 3 2" xfId="54115"/>
    <cellStyle name="Обычный 5 4 11 3 4" xfId="54116"/>
    <cellStyle name="Обычный 5 4 11 4" xfId="24243"/>
    <cellStyle name="Обычный 5 4 11 4 2" xfId="24244"/>
    <cellStyle name="Обычный 5 4 11 4 2 2" xfId="24245"/>
    <cellStyle name="Обычный 5 4 11 4 2 2 2" xfId="54117"/>
    <cellStyle name="Обычный 5 4 11 4 2 3" xfId="54118"/>
    <cellStyle name="Обычный 5 4 11 4 3" xfId="24246"/>
    <cellStyle name="Обычный 5 4 11 4 3 2" xfId="54119"/>
    <cellStyle name="Обычный 5 4 11 4 4" xfId="54120"/>
    <cellStyle name="Обычный 5 4 11 5" xfId="24247"/>
    <cellStyle name="Обычный 5 4 11 5 2" xfId="24248"/>
    <cellStyle name="Обычный 5 4 11 5 2 2" xfId="54121"/>
    <cellStyle name="Обычный 5 4 11 5 3" xfId="54122"/>
    <cellStyle name="Обычный 5 4 11 6" xfId="24249"/>
    <cellStyle name="Обычный 5 4 11 6 2" xfId="54123"/>
    <cellStyle name="Обычный 5 4 11 7" xfId="24250"/>
    <cellStyle name="Обычный 5 4 11 7 2" xfId="54124"/>
    <cellStyle name="Обычный 5 4 11 8" xfId="54125"/>
    <cellStyle name="Обычный 5 4 12" xfId="24251"/>
    <cellStyle name="Обычный 5 4 12 2" xfId="24252"/>
    <cellStyle name="Обычный 5 4 12 2 2" xfId="24253"/>
    <cellStyle name="Обычный 5 4 12 2 2 2" xfId="24254"/>
    <cellStyle name="Обычный 5 4 12 2 2 2 2" xfId="54126"/>
    <cellStyle name="Обычный 5 4 12 2 2 3" xfId="54127"/>
    <cellStyle name="Обычный 5 4 12 2 3" xfId="24255"/>
    <cellStyle name="Обычный 5 4 12 2 3 2" xfId="54128"/>
    <cellStyle name="Обычный 5 4 12 2 4" xfId="54129"/>
    <cellStyle name="Обычный 5 4 12 3" xfId="24256"/>
    <cellStyle name="Обычный 5 4 12 3 2" xfId="24257"/>
    <cellStyle name="Обычный 5 4 12 3 2 2" xfId="24258"/>
    <cellStyle name="Обычный 5 4 12 3 2 2 2" xfId="54130"/>
    <cellStyle name="Обычный 5 4 12 3 2 3" xfId="54131"/>
    <cellStyle name="Обычный 5 4 12 3 3" xfId="24259"/>
    <cellStyle name="Обычный 5 4 12 3 3 2" xfId="54132"/>
    <cellStyle name="Обычный 5 4 12 3 4" xfId="54133"/>
    <cellStyle name="Обычный 5 4 12 4" xfId="24260"/>
    <cellStyle name="Обычный 5 4 12 4 2" xfId="24261"/>
    <cellStyle name="Обычный 5 4 12 4 2 2" xfId="24262"/>
    <cellStyle name="Обычный 5 4 12 4 2 2 2" xfId="54134"/>
    <cellStyle name="Обычный 5 4 12 4 2 3" xfId="54135"/>
    <cellStyle name="Обычный 5 4 12 4 3" xfId="24263"/>
    <cellStyle name="Обычный 5 4 12 4 3 2" xfId="54136"/>
    <cellStyle name="Обычный 5 4 12 4 4" xfId="54137"/>
    <cellStyle name="Обычный 5 4 12 5" xfId="24264"/>
    <cellStyle name="Обычный 5 4 12 5 2" xfId="24265"/>
    <cellStyle name="Обычный 5 4 12 5 2 2" xfId="54138"/>
    <cellStyle name="Обычный 5 4 12 5 3" xfId="54139"/>
    <cellStyle name="Обычный 5 4 12 6" xfId="24266"/>
    <cellStyle name="Обычный 5 4 12 6 2" xfId="54140"/>
    <cellStyle name="Обычный 5 4 12 7" xfId="24267"/>
    <cellStyle name="Обычный 5 4 12 7 2" xfId="54141"/>
    <cellStyle name="Обычный 5 4 12 8" xfId="54142"/>
    <cellStyle name="Обычный 5 4 13" xfId="24268"/>
    <cellStyle name="Обычный 5 4 13 2" xfId="24269"/>
    <cellStyle name="Обычный 5 4 13 2 2" xfId="24270"/>
    <cellStyle name="Обычный 5 4 13 2 2 2" xfId="24271"/>
    <cellStyle name="Обычный 5 4 13 2 2 2 2" xfId="54143"/>
    <cellStyle name="Обычный 5 4 13 2 2 3" xfId="54144"/>
    <cellStyle name="Обычный 5 4 13 2 3" xfId="24272"/>
    <cellStyle name="Обычный 5 4 13 2 3 2" xfId="54145"/>
    <cellStyle name="Обычный 5 4 13 2 4" xfId="54146"/>
    <cellStyle name="Обычный 5 4 13 3" xfId="24273"/>
    <cellStyle name="Обычный 5 4 13 3 2" xfId="24274"/>
    <cellStyle name="Обычный 5 4 13 3 2 2" xfId="24275"/>
    <cellStyle name="Обычный 5 4 13 3 2 2 2" xfId="54147"/>
    <cellStyle name="Обычный 5 4 13 3 2 3" xfId="54148"/>
    <cellStyle name="Обычный 5 4 13 3 3" xfId="24276"/>
    <cellStyle name="Обычный 5 4 13 3 3 2" xfId="54149"/>
    <cellStyle name="Обычный 5 4 13 3 4" xfId="54150"/>
    <cellStyle name="Обычный 5 4 13 4" xfId="24277"/>
    <cellStyle name="Обычный 5 4 13 4 2" xfId="24278"/>
    <cellStyle name="Обычный 5 4 13 4 2 2" xfId="24279"/>
    <cellStyle name="Обычный 5 4 13 4 2 2 2" xfId="54151"/>
    <cellStyle name="Обычный 5 4 13 4 2 3" xfId="54152"/>
    <cellStyle name="Обычный 5 4 13 4 3" xfId="24280"/>
    <cellStyle name="Обычный 5 4 13 4 3 2" xfId="54153"/>
    <cellStyle name="Обычный 5 4 13 4 4" xfId="54154"/>
    <cellStyle name="Обычный 5 4 13 5" xfId="24281"/>
    <cellStyle name="Обычный 5 4 13 5 2" xfId="24282"/>
    <cellStyle name="Обычный 5 4 13 5 2 2" xfId="54155"/>
    <cellStyle name="Обычный 5 4 13 5 3" xfId="54156"/>
    <cellStyle name="Обычный 5 4 13 6" xfId="24283"/>
    <cellStyle name="Обычный 5 4 13 6 2" xfId="54157"/>
    <cellStyle name="Обычный 5 4 13 7" xfId="24284"/>
    <cellStyle name="Обычный 5 4 13 7 2" xfId="54158"/>
    <cellStyle name="Обычный 5 4 13 8" xfId="54159"/>
    <cellStyle name="Обычный 5 4 14" xfId="24285"/>
    <cellStyle name="Обычный 5 4 14 2" xfId="24286"/>
    <cellStyle name="Обычный 5 4 14 2 2" xfId="24287"/>
    <cellStyle name="Обычный 5 4 14 2 2 2" xfId="24288"/>
    <cellStyle name="Обычный 5 4 14 2 2 2 2" xfId="54160"/>
    <cellStyle name="Обычный 5 4 14 2 2 3" xfId="54161"/>
    <cellStyle name="Обычный 5 4 14 2 3" xfId="24289"/>
    <cellStyle name="Обычный 5 4 14 2 3 2" xfId="54162"/>
    <cellStyle name="Обычный 5 4 14 2 4" xfId="54163"/>
    <cellStyle name="Обычный 5 4 14 3" xfId="24290"/>
    <cellStyle name="Обычный 5 4 14 3 2" xfId="24291"/>
    <cellStyle name="Обычный 5 4 14 3 2 2" xfId="24292"/>
    <cellStyle name="Обычный 5 4 14 3 2 2 2" xfId="54164"/>
    <cellStyle name="Обычный 5 4 14 3 2 3" xfId="54165"/>
    <cellStyle name="Обычный 5 4 14 3 3" xfId="24293"/>
    <cellStyle name="Обычный 5 4 14 3 3 2" xfId="54166"/>
    <cellStyle name="Обычный 5 4 14 3 4" xfId="54167"/>
    <cellStyle name="Обычный 5 4 14 4" xfId="24294"/>
    <cellStyle name="Обычный 5 4 14 4 2" xfId="24295"/>
    <cellStyle name="Обычный 5 4 14 4 2 2" xfId="24296"/>
    <cellStyle name="Обычный 5 4 14 4 2 2 2" xfId="54168"/>
    <cellStyle name="Обычный 5 4 14 4 2 3" xfId="54169"/>
    <cellStyle name="Обычный 5 4 14 4 3" xfId="24297"/>
    <cellStyle name="Обычный 5 4 14 4 3 2" xfId="54170"/>
    <cellStyle name="Обычный 5 4 14 4 4" xfId="54171"/>
    <cellStyle name="Обычный 5 4 14 5" xfId="24298"/>
    <cellStyle name="Обычный 5 4 14 5 2" xfId="24299"/>
    <cellStyle name="Обычный 5 4 14 5 2 2" xfId="54172"/>
    <cellStyle name="Обычный 5 4 14 5 3" xfId="54173"/>
    <cellStyle name="Обычный 5 4 14 6" xfId="24300"/>
    <cellStyle name="Обычный 5 4 14 6 2" xfId="54174"/>
    <cellStyle name="Обычный 5 4 14 7" xfId="24301"/>
    <cellStyle name="Обычный 5 4 14 7 2" xfId="54175"/>
    <cellStyle name="Обычный 5 4 14 8" xfId="54176"/>
    <cellStyle name="Обычный 5 4 15" xfId="24302"/>
    <cellStyle name="Обычный 5 4 15 2" xfId="24303"/>
    <cellStyle name="Обычный 5 4 15 2 2" xfId="24304"/>
    <cellStyle name="Обычный 5 4 15 2 2 2" xfId="24305"/>
    <cellStyle name="Обычный 5 4 15 2 2 2 2" xfId="54177"/>
    <cellStyle name="Обычный 5 4 15 2 2 3" xfId="54178"/>
    <cellStyle name="Обычный 5 4 15 2 3" xfId="24306"/>
    <cellStyle name="Обычный 5 4 15 2 3 2" xfId="54179"/>
    <cellStyle name="Обычный 5 4 15 2 4" xfId="54180"/>
    <cellStyle name="Обычный 5 4 15 3" xfId="24307"/>
    <cellStyle name="Обычный 5 4 15 3 2" xfId="24308"/>
    <cellStyle name="Обычный 5 4 15 3 2 2" xfId="24309"/>
    <cellStyle name="Обычный 5 4 15 3 2 2 2" xfId="54181"/>
    <cellStyle name="Обычный 5 4 15 3 2 3" xfId="54182"/>
    <cellStyle name="Обычный 5 4 15 3 3" xfId="24310"/>
    <cellStyle name="Обычный 5 4 15 3 3 2" xfId="54183"/>
    <cellStyle name="Обычный 5 4 15 3 4" xfId="54184"/>
    <cellStyle name="Обычный 5 4 15 4" xfId="24311"/>
    <cellStyle name="Обычный 5 4 15 4 2" xfId="24312"/>
    <cellStyle name="Обычный 5 4 15 4 2 2" xfId="24313"/>
    <cellStyle name="Обычный 5 4 15 4 2 2 2" xfId="54185"/>
    <cellStyle name="Обычный 5 4 15 4 2 3" xfId="54186"/>
    <cellStyle name="Обычный 5 4 15 4 3" xfId="24314"/>
    <cellStyle name="Обычный 5 4 15 4 3 2" xfId="54187"/>
    <cellStyle name="Обычный 5 4 15 4 4" xfId="54188"/>
    <cellStyle name="Обычный 5 4 15 5" xfId="24315"/>
    <cellStyle name="Обычный 5 4 15 5 2" xfId="24316"/>
    <cellStyle name="Обычный 5 4 15 5 2 2" xfId="54189"/>
    <cellStyle name="Обычный 5 4 15 5 3" xfId="54190"/>
    <cellStyle name="Обычный 5 4 15 6" xfId="24317"/>
    <cellStyle name="Обычный 5 4 15 6 2" xfId="54191"/>
    <cellStyle name="Обычный 5 4 15 7" xfId="24318"/>
    <cellStyle name="Обычный 5 4 15 7 2" xfId="54192"/>
    <cellStyle name="Обычный 5 4 15 8" xfId="54193"/>
    <cellStyle name="Обычный 5 4 16" xfId="24319"/>
    <cellStyle name="Обычный 5 4 16 2" xfId="24320"/>
    <cellStyle name="Обычный 5 4 16 2 2" xfId="24321"/>
    <cellStyle name="Обычный 5 4 16 2 2 2" xfId="24322"/>
    <cellStyle name="Обычный 5 4 16 2 2 2 2" xfId="54194"/>
    <cellStyle name="Обычный 5 4 16 2 2 3" xfId="54195"/>
    <cellStyle name="Обычный 5 4 16 2 3" xfId="24323"/>
    <cellStyle name="Обычный 5 4 16 2 3 2" xfId="54196"/>
    <cellStyle name="Обычный 5 4 16 2 4" xfId="54197"/>
    <cellStyle name="Обычный 5 4 16 3" xfId="24324"/>
    <cellStyle name="Обычный 5 4 16 3 2" xfId="24325"/>
    <cellStyle name="Обычный 5 4 16 3 2 2" xfId="24326"/>
    <cellStyle name="Обычный 5 4 16 3 2 2 2" xfId="54198"/>
    <cellStyle name="Обычный 5 4 16 3 2 3" xfId="54199"/>
    <cellStyle name="Обычный 5 4 16 3 3" xfId="24327"/>
    <cellStyle name="Обычный 5 4 16 3 3 2" xfId="54200"/>
    <cellStyle name="Обычный 5 4 16 3 4" xfId="54201"/>
    <cellStyle name="Обычный 5 4 16 4" xfId="24328"/>
    <cellStyle name="Обычный 5 4 16 4 2" xfId="24329"/>
    <cellStyle name="Обычный 5 4 16 4 2 2" xfId="24330"/>
    <cellStyle name="Обычный 5 4 16 4 2 2 2" xfId="54202"/>
    <cellStyle name="Обычный 5 4 16 4 2 3" xfId="54203"/>
    <cellStyle name="Обычный 5 4 16 4 3" xfId="24331"/>
    <cellStyle name="Обычный 5 4 16 4 3 2" xfId="54204"/>
    <cellStyle name="Обычный 5 4 16 4 4" xfId="54205"/>
    <cellStyle name="Обычный 5 4 16 5" xfId="24332"/>
    <cellStyle name="Обычный 5 4 16 5 2" xfId="24333"/>
    <cellStyle name="Обычный 5 4 16 5 2 2" xfId="54206"/>
    <cellStyle name="Обычный 5 4 16 5 3" xfId="54207"/>
    <cellStyle name="Обычный 5 4 16 6" xfId="24334"/>
    <cellStyle name="Обычный 5 4 16 6 2" xfId="54208"/>
    <cellStyle name="Обычный 5 4 16 7" xfId="24335"/>
    <cellStyle name="Обычный 5 4 16 7 2" xfId="54209"/>
    <cellStyle name="Обычный 5 4 16 8" xfId="54210"/>
    <cellStyle name="Обычный 5 4 17" xfId="24336"/>
    <cellStyle name="Обычный 5 4 17 2" xfId="24337"/>
    <cellStyle name="Обычный 5 4 17 2 2" xfId="24338"/>
    <cellStyle name="Обычный 5 4 17 2 2 2" xfId="24339"/>
    <cellStyle name="Обычный 5 4 17 2 2 2 2" xfId="54211"/>
    <cellStyle name="Обычный 5 4 17 2 2 3" xfId="54212"/>
    <cellStyle name="Обычный 5 4 17 2 3" xfId="24340"/>
    <cellStyle name="Обычный 5 4 17 2 3 2" xfId="54213"/>
    <cellStyle name="Обычный 5 4 17 2 4" xfId="54214"/>
    <cellStyle name="Обычный 5 4 17 3" xfId="24341"/>
    <cellStyle name="Обычный 5 4 17 3 2" xfId="24342"/>
    <cellStyle name="Обычный 5 4 17 3 2 2" xfId="24343"/>
    <cellStyle name="Обычный 5 4 17 3 2 2 2" xfId="54215"/>
    <cellStyle name="Обычный 5 4 17 3 2 3" xfId="54216"/>
    <cellStyle name="Обычный 5 4 17 3 3" xfId="24344"/>
    <cellStyle name="Обычный 5 4 17 3 3 2" xfId="54217"/>
    <cellStyle name="Обычный 5 4 17 3 4" xfId="54218"/>
    <cellStyle name="Обычный 5 4 17 4" xfId="24345"/>
    <cellStyle name="Обычный 5 4 17 4 2" xfId="24346"/>
    <cellStyle name="Обычный 5 4 17 4 2 2" xfId="24347"/>
    <cellStyle name="Обычный 5 4 17 4 2 2 2" xfId="54219"/>
    <cellStyle name="Обычный 5 4 17 4 2 3" xfId="54220"/>
    <cellStyle name="Обычный 5 4 17 4 3" xfId="24348"/>
    <cellStyle name="Обычный 5 4 17 4 3 2" xfId="54221"/>
    <cellStyle name="Обычный 5 4 17 4 4" xfId="54222"/>
    <cellStyle name="Обычный 5 4 17 5" xfId="24349"/>
    <cellStyle name="Обычный 5 4 17 5 2" xfId="24350"/>
    <cellStyle name="Обычный 5 4 17 5 2 2" xfId="54223"/>
    <cellStyle name="Обычный 5 4 17 5 3" xfId="54224"/>
    <cellStyle name="Обычный 5 4 17 6" xfId="24351"/>
    <cellStyle name="Обычный 5 4 17 6 2" xfId="54225"/>
    <cellStyle name="Обычный 5 4 17 7" xfId="24352"/>
    <cellStyle name="Обычный 5 4 17 7 2" xfId="54226"/>
    <cellStyle name="Обычный 5 4 17 8" xfId="54227"/>
    <cellStyle name="Обычный 5 4 18" xfId="24353"/>
    <cellStyle name="Обычный 5 4 18 2" xfId="24354"/>
    <cellStyle name="Обычный 5 4 18 2 2" xfId="24355"/>
    <cellStyle name="Обычный 5 4 18 2 2 2" xfId="24356"/>
    <cellStyle name="Обычный 5 4 18 2 2 2 2" xfId="54228"/>
    <cellStyle name="Обычный 5 4 18 2 2 3" xfId="54229"/>
    <cellStyle name="Обычный 5 4 18 2 3" xfId="24357"/>
    <cellStyle name="Обычный 5 4 18 2 3 2" xfId="54230"/>
    <cellStyle name="Обычный 5 4 18 2 4" xfId="54231"/>
    <cellStyle name="Обычный 5 4 18 3" xfId="24358"/>
    <cellStyle name="Обычный 5 4 18 3 2" xfId="24359"/>
    <cellStyle name="Обычный 5 4 18 3 2 2" xfId="24360"/>
    <cellStyle name="Обычный 5 4 18 3 2 2 2" xfId="54232"/>
    <cellStyle name="Обычный 5 4 18 3 2 3" xfId="54233"/>
    <cellStyle name="Обычный 5 4 18 3 3" xfId="24361"/>
    <cellStyle name="Обычный 5 4 18 3 3 2" xfId="54234"/>
    <cellStyle name="Обычный 5 4 18 3 4" xfId="54235"/>
    <cellStyle name="Обычный 5 4 18 4" xfId="24362"/>
    <cellStyle name="Обычный 5 4 18 4 2" xfId="24363"/>
    <cellStyle name="Обычный 5 4 18 4 2 2" xfId="24364"/>
    <cellStyle name="Обычный 5 4 18 4 2 2 2" xfId="54236"/>
    <cellStyle name="Обычный 5 4 18 4 2 3" xfId="54237"/>
    <cellStyle name="Обычный 5 4 18 4 3" xfId="24365"/>
    <cellStyle name="Обычный 5 4 18 4 3 2" xfId="54238"/>
    <cellStyle name="Обычный 5 4 18 4 4" xfId="54239"/>
    <cellStyle name="Обычный 5 4 18 5" xfId="24366"/>
    <cellStyle name="Обычный 5 4 18 5 2" xfId="24367"/>
    <cellStyle name="Обычный 5 4 18 5 2 2" xfId="54240"/>
    <cellStyle name="Обычный 5 4 18 5 3" xfId="54241"/>
    <cellStyle name="Обычный 5 4 18 6" xfId="24368"/>
    <cellStyle name="Обычный 5 4 18 6 2" xfId="54242"/>
    <cellStyle name="Обычный 5 4 18 7" xfId="24369"/>
    <cellStyle name="Обычный 5 4 18 7 2" xfId="54243"/>
    <cellStyle name="Обычный 5 4 18 8" xfId="54244"/>
    <cellStyle name="Обычный 5 4 19" xfId="24370"/>
    <cellStyle name="Обычный 5 4 19 2" xfId="24371"/>
    <cellStyle name="Обычный 5 4 19 2 2" xfId="24372"/>
    <cellStyle name="Обычный 5 4 19 2 2 2" xfId="24373"/>
    <cellStyle name="Обычный 5 4 19 2 2 2 2" xfId="54245"/>
    <cellStyle name="Обычный 5 4 19 2 2 3" xfId="54246"/>
    <cellStyle name="Обычный 5 4 19 2 3" xfId="24374"/>
    <cellStyle name="Обычный 5 4 19 2 3 2" xfId="54247"/>
    <cellStyle name="Обычный 5 4 19 2 4" xfId="54248"/>
    <cellStyle name="Обычный 5 4 19 3" xfId="24375"/>
    <cellStyle name="Обычный 5 4 19 3 2" xfId="24376"/>
    <cellStyle name="Обычный 5 4 19 3 2 2" xfId="24377"/>
    <cellStyle name="Обычный 5 4 19 3 2 2 2" xfId="54249"/>
    <cellStyle name="Обычный 5 4 19 3 2 3" xfId="54250"/>
    <cellStyle name="Обычный 5 4 19 3 3" xfId="24378"/>
    <cellStyle name="Обычный 5 4 19 3 3 2" xfId="54251"/>
    <cellStyle name="Обычный 5 4 19 3 4" xfId="54252"/>
    <cellStyle name="Обычный 5 4 19 4" xfId="24379"/>
    <cellStyle name="Обычный 5 4 19 4 2" xfId="24380"/>
    <cellStyle name="Обычный 5 4 19 4 2 2" xfId="24381"/>
    <cellStyle name="Обычный 5 4 19 4 2 2 2" xfId="54253"/>
    <cellStyle name="Обычный 5 4 19 4 2 3" xfId="54254"/>
    <cellStyle name="Обычный 5 4 19 4 3" xfId="24382"/>
    <cellStyle name="Обычный 5 4 19 4 3 2" xfId="54255"/>
    <cellStyle name="Обычный 5 4 19 4 4" xfId="54256"/>
    <cellStyle name="Обычный 5 4 19 5" xfId="24383"/>
    <cellStyle name="Обычный 5 4 19 5 2" xfId="24384"/>
    <cellStyle name="Обычный 5 4 19 5 2 2" xfId="54257"/>
    <cellStyle name="Обычный 5 4 19 5 3" xfId="54258"/>
    <cellStyle name="Обычный 5 4 19 6" xfId="24385"/>
    <cellStyle name="Обычный 5 4 19 6 2" xfId="54259"/>
    <cellStyle name="Обычный 5 4 19 7" xfId="24386"/>
    <cellStyle name="Обычный 5 4 19 7 2" xfId="54260"/>
    <cellStyle name="Обычный 5 4 19 8" xfId="54261"/>
    <cellStyle name="Обычный 5 4 2" xfId="24387"/>
    <cellStyle name="Обычный 5 4 2 2" xfId="24388"/>
    <cellStyle name="Обычный 5 4 2 2 2" xfId="24389"/>
    <cellStyle name="Обычный 5 4 2 2 2 2" xfId="24390"/>
    <cellStyle name="Обычный 5 4 2 2 2 2 2" xfId="54262"/>
    <cellStyle name="Обычный 5 4 2 2 2 3" xfId="54263"/>
    <cellStyle name="Обычный 5 4 2 2 3" xfId="24391"/>
    <cellStyle name="Обычный 5 4 2 2 3 2" xfId="54264"/>
    <cellStyle name="Обычный 5 4 2 2 4" xfId="54265"/>
    <cellStyle name="Обычный 5 4 2 3" xfId="24392"/>
    <cellStyle name="Обычный 5 4 2 3 2" xfId="24393"/>
    <cellStyle name="Обычный 5 4 2 3 2 2" xfId="24394"/>
    <cellStyle name="Обычный 5 4 2 3 2 2 2" xfId="54266"/>
    <cellStyle name="Обычный 5 4 2 3 2 3" xfId="54267"/>
    <cellStyle name="Обычный 5 4 2 3 3" xfId="24395"/>
    <cellStyle name="Обычный 5 4 2 3 3 2" xfId="54268"/>
    <cellStyle name="Обычный 5 4 2 3 4" xfId="54269"/>
    <cellStyle name="Обычный 5 4 2 4" xfId="24396"/>
    <cellStyle name="Обычный 5 4 2 4 2" xfId="24397"/>
    <cellStyle name="Обычный 5 4 2 4 2 2" xfId="24398"/>
    <cellStyle name="Обычный 5 4 2 4 2 2 2" xfId="54270"/>
    <cellStyle name="Обычный 5 4 2 4 2 3" xfId="54271"/>
    <cellStyle name="Обычный 5 4 2 4 3" xfId="24399"/>
    <cellStyle name="Обычный 5 4 2 4 3 2" xfId="54272"/>
    <cellStyle name="Обычный 5 4 2 4 4" xfId="54273"/>
    <cellStyle name="Обычный 5 4 2 5" xfId="24400"/>
    <cellStyle name="Обычный 5 4 2 5 2" xfId="24401"/>
    <cellStyle name="Обычный 5 4 2 5 2 2" xfId="24402"/>
    <cellStyle name="Обычный 5 4 2 5 2 2 2" xfId="54274"/>
    <cellStyle name="Обычный 5 4 2 5 2 3" xfId="54275"/>
    <cellStyle name="Обычный 5 4 2 5 3" xfId="24403"/>
    <cellStyle name="Обычный 5 4 2 5 3 2" xfId="54276"/>
    <cellStyle name="Обычный 5 4 2 5 4" xfId="54277"/>
    <cellStyle name="Обычный 5 4 2 6" xfId="24404"/>
    <cellStyle name="Обычный 5 4 2 6 2" xfId="24405"/>
    <cellStyle name="Обычный 5 4 2 6 2 2" xfId="54278"/>
    <cellStyle name="Обычный 5 4 2 6 3" xfId="54279"/>
    <cellStyle name="Обычный 5 4 2 7" xfId="24406"/>
    <cellStyle name="Обычный 5 4 2 7 2" xfId="54280"/>
    <cellStyle name="Обычный 5 4 2 8" xfId="24407"/>
    <cellStyle name="Обычный 5 4 2 8 2" xfId="54281"/>
    <cellStyle name="Обычный 5 4 2 9" xfId="54282"/>
    <cellStyle name="Обычный 5 4 20" xfId="24408"/>
    <cellStyle name="Обычный 5 4 20 2" xfId="24409"/>
    <cellStyle name="Обычный 5 4 20 2 2" xfId="24410"/>
    <cellStyle name="Обычный 5 4 20 2 2 2" xfId="24411"/>
    <cellStyle name="Обычный 5 4 20 2 2 2 2" xfId="54283"/>
    <cellStyle name="Обычный 5 4 20 2 2 3" xfId="54284"/>
    <cellStyle name="Обычный 5 4 20 2 3" xfId="24412"/>
    <cellStyle name="Обычный 5 4 20 2 3 2" xfId="54285"/>
    <cellStyle name="Обычный 5 4 20 2 4" xfId="54286"/>
    <cellStyle name="Обычный 5 4 20 3" xfId="24413"/>
    <cellStyle name="Обычный 5 4 20 3 2" xfId="24414"/>
    <cellStyle name="Обычный 5 4 20 3 2 2" xfId="24415"/>
    <cellStyle name="Обычный 5 4 20 3 2 2 2" xfId="54287"/>
    <cellStyle name="Обычный 5 4 20 3 2 3" xfId="54288"/>
    <cellStyle name="Обычный 5 4 20 3 3" xfId="24416"/>
    <cellStyle name="Обычный 5 4 20 3 3 2" xfId="54289"/>
    <cellStyle name="Обычный 5 4 20 3 4" xfId="54290"/>
    <cellStyle name="Обычный 5 4 20 4" xfId="24417"/>
    <cellStyle name="Обычный 5 4 20 4 2" xfId="24418"/>
    <cellStyle name="Обычный 5 4 20 4 2 2" xfId="24419"/>
    <cellStyle name="Обычный 5 4 20 4 2 2 2" xfId="54291"/>
    <cellStyle name="Обычный 5 4 20 4 2 3" xfId="54292"/>
    <cellStyle name="Обычный 5 4 20 4 3" xfId="24420"/>
    <cellStyle name="Обычный 5 4 20 4 3 2" xfId="54293"/>
    <cellStyle name="Обычный 5 4 20 4 4" xfId="54294"/>
    <cellStyle name="Обычный 5 4 20 5" xfId="24421"/>
    <cellStyle name="Обычный 5 4 20 5 2" xfId="24422"/>
    <cellStyle name="Обычный 5 4 20 5 2 2" xfId="54295"/>
    <cellStyle name="Обычный 5 4 20 5 3" xfId="54296"/>
    <cellStyle name="Обычный 5 4 20 6" xfId="24423"/>
    <cellStyle name="Обычный 5 4 20 6 2" xfId="54297"/>
    <cellStyle name="Обычный 5 4 20 7" xfId="24424"/>
    <cellStyle name="Обычный 5 4 20 7 2" xfId="54298"/>
    <cellStyle name="Обычный 5 4 20 8" xfId="54299"/>
    <cellStyle name="Обычный 5 4 21" xfId="24425"/>
    <cellStyle name="Обычный 5 4 21 2" xfId="24426"/>
    <cellStyle name="Обычный 5 4 21 2 2" xfId="24427"/>
    <cellStyle name="Обычный 5 4 21 2 2 2" xfId="24428"/>
    <cellStyle name="Обычный 5 4 21 2 2 2 2" xfId="54300"/>
    <cellStyle name="Обычный 5 4 21 2 2 3" xfId="54301"/>
    <cellStyle name="Обычный 5 4 21 2 3" xfId="24429"/>
    <cellStyle name="Обычный 5 4 21 2 3 2" xfId="54302"/>
    <cellStyle name="Обычный 5 4 21 2 4" xfId="54303"/>
    <cellStyle name="Обычный 5 4 21 3" xfId="24430"/>
    <cellStyle name="Обычный 5 4 21 3 2" xfId="24431"/>
    <cellStyle name="Обычный 5 4 21 3 2 2" xfId="24432"/>
    <cellStyle name="Обычный 5 4 21 3 2 2 2" xfId="54304"/>
    <cellStyle name="Обычный 5 4 21 3 2 3" xfId="54305"/>
    <cellStyle name="Обычный 5 4 21 3 3" xfId="24433"/>
    <cellStyle name="Обычный 5 4 21 3 3 2" xfId="54306"/>
    <cellStyle name="Обычный 5 4 21 3 4" xfId="54307"/>
    <cellStyle name="Обычный 5 4 21 4" xfId="24434"/>
    <cellStyle name="Обычный 5 4 21 4 2" xfId="24435"/>
    <cellStyle name="Обычный 5 4 21 4 2 2" xfId="24436"/>
    <cellStyle name="Обычный 5 4 21 4 2 2 2" xfId="54308"/>
    <cellStyle name="Обычный 5 4 21 4 2 3" xfId="54309"/>
    <cellStyle name="Обычный 5 4 21 4 3" xfId="24437"/>
    <cellStyle name="Обычный 5 4 21 4 3 2" xfId="54310"/>
    <cellStyle name="Обычный 5 4 21 4 4" xfId="54311"/>
    <cellStyle name="Обычный 5 4 21 5" xfId="24438"/>
    <cellStyle name="Обычный 5 4 21 5 2" xfId="24439"/>
    <cellStyle name="Обычный 5 4 21 5 2 2" xfId="54312"/>
    <cellStyle name="Обычный 5 4 21 5 3" xfId="54313"/>
    <cellStyle name="Обычный 5 4 21 6" xfId="24440"/>
    <cellStyle name="Обычный 5 4 21 6 2" xfId="54314"/>
    <cellStyle name="Обычный 5 4 21 7" xfId="24441"/>
    <cellStyle name="Обычный 5 4 21 7 2" xfId="54315"/>
    <cellStyle name="Обычный 5 4 21 8" xfId="54316"/>
    <cellStyle name="Обычный 5 4 22" xfId="24442"/>
    <cellStyle name="Обычный 5 4 22 2" xfId="24443"/>
    <cellStyle name="Обычный 5 4 22 2 2" xfId="24444"/>
    <cellStyle name="Обычный 5 4 22 2 2 2" xfId="24445"/>
    <cellStyle name="Обычный 5 4 22 2 2 2 2" xfId="54317"/>
    <cellStyle name="Обычный 5 4 22 2 2 3" xfId="54318"/>
    <cellStyle name="Обычный 5 4 22 2 3" xfId="24446"/>
    <cellStyle name="Обычный 5 4 22 2 3 2" xfId="54319"/>
    <cellStyle name="Обычный 5 4 22 2 4" xfId="54320"/>
    <cellStyle name="Обычный 5 4 22 3" xfId="24447"/>
    <cellStyle name="Обычный 5 4 22 3 2" xfId="24448"/>
    <cellStyle name="Обычный 5 4 22 3 2 2" xfId="24449"/>
    <cellStyle name="Обычный 5 4 22 3 2 2 2" xfId="54321"/>
    <cellStyle name="Обычный 5 4 22 3 2 3" xfId="54322"/>
    <cellStyle name="Обычный 5 4 22 3 3" xfId="24450"/>
    <cellStyle name="Обычный 5 4 22 3 3 2" xfId="54323"/>
    <cellStyle name="Обычный 5 4 22 3 4" xfId="54324"/>
    <cellStyle name="Обычный 5 4 22 4" xfId="24451"/>
    <cellStyle name="Обычный 5 4 22 4 2" xfId="24452"/>
    <cellStyle name="Обычный 5 4 22 4 2 2" xfId="24453"/>
    <cellStyle name="Обычный 5 4 22 4 2 2 2" xfId="54325"/>
    <cellStyle name="Обычный 5 4 22 4 2 3" xfId="54326"/>
    <cellStyle name="Обычный 5 4 22 4 3" xfId="24454"/>
    <cellStyle name="Обычный 5 4 22 4 3 2" xfId="54327"/>
    <cellStyle name="Обычный 5 4 22 4 4" xfId="54328"/>
    <cellStyle name="Обычный 5 4 22 5" xfId="24455"/>
    <cellStyle name="Обычный 5 4 22 5 2" xfId="24456"/>
    <cellStyle name="Обычный 5 4 22 5 2 2" xfId="54329"/>
    <cellStyle name="Обычный 5 4 22 5 3" xfId="54330"/>
    <cellStyle name="Обычный 5 4 22 6" xfId="24457"/>
    <cellStyle name="Обычный 5 4 22 6 2" xfId="54331"/>
    <cellStyle name="Обычный 5 4 22 7" xfId="24458"/>
    <cellStyle name="Обычный 5 4 22 7 2" xfId="54332"/>
    <cellStyle name="Обычный 5 4 22 8" xfId="54333"/>
    <cellStyle name="Обычный 5 4 23" xfId="24459"/>
    <cellStyle name="Обычный 5 4 23 2" xfId="24460"/>
    <cellStyle name="Обычный 5 4 23 2 2" xfId="24461"/>
    <cellStyle name="Обычный 5 4 23 2 2 2" xfId="24462"/>
    <cellStyle name="Обычный 5 4 23 2 2 2 2" xfId="54334"/>
    <cellStyle name="Обычный 5 4 23 2 2 3" xfId="54335"/>
    <cellStyle name="Обычный 5 4 23 2 3" xfId="24463"/>
    <cellStyle name="Обычный 5 4 23 2 3 2" xfId="54336"/>
    <cellStyle name="Обычный 5 4 23 2 4" xfId="54337"/>
    <cellStyle name="Обычный 5 4 23 3" xfId="24464"/>
    <cellStyle name="Обычный 5 4 23 3 2" xfId="24465"/>
    <cellStyle name="Обычный 5 4 23 3 2 2" xfId="24466"/>
    <cellStyle name="Обычный 5 4 23 3 2 2 2" xfId="54338"/>
    <cellStyle name="Обычный 5 4 23 3 2 3" xfId="54339"/>
    <cellStyle name="Обычный 5 4 23 3 3" xfId="24467"/>
    <cellStyle name="Обычный 5 4 23 3 3 2" xfId="54340"/>
    <cellStyle name="Обычный 5 4 23 3 4" xfId="54341"/>
    <cellStyle name="Обычный 5 4 23 4" xfId="24468"/>
    <cellStyle name="Обычный 5 4 23 4 2" xfId="24469"/>
    <cellStyle name="Обычный 5 4 23 4 2 2" xfId="24470"/>
    <cellStyle name="Обычный 5 4 23 4 2 2 2" xfId="54342"/>
    <cellStyle name="Обычный 5 4 23 4 2 3" xfId="54343"/>
    <cellStyle name="Обычный 5 4 23 4 3" xfId="24471"/>
    <cellStyle name="Обычный 5 4 23 4 3 2" xfId="54344"/>
    <cellStyle name="Обычный 5 4 23 4 4" xfId="54345"/>
    <cellStyle name="Обычный 5 4 23 5" xfId="24472"/>
    <cellStyle name="Обычный 5 4 23 5 2" xfId="24473"/>
    <cellStyle name="Обычный 5 4 23 5 2 2" xfId="54346"/>
    <cellStyle name="Обычный 5 4 23 5 3" xfId="54347"/>
    <cellStyle name="Обычный 5 4 23 6" xfId="24474"/>
    <cellStyle name="Обычный 5 4 23 6 2" xfId="54348"/>
    <cellStyle name="Обычный 5 4 23 7" xfId="24475"/>
    <cellStyle name="Обычный 5 4 23 7 2" xfId="54349"/>
    <cellStyle name="Обычный 5 4 23 8" xfId="54350"/>
    <cellStyle name="Обычный 5 4 24" xfId="24476"/>
    <cellStyle name="Обычный 5 4 24 2" xfId="24477"/>
    <cellStyle name="Обычный 5 4 24 2 2" xfId="24478"/>
    <cellStyle name="Обычный 5 4 24 2 2 2" xfId="24479"/>
    <cellStyle name="Обычный 5 4 24 2 2 2 2" xfId="54351"/>
    <cellStyle name="Обычный 5 4 24 2 2 3" xfId="54352"/>
    <cellStyle name="Обычный 5 4 24 2 3" xfId="24480"/>
    <cellStyle name="Обычный 5 4 24 2 3 2" xfId="54353"/>
    <cellStyle name="Обычный 5 4 24 2 4" xfId="54354"/>
    <cellStyle name="Обычный 5 4 24 3" xfId="24481"/>
    <cellStyle name="Обычный 5 4 24 3 2" xfId="24482"/>
    <cellStyle name="Обычный 5 4 24 3 2 2" xfId="24483"/>
    <cellStyle name="Обычный 5 4 24 3 2 2 2" xfId="54355"/>
    <cellStyle name="Обычный 5 4 24 3 2 3" xfId="54356"/>
    <cellStyle name="Обычный 5 4 24 3 3" xfId="24484"/>
    <cellStyle name="Обычный 5 4 24 3 3 2" xfId="54357"/>
    <cellStyle name="Обычный 5 4 24 3 4" xfId="54358"/>
    <cellStyle name="Обычный 5 4 24 4" xfId="24485"/>
    <cellStyle name="Обычный 5 4 24 4 2" xfId="24486"/>
    <cellStyle name="Обычный 5 4 24 4 2 2" xfId="24487"/>
    <cellStyle name="Обычный 5 4 24 4 2 2 2" xfId="54359"/>
    <cellStyle name="Обычный 5 4 24 4 2 3" xfId="54360"/>
    <cellStyle name="Обычный 5 4 24 4 3" xfId="24488"/>
    <cellStyle name="Обычный 5 4 24 4 3 2" xfId="54361"/>
    <cellStyle name="Обычный 5 4 24 4 4" xfId="54362"/>
    <cellStyle name="Обычный 5 4 24 5" xfId="24489"/>
    <cellStyle name="Обычный 5 4 24 5 2" xfId="24490"/>
    <cellStyle name="Обычный 5 4 24 5 2 2" xfId="54363"/>
    <cellStyle name="Обычный 5 4 24 5 3" xfId="54364"/>
    <cellStyle name="Обычный 5 4 24 6" xfId="24491"/>
    <cellStyle name="Обычный 5 4 24 6 2" xfId="54365"/>
    <cellStyle name="Обычный 5 4 24 7" xfId="24492"/>
    <cellStyle name="Обычный 5 4 24 7 2" xfId="54366"/>
    <cellStyle name="Обычный 5 4 24 8" xfId="54367"/>
    <cellStyle name="Обычный 5 4 25" xfId="24493"/>
    <cellStyle name="Обычный 5 4 25 2" xfId="24494"/>
    <cellStyle name="Обычный 5 4 25 2 2" xfId="24495"/>
    <cellStyle name="Обычный 5 4 25 2 2 2" xfId="24496"/>
    <cellStyle name="Обычный 5 4 25 2 2 2 2" xfId="54368"/>
    <cellStyle name="Обычный 5 4 25 2 2 3" xfId="54369"/>
    <cellStyle name="Обычный 5 4 25 2 3" xfId="24497"/>
    <cellStyle name="Обычный 5 4 25 2 3 2" xfId="54370"/>
    <cellStyle name="Обычный 5 4 25 2 4" xfId="54371"/>
    <cellStyle name="Обычный 5 4 25 3" xfId="24498"/>
    <cellStyle name="Обычный 5 4 25 3 2" xfId="24499"/>
    <cellStyle name="Обычный 5 4 25 3 2 2" xfId="24500"/>
    <cellStyle name="Обычный 5 4 25 3 2 2 2" xfId="54372"/>
    <cellStyle name="Обычный 5 4 25 3 2 3" xfId="54373"/>
    <cellStyle name="Обычный 5 4 25 3 3" xfId="24501"/>
    <cellStyle name="Обычный 5 4 25 3 3 2" xfId="54374"/>
    <cellStyle name="Обычный 5 4 25 3 4" xfId="54375"/>
    <cellStyle name="Обычный 5 4 25 4" xfId="24502"/>
    <cellStyle name="Обычный 5 4 25 4 2" xfId="24503"/>
    <cellStyle name="Обычный 5 4 25 4 2 2" xfId="24504"/>
    <cellStyle name="Обычный 5 4 25 4 2 2 2" xfId="54376"/>
    <cellStyle name="Обычный 5 4 25 4 2 3" xfId="54377"/>
    <cellStyle name="Обычный 5 4 25 4 3" xfId="24505"/>
    <cellStyle name="Обычный 5 4 25 4 3 2" xfId="54378"/>
    <cellStyle name="Обычный 5 4 25 4 4" xfId="54379"/>
    <cellStyle name="Обычный 5 4 25 5" xfId="24506"/>
    <cellStyle name="Обычный 5 4 25 5 2" xfId="24507"/>
    <cellStyle name="Обычный 5 4 25 5 2 2" xfId="54380"/>
    <cellStyle name="Обычный 5 4 25 5 3" xfId="54381"/>
    <cellStyle name="Обычный 5 4 25 6" xfId="24508"/>
    <cellStyle name="Обычный 5 4 25 6 2" xfId="54382"/>
    <cellStyle name="Обычный 5 4 25 7" xfId="24509"/>
    <cellStyle name="Обычный 5 4 25 7 2" xfId="54383"/>
    <cellStyle name="Обычный 5 4 25 8" xfId="54384"/>
    <cellStyle name="Обычный 5 4 26" xfId="24510"/>
    <cellStyle name="Обычный 5 4 26 2" xfId="24511"/>
    <cellStyle name="Обычный 5 4 26 2 2" xfId="24512"/>
    <cellStyle name="Обычный 5 4 26 2 2 2" xfId="24513"/>
    <cellStyle name="Обычный 5 4 26 2 2 2 2" xfId="54385"/>
    <cellStyle name="Обычный 5 4 26 2 2 3" xfId="54386"/>
    <cellStyle name="Обычный 5 4 26 2 3" xfId="24514"/>
    <cellStyle name="Обычный 5 4 26 2 3 2" xfId="54387"/>
    <cellStyle name="Обычный 5 4 26 2 4" xfId="54388"/>
    <cellStyle name="Обычный 5 4 26 3" xfId="24515"/>
    <cellStyle name="Обычный 5 4 26 3 2" xfId="24516"/>
    <cellStyle name="Обычный 5 4 26 3 2 2" xfId="24517"/>
    <cellStyle name="Обычный 5 4 26 3 2 2 2" xfId="54389"/>
    <cellStyle name="Обычный 5 4 26 3 2 3" xfId="54390"/>
    <cellStyle name="Обычный 5 4 26 3 3" xfId="24518"/>
    <cellStyle name="Обычный 5 4 26 3 3 2" xfId="54391"/>
    <cellStyle name="Обычный 5 4 26 3 4" xfId="54392"/>
    <cellStyle name="Обычный 5 4 26 4" xfId="24519"/>
    <cellStyle name="Обычный 5 4 26 4 2" xfId="24520"/>
    <cellStyle name="Обычный 5 4 26 4 2 2" xfId="24521"/>
    <cellStyle name="Обычный 5 4 26 4 2 2 2" xfId="54393"/>
    <cellStyle name="Обычный 5 4 26 4 2 3" xfId="54394"/>
    <cellStyle name="Обычный 5 4 26 4 3" xfId="24522"/>
    <cellStyle name="Обычный 5 4 26 4 3 2" xfId="54395"/>
    <cellStyle name="Обычный 5 4 26 4 4" xfId="54396"/>
    <cellStyle name="Обычный 5 4 26 5" xfId="24523"/>
    <cellStyle name="Обычный 5 4 26 5 2" xfId="24524"/>
    <cellStyle name="Обычный 5 4 26 5 2 2" xfId="54397"/>
    <cellStyle name="Обычный 5 4 26 5 3" xfId="54398"/>
    <cellStyle name="Обычный 5 4 26 6" xfId="24525"/>
    <cellStyle name="Обычный 5 4 26 6 2" xfId="54399"/>
    <cellStyle name="Обычный 5 4 26 7" xfId="24526"/>
    <cellStyle name="Обычный 5 4 26 7 2" xfId="54400"/>
    <cellStyle name="Обычный 5 4 26 8" xfId="54401"/>
    <cellStyle name="Обычный 5 4 27" xfId="24527"/>
    <cellStyle name="Обычный 5 4 27 2" xfId="24528"/>
    <cellStyle name="Обычный 5 4 27 2 2" xfId="24529"/>
    <cellStyle name="Обычный 5 4 27 2 2 2" xfId="24530"/>
    <cellStyle name="Обычный 5 4 27 2 2 2 2" xfId="54402"/>
    <cellStyle name="Обычный 5 4 27 2 2 3" xfId="54403"/>
    <cellStyle name="Обычный 5 4 27 2 3" xfId="24531"/>
    <cellStyle name="Обычный 5 4 27 2 3 2" xfId="54404"/>
    <cellStyle name="Обычный 5 4 27 2 4" xfId="54405"/>
    <cellStyle name="Обычный 5 4 27 3" xfId="24532"/>
    <cellStyle name="Обычный 5 4 27 3 2" xfId="24533"/>
    <cellStyle name="Обычный 5 4 27 3 2 2" xfId="24534"/>
    <cellStyle name="Обычный 5 4 27 3 2 2 2" xfId="54406"/>
    <cellStyle name="Обычный 5 4 27 3 2 3" xfId="54407"/>
    <cellStyle name="Обычный 5 4 27 3 3" xfId="24535"/>
    <cellStyle name="Обычный 5 4 27 3 3 2" xfId="54408"/>
    <cellStyle name="Обычный 5 4 27 3 4" xfId="54409"/>
    <cellStyle name="Обычный 5 4 27 4" xfId="24536"/>
    <cellStyle name="Обычный 5 4 27 4 2" xfId="24537"/>
    <cellStyle name="Обычный 5 4 27 4 2 2" xfId="24538"/>
    <cellStyle name="Обычный 5 4 27 4 2 2 2" xfId="54410"/>
    <cellStyle name="Обычный 5 4 27 4 2 3" xfId="54411"/>
    <cellStyle name="Обычный 5 4 27 4 3" xfId="24539"/>
    <cellStyle name="Обычный 5 4 27 4 3 2" xfId="54412"/>
    <cellStyle name="Обычный 5 4 27 4 4" xfId="54413"/>
    <cellStyle name="Обычный 5 4 27 5" xfId="24540"/>
    <cellStyle name="Обычный 5 4 27 5 2" xfId="24541"/>
    <cellStyle name="Обычный 5 4 27 5 2 2" xfId="54414"/>
    <cellStyle name="Обычный 5 4 27 5 3" xfId="54415"/>
    <cellStyle name="Обычный 5 4 27 6" xfId="24542"/>
    <cellStyle name="Обычный 5 4 27 6 2" xfId="54416"/>
    <cellStyle name="Обычный 5 4 27 7" xfId="24543"/>
    <cellStyle name="Обычный 5 4 27 7 2" xfId="54417"/>
    <cellStyle name="Обычный 5 4 27 8" xfId="54418"/>
    <cellStyle name="Обычный 5 4 28" xfId="24544"/>
    <cellStyle name="Обычный 5 4 28 2" xfId="24545"/>
    <cellStyle name="Обычный 5 4 28 2 2" xfId="24546"/>
    <cellStyle name="Обычный 5 4 28 2 2 2" xfId="24547"/>
    <cellStyle name="Обычный 5 4 28 2 2 2 2" xfId="54419"/>
    <cellStyle name="Обычный 5 4 28 2 2 3" xfId="54420"/>
    <cellStyle name="Обычный 5 4 28 2 3" xfId="24548"/>
    <cellStyle name="Обычный 5 4 28 2 3 2" xfId="54421"/>
    <cellStyle name="Обычный 5 4 28 2 4" xfId="54422"/>
    <cellStyle name="Обычный 5 4 28 3" xfId="24549"/>
    <cellStyle name="Обычный 5 4 28 3 2" xfId="24550"/>
    <cellStyle name="Обычный 5 4 28 3 2 2" xfId="24551"/>
    <cellStyle name="Обычный 5 4 28 3 2 2 2" xfId="54423"/>
    <cellStyle name="Обычный 5 4 28 3 2 3" xfId="54424"/>
    <cellStyle name="Обычный 5 4 28 3 3" xfId="24552"/>
    <cellStyle name="Обычный 5 4 28 3 3 2" xfId="54425"/>
    <cellStyle name="Обычный 5 4 28 3 4" xfId="54426"/>
    <cellStyle name="Обычный 5 4 28 4" xfId="24553"/>
    <cellStyle name="Обычный 5 4 28 4 2" xfId="24554"/>
    <cellStyle name="Обычный 5 4 28 4 2 2" xfId="24555"/>
    <cellStyle name="Обычный 5 4 28 4 2 2 2" xfId="54427"/>
    <cellStyle name="Обычный 5 4 28 4 2 3" xfId="54428"/>
    <cellStyle name="Обычный 5 4 28 4 3" xfId="24556"/>
    <cellStyle name="Обычный 5 4 28 4 3 2" xfId="54429"/>
    <cellStyle name="Обычный 5 4 28 4 4" xfId="54430"/>
    <cellStyle name="Обычный 5 4 28 5" xfId="24557"/>
    <cellStyle name="Обычный 5 4 28 5 2" xfId="24558"/>
    <cellStyle name="Обычный 5 4 28 5 2 2" xfId="54431"/>
    <cellStyle name="Обычный 5 4 28 5 3" xfId="54432"/>
    <cellStyle name="Обычный 5 4 28 6" xfId="24559"/>
    <cellStyle name="Обычный 5 4 28 6 2" xfId="54433"/>
    <cellStyle name="Обычный 5 4 28 7" xfId="24560"/>
    <cellStyle name="Обычный 5 4 28 7 2" xfId="54434"/>
    <cellStyle name="Обычный 5 4 28 8" xfId="54435"/>
    <cellStyle name="Обычный 5 4 29" xfId="24561"/>
    <cellStyle name="Обычный 5 4 29 2" xfId="24562"/>
    <cellStyle name="Обычный 5 4 29 2 2" xfId="24563"/>
    <cellStyle name="Обычный 5 4 29 2 2 2" xfId="24564"/>
    <cellStyle name="Обычный 5 4 29 2 2 2 2" xfId="54436"/>
    <cellStyle name="Обычный 5 4 29 2 2 3" xfId="54437"/>
    <cellStyle name="Обычный 5 4 29 2 3" xfId="24565"/>
    <cellStyle name="Обычный 5 4 29 2 3 2" xfId="54438"/>
    <cellStyle name="Обычный 5 4 29 2 4" xfId="54439"/>
    <cellStyle name="Обычный 5 4 29 3" xfId="24566"/>
    <cellStyle name="Обычный 5 4 29 3 2" xfId="24567"/>
    <cellStyle name="Обычный 5 4 29 3 2 2" xfId="24568"/>
    <cellStyle name="Обычный 5 4 29 3 2 2 2" xfId="54440"/>
    <cellStyle name="Обычный 5 4 29 3 2 3" xfId="54441"/>
    <cellStyle name="Обычный 5 4 29 3 3" xfId="24569"/>
    <cellStyle name="Обычный 5 4 29 3 3 2" xfId="54442"/>
    <cellStyle name="Обычный 5 4 29 3 4" xfId="54443"/>
    <cellStyle name="Обычный 5 4 29 4" xfId="24570"/>
    <cellStyle name="Обычный 5 4 29 4 2" xfId="24571"/>
    <cellStyle name="Обычный 5 4 29 4 2 2" xfId="24572"/>
    <cellStyle name="Обычный 5 4 29 4 2 2 2" xfId="54444"/>
    <cellStyle name="Обычный 5 4 29 4 2 3" xfId="54445"/>
    <cellStyle name="Обычный 5 4 29 4 3" xfId="24573"/>
    <cellStyle name="Обычный 5 4 29 4 3 2" xfId="54446"/>
    <cellStyle name="Обычный 5 4 29 4 4" xfId="54447"/>
    <cellStyle name="Обычный 5 4 29 5" xfId="24574"/>
    <cellStyle name="Обычный 5 4 29 5 2" xfId="24575"/>
    <cellStyle name="Обычный 5 4 29 5 2 2" xfId="54448"/>
    <cellStyle name="Обычный 5 4 29 5 3" xfId="54449"/>
    <cellStyle name="Обычный 5 4 29 6" xfId="24576"/>
    <cellStyle name="Обычный 5 4 29 6 2" xfId="54450"/>
    <cellStyle name="Обычный 5 4 29 7" xfId="24577"/>
    <cellStyle name="Обычный 5 4 29 7 2" xfId="54451"/>
    <cellStyle name="Обычный 5 4 29 8" xfId="54452"/>
    <cellStyle name="Обычный 5 4 3" xfId="24578"/>
    <cellStyle name="Обычный 5 4 3 2" xfId="24579"/>
    <cellStyle name="Обычный 5 4 3 2 2" xfId="24580"/>
    <cellStyle name="Обычный 5 4 3 2 2 2" xfId="24581"/>
    <cellStyle name="Обычный 5 4 3 2 2 2 2" xfId="54453"/>
    <cellStyle name="Обычный 5 4 3 2 2 3" xfId="54454"/>
    <cellStyle name="Обычный 5 4 3 2 3" xfId="24582"/>
    <cellStyle name="Обычный 5 4 3 2 3 2" xfId="54455"/>
    <cellStyle name="Обычный 5 4 3 2 4" xfId="54456"/>
    <cellStyle name="Обычный 5 4 3 3" xfId="24583"/>
    <cellStyle name="Обычный 5 4 3 3 2" xfId="24584"/>
    <cellStyle name="Обычный 5 4 3 3 2 2" xfId="24585"/>
    <cellStyle name="Обычный 5 4 3 3 2 2 2" xfId="54457"/>
    <cellStyle name="Обычный 5 4 3 3 2 3" xfId="54458"/>
    <cellStyle name="Обычный 5 4 3 3 3" xfId="24586"/>
    <cellStyle name="Обычный 5 4 3 3 3 2" xfId="54459"/>
    <cellStyle name="Обычный 5 4 3 3 4" xfId="54460"/>
    <cellStyle name="Обычный 5 4 3 4" xfId="24587"/>
    <cellStyle name="Обычный 5 4 3 4 2" xfId="24588"/>
    <cellStyle name="Обычный 5 4 3 4 2 2" xfId="24589"/>
    <cellStyle name="Обычный 5 4 3 4 2 2 2" xfId="54461"/>
    <cellStyle name="Обычный 5 4 3 4 2 3" xfId="54462"/>
    <cellStyle name="Обычный 5 4 3 4 3" xfId="24590"/>
    <cellStyle name="Обычный 5 4 3 4 3 2" xfId="54463"/>
    <cellStyle name="Обычный 5 4 3 4 4" xfId="54464"/>
    <cellStyle name="Обычный 5 4 3 5" xfId="24591"/>
    <cellStyle name="Обычный 5 4 3 5 2" xfId="24592"/>
    <cellStyle name="Обычный 5 4 3 5 2 2" xfId="54465"/>
    <cellStyle name="Обычный 5 4 3 5 3" xfId="54466"/>
    <cellStyle name="Обычный 5 4 3 6" xfId="24593"/>
    <cellStyle name="Обычный 5 4 3 6 2" xfId="54467"/>
    <cellStyle name="Обычный 5 4 3 7" xfId="24594"/>
    <cellStyle name="Обычный 5 4 3 7 2" xfId="54468"/>
    <cellStyle name="Обычный 5 4 3 8" xfId="54469"/>
    <cellStyle name="Обычный 5 4 30" xfId="24595"/>
    <cellStyle name="Обычный 5 4 30 2" xfId="54470"/>
    <cellStyle name="Обычный 5 4 31" xfId="24596"/>
    <cellStyle name="Обычный 5 4 31 2" xfId="24597"/>
    <cellStyle name="Обычный 5 4 31 2 2" xfId="24598"/>
    <cellStyle name="Обычный 5 4 31 2 2 2" xfId="54471"/>
    <cellStyle name="Обычный 5 4 31 2 3" xfId="54472"/>
    <cellStyle name="Обычный 5 4 31 3" xfId="24599"/>
    <cellStyle name="Обычный 5 4 31 3 2" xfId="54473"/>
    <cellStyle name="Обычный 5 4 31 4" xfId="54474"/>
    <cellStyle name="Обычный 5 4 32" xfId="24600"/>
    <cellStyle name="Обычный 5 4 32 2" xfId="24601"/>
    <cellStyle name="Обычный 5 4 32 2 2" xfId="24602"/>
    <cellStyle name="Обычный 5 4 32 2 2 2" xfId="54475"/>
    <cellStyle name="Обычный 5 4 32 2 3" xfId="54476"/>
    <cellStyle name="Обычный 5 4 32 3" xfId="24603"/>
    <cellStyle name="Обычный 5 4 32 3 2" xfId="54477"/>
    <cellStyle name="Обычный 5 4 32 4" xfId="54478"/>
    <cellStyle name="Обычный 5 4 33" xfId="24604"/>
    <cellStyle name="Обычный 5 4 33 2" xfId="24605"/>
    <cellStyle name="Обычный 5 4 33 2 2" xfId="24606"/>
    <cellStyle name="Обычный 5 4 33 2 2 2" xfId="54479"/>
    <cellStyle name="Обычный 5 4 33 2 3" xfId="54480"/>
    <cellStyle name="Обычный 5 4 33 3" xfId="24607"/>
    <cellStyle name="Обычный 5 4 33 3 2" xfId="54481"/>
    <cellStyle name="Обычный 5 4 33 4" xfId="54482"/>
    <cellStyle name="Обычный 5 4 34" xfId="24608"/>
    <cellStyle name="Обычный 5 4 34 2" xfId="24609"/>
    <cellStyle name="Обычный 5 4 34 2 2" xfId="24610"/>
    <cellStyle name="Обычный 5 4 34 2 2 2" xfId="54483"/>
    <cellStyle name="Обычный 5 4 34 2 3" xfId="54484"/>
    <cellStyle name="Обычный 5 4 34 3" xfId="24611"/>
    <cellStyle name="Обычный 5 4 34 3 2" xfId="54485"/>
    <cellStyle name="Обычный 5 4 34 4" xfId="54486"/>
    <cellStyle name="Обычный 5 4 35" xfId="24612"/>
    <cellStyle name="Обычный 5 4 35 2" xfId="24613"/>
    <cellStyle name="Обычный 5 4 35 2 2" xfId="54487"/>
    <cellStyle name="Обычный 5 4 35 3" xfId="54488"/>
    <cellStyle name="Обычный 5 4 36" xfId="24614"/>
    <cellStyle name="Обычный 5 4 36 2" xfId="54489"/>
    <cellStyle name="Обычный 5 4 37" xfId="24615"/>
    <cellStyle name="Обычный 5 4 37 2" xfId="54490"/>
    <cellStyle name="Обычный 5 4 38" xfId="54491"/>
    <cellStyle name="Обычный 5 4 4" xfId="24616"/>
    <cellStyle name="Обычный 5 4 4 2" xfId="24617"/>
    <cellStyle name="Обычный 5 4 4 2 2" xfId="24618"/>
    <cellStyle name="Обычный 5 4 4 2 2 2" xfId="24619"/>
    <cellStyle name="Обычный 5 4 4 2 2 2 2" xfId="54492"/>
    <cellStyle name="Обычный 5 4 4 2 2 3" xfId="54493"/>
    <cellStyle name="Обычный 5 4 4 2 3" xfId="24620"/>
    <cellStyle name="Обычный 5 4 4 2 3 2" xfId="54494"/>
    <cellStyle name="Обычный 5 4 4 2 4" xfId="54495"/>
    <cellStyle name="Обычный 5 4 4 3" xfId="24621"/>
    <cellStyle name="Обычный 5 4 4 3 2" xfId="24622"/>
    <cellStyle name="Обычный 5 4 4 3 2 2" xfId="24623"/>
    <cellStyle name="Обычный 5 4 4 3 2 2 2" xfId="54496"/>
    <cellStyle name="Обычный 5 4 4 3 2 3" xfId="54497"/>
    <cellStyle name="Обычный 5 4 4 3 3" xfId="24624"/>
    <cellStyle name="Обычный 5 4 4 3 3 2" xfId="54498"/>
    <cellStyle name="Обычный 5 4 4 3 4" xfId="54499"/>
    <cellStyle name="Обычный 5 4 4 4" xfId="24625"/>
    <cellStyle name="Обычный 5 4 4 4 2" xfId="24626"/>
    <cellStyle name="Обычный 5 4 4 4 2 2" xfId="24627"/>
    <cellStyle name="Обычный 5 4 4 4 2 2 2" xfId="54500"/>
    <cellStyle name="Обычный 5 4 4 4 2 3" xfId="54501"/>
    <cellStyle name="Обычный 5 4 4 4 3" xfId="24628"/>
    <cellStyle name="Обычный 5 4 4 4 3 2" xfId="54502"/>
    <cellStyle name="Обычный 5 4 4 4 4" xfId="54503"/>
    <cellStyle name="Обычный 5 4 4 5" xfId="24629"/>
    <cellStyle name="Обычный 5 4 4 5 2" xfId="24630"/>
    <cellStyle name="Обычный 5 4 4 5 2 2" xfId="54504"/>
    <cellStyle name="Обычный 5 4 4 5 3" xfId="54505"/>
    <cellStyle name="Обычный 5 4 4 6" xfId="24631"/>
    <cellStyle name="Обычный 5 4 4 6 2" xfId="54506"/>
    <cellStyle name="Обычный 5 4 4 7" xfId="24632"/>
    <cellStyle name="Обычный 5 4 4 7 2" xfId="54507"/>
    <cellStyle name="Обычный 5 4 4 8" xfId="54508"/>
    <cellStyle name="Обычный 5 4 5" xfId="24633"/>
    <cellStyle name="Обычный 5 4 5 2" xfId="24634"/>
    <cellStyle name="Обычный 5 4 5 2 2" xfId="24635"/>
    <cellStyle name="Обычный 5 4 5 2 2 2" xfId="24636"/>
    <cellStyle name="Обычный 5 4 5 2 2 2 2" xfId="54509"/>
    <cellStyle name="Обычный 5 4 5 2 2 3" xfId="54510"/>
    <cellStyle name="Обычный 5 4 5 2 3" xfId="24637"/>
    <cellStyle name="Обычный 5 4 5 2 3 2" xfId="54511"/>
    <cellStyle name="Обычный 5 4 5 2 4" xfId="54512"/>
    <cellStyle name="Обычный 5 4 5 3" xfId="24638"/>
    <cellStyle name="Обычный 5 4 5 3 2" xfId="24639"/>
    <cellStyle name="Обычный 5 4 5 3 2 2" xfId="24640"/>
    <cellStyle name="Обычный 5 4 5 3 2 2 2" xfId="54513"/>
    <cellStyle name="Обычный 5 4 5 3 2 3" xfId="54514"/>
    <cellStyle name="Обычный 5 4 5 3 3" xfId="24641"/>
    <cellStyle name="Обычный 5 4 5 3 3 2" xfId="54515"/>
    <cellStyle name="Обычный 5 4 5 3 4" xfId="54516"/>
    <cellStyle name="Обычный 5 4 5 4" xfId="24642"/>
    <cellStyle name="Обычный 5 4 5 4 2" xfId="24643"/>
    <cellStyle name="Обычный 5 4 5 4 2 2" xfId="24644"/>
    <cellStyle name="Обычный 5 4 5 4 2 2 2" xfId="54517"/>
    <cellStyle name="Обычный 5 4 5 4 2 3" xfId="54518"/>
    <cellStyle name="Обычный 5 4 5 4 3" xfId="24645"/>
    <cellStyle name="Обычный 5 4 5 4 3 2" xfId="54519"/>
    <cellStyle name="Обычный 5 4 5 4 4" xfId="54520"/>
    <cellStyle name="Обычный 5 4 5 5" xfId="24646"/>
    <cellStyle name="Обычный 5 4 5 5 2" xfId="24647"/>
    <cellStyle name="Обычный 5 4 5 5 2 2" xfId="54521"/>
    <cellStyle name="Обычный 5 4 5 5 3" xfId="54522"/>
    <cellStyle name="Обычный 5 4 5 6" xfId="24648"/>
    <cellStyle name="Обычный 5 4 5 6 2" xfId="54523"/>
    <cellStyle name="Обычный 5 4 5 7" xfId="24649"/>
    <cellStyle name="Обычный 5 4 5 7 2" xfId="54524"/>
    <cellStyle name="Обычный 5 4 5 8" xfId="54525"/>
    <cellStyle name="Обычный 5 4 6" xfId="24650"/>
    <cellStyle name="Обычный 5 4 6 2" xfId="24651"/>
    <cellStyle name="Обычный 5 4 6 2 2" xfId="24652"/>
    <cellStyle name="Обычный 5 4 6 2 2 2" xfId="24653"/>
    <cellStyle name="Обычный 5 4 6 2 2 2 2" xfId="54526"/>
    <cellStyle name="Обычный 5 4 6 2 2 3" xfId="54527"/>
    <cellStyle name="Обычный 5 4 6 2 3" xfId="24654"/>
    <cellStyle name="Обычный 5 4 6 2 3 2" xfId="54528"/>
    <cellStyle name="Обычный 5 4 6 2 4" xfId="54529"/>
    <cellStyle name="Обычный 5 4 6 3" xfId="24655"/>
    <cellStyle name="Обычный 5 4 6 3 2" xfId="24656"/>
    <cellStyle name="Обычный 5 4 6 3 2 2" xfId="24657"/>
    <cellStyle name="Обычный 5 4 6 3 2 2 2" xfId="54530"/>
    <cellStyle name="Обычный 5 4 6 3 2 3" xfId="54531"/>
    <cellStyle name="Обычный 5 4 6 3 3" xfId="24658"/>
    <cellStyle name="Обычный 5 4 6 3 3 2" xfId="54532"/>
    <cellStyle name="Обычный 5 4 6 3 4" xfId="54533"/>
    <cellStyle name="Обычный 5 4 6 4" xfId="24659"/>
    <cellStyle name="Обычный 5 4 6 4 2" xfId="24660"/>
    <cellStyle name="Обычный 5 4 6 4 2 2" xfId="24661"/>
    <cellStyle name="Обычный 5 4 6 4 2 2 2" xfId="54534"/>
    <cellStyle name="Обычный 5 4 6 4 2 3" xfId="54535"/>
    <cellStyle name="Обычный 5 4 6 4 3" xfId="24662"/>
    <cellStyle name="Обычный 5 4 6 4 3 2" xfId="54536"/>
    <cellStyle name="Обычный 5 4 6 4 4" xfId="54537"/>
    <cellStyle name="Обычный 5 4 6 5" xfId="24663"/>
    <cellStyle name="Обычный 5 4 6 5 2" xfId="24664"/>
    <cellStyle name="Обычный 5 4 6 5 2 2" xfId="54538"/>
    <cellStyle name="Обычный 5 4 6 5 3" xfId="54539"/>
    <cellStyle name="Обычный 5 4 6 6" xfId="24665"/>
    <cellStyle name="Обычный 5 4 6 6 2" xfId="54540"/>
    <cellStyle name="Обычный 5 4 6 7" xfId="24666"/>
    <cellStyle name="Обычный 5 4 6 7 2" xfId="54541"/>
    <cellStyle name="Обычный 5 4 6 8" xfId="54542"/>
    <cellStyle name="Обычный 5 4 7" xfId="24667"/>
    <cellStyle name="Обычный 5 4 7 2" xfId="24668"/>
    <cellStyle name="Обычный 5 4 7 2 2" xfId="24669"/>
    <cellStyle name="Обычный 5 4 7 2 2 2" xfId="24670"/>
    <cellStyle name="Обычный 5 4 7 2 2 2 2" xfId="54543"/>
    <cellStyle name="Обычный 5 4 7 2 2 3" xfId="54544"/>
    <cellStyle name="Обычный 5 4 7 2 3" xfId="24671"/>
    <cellStyle name="Обычный 5 4 7 2 3 2" xfId="54545"/>
    <cellStyle name="Обычный 5 4 7 2 4" xfId="54546"/>
    <cellStyle name="Обычный 5 4 7 3" xfId="24672"/>
    <cellStyle name="Обычный 5 4 7 3 2" xfId="24673"/>
    <cellStyle name="Обычный 5 4 7 3 2 2" xfId="24674"/>
    <cellStyle name="Обычный 5 4 7 3 2 2 2" xfId="54547"/>
    <cellStyle name="Обычный 5 4 7 3 2 3" xfId="54548"/>
    <cellStyle name="Обычный 5 4 7 3 3" xfId="24675"/>
    <cellStyle name="Обычный 5 4 7 3 3 2" xfId="54549"/>
    <cellStyle name="Обычный 5 4 7 3 4" xfId="54550"/>
    <cellStyle name="Обычный 5 4 7 4" xfId="24676"/>
    <cellStyle name="Обычный 5 4 7 4 2" xfId="24677"/>
    <cellStyle name="Обычный 5 4 7 4 2 2" xfId="24678"/>
    <cellStyle name="Обычный 5 4 7 4 2 2 2" xfId="54551"/>
    <cellStyle name="Обычный 5 4 7 4 2 3" xfId="54552"/>
    <cellStyle name="Обычный 5 4 7 4 3" xfId="24679"/>
    <cellStyle name="Обычный 5 4 7 4 3 2" xfId="54553"/>
    <cellStyle name="Обычный 5 4 7 4 4" xfId="54554"/>
    <cellStyle name="Обычный 5 4 7 5" xfId="24680"/>
    <cellStyle name="Обычный 5 4 7 5 2" xfId="24681"/>
    <cellStyle name="Обычный 5 4 7 5 2 2" xfId="54555"/>
    <cellStyle name="Обычный 5 4 7 5 3" xfId="54556"/>
    <cellStyle name="Обычный 5 4 7 6" xfId="24682"/>
    <cellStyle name="Обычный 5 4 7 6 2" xfId="54557"/>
    <cellStyle name="Обычный 5 4 7 7" xfId="24683"/>
    <cellStyle name="Обычный 5 4 7 7 2" xfId="54558"/>
    <cellStyle name="Обычный 5 4 7 8" xfId="54559"/>
    <cellStyle name="Обычный 5 4 8" xfId="24684"/>
    <cellStyle name="Обычный 5 4 8 2" xfId="24685"/>
    <cellStyle name="Обычный 5 4 8 2 2" xfId="24686"/>
    <cellStyle name="Обычный 5 4 8 2 2 2" xfId="24687"/>
    <cellStyle name="Обычный 5 4 8 2 2 2 2" xfId="54560"/>
    <cellStyle name="Обычный 5 4 8 2 2 3" xfId="54561"/>
    <cellStyle name="Обычный 5 4 8 2 3" xfId="24688"/>
    <cellStyle name="Обычный 5 4 8 2 3 2" xfId="54562"/>
    <cellStyle name="Обычный 5 4 8 2 4" xfId="54563"/>
    <cellStyle name="Обычный 5 4 8 3" xfId="24689"/>
    <cellStyle name="Обычный 5 4 8 3 2" xfId="24690"/>
    <cellStyle name="Обычный 5 4 8 3 2 2" xfId="24691"/>
    <cellStyle name="Обычный 5 4 8 3 2 2 2" xfId="54564"/>
    <cellStyle name="Обычный 5 4 8 3 2 3" xfId="54565"/>
    <cellStyle name="Обычный 5 4 8 3 3" xfId="24692"/>
    <cellStyle name="Обычный 5 4 8 3 3 2" xfId="54566"/>
    <cellStyle name="Обычный 5 4 8 3 4" xfId="54567"/>
    <cellStyle name="Обычный 5 4 8 4" xfId="24693"/>
    <cellStyle name="Обычный 5 4 8 4 2" xfId="24694"/>
    <cellStyle name="Обычный 5 4 8 4 2 2" xfId="24695"/>
    <cellStyle name="Обычный 5 4 8 4 2 2 2" xfId="54568"/>
    <cellStyle name="Обычный 5 4 8 4 2 3" xfId="54569"/>
    <cellStyle name="Обычный 5 4 8 4 3" xfId="24696"/>
    <cellStyle name="Обычный 5 4 8 4 3 2" xfId="54570"/>
    <cellStyle name="Обычный 5 4 8 4 4" xfId="54571"/>
    <cellStyle name="Обычный 5 4 8 5" xfId="24697"/>
    <cellStyle name="Обычный 5 4 8 5 2" xfId="24698"/>
    <cellStyle name="Обычный 5 4 8 5 2 2" xfId="54572"/>
    <cellStyle name="Обычный 5 4 8 5 3" xfId="54573"/>
    <cellStyle name="Обычный 5 4 8 6" xfId="24699"/>
    <cellStyle name="Обычный 5 4 8 6 2" xfId="54574"/>
    <cellStyle name="Обычный 5 4 8 7" xfId="24700"/>
    <cellStyle name="Обычный 5 4 8 7 2" xfId="54575"/>
    <cellStyle name="Обычный 5 4 8 8" xfId="54576"/>
    <cellStyle name="Обычный 5 4 9" xfId="24701"/>
    <cellStyle name="Обычный 5 4 9 2" xfId="24702"/>
    <cellStyle name="Обычный 5 4 9 2 2" xfId="24703"/>
    <cellStyle name="Обычный 5 4 9 2 2 2" xfId="24704"/>
    <cellStyle name="Обычный 5 4 9 2 2 2 2" xfId="54577"/>
    <cellStyle name="Обычный 5 4 9 2 2 3" xfId="54578"/>
    <cellStyle name="Обычный 5 4 9 2 3" xfId="24705"/>
    <cellStyle name="Обычный 5 4 9 2 3 2" xfId="54579"/>
    <cellStyle name="Обычный 5 4 9 2 4" xfId="54580"/>
    <cellStyle name="Обычный 5 4 9 3" xfId="24706"/>
    <cellStyle name="Обычный 5 4 9 3 2" xfId="24707"/>
    <cellStyle name="Обычный 5 4 9 3 2 2" xfId="24708"/>
    <cellStyle name="Обычный 5 4 9 3 2 2 2" xfId="54581"/>
    <cellStyle name="Обычный 5 4 9 3 2 3" xfId="54582"/>
    <cellStyle name="Обычный 5 4 9 3 3" xfId="24709"/>
    <cellStyle name="Обычный 5 4 9 3 3 2" xfId="54583"/>
    <cellStyle name="Обычный 5 4 9 3 4" xfId="54584"/>
    <cellStyle name="Обычный 5 4 9 4" xfId="24710"/>
    <cellStyle name="Обычный 5 4 9 4 2" xfId="24711"/>
    <cellStyle name="Обычный 5 4 9 4 2 2" xfId="24712"/>
    <cellStyle name="Обычный 5 4 9 4 2 2 2" xfId="54585"/>
    <cellStyle name="Обычный 5 4 9 4 2 3" xfId="54586"/>
    <cellStyle name="Обычный 5 4 9 4 3" xfId="24713"/>
    <cellStyle name="Обычный 5 4 9 4 3 2" xfId="54587"/>
    <cellStyle name="Обычный 5 4 9 4 4" xfId="54588"/>
    <cellStyle name="Обычный 5 4 9 5" xfId="24714"/>
    <cellStyle name="Обычный 5 4 9 5 2" xfId="24715"/>
    <cellStyle name="Обычный 5 4 9 5 2 2" xfId="54589"/>
    <cellStyle name="Обычный 5 4 9 5 3" xfId="54590"/>
    <cellStyle name="Обычный 5 4 9 6" xfId="24716"/>
    <cellStyle name="Обычный 5 4 9 6 2" xfId="54591"/>
    <cellStyle name="Обычный 5 4 9 7" xfId="24717"/>
    <cellStyle name="Обычный 5 4 9 7 2" xfId="54592"/>
    <cellStyle name="Обычный 5 4 9 8" xfId="54593"/>
    <cellStyle name="Обычный 5 40" xfId="24718"/>
    <cellStyle name="Обычный 5 40 2" xfId="24719"/>
    <cellStyle name="Обычный 5 40 2 2" xfId="24720"/>
    <cellStyle name="Обычный 5 40 2 2 2" xfId="24721"/>
    <cellStyle name="Обычный 5 40 2 2 2 2" xfId="54594"/>
    <cellStyle name="Обычный 5 40 2 2 3" xfId="54595"/>
    <cellStyle name="Обычный 5 40 2 3" xfId="24722"/>
    <cellStyle name="Обычный 5 40 2 3 2" xfId="54596"/>
    <cellStyle name="Обычный 5 40 2 4" xfId="54597"/>
    <cellStyle name="Обычный 5 40 3" xfId="24723"/>
    <cellStyle name="Обычный 5 40 3 2" xfId="24724"/>
    <cellStyle name="Обычный 5 40 3 2 2" xfId="24725"/>
    <cellStyle name="Обычный 5 40 3 2 2 2" xfId="54598"/>
    <cellStyle name="Обычный 5 40 3 2 3" xfId="54599"/>
    <cellStyle name="Обычный 5 40 3 3" xfId="24726"/>
    <cellStyle name="Обычный 5 40 3 3 2" xfId="54600"/>
    <cellStyle name="Обычный 5 40 3 4" xfId="54601"/>
    <cellStyle name="Обычный 5 40 4" xfId="24727"/>
    <cellStyle name="Обычный 5 40 4 2" xfId="24728"/>
    <cellStyle name="Обычный 5 40 4 2 2" xfId="24729"/>
    <cellStyle name="Обычный 5 40 4 2 2 2" xfId="54602"/>
    <cellStyle name="Обычный 5 40 4 2 3" xfId="54603"/>
    <cellStyle name="Обычный 5 40 4 3" xfId="24730"/>
    <cellStyle name="Обычный 5 40 4 3 2" xfId="54604"/>
    <cellStyle name="Обычный 5 40 4 4" xfId="54605"/>
    <cellStyle name="Обычный 5 40 5" xfId="24731"/>
    <cellStyle name="Обычный 5 40 5 2" xfId="24732"/>
    <cellStyle name="Обычный 5 40 5 2 2" xfId="54606"/>
    <cellStyle name="Обычный 5 40 5 3" xfId="54607"/>
    <cellStyle name="Обычный 5 40 6" xfId="24733"/>
    <cellStyle name="Обычный 5 40 6 2" xfId="54608"/>
    <cellStyle name="Обычный 5 40 7" xfId="24734"/>
    <cellStyle name="Обычный 5 40 7 2" xfId="54609"/>
    <cellStyle name="Обычный 5 40 8" xfId="54610"/>
    <cellStyle name="Обычный 5 41" xfId="24735"/>
    <cellStyle name="Обычный 5 41 2" xfId="24736"/>
    <cellStyle name="Обычный 5 41 2 2" xfId="24737"/>
    <cellStyle name="Обычный 5 41 2 2 2" xfId="24738"/>
    <cellStyle name="Обычный 5 41 2 2 2 2" xfId="54611"/>
    <cellStyle name="Обычный 5 41 2 2 3" xfId="54612"/>
    <cellStyle name="Обычный 5 41 2 3" xfId="24739"/>
    <cellStyle name="Обычный 5 41 2 3 2" xfId="54613"/>
    <cellStyle name="Обычный 5 41 2 4" xfId="54614"/>
    <cellStyle name="Обычный 5 41 3" xfId="24740"/>
    <cellStyle name="Обычный 5 41 3 2" xfId="24741"/>
    <cellStyle name="Обычный 5 41 3 2 2" xfId="24742"/>
    <cellStyle name="Обычный 5 41 3 2 2 2" xfId="54615"/>
    <cellStyle name="Обычный 5 41 3 2 3" xfId="54616"/>
    <cellStyle name="Обычный 5 41 3 3" xfId="24743"/>
    <cellStyle name="Обычный 5 41 3 3 2" xfId="54617"/>
    <cellStyle name="Обычный 5 41 3 4" xfId="54618"/>
    <cellStyle name="Обычный 5 41 4" xfId="24744"/>
    <cellStyle name="Обычный 5 41 4 2" xfId="24745"/>
    <cellStyle name="Обычный 5 41 4 2 2" xfId="24746"/>
    <cellStyle name="Обычный 5 41 4 2 2 2" xfId="54619"/>
    <cellStyle name="Обычный 5 41 4 2 3" xfId="54620"/>
    <cellStyle name="Обычный 5 41 4 3" xfId="24747"/>
    <cellStyle name="Обычный 5 41 4 3 2" xfId="54621"/>
    <cellStyle name="Обычный 5 41 4 4" xfId="54622"/>
    <cellStyle name="Обычный 5 41 5" xfId="24748"/>
    <cellStyle name="Обычный 5 41 5 2" xfId="24749"/>
    <cellStyle name="Обычный 5 41 5 2 2" xfId="54623"/>
    <cellStyle name="Обычный 5 41 5 3" xfId="54624"/>
    <cellStyle name="Обычный 5 41 6" xfId="24750"/>
    <cellStyle name="Обычный 5 41 6 2" xfId="54625"/>
    <cellStyle name="Обычный 5 41 7" xfId="24751"/>
    <cellStyle name="Обычный 5 41 7 2" xfId="54626"/>
    <cellStyle name="Обычный 5 41 8" xfId="54627"/>
    <cellStyle name="Обычный 5 42" xfId="24752"/>
    <cellStyle name="Обычный 5 42 2" xfId="24753"/>
    <cellStyle name="Обычный 5 42 2 2" xfId="24754"/>
    <cellStyle name="Обычный 5 42 2 2 2" xfId="24755"/>
    <cellStyle name="Обычный 5 42 2 2 2 2" xfId="54628"/>
    <cellStyle name="Обычный 5 42 2 2 3" xfId="54629"/>
    <cellStyle name="Обычный 5 42 2 3" xfId="24756"/>
    <cellStyle name="Обычный 5 42 2 3 2" xfId="54630"/>
    <cellStyle name="Обычный 5 42 2 4" xfId="54631"/>
    <cellStyle name="Обычный 5 42 3" xfId="24757"/>
    <cellStyle name="Обычный 5 42 3 2" xfId="24758"/>
    <cellStyle name="Обычный 5 42 3 2 2" xfId="24759"/>
    <cellStyle name="Обычный 5 42 3 2 2 2" xfId="54632"/>
    <cellStyle name="Обычный 5 42 3 2 3" xfId="54633"/>
    <cellStyle name="Обычный 5 42 3 3" xfId="24760"/>
    <cellStyle name="Обычный 5 42 3 3 2" xfId="54634"/>
    <cellStyle name="Обычный 5 42 3 4" xfId="54635"/>
    <cellStyle name="Обычный 5 42 4" xfId="24761"/>
    <cellStyle name="Обычный 5 42 4 2" xfId="24762"/>
    <cellStyle name="Обычный 5 42 4 2 2" xfId="24763"/>
    <cellStyle name="Обычный 5 42 4 2 2 2" xfId="54636"/>
    <cellStyle name="Обычный 5 42 4 2 3" xfId="54637"/>
    <cellStyle name="Обычный 5 42 4 3" xfId="24764"/>
    <cellStyle name="Обычный 5 42 4 3 2" xfId="54638"/>
    <cellStyle name="Обычный 5 42 4 4" xfId="54639"/>
    <cellStyle name="Обычный 5 42 5" xfId="24765"/>
    <cellStyle name="Обычный 5 42 5 2" xfId="24766"/>
    <cellStyle name="Обычный 5 42 5 2 2" xfId="54640"/>
    <cellStyle name="Обычный 5 42 5 3" xfId="54641"/>
    <cellStyle name="Обычный 5 42 6" xfId="24767"/>
    <cellStyle name="Обычный 5 42 6 2" xfId="54642"/>
    <cellStyle name="Обычный 5 42 7" xfId="24768"/>
    <cellStyle name="Обычный 5 42 7 2" xfId="54643"/>
    <cellStyle name="Обычный 5 42 8" xfId="54644"/>
    <cellStyle name="Обычный 5 43" xfId="24769"/>
    <cellStyle name="Обычный 5 43 2" xfId="24770"/>
    <cellStyle name="Обычный 5 43 2 2" xfId="24771"/>
    <cellStyle name="Обычный 5 43 2 2 2" xfId="24772"/>
    <cellStyle name="Обычный 5 43 2 2 2 2" xfId="54645"/>
    <cellStyle name="Обычный 5 43 2 2 3" xfId="54646"/>
    <cellStyle name="Обычный 5 43 2 3" xfId="24773"/>
    <cellStyle name="Обычный 5 43 2 3 2" xfId="54647"/>
    <cellStyle name="Обычный 5 43 2 4" xfId="54648"/>
    <cellStyle name="Обычный 5 43 3" xfId="24774"/>
    <cellStyle name="Обычный 5 43 3 2" xfId="24775"/>
    <cellStyle name="Обычный 5 43 3 2 2" xfId="24776"/>
    <cellStyle name="Обычный 5 43 3 2 2 2" xfId="54649"/>
    <cellStyle name="Обычный 5 43 3 2 3" xfId="54650"/>
    <cellStyle name="Обычный 5 43 3 3" xfId="24777"/>
    <cellStyle name="Обычный 5 43 3 3 2" xfId="54651"/>
    <cellStyle name="Обычный 5 43 3 4" xfId="54652"/>
    <cellStyle name="Обычный 5 43 4" xfId="24778"/>
    <cellStyle name="Обычный 5 43 4 2" xfId="24779"/>
    <cellStyle name="Обычный 5 43 4 2 2" xfId="24780"/>
    <cellStyle name="Обычный 5 43 4 2 2 2" xfId="54653"/>
    <cellStyle name="Обычный 5 43 4 2 3" xfId="54654"/>
    <cellStyle name="Обычный 5 43 4 3" xfId="24781"/>
    <cellStyle name="Обычный 5 43 4 3 2" xfId="54655"/>
    <cellStyle name="Обычный 5 43 4 4" xfId="54656"/>
    <cellStyle name="Обычный 5 43 5" xfId="24782"/>
    <cellStyle name="Обычный 5 43 5 2" xfId="24783"/>
    <cellStyle name="Обычный 5 43 5 2 2" xfId="54657"/>
    <cellStyle name="Обычный 5 43 5 3" xfId="54658"/>
    <cellStyle name="Обычный 5 43 6" xfId="24784"/>
    <cellStyle name="Обычный 5 43 6 2" xfId="54659"/>
    <cellStyle name="Обычный 5 43 7" xfId="24785"/>
    <cellStyle name="Обычный 5 43 7 2" xfId="54660"/>
    <cellStyle name="Обычный 5 43 8" xfId="54661"/>
    <cellStyle name="Обычный 5 44" xfId="24786"/>
    <cellStyle name="Обычный 5 44 2" xfId="24787"/>
    <cellStyle name="Обычный 5 44 2 2" xfId="24788"/>
    <cellStyle name="Обычный 5 44 2 2 2" xfId="24789"/>
    <cellStyle name="Обычный 5 44 2 2 2 2" xfId="54662"/>
    <cellStyle name="Обычный 5 44 2 2 3" xfId="54663"/>
    <cellStyle name="Обычный 5 44 2 3" xfId="24790"/>
    <cellStyle name="Обычный 5 44 2 3 2" xfId="54664"/>
    <cellStyle name="Обычный 5 44 2 4" xfId="54665"/>
    <cellStyle name="Обычный 5 44 3" xfId="24791"/>
    <cellStyle name="Обычный 5 44 3 2" xfId="24792"/>
    <cellStyle name="Обычный 5 44 3 2 2" xfId="24793"/>
    <cellStyle name="Обычный 5 44 3 2 2 2" xfId="54666"/>
    <cellStyle name="Обычный 5 44 3 2 3" xfId="54667"/>
    <cellStyle name="Обычный 5 44 3 3" xfId="24794"/>
    <cellStyle name="Обычный 5 44 3 3 2" xfId="54668"/>
    <cellStyle name="Обычный 5 44 3 4" xfId="54669"/>
    <cellStyle name="Обычный 5 44 4" xfId="24795"/>
    <cellStyle name="Обычный 5 44 4 2" xfId="24796"/>
    <cellStyle name="Обычный 5 44 4 2 2" xfId="24797"/>
    <cellStyle name="Обычный 5 44 4 2 2 2" xfId="54670"/>
    <cellStyle name="Обычный 5 44 4 2 3" xfId="54671"/>
    <cellStyle name="Обычный 5 44 4 3" xfId="24798"/>
    <cellStyle name="Обычный 5 44 4 3 2" xfId="54672"/>
    <cellStyle name="Обычный 5 44 4 4" xfId="54673"/>
    <cellStyle name="Обычный 5 44 5" xfId="24799"/>
    <cellStyle name="Обычный 5 44 5 2" xfId="24800"/>
    <cellStyle name="Обычный 5 44 5 2 2" xfId="54674"/>
    <cellStyle name="Обычный 5 44 5 3" xfId="54675"/>
    <cellStyle name="Обычный 5 44 6" xfId="24801"/>
    <cellStyle name="Обычный 5 44 6 2" xfId="54676"/>
    <cellStyle name="Обычный 5 44 7" xfId="24802"/>
    <cellStyle name="Обычный 5 44 7 2" xfId="54677"/>
    <cellStyle name="Обычный 5 44 8" xfId="54678"/>
    <cellStyle name="Обычный 5 45" xfId="24803"/>
    <cellStyle name="Обычный 5 45 2" xfId="24804"/>
    <cellStyle name="Обычный 5 45 2 2" xfId="24805"/>
    <cellStyle name="Обычный 5 45 2 2 2" xfId="24806"/>
    <cellStyle name="Обычный 5 45 2 2 2 2" xfId="54679"/>
    <cellStyle name="Обычный 5 45 2 2 3" xfId="54680"/>
    <cellStyle name="Обычный 5 45 2 3" xfId="24807"/>
    <cellStyle name="Обычный 5 45 2 3 2" xfId="54681"/>
    <cellStyle name="Обычный 5 45 2 4" xfId="54682"/>
    <cellStyle name="Обычный 5 45 3" xfId="24808"/>
    <cellStyle name="Обычный 5 45 3 2" xfId="24809"/>
    <cellStyle name="Обычный 5 45 3 2 2" xfId="24810"/>
    <cellStyle name="Обычный 5 45 3 2 2 2" xfId="54683"/>
    <cellStyle name="Обычный 5 45 3 2 3" xfId="54684"/>
    <cellStyle name="Обычный 5 45 3 3" xfId="24811"/>
    <cellStyle name="Обычный 5 45 3 3 2" xfId="54685"/>
    <cellStyle name="Обычный 5 45 3 4" xfId="54686"/>
    <cellStyle name="Обычный 5 45 4" xfId="24812"/>
    <cellStyle name="Обычный 5 45 4 2" xfId="24813"/>
    <cellStyle name="Обычный 5 45 4 2 2" xfId="24814"/>
    <cellStyle name="Обычный 5 45 4 2 2 2" xfId="54687"/>
    <cellStyle name="Обычный 5 45 4 2 3" xfId="54688"/>
    <cellStyle name="Обычный 5 45 4 3" xfId="24815"/>
    <cellStyle name="Обычный 5 45 4 3 2" xfId="54689"/>
    <cellStyle name="Обычный 5 45 4 4" xfId="54690"/>
    <cellStyle name="Обычный 5 45 5" xfId="24816"/>
    <cellStyle name="Обычный 5 45 5 2" xfId="24817"/>
    <cellStyle name="Обычный 5 45 5 2 2" xfId="54691"/>
    <cellStyle name="Обычный 5 45 5 3" xfId="54692"/>
    <cellStyle name="Обычный 5 45 6" xfId="24818"/>
    <cellStyle name="Обычный 5 45 6 2" xfId="54693"/>
    <cellStyle name="Обычный 5 45 7" xfId="24819"/>
    <cellStyle name="Обычный 5 45 7 2" xfId="54694"/>
    <cellStyle name="Обычный 5 45 8" xfId="54695"/>
    <cellStyle name="Обычный 5 46" xfId="24820"/>
    <cellStyle name="Обычный 5 46 2" xfId="24821"/>
    <cellStyle name="Обычный 5 46 2 2" xfId="24822"/>
    <cellStyle name="Обычный 5 46 2 2 2" xfId="24823"/>
    <cellStyle name="Обычный 5 46 2 2 2 2" xfId="54696"/>
    <cellStyle name="Обычный 5 46 2 2 3" xfId="54697"/>
    <cellStyle name="Обычный 5 46 2 3" xfId="24824"/>
    <cellStyle name="Обычный 5 46 2 3 2" xfId="54698"/>
    <cellStyle name="Обычный 5 46 2 4" xfId="54699"/>
    <cellStyle name="Обычный 5 46 3" xfId="24825"/>
    <cellStyle name="Обычный 5 46 3 2" xfId="24826"/>
    <cellStyle name="Обычный 5 46 3 2 2" xfId="24827"/>
    <cellStyle name="Обычный 5 46 3 2 2 2" xfId="54700"/>
    <cellStyle name="Обычный 5 46 3 2 3" xfId="54701"/>
    <cellStyle name="Обычный 5 46 3 3" xfId="24828"/>
    <cellStyle name="Обычный 5 46 3 3 2" xfId="54702"/>
    <cellStyle name="Обычный 5 46 3 4" xfId="54703"/>
    <cellStyle name="Обычный 5 46 4" xfId="24829"/>
    <cellStyle name="Обычный 5 46 4 2" xfId="24830"/>
    <cellStyle name="Обычный 5 46 4 2 2" xfId="24831"/>
    <cellStyle name="Обычный 5 46 4 2 2 2" xfId="54704"/>
    <cellStyle name="Обычный 5 46 4 2 3" xfId="54705"/>
    <cellStyle name="Обычный 5 46 4 3" xfId="24832"/>
    <cellStyle name="Обычный 5 46 4 3 2" xfId="54706"/>
    <cellStyle name="Обычный 5 46 4 4" xfId="54707"/>
    <cellStyle name="Обычный 5 46 5" xfId="24833"/>
    <cellStyle name="Обычный 5 46 5 2" xfId="24834"/>
    <cellStyle name="Обычный 5 46 5 2 2" xfId="54708"/>
    <cellStyle name="Обычный 5 46 5 3" xfId="54709"/>
    <cellStyle name="Обычный 5 46 6" xfId="24835"/>
    <cellStyle name="Обычный 5 46 6 2" xfId="54710"/>
    <cellStyle name="Обычный 5 46 7" xfId="24836"/>
    <cellStyle name="Обычный 5 46 7 2" xfId="54711"/>
    <cellStyle name="Обычный 5 46 8" xfId="54712"/>
    <cellStyle name="Обычный 5 47" xfId="24837"/>
    <cellStyle name="Обычный 5 47 2" xfId="24838"/>
    <cellStyle name="Обычный 5 47 2 2" xfId="24839"/>
    <cellStyle name="Обычный 5 47 2 2 2" xfId="24840"/>
    <cellStyle name="Обычный 5 47 2 2 2 2" xfId="54713"/>
    <cellStyle name="Обычный 5 47 2 2 3" xfId="54714"/>
    <cellStyle name="Обычный 5 47 2 3" xfId="24841"/>
    <cellStyle name="Обычный 5 47 2 3 2" xfId="54715"/>
    <cellStyle name="Обычный 5 47 2 4" xfId="54716"/>
    <cellStyle name="Обычный 5 47 3" xfId="24842"/>
    <cellStyle name="Обычный 5 47 3 2" xfId="24843"/>
    <cellStyle name="Обычный 5 47 3 2 2" xfId="24844"/>
    <cellStyle name="Обычный 5 47 3 2 2 2" xfId="54717"/>
    <cellStyle name="Обычный 5 47 3 2 3" xfId="54718"/>
    <cellStyle name="Обычный 5 47 3 3" xfId="24845"/>
    <cellStyle name="Обычный 5 47 3 3 2" xfId="54719"/>
    <cellStyle name="Обычный 5 47 3 4" xfId="54720"/>
    <cellStyle name="Обычный 5 47 4" xfId="24846"/>
    <cellStyle name="Обычный 5 47 4 2" xfId="24847"/>
    <cellStyle name="Обычный 5 47 4 2 2" xfId="24848"/>
    <cellStyle name="Обычный 5 47 4 2 2 2" xfId="54721"/>
    <cellStyle name="Обычный 5 47 4 2 3" xfId="54722"/>
    <cellStyle name="Обычный 5 47 4 3" xfId="24849"/>
    <cellStyle name="Обычный 5 47 4 3 2" xfId="54723"/>
    <cellStyle name="Обычный 5 47 4 4" xfId="54724"/>
    <cellStyle name="Обычный 5 47 5" xfId="24850"/>
    <cellStyle name="Обычный 5 47 5 2" xfId="24851"/>
    <cellStyle name="Обычный 5 47 5 2 2" xfId="54725"/>
    <cellStyle name="Обычный 5 47 5 3" xfId="54726"/>
    <cellStyle name="Обычный 5 47 6" xfId="24852"/>
    <cellStyle name="Обычный 5 47 6 2" xfId="54727"/>
    <cellStyle name="Обычный 5 47 7" xfId="24853"/>
    <cellStyle name="Обычный 5 47 7 2" xfId="54728"/>
    <cellStyle name="Обычный 5 47 8" xfId="54729"/>
    <cellStyle name="Обычный 5 48" xfId="24854"/>
    <cellStyle name="Обычный 5 48 2" xfId="24855"/>
    <cellStyle name="Обычный 5 48 2 2" xfId="24856"/>
    <cellStyle name="Обычный 5 48 2 2 2" xfId="24857"/>
    <cellStyle name="Обычный 5 48 2 2 2 2" xfId="54730"/>
    <cellStyle name="Обычный 5 48 2 2 3" xfId="54731"/>
    <cellStyle name="Обычный 5 48 2 3" xfId="24858"/>
    <cellStyle name="Обычный 5 48 2 3 2" xfId="54732"/>
    <cellStyle name="Обычный 5 48 2 4" xfId="54733"/>
    <cellStyle name="Обычный 5 48 3" xfId="24859"/>
    <cellStyle name="Обычный 5 48 3 2" xfId="24860"/>
    <cellStyle name="Обычный 5 48 3 2 2" xfId="24861"/>
    <cellStyle name="Обычный 5 48 3 2 2 2" xfId="54734"/>
    <cellStyle name="Обычный 5 48 3 2 3" xfId="54735"/>
    <cellStyle name="Обычный 5 48 3 3" xfId="24862"/>
    <cellStyle name="Обычный 5 48 3 3 2" xfId="54736"/>
    <cellStyle name="Обычный 5 48 3 4" xfId="54737"/>
    <cellStyle name="Обычный 5 48 4" xfId="24863"/>
    <cellStyle name="Обычный 5 48 4 2" xfId="24864"/>
    <cellStyle name="Обычный 5 48 4 2 2" xfId="24865"/>
    <cellStyle name="Обычный 5 48 4 2 2 2" xfId="54738"/>
    <cellStyle name="Обычный 5 48 4 2 3" xfId="54739"/>
    <cellStyle name="Обычный 5 48 4 3" xfId="24866"/>
    <cellStyle name="Обычный 5 48 4 3 2" xfId="54740"/>
    <cellStyle name="Обычный 5 48 4 4" xfId="54741"/>
    <cellStyle name="Обычный 5 48 5" xfId="24867"/>
    <cellStyle name="Обычный 5 48 5 2" xfId="24868"/>
    <cellStyle name="Обычный 5 48 5 2 2" xfId="54742"/>
    <cellStyle name="Обычный 5 48 5 3" xfId="54743"/>
    <cellStyle name="Обычный 5 48 6" xfId="24869"/>
    <cellStyle name="Обычный 5 48 6 2" xfId="54744"/>
    <cellStyle name="Обычный 5 48 7" xfId="24870"/>
    <cellStyle name="Обычный 5 48 7 2" xfId="54745"/>
    <cellStyle name="Обычный 5 48 8" xfId="54746"/>
    <cellStyle name="Обычный 5 49" xfId="24871"/>
    <cellStyle name="Обычный 5 49 2" xfId="24872"/>
    <cellStyle name="Обычный 5 49 2 2" xfId="24873"/>
    <cellStyle name="Обычный 5 49 2 2 2" xfId="24874"/>
    <cellStyle name="Обычный 5 49 2 2 2 2" xfId="54747"/>
    <cellStyle name="Обычный 5 49 2 2 3" xfId="54748"/>
    <cellStyle name="Обычный 5 49 2 3" xfId="24875"/>
    <cellStyle name="Обычный 5 49 2 3 2" xfId="54749"/>
    <cellStyle name="Обычный 5 49 2 4" xfId="54750"/>
    <cellStyle name="Обычный 5 49 3" xfId="24876"/>
    <cellStyle name="Обычный 5 49 3 2" xfId="24877"/>
    <cellStyle name="Обычный 5 49 3 2 2" xfId="24878"/>
    <cellStyle name="Обычный 5 49 3 2 2 2" xfId="54751"/>
    <cellStyle name="Обычный 5 49 3 2 3" xfId="54752"/>
    <cellStyle name="Обычный 5 49 3 3" xfId="24879"/>
    <cellStyle name="Обычный 5 49 3 3 2" xfId="54753"/>
    <cellStyle name="Обычный 5 49 3 4" xfId="54754"/>
    <cellStyle name="Обычный 5 49 4" xfId="24880"/>
    <cellStyle name="Обычный 5 49 4 2" xfId="24881"/>
    <cellStyle name="Обычный 5 49 4 2 2" xfId="24882"/>
    <cellStyle name="Обычный 5 49 4 2 2 2" xfId="54755"/>
    <cellStyle name="Обычный 5 49 4 2 3" xfId="54756"/>
    <cellStyle name="Обычный 5 49 4 3" xfId="24883"/>
    <cellStyle name="Обычный 5 49 4 3 2" xfId="54757"/>
    <cellStyle name="Обычный 5 49 4 4" xfId="54758"/>
    <cellStyle name="Обычный 5 49 5" xfId="24884"/>
    <cellStyle name="Обычный 5 49 5 2" xfId="24885"/>
    <cellStyle name="Обычный 5 49 5 2 2" xfId="54759"/>
    <cellStyle name="Обычный 5 49 5 3" xfId="54760"/>
    <cellStyle name="Обычный 5 49 6" xfId="24886"/>
    <cellStyle name="Обычный 5 49 6 2" xfId="54761"/>
    <cellStyle name="Обычный 5 49 7" xfId="24887"/>
    <cellStyle name="Обычный 5 49 7 2" xfId="54762"/>
    <cellStyle name="Обычный 5 49 8" xfId="54763"/>
    <cellStyle name="Обычный 5 5" xfId="24888"/>
    <cellStyle name="Обычный 5 5 10" xfId="24889"/>
    <cellStyle name="Обычный 5 5 10 2" xfId="24890"/>
    <cellStyle name="Обычный 5 5 10 2 2" xfId="24891"/>
    <cellStyle name="Обычный 5 5 10 2 2 2" xfId="24892"/>
    <cellStyle name="Обычный 5 5 10 2 2 2 2" xfId="54764"/>
    <cellStyle name="Обычный 5 5 10 2 2 3" xfId="54765"/>
    <cellStyle name="Обычный 5 5 10 2 3" xfId="24893"/>
    <cellStyle name="Обычный 5 5 10 2 3 2" xfId="54766"/>
    <cellStyle name="Обычный 5 5 10 2 4" xfId="54767"/>
    <cellStyle name="Обычный 5 5 10 3" xfId="24894"/>
    <cellStyle name="Обычный 5 5 10 3 2" xfId="24895"/>
    <cellStyle name="Обычный 5 5 10 3 2 2" xfId="24896"/>
    <cellStyle name="Обычный 5 5 10 3 2 2 2" xfId="54768"/>
    <cellStyle name="Обычный 5 5 10 3 2 3" xfId="54769"/>
    <cellStyle name="Обычный 5 5 10 3 3" xfId="24897"/>
    <cellStyle name="Обычный 5 5 10 3 3 2" xfId="54770"/>
    <cellStyle name="Обычный 5 5 10 3 4" xfId="54771"/>
    <cellStyle name="Обычный 5 5 10 4" xfId="24898"/>
    <cellStyle name="Обычный 5 5 10 4 2" xfId="24899"/>
    <cellStyle name="Обычный 5 5 10 4 2 2" xfId="24900"/>
    <cellStyle name="Обычный 5 5 10 4 2 2 2" xfId="54772"/>
    <cellStyle name="Обычный 5 5 10 4 2 3" xfId="54773"/>
    <cellStyle name="Обычный 5 5 10 4 3" xfId="24901"/>
    <cellStyle name="Обычный 5 5 10 4 3 2" xfId="54774"/>
    <cellStyle name="Обычный 5 5 10 4 4" xfId="54775"/>
    <cellStyle name="Обычный 5 5 10 5" xfId="24902"/>
    <cellStyle name="Обычный 5 5 10 5 2" xfId="24903"/>
    <cellStyle name="Обычный 5 5 10 5 2 2" xfId="54776"/>
    <cellStyle name="Обычный 5 5 10 5 3" xfId="54777"/>
    <cellStyle name="Обычный 5 5 10 6" xfId="24904"/>
    <cellStyle name="Обычный 5 5 10 6 2" xfId="54778"/>
    <cellStyle name="Обычный 5 5 10 7" xfId="24905"/>
    <cellStyle name="Обычный 5 5 10 7 2" xfId="54779"/>
    <cellStyle name="Обычный 5 5 10 8" xfId="54780"/>
    <cellStyle name="Обычный 5 5 11" xfId="24906"/>
    <cellStyle name="Обычный 5 5 11 2" xfId="24907"/>
    <cellStyle name="Обычный 5 5 11 2 2" xfId="24908"/>
    <cellStyle name="Обычный 5 5 11 2 2 2" xfId="24909"/>
    <cellStyle name="Обычный 5 5 11 2 2 2 2" xfId="54781"/>
    <cellStyle name="Обычный 5 5 11 2 2 3" xfId="54782"/>
    <cellStyle name="Обычный 5 5 11 2 3" xfId="24910"/>
    <cellStyle name="Обычный 5 5 11 2 3 2" xfId="54783"/>
    <cellStyle name="Обычный 5 5 11 2 4" xfId="54784"/>
    <cellStyle name="Обычный 5 5 11 3" xfId="24911"/>
    <cellStyle name="Обычный 5 5 11 3 2" xfId="24912"/>
    <cellStyle name="Обычный 5 5 11 3 2 2" xfId="24913"/>
    <cellStyle name="Обычный 5 5 11 3 2 2 2" xfId="54785"/>
    <cellStyle name="Обычный 5 5 11 3 2 3" xfId="54786"/>
    <cellStyle name="Обычный 5 5 11 3 3" xfId="24914"/>
    <cellStyle name="Обычный 5 5 11 3 3 2" xfId="54787"/>
    <cellStyle name="Обычный 5 5 11 3 4" xfId="54788"/>
    <cellStyle name="Обычный 5 5 11 4" xfId="24915"/>
    <cellStyle name="Обычный 5 5 11 4 2" xfId="24916"/>
    <cellStyle name="Обычный 5 5 11 4 2 2" xfId="24917"/>
    <cellStyle name="Обычный 5 5 11 4 2 2 2" xfId="54789"/>
    <cellStyle name="Обычный 5 5 11 4 2 3" xfId="54790"/>
    <cellStyle name="Обычный 5 5 11 4 3" xfId="24918"/>
    <cellStyle name="Обычный 5 5 11 4 3 2" xfId="54791"/>
    <cellStyle name="Обычный 5 5 11 4 4" xfId="54792"/>
    <cellStyle name="Обычный 5 5 11 5" xfId="24919"/>
    <cellStyle name="Обычный 5 5 11 5 2" xfId="24920"/>
    <cellStyle name="Обычный 5 5 11 5 2 2" xfId="54793"/>
    <cellStyle name="Обычный 5 5 11 5 3" xfId="54794"/>
    <cellStyle name="Обычный 5 5 11 6" xfId="24921"/>
    <cellStyle name="Обычный 5 5 11 6 2" xfId="54795"/>
    <cellStyle name="Обычный 5 5 11 7" xfId="24922"/>
    <cellStyle name="Обычный 5 5 11 7 2" xfId="54796"/>
    <cellStyle name="Обычный 5 5 11 8" xfId="54797"/>
    <cellStyle name="Обычный 5 5 12" xfId="24923"/>
    <cellStyle name="Обычный 5 5 12 2" xfId="24924"/>
    <cellStyle name="Обычный 5 5 12 2 2" xfId="24925"/>
    <cellStyle name="Обычный 5 5 12 2 2 2" xfId="24926"/>
    <cellStyle name="Обычный 5 5 12 2 2 2 2" xfId="54798"/>
    <cellStyle name="Обычный 5 5 12 2 2 3" xfId="54799"/>
    <cellStyle name="Обычный 5 5 12 2 3" xfId="24927"/>
    <cellStyle name="Обычный 5 5 12 2 3 2" xfId="54800"/>
    <cellStyle name="Обычный 5 5 12 2 4" xfId="54801"/>
    <cellStyle name="Обычный 5 5 12 3" xfId="24928"/>
    <cellStyle name="Обычный 5 5 12 3 2" xfId="24929"/>
    <cellStyle name="Обычный 5 5 12 3 2 2" xfId="24930"/>
    <cellStyle name="Обычный 5 5 12 3 2 2 2" xfId="54802"/>
    <cellStyle name="Обычный 5 5 12 3 2 3" xfId="54803"/>
    <cellStyle name="Обычный 5 5 12 3 3" xfId="24931"/>
    <cellStyle name="Обычный 5 5 12 3 3 2" xfId="54804"/>
    <cellStyle name="Обычный 5 5 12 3 4" xfId="54805"/>
    <cellStyle name="Обычный 5 5 12 4" xfId="24932"/>
    <cellStyle name="Обычный 5 5 12 4 2" xfId="24933"/>
    <cellStyle name="Обычный 5 5 12 4 2 2" xfId="24934"/>
    <cellStyle name="Обычный 5 5 12 4 2 2 2" xfId="54806"/>
    <cellStyle name="Обычный 5 5 12 4 2 3" xfId="54807"/>
    <cellStyle name="Обычный 5 5 12 4 3" xfId="24935"/>
    <cellStyle name="Обычный 5 5 12 4 3 2" xfId="54808"/>
    <cellStyle name="Обычный 5 5 12 4 4" xfId="54809"/>
    <cellStyle name="Обычный 5 5 12 5" xfId="24936"/>
    <cellStyle name="Обычный 5 5 12 5 2" xfId="24937"/>
    <cellStyle name="Обычный 5 5 12 5 2 2" xfId="54810"/>
    <cellStyle name="Обычный 5 5 12 5 3" xfId="54811"/>
    <cellStyle name="Обычный 5 5 12 6" xfId="24938"/>
    <cellStyle name="Обычный 5 5 12 6 2" xfId="54812"/>
    <cellStyle name="Обычный 5 5 12 7" xfId="24939"/>
    <cellStyle name="Обычный 5 5 12 7 2" xfId="54813"/>
    <cellStyle name="Обычный 5 5 12 8" xfId="54814"/>
    <cellStyle name="Обычный 5 5 13" xfId="24940"/>
    <cellStyle name="Обычный 5 5 13 2" xfId="24941"/>
    <cellStyle name="Обычный 5 5 13 2 2" xfId="24942"/>
    <cellStyle name="Обычный 5 5 13 2 2 2" xfId="24943"/>
    <cellStyle name="Обычный 5 5 13 2 2 2 2" xfId="54815"/>
    <cellStyle name="Обычный 5 5 13 2 2 3" xfId="54816"/>
    <cellStyle name="Обычный 5 5 13 2 3" xfId="24944"/>
    <cellStyle name="Обычный 5 5 13 2 3 2" xfId="54817"/>
    <cellStyle name="Обычный 5 5 13 2 4" xfId="54818"/>
    <cellStyle name="Обычный 5 5 13 3" xfId="24945"/>
    <cellStyle name="Обычный 5 5 13 3 2" xfId="24946"/>
    <cellStyle name="Обычный 5 5 13 3 2 2" xfId="24947"/>
    <cellStyle name="Обычный 5 5 13 3 2 2 2" xfId="54819"/>
    <cellStyle name="Обычный 5 5 13 3 2 3" xfId="54820"/>
    <cellStyle name="Обычный 5 5 13 3 3" xfId="24948"/>
    <cellStyle name="Обычный 5 5 13 3 3 2" xfId="54821"/>
    <cellStyle name="Обычный 5 5 13 3 4" xfId="54822"/>
    <cellStyle name="Обычный 5 5 13 4" xfId="24949"/>
    <cellStyle name="Обычный 5 5 13 4 2" xfId="24950"/>
    <cellStyle name="Обычный 5 5 13 4 2 2" xfId="24951"/>
    <cellStyle name="Обычный 5 5 13 4 2 2 2" xfId="54823"/>
    <cellStyle name="Обычный 5 5 13 4 2 3" xfId="54824"/>
    <cellStyle name="Обычный 5 5 13 4 3" xfId="24952"/>
    <cellStyle name="Обычный 5 5 13 4 3 2" xfId="54825"/>
    <cellStyle name="Обычный 5 5 13 4 4" xfId="54826"/>
    <cellStyle name="Обычный 5 5 13 5" xfId="24953"/>
    <cellStyle name="Обычный 5 5 13 5 2" xfId="24954"/>
    <cellStyle name="Обычный 5 5 13 5 2 2" xfId="54827"/>
    <cellStyle name="Обычный 5 5 13 5 3" xfId="54828"/>
    <cellStyle name="Обычный 5 5 13 6" xfId="24955"/>
    <cellStyle name="Обычный 5 5 13 6 2" xfId="54829"/>
    <cellStyle name="Обычный 5 5 13 7" xfId="24956"/>
    <cellStyle name="Обычный 5 5 13 7 2" xfId="54830"/>
    <cellStyle name="Обычный 5 5 13 8" xfId="54831"/>
    <cellStyle name="Обычный 5 5 14" xfId="24957"/>
    <cellStyle name="Обычный 5 5 14 2" xfId="24958"/>
    <cellStyle name="Обычный 5 5 14 2 2" xfId="24959"/>
    <cellStyle name="Обычный 5 5 14 2 2 2" xfId="24960"/>
    <cellStyle name="Обычный 5 5 14 2 2 2 2" xfId="54832"/>
    <cellStyle name="Обычный 5 5 14 2 2 3" xfId="54833"/>
    <cellStyle name="Обычный 5 5 14 2 3" xfId="24961"/>
    <cellStyle name="Обычный 5 5 14 2 3 2" xfId="54834"/>
    <cellStyle name="Обычный 5 5 14 2 4" xfId="54835"/>
    <cellStyle name="Обычный 5 5 14 3" xfId="24962"/>
    <cellStyle name="Обычный 5 5 14 3 2" xfId="24963"/>
    <cellStyle name="Обычный 5 5 14 3 2 2" xfId="24964"/>
    <cellStyle name="Обычный 5 5 14 3 2 2 2" xfId="54836"/>
    <cellStyle name="Обычный 5 5 14 3 2 3" xfId="54837"/>
    <cellStyle name="Обычный 5 5 14 3 3" xfId="24965"/>
    <cellStyle name="Обычный 5 5 14 3 3 2" xfId="54838"/>
    <cellStyle name="Обычный 5 5 14 3 4" xfId="54839"/>
    <cellStyle name="Обычный 5 5 14 4" xfId="24966"/>
    <cellStyle name="Обычный 5 5 14 4 2" xfId="24967"/>
    <cellStyle name="Обычный 5 5 14 4 2 2" xfId="24968"/>
    <cellStyle name="Обычный 5 5 14 4 2 2 2" xfId="54840"/>
    <cellStyle name="Обычный 5 5 14 4 2 3" xfId="54841"/>
    <cellStyle name="Обычный 5 5 14 4 3" xfId="24969"/>
    <cellStyle name="Обычный 5 5 14 4 3 2" xfId="54842"/>
    <cellStyle name="Обычный 5 5 14 4 4" xfId="54843"/>
    <cellStyle name="Обычный 5 5 14 5" xfId="24970"/>
    <cellStyle name="Обычный 5 5 14 5 2" xfId="24971"/>
    <cellStyle name="Обычный 5 5 14 5 2 2" xfId="54844"/>
    <cellStyle name="Обычный 5 5 14 5 3" xfId="54845"/>
    <cellStyle name="Обычный 5 5 14 6" xfId="24972"/>
    <cellStyle name="Обычный 5 5 14 6 2" xfId="54846"/>
    <cellStyle name="Обычный 5 5 14 7" xfId="24973"/>
    <cellStyle name="Обычный 5 5 14 7 2" xfId="54847"/>
    <cellStyle name="Обычный 5 5 14 8" xfId="54848"/>
    <cellStyle name="Обычный 5 5 15" xfId="24974"/>
    <cellStyle name="Обычный 5 5 15 2" xfId="24975"/>
    <cellStyle name="Обычный 5 5 15 2 2" xfId="24976"/>
    <cellStyle name="Обычный 5 5 15 2 2 2" xfId="24977"/>
    <cellStyle name="Обычный 5 5 15 2 2 2 2" xfId="54849"/>
    <cellStyle name="Обычный 5 5 15 2 2 3" xfId="54850"/>
    <cellStyle name="Обычный 5 5 15 2 3" xfId="24978"/>
    <cellStyle name="Обычный 5 5 15 2 3 2" xfId="54851"/>
    <cellStyle name="Обычный 5 5 15 2 4" xfId="54852"/>
    <cellStyle name="Обычный 5 5 15 3" xfId="24979"/>
    <cellStyle name="Обычный 5 5 15 3 2" xfId="24980"/>
    <cellStyle name="Обычный 5 5 15 3 2 2" xfId="24981"/>
    <cellStyle name="Обычный 5 5 15 3 2 2 2" xfId="54853"/>
    <cellStyle name="Обычный 5 5 15 3 2 3" xfId="54854"/>
    <cellStyle name="Обычный 5 5 15 3 3" xfId="24982"/>
    <cellStyle name="Обычный 5 5 15 3 3 2" xfId="54855"/>
    <cellStyle name="Обычный 5 5 15 3 4" xfId="54856"/>
    <cellStyle name="Обычный 5 5 15 4" xfId="24983"/>
    <cellStyle name="Обычный 5 5 15 4 2" xfId="24984"/>
    <cellStyle name="Обычный 5 5 15 4 2 2" xfId="24985"/>
    <cellStyle name="Обычный 5 5 15 4 2 2 2" xfId="54857"/>
    <cellStyle name="Обычный 5 5 15 4 2 3" xfId="54858"/>
    <cellStyle name="Обычный 5 5 15 4 3" xfId="24986"/>
    <cellStyle name="Обычный 5 5 15 4 3 2" xfId="54859"/>
    <cellStyle name="Обычный 5 5 15 4 4" xfId="54860"/>
    <cellStyle name="Обычный 5 5 15 5" xfId="24987"/>
    <cellStyle name="Обычный 5 5 15 5 2" xfId="24988"/>
    <cellStyle name="Обычный 5 5 15 5 2 2" xfId="54861"/>
    <cellStyle name="Обычный 5 5 15 5 3" xfId="54862"/>
    <cellStyle name="Обычный 5 5 15 6" xfId="24989"/>
    <cellStyle name="Обычный 5 5 15 6 2" xfId="54863"/>
    <cellStyle name="Обычный 5 5 15 7" xfId="24990"/>
    <cellStyle name="Обычный 5 5 15 7 2" xfId="54864"/>
    <cellStyle name="Обычный 5 5 15 8" xfId="54865"/>
    <cellStyle name="Обычный 5 5 16" xfId="24991"/>
    <cellStyle name="Обычный 5 5 16 2" xfId="24992"/>
    <cellStyle name="Обычный 5 5 16 2 2" xfId="24993"/>
    <cellStyle name="Обычный 5 5 16 2 2 2" xfId="24994"/>
    <cellStyle name="Обычный 5 5 16 2 2 2 2" xfId="54866"/>
    <cellStyle name="Обычный 5 5 16 2 2 3" xfId="54867"/>
    <cellStyle name="Обычный 5 5 16 2 3" xfId="24995"/>
    <cellStyle name="Обычный 5 5 16 2 3 2" xfId="54868"/>
    <cellStyle name="Обычный 5 5 16 2 4" xfId="54869"/>
    <cellStyle name="Обычный 5 5 16 3" xfId="24996"/>
    <cellStyle name="Обычный 5 5 16 3 2" xfId="24997"/>
    <cellStyle name="Обычный 5 5 16 3 2 2" xfId="24998"/>
    <cellStyle name="Обычный 5 5 16 3 2 2 2" xfId="54870"/>
    <cellStyle name="Обычный 5 5 16 3 2 3" xfId="54871"/>
    <cellStyle name="Обычный 5 5 16 3 3" xfId="24999"/>
    <cellStyle name="Обычный 5 5 16 3 3 2" xfId="54872"/>
    <cellStyle name="Обычный 5 5 16 3 4" xfId="54873"/>
    <cellStyle name="Обычный 5 5 16 4" xfId="25000"/>
    <cellStyle name="Обычный 5 5 16 4 2" xfId="25001"/>
    <cellStyle name="Обычный 5 5 16 4 2 2" xfId="25002"/>
    <cellStyle name="Обычный 5 5 16 4 2 2 2" xfId="54874"/>
    <cellStyle name="Обычный 5 5 16 4 2 3" xfId="54875"/>
    <cellStyle name="Обычный 5 5 16 4 3" xfId="25003"/>
    <cellStyle name="Обычный 5 5 16 4 3 2" xfId="54876"/>
    <cellStyle name="Обычный 5 5 16 4 4" xfId="54877"/>
    <cellStyle name="Обычный 5 5 16 5" xfId="25004"/>
    <cellStyle name="Обычный 5 5 16 5 2" xfId="25005"/>
    <cellStyle name="Обычный 5 5 16 5 2 2" xfId="54878"/>
    <cellStyle name="Обычный 5 5 16 5 3" xfId="54879"/>
    <cellStyle name="Обычный 5 5 16 6" xfId="25006"/>
    <cellStyle name="Обычный 5 5 16 6 2" xfId="54880"/>
    <cellStyle name="Обычный 5 5 16 7" xfId="25007"/>
    <cellStyle name="Обычный 5 5 16 7 2" xfId="54881"/>
    <cellStyle name="Обычный 5 5 16 8" xfId="54882"/>
    <cellStyle name="Обычный 5 5 17" xfId="25008"/>
    <cellStyle name="Обычный 5 5 17 2" xfId="25009"/>
    <cellStyle name="Обычный 5 5 17 2 2" xfId="25010"/>
    <cellStyle name="Обычный 5 5 17 2 2 2" xfId="25011"/>
    <cellStyle name="Обычный 5 5 17 2 2 2 2" xfId="54883"/>
    <cellStyle name="Обычный 5 5 17 2 2 3" xfId="54884"/>
    <cellStyle name="Обычный 5 5 17 2 3" xfId="25012"/>
    <cellStyle name="Обычный 5 5 17 2 3 2" xfId="54885"/>
    <cellStyle name="Обычный 5 5 17 2 4" xfId="54886"/>
    <cellStyle name="Обычный 5 5 17 3" xfId="25013"/>
    <cellStyle name="Обычный 5 5 17 3 2" xfId="25014"/>
    <cellStyle name="Обычный 5 5 17 3 2 2" xfId="25015"/>
    <cellStyle name="Обычный 5 5 17 3 2 2 2" xfId="54887"/>
    <cellStyle name="Обычный 5 5 17 3 2 3" xfId="54888"/>
    <cellStyle name="Обычный 5 5 17 3 3" xfId="25016"/>
    <cellStyle name="Обычный 5 5 17 3 3 2" xfId="54889"/>
    <cellStyle name="Обычный 5 5 17 3 4" xfId="54890"/>
    <cellStyle name="Обычный 5 5 17 4" xfId="25017"/>
    <cellStyle name="Обычный 5 5 17 4 2" xfId="25018"/>
    <cellStyle name="Обычный 5 5 17 4 2 2" xfId="25019"/>
    <cellStyle name="Обычный 5 5 17 4 2 2 2" xfId="54891"/>
    <cellStyle name="Обычный 5 5 17 4 2 3" xfId="54892"/>
    <cellStyle name="Обычный 5 5 17 4 3" xfId="25020"/>
    <cellStyle name="Обычный 5 5 17 4 3 2" xfId="54893"/>
    <cellStyle name="Обычный 5 5 17 4 4" xfId="54894"/>
    <cellStyle name="Обычный 5 5 17 5" xfId="25021"/>
    <cellStyle name="Обычный 5 5 17 5 2" xfId="25022"/>
    <cellStyle name="Обычный 5 5 17 5 2 2" xfId="54895"/>
    <cellStyle name="Обычный 5 5 17 5 3" xfId="54896"/>
    <cellStyle name="Обычный 5 5 17 6" xfId="25023"/>
    <cellStyle name="Обычный 5 5 17 6 2" xfId="54897"/>
    <cellStyle name="Обычный 5 5 17 7" xfId="25024"/>
    <cellStyle name="Обычный 5 5 17 7 2" xfId="54898"/>
    <cellStyle name="Обычный 5 5 17 8" xfId="54899"/>
    <cellStyle name="Обычный 5 5 18" xfId="25025"/>
    <cellStyle name="Обычный 5 5 18 2" xfId="25026"/>
    <cellStyle name="Обычный 5 5 18 2 2" xfId="25027"/>
    <cellStyle name="Обычный 5 5 18 2 2 2" xfId="25028"/>
    <cellStyle name="Обычный 5 5 18 2 2 2 2" xfId="54900"/>
    <cellStyle name="Обычный 5 5 18 2 2 3" xfId="54901"/>
    <cellStyle name="Обычный 5 5 18 2 3" xfId="25029"/>
    <cellStyle name="Обычный 5 5 18 2 3 2" xfId="54902"/>
    <cellStyle name="Обычный 5 5 18 2 4" xfId="54903"/>
    <cellStyle name="Обычный 5 5 18 3" xfId="25030"/>
    <cellStyle name="Обычный 5 5 18 3 2" xfId="25031"/>
    <cellStyle name="Обычный 5 5 18 3 2 2" xfId="25032"/>
    <cellStyle name="Обычный 5 5 18 3 2 2 2" xfId="54904"/>
    <cellStyle name="Обычный 5 5 18 3 2 3" xfId="54905"/>
    <cellStyle name="Обычный 5 5 18 3 3" xfId="25033"/>
    <cellStyle name="Обычный 5 5 18 3 3 2" xfId="54906"/>
    <cellStyle name="Обычный 5 5 18 3 4" xfId="54907"/>
    <cellStyle name="Обычный 5 5 18 4" xfId="25034"/>
    <cellStyle name="Обычный 5 5 18 4 2" xfId="25035"/>
    <cellStyle name="Обычный 5 5 18 4 2 2" xfId="25036"/>
    <cellStyle name="Обычный 5 5 18 4 2 2 2" xfId="54908"/>
    <cellStyle name="Обычный 5 5 18 4 2 3" xfId="54909"/>
    <cellStyle name="Обычный 5 5 18 4 3" xfId="25037"/>
    <cellStyle name="Обычный 5 5 18 4 3 2" xfId="54910"/>
    <cellStyle name="Обычный 5 5 18 4 4" xfId="54911"/>
    <cellStyle name="Обычный 5 5 18 5" xfId="25038"/>
    <cellStyle name="Обычный 5 5 18 5 2" xfId="25039"/>
    <cellStyle name="Обычный 5 5 18 5 2 2" xfId="54912"/>
    <cellStyle name="Обычный 5 5 18 5 3" xfId="54913"/>
    <cellStyle name="Обычный 5 5 18 6" xfId="25040"/>
    <cellStyle name="Обычный 5 5 18 6 2" xfId="54914"/>
    <cellStyle name="Обычный 5 5 18 7" xfId="25041"/>
    <cellStyle name="Обычный 5 5 18 7 2" xfId="54915"/>
    <cellStyle name="Обычный 5 5 18 8" xfId="54916"/>
    <cellStyle name="Обычный 5 5 19" xfId="25042"/>
    <cellStyle name="Обычный 5 5 19 2" xfId="25043"/>
    <cellStyle name="Обычный 5 5 19 2 2" xfId="25044"/>
    <cellStyle name="Обычный 5 5 19 2 2 2" xfId="25045"/>
    <cellStyle name="Обычный 5 5 19 2 2 2 2" xfId="54917"/>
    <cellStyle name="Обычный 5 5 19 2 2 3" xfId="54918"/>
    <cellStyle name="Обычный 5 5 19 2 3" xfId="25046"/>
    <cellStyle name="Обычный 5 5 19 2 3 2" xfId="54919"/>
    <cellStyle name="Обычный 5 5 19 2 4" xfId="54920"/>
    <cellStyle name="Обычный 5 5 19 3" xfId="25047"/>
    <cellStyle name="Обычный 5 5 19 3 2" xfId="25048"/>
    <cellStyle name="Обычный 5 5 19 3 2 2" xfId="25049"/>
    <cellStyle name="Обычный 5 5 19 3 2 2 2" xfId="54921"/>
    <cellStyle name="Обычный 5 5 19 3 2 3" xfId="54922"/>
    <cellStyle name="Обычный 5 5 19 3 3" xfId="25050"/>
    <cellStyle name="Обычный 5 5 19 3 3 2" xfId="54923"/>
    <cellStyle name="Обычный 5 5 19 3 4" xfId="54924"/>
    <cellStyle name="Обычный 5 5 19 4" xfId="25051"/>
    <cellStyle name="Обычный 5 5 19 4 2" xfId="25052"/>
    <cellStyle name="Обычный 5 5 19 4 2 2" xfId="25053"/>
    <cellStyle name="Обычный 5 5 19 4 2 2 2" xfId="54925"/>
    <cellStyle name="Обычный 5 5 19 4 2 3" xfId="54926"/>
    <cellStyle name="Обычный 5 5 19 4 3" xfId="25054"/>
    <cellStyle name="Обычный 5 5 19 4 3 2" xfId="54927"/>
    <cellStyle name="Обычный 5 5 19 4 4" xfId="54928"/>
    <cellStyle name="Обычный 5 5 19 5" xfId="25055"/>
    <cellStyle name="Обычный 5 5 19 5 2" xfId="25056"/>
    <cellStyle name="Обычный 5 5 19 5 2 2" xfId="54929"/>
    <cellStyle name="Обычный 5 5 19 5 3" xfId="54930"/>
    <cellStyle name="Обычный 5 5 19 6" xfId="25057"/>
    <cellStyle name="Обычный 5 5 19 6 2" xfId="54931"/>
    <cellStyle name="Обычный 5 5 19 7" xfId="25058"/>
    <cellStyle name="Обычный 5 5 19 7 2" xfId="54932"/>
    <cellStyle name="Обычный 5 5 19 8" xfId="54933"/>
    <cellStyle name="Обычный 5 5 2" xfId="25059"/>
    <cellStyle name="Обычный 5 5 2 2" xfId="25060"/>
    <cellStyle name="Обычный 5 5 2 2 2" xfId="25061"/>
    <cellStyle name="Обычный 5 5 2 2 2 2" xfId="25062"/>
    <cellStyle name="Обычный 5 5 2 2 2 2 2" xfId="54934"/>
    <cellStyle name="Обычный 5 5 2 2 2 3" xfId="54935"/>
    <cellStyle name="Обычный 5 5 2 2 3" xfId="25063"/>
    <cellStyle name="Обычный 5 5 2 2 3 2" xfId="54936"/>
    <cellStyle name="Обычный 5 5 2 2 4" xfId="54937"/>
    <cellStyle name="Обычный 5 5 2 3" xfId="25064"/>
    <cellStyle name="Обычный 5 5 2 3 2" xfId="25065"/>
    <cellStyle name="Обычный 5 5 2 3 2 2" xfId="25066"/>
    <cellStyle name="Обычный 5 5 2 3 2 2 2" xfId="54938"/>
    <cellStyle name="Обычный 5 5 2 3 2 3" xfId="54939"/>
    <cellStyle name="Обычный 5 5 2 3 3" xfId="25067"/>
    <cellStyle name="Обычный 5 5 2 3 3 2" xfId="54940"/>
    <cellStyle name="Обычный 5 5 2 3 4" xfId="54941"/>
    <cellStyle name="Обычный 5 5 2 4" xfId="25068"/>
    <cellStyle name="Обычный 5 5 2 4 2" xfId="25069"/>
    <cellStyle name="Обычный 5 5 2 4 2 2" xfId="25070"/>
    <cellStyle name="Обычный 5 5 2 4 2 2 2" xfId="54942"/>
    <cellStyle name="Обычный 5 5 2 4 2 3" xfId="54943"/>
    <cellStyle name="Обычный 5 5 2 4 3" xfId="25071"/>
    <cellStyle name="Обычный 5 5 2 4 3 2" xfId="54944"/>
    <cellStyle name="Обычный 5 5 2 4 4" xfId="54945"/>
    <cellStyle name="Обычный 5 5 2 5" xfId="25072"/>
    <cellStyle name="Обычный 5 5 2 5 2" xfId="25073"/>
    <cellStyle name="Обычный 5 5 2 5 2 2" xfId="25074"/>
    <cellStyle name="Обычный 5 5 2 5 2 2 2" xfId="54946"/>
    <cellStyle name="Обычный 5 5 2 5 2 3" xfId="54947"/>
    <cellStyle name="Обычный 5 5 2 5 3" xfId="25075"/>
    <cellStyle name="Обычный 5 5 2 5 3 2" xfId="54948"/>
    <cellStyle name="Обычный 5 5 2 5 4" xfId="54949"/>
    <cellStyle name="Обычный 5 5 2 6" xfId="25076"/>
    <cellStyle name="Обычный 5 5 2 6 2" xfId="25077"/>
    <cellStyle name="Обычный 5 5 2 6 2 2" xfId="54950"/>
    <cellStyle name="Обычный 5 5 2 6 3" xfId="54951"/>
    <cellStyle name="Обычный 5 5 2 7" xfId="25078"/>
    <cellStyle name="Обычный 5 5 2 7 2" xfId="54952"/>
    <cellStyle name="Обычный 5 5 2 8" xfId="25079"/>
    <cellStyle name="Обычный 5 5 2 8 2" xfId="54953"/>
    <cellStyle name="Обычный 5 5 2 9" xfId="54954"/>
    <cellStyle name="Обычный 5 5 20" xfId="25080"/>
    <cellStyle name="Обычный 5 5 20 2" xfId="25081"/>
    <cellStyle name="Обычный 5 5 20 2 2" xfId="25082"/>
    <cellStyle name="Обычный 5 5 20 2 2 2" xfId="25083"/>
    <cellStyle name="Обычный 5 5 20 2 2 2 2" xfId="54955"/>
    <cellStyle name="Обычный 5 5 20 2 2 3" xfId="54956"/>
    <cellStyle name="Обычный 5 5 20 2 3" xfId="25084"/>
    <cellStyle name="Обычный 5 5 20 2 3 2" xfId="54957"/>
    <cellStyle name="Обычный 5 5 20 2 4" xfId="54958"/>
    <cellStyle name="Обычный 5 5 20 3" xfId="25085"/>
    <cellStyle name="Обычный 5 5 20 3 2" xfId="25086"/>
    <cellStyle name="Обычный 5 5 20 3 2 2" xfId="25087"/>
    <cellStyle name="Обычный 5 5 20 3 2 2 2" xfId="54959"/>
    <cellStyle name="Обычный 5 5 20 3 2 3" xfId="54960"/>
    <cellStyle name="Обычный 5 5 20 3 3" xfId="25088"/>
    <cellStyle name="Обычный 5 5 20 3 3 2" xfId="54961"/>
    <cellStyle name="Обычный 5 5 20 3 4" xfId="54962"/>
    <cellStyle name="Обычный 5 5 20 4" xfId="25089"/>
    <cellStyle name="Обычный 5 5 20 4 2" xfId="25090"/>
    <cellStyle name="Обычный 5 5 20 4 2 2" xfId="25091"/>
    <cellStyle name="Обычный 5 5 20 4 2 2 2" xfId="54963"/>
    <cellStyle name="Обычный 5 5 20 4 2 3" xfId="54964"/>
    <cellStyle name="Обычный 5 5 20 4 3" xfId="25092"/>
    <cellStyle name="Обычный 5 5 20 4 3 2" xfId="54965"/>
    <cellStyle name="Обычный 5 5 20 4 4" xfId="54966"/>
    <cellStyle name="Обычный 5 5 20 5" xfId="25093"/>
    <cellStyle name="Обычный 5 5 20 5 2" xfId="25094"/>
    <cellStyle name="Обычный 5 5 20 5 2 2" xfId="54967"/>
    <cellStyle name="Обычный 5 5 20 5 3" xfId="54968"/>
    <cellStyle name="Обычный 5 5 20 6" xfId="25095"/>
    <cellStyle name="Обычный 5 5 20 6 2" xfId="54969"/>
    <cellStyle name="Обычный 5 5 20 7" xfId="25096"/>
    <cellStyle name="Обычный 5 5 20 7 2" xfId="54970"/>
    <cellStyle name="Обычный 5 5 20 8" xfId="54971"/>
    <cellStyle name="Обычный 5 5 21" xfId="25097"/>
    <cellStyle name="Обычный 5 5 21 2" xfId="25098"/>
    <cellStyle name="Обычный 5 5 21 2 2" xfId="25099"/>
    <cellStyle name="Обычный 5 5 21 2 2 2" xfId="25100"/>
    <cellStyle name="Обычный 5 5 21 2 2 2 2" xfId="54972"/>
    <cellStyle name="Обычный 5 5 21 2 2 3" xfId="54973"/>
    <cellStyle name="Обычный 5 5 21 2 3" xfId="25101"/>
    <cellStyle name="Обычный 5 5 21 2 3 2" xfId="54974"/>
    <cellStyle name="Обычный 5 5 21 2 4" xfId="54975"/>
    <cellStyle name="Обычный 5 5 21 3" xfId="25102"/>
    <cellStyle name="Обычный 5 5 21 3 2" xfId="25103"/>
    <cellStyle name="Обычный 5 5 21 3 2 2" xfId="25104"/>
    <cellStyle name="Обычный 5 5 21 3 2 2 2" xfId="54976"/>
    <cellStyle name="Обычный 5 5 21 3 2 3" xfId="54977"/>
    <cellStyle name="Обычный 5 5 21 3 3" xfId="25105"/>
    <cellStyle name="Обычный 5 5 21 3 3 2" xfId="54978"/>
    <cellStyle name="Обычный 5 5 21 3 4" xfId="54979"/>
    <cellStyle name="Обычный 5 5 21 4" xfId="25106"/>
    <cellStyle name="Обычный 5 5 21 4 2" xfId="25107"/>
    <cellStyle name="Обычный 5 5 21 4 2 2" xfId="25108"/>
    <cellStyle name="Обычный 5 5 21 4 2 2 2" xfId="54980"/>
    <cellStyle name="Обычный 5 5 21 4 2 3" xfId="54981"/>
    <cellStyle name="Обычный 5 5 21 4 3" xfId="25109"/>
    <cellStyle name="Обычный 5 5 21 4 3 2" xfId="54982"/>
    <cellStyle name="Обычный 5 5 21 4 4" xfId="54983"/>
    <cellStyle name="Обычный 5 5 21 5" xfId="25110"/>
    <cellStyle name="Обычный 5 5 21 5 2" xfId="25111"/>
    <cellStyle name="Обычный 5 5 21 5 2 2" xfId="54984"/>
    <cellStyle name="Обычный 5 5 21 5 3" xfId="54985"/>
    <cellStyle name="Обычный 5 5 21 6" xfId="25112"/>
    <cellStyle name="Обычный 5 5 21 6 2" xfId="54986"/>
    <cellStyle name="Обычный 5 5 21 7" xfId="25113"/>
    <cellStyle name="Обычный 5 5 21 7 2" xfId="54987"/>
    <cellStyle name="Обычный 5 5 21 8" xfId="54988"/>
    <cellStyle name="Обычный 5 5 22" xfId="25114"/>
    <cellStyle name="Обычный 5 5 22 2" xfId="25115"/>
    <cellStyle name="Обычный 5 5 22 2 2" xfId="25116"/>
    <cellStyle name="Обычный 5 5 22 2 2 2" xfId="25117"/>
    <cellStyle name="Обычный 5 5 22 2 2 2 2" xfId="54989"/>
    <cellStyle name="Обычный 5 5 22 2 2 3" xfId="54990"/>
    <cellStyle name="Обычный 5 5 22 2 3" xfId="25118"/>
    <cellStyle name="Обычный 5 5 22 2 3 2" xfId="54991"/>
    <cellStyle name="Обычный 5 5 22 2 4" xfId="54992"/>
    <cellStyle name="Обычный 5 5 22 3" xfId="25119"/>
    <cellStyle name="Обычный 5 5 22 3 2" xfId="25120"/>
    <cellStyle name="Обычный 5 5 22 3 2 2" xfId="25121"/>
    <cellStyle name="Обычный 5 5 22 3 2 2 2" xfId="54993"/>
    <cellStyle name="Обычный 5 5 22 3 2 3" xfId="54994"/>
    <cellStyle name="Обычный 5 5 22 3 3" xfId="25122"/>
    <cellStyle name="Обычный 5 5 22 3 3 2" xfId="54995"/>
    <cellStyle name="Обычный 5 5 22 3 4" xfId="54996"/>
    <cellStyle name="Обычный 5 5 22 4" xfId="25123"/>
    <cellStyle name="Обычный 5 5 22 4 2" xfId="25124"/>
    <cellStyle name="Обычный 5 5 22 4 2 2" xfId="25125"/>
    <cellStyle name="Обычный 5 5 22 4 2 2 2" xfId="54997"/>
    <cellStyle name="Обычный 5 5 22 4 2 3" xfId="54998"/>
    <cellStyle name="Обычный 5 5 22 4 3" xfId="25126"/>
    <cellStyle name="Обычный 5 5 22 4 3 2" xfId="54999"/>
    <cellStyle name="Обычный 5 5 22 4 4" xfId="55000"/>
    <cellStyle name="Обычный 5 5 22 5" xfId="25127"/>
    <cellStyle name="Обычный 5 5 22 5 2" xfId="25128"/>
    <cellStyle name="Обычный 5 5 22 5 2 2" xfId="55001"/>
    <cellStyle name="Обычный 5 5 22 5 3" xfId="55002"/>
    <cellStyle name="Обычный 5 5 22 6" xfId="25129"/>
    <cellStyle name="Обычный 5 5 22 6 2" xfId="55003"/>
    <cellStyle name="Обычный 5 5 22 7" xfId="25130"/>
    <cellStyle name="Обычный 5 5 22 7 2" xfId="55004"/>
    <cellStyle name="Обычный 5 5 22 8" xfId="55005"/>
    <cellStyle name="Обычный 5 5 23" xfId="25131"/>
    <cellStyle name="Обычный 5 5 23 2" xfId="25132"/>
    <cellStyle name="Обычный 5 5 23 2 2" xfId="25133"/>
    <cellStyle name="Обычный 5 5 23 2 2 2" xfId="25134"/>
    <cellStyle name="Обычный 5 5 23 2 2 2 2" xfId="55006"/>
    <cellStyle name="Обычный 5 5 23 2 2 3" xfId="55007"/>
    <cellStyle name="Обычный 5 5 23 2 3" xfId="25135"/>
    <cellStyle name="Обычный 5 5 23 2 3 2" xfId="55008"/>
    <cellStyle name="Обычный 5 5 23 2 4" xfId="55009"/>
    <cellStyle name="Обычный 5 5 23 3" xfId="25136"/>
    <cellStyle name="Обычный 5 5 23 3 2" xfId="25137"/>
    <cellStyle name="Обычный 5 5 23 3 2 2" xfId="25138"/>
    <cellStyle name="Обычный 5 5 23 3 2 2 2" xfId="55010"/>
    <cellStyle name="Обычный 5 5 23 3 2 3" xfId="55011"/>
    <cellStyle name="Обычный 5 5 23 3 3" xfId="25139"/>
    <cellStyle name="Обычный 5 5 23 3 3 2" xfId="55012"/>
    <cellStyle name="Обычный 5 5 23 3 4" xfId="55013"/>
    <cellStyle name="Обычный 5 5 23 4" xfId="25140"/>
    <cellStyle name="Обычный 5 5 23 4 2" xfId="25141"/>
    <cellStyle name="Обычный 5 5 23 4 2 2" xfId="25142"/>
    <cellStyle name="Обычный 5 5 23 4 2 2 2" xfId="55014"/>
    <cellStyle name="Обычный 5 5 23 4 2 3" xfId="55015"/>
    <cellStyle name="Обычный 5 5 23 4 3" xfId="25143"/>
    <cellStyle name="Обычный 5 5 23 4 3 2" xfId="55016"/>
    <cellStyle name="Обычный 5 5 23 4 4" xfId="55017"/>
    <cellStyle name="Обычный 5 5 23 5" xfId="25144"/>
    <cellStyle name="Обычный 5 5 23 5 2" xfId="25145"/>
    <cellStyle name="Обычный 5 5 23 5 2 2" xfId="55018"/>
    <cellStyle name="Обычный 5 5 23 5 3" xfId="55019"/>
    <cellStyle name="Обычный 5 5 23 6" xfId="25146"/>
    <cellStyle name="Обычный 5 5 23 6 2" xfId="55020"/>
    <cellStyle name="Обычный 5 5 23 7" xfId="25147"/>
    <cellStyle name="Обычный 5 5 23 7 2" xfId="55021"/>
    <cellStyle name="Обычный 5 5 23 8" xfId="55022"/>
    <cellStyle name="Обычный 5 5 24" xfId="25148"/>
    <cellStyle name="Обычный 5 5 24 2" xfId="25149"/>
    <cellStyle name="Обычный 5 5 24 2 2" xfId="25150"/>
    <cellStyle name="Обычный 5 5 24 2 2 2" xfId="25151"/>
    <cellStyle name="Обычный 5 5 24 2 2 2 2" xfId="55023"/>
    <cellStyle name="Обычный 5 5 24 2 2 3" xfId="55024"/>
    <cellStyle name="Обычный 5 5 24 2 3" xfId="25152"/>
    <cellStyle name="Обычный 5 5 24 2 3 2" xfId="55025"/>
    <cellStyle name="Обычный 5 5 24 2 4" xfId="55026"/>
    <cellStyle name="Обычный 5 5 24 3" xfId="25153"/>
    <cellStyle name="Обычный 5 5 24 3 2" xfId="25154"/>
    <cellStyle name="Обычный 5 5 24 3 2 2" xfId="25155"/>
    <cellStyle name="Обычный 5 5 24 3 2 2 2" xfId="55027"/>
    <cellStyle name="Обычный 5 5 24 3 2 3" xfId="55028"/>
    <cellStyle name="Обычный 5 5 24 3 3" xfId="25156"/>
    <cellStyle name="Обычный 5 5 24 3 3 2" xfId="55029"/>
    <cellStyle name="Обычный 5 5 24 3 4" xfId="55030"/>
    <cellStyle name="Обычный 5 5 24 4" xfId="25157"/>
    <cellStyle name="Обычный 5 5 24 4 2" xfId="25158"/>
    <cellStyle name="Обычный 5 5 24 4 2 2" xfId="25159"/>
    <cellStyle name="Обычный 5 5 24 4 2 2 2" xfId="55031"/>
    <cellStyle name="Обычный 5 5 24 4 2 3" xfId="55032"/>
    <cellStyle name="Обычный 5 5 24 4 3" xfId="25160"/>
    <cellStyle name="Обычный 5 5 24 4 3 2" xfId="55033"/>
    <cellStyle name="Обычный 5 5 24 4 4" xfId="55034"/>
    <cellStyle name="Обычный 5 5 24 5" xfId="25161"/>
    <cellStyle name="Обычный 5 5 24 5 2" xfId="25162"/>
    <cellStyle name="Обычный 5 5 24 5 2 2" xfId="55035"/>
    <cellStyle name="Обычный 5 5 24 5 3" xfId="55036"/>
    <cellStyle name="Обычный 5 5 24 6" xfId="25163"/>
    <cellStyle name="Обычный 5 5 24 6 2" xfId="55037"/>
    <cellStyle name="Обычный 5 5 24 7" xfId="25164"/>
    <cellStyle name="Обычный 5 5 24 7 2" xfId="55038"/>
    <cellStyle name="Обычный 5 5 24 8" xfId="55039"/>
    <cellStyle name="Обычный 5 5 25" xfId="25165"/>
    <cellStyle name="Обычный 5 5 25 2" xfId="25166"/>
    <cellStyle name="Обычный 5 5 25 2 2" xfId="25167"/>
    <cellStyle name="Обычный 5 5 25 2 2 2" xfId="25168"/>
    <cellStyle name="Обычный 5 5 25 2 2 2 2" xfId="55040"/>
    <cellStyle name="Обычный 5 5 25 2 2 3" xfId="55041"/>
    <cellStyle name="Обычный 5 5 25 2 3" xfId="25169"/>
    <cellStyle name="Обычный 5 5 25 2 3 2" xfId="55042"/>
    <cellStyle name="Обычный 5 5 25 2 4" xfId="55043"/>
    <cellStyle name="Обычный 5 5 25 3" xfId="25170"/>
    <cellStyle name="Обычный 5 5 25 3 2" xfId="25171"/>
    <cellStyle name="Обычный 5 5 25 3 2 2" xfId="25172"/>
    <cellStyle name="Обычный 5 5 25 3 2 2 2" xfId="55044"/>
    <cellStyle name="Обычный 5 5 25 3 2 3" xfId="55045"/>
    <cellStyle name="Обычный 5 5 25 3 3" xfId="25173"/>
    <cellStyle name="Обычный 5 5 25 3 3 2" xfId="55046"/>
    <cellStyle name="Обычный 5 5 25 3 4" xfId="55047"/>
    <cellStyle name="Обычный 5 5 25 4" xfId="25174"/>
    <cellStyle name="Обычный 5 5 25 4 2" xfId="25175"/>
    <cellStyle name="Обычный 5 5 25 4 2 2" xfId="25176"/>
    <cellStyle name="Обычный 5 5 25 4 2 2 2" xfId="55048"/>
    <cellStyle name="Обычный 5 5 25 4 2 3" xfId="55049"/>
    <cellStyle name="Обычный 5 5 25 4 3" xfId="25177"/>
    <cellStyle name="Обычный 5 5 25 4 3 2" xfId="55050"/>
    <cellStyle name="Обычный 5 5 25 4 4" xfId="55051"/>
    <cellStyle name="Обычный 5 5 25 5" xfId="25178"/>
    <cellStyle name="Обычный 5 5 25 5 2" xfId="25179"/>
    <cellStyle name="Обычный 5 5 25 5 2 2" xfId="55052"/>
    <cellStyle name="Обычный 5 5 25 5 3" xfId="55053"/>
    <cellStyle name="Обычный 5 5 25 6" xfId="25180"/>
    <cellStyle name="Обычный 5 5 25 6 2" xfId="55054"/>
    <cellStyle name="Обычный 5 5 25 7" xfId="25181"/>
    <cellStyle name="Обычный 5 5 25 7 2" xfId="55055"/>
    <cellStyle name="Обычный 5 5 25 8" xfId="55056"/>
    <cellStyle name="Обычный 5 5 26" xfId="25182"/>
    <cellStyle name="Обычный 5 5 26 2" xfId="25183"/>
    <cellStyle name="Обычный 5 5 26 2 2" xfId="25184"/>
    <cellStyle name="Обычный 5 5 26 2 2 2" xfId="25185"/>
    <cellStyle name="Обычный 5 5 26 2 2 2 2" xfId="55057"/>
    <cellStyle name="Обычный 5 5 26 2 2 3" xfId="55058"/>
    <cellStyle name="Обычный 5 5 26 2 3" xfId="25186"/>
    <cellStyle name="Обычный 5 5 26 2 3 2" xfId="55059"/>
    <cellStyle name="Обычный 5 5 26 2 4" xfId="55060"/>
    <cellStyle name="Обычный 5 5 26 3" xfId="25187"/>
    <cellStyle name="Обычный 5 5 26 3 2" xfId="25188"/>
    <cellStyle name="Обычный 5 5 26 3 2 2" xfId="25189"/>
    <cellStyle name="Обычный 5 5 26 3 2 2 2" xfId="55061"/>
    <cellStyle name="Обычный 5 5 26 3 2 3" xfId="55062"/>
    <cellStyle name="Обычный 5 5 26 3 3" xfId="25190"/>
    <cellStyle name="Обычный 5 5 26 3 3 2" xfId="55063"/>
    <cellStyle name="Обычный 5 5 26 3 4" xfId="55064"/>
    <cellStyle name="Обычный 5 5 26 4" xfId="25191"/>
    <cellStyle name="Обычный 5 5 26 4 2" xfId="25192"/>
    <cellStyle name="Обычный 5 5 26 4 2 2" xfId="25193"/>
    <cellStyle name="Обычный 5 5 26 4 2 2 2" xfId="55065"/>
    <cellStyle name="Обычный 5 5 26 4 2 3" xfId="55066"/>
    <cellStyle name="Обычный 5 5 26 4 3" xfId="25194"/>
    <cellStyle name="Обычный 5 5 26 4 3 2" xfId="55067"/>
    <cellStyle name="Обычный 5 5 26 4 4" xfId="55068"/>
    <cellStyle name="Обычный 5 5 26 5" xfId="25195"/>
    <cellStyle name="Обычный 5 5 26 5 2" xfId="25196"/>
    <cellStyle name="Обычный 5 5 26 5 2 2" xfId="55069"/>
    <cellStyle name="Обычный 5 5 26 5 3" xfId="55070"/>
    <cellStyle name="Обычный 5 5 26 6" xfId="25197"/>
    <cellStyle name="Обычный 5 5 26 6 2" xfId="55071"/>
    <cellStyle name="Обычный 5 5 26 7" xfId="25198"/>
    <cellStyle name="Обычный 5 5 26 7 2" xfId="55072"/>
    <cellStyle name="Обычный 5 5 26 8" xfId="55073"/>
    <cellStyle name="Обычный 5 5 27" xfId="25199"/>
    <cellStyle name="Обычный 5 5 27 2" xfId="25200"/>
    <cellStyle name="Обычный 5 5 27 2 2" xfId="25201"/>
    <cellStyle name="Обычный 5 5 27 2 2 2" xfId="25202"/>
    <cellStyle name="Обычный 5 5 27 2 2 2 2" xfId="55074"/>
    <cellStyle name="Обычный 5 5 27 2 2 3" xfId="55075"/>
    <cellStyle name="Обычный 5 5 27 2 3" xfId="25203"/>
    <cellStyle name="Обычный 5 5 27 2 3 2" xfId="55076"/>
    <cellStyle name="Обычный 5 5 27 2 4" xfId="55077"/>
    <cellStyle name="Обычный 5 5 27 3" xfId="25204"/>
    <cellStyle name="Обычный 5 5 27 3 2" xfId="25205"/>
    <cellStyle name="Обычный 5 5 27 3 2 2" xfId="25206"/>
    <cellStyle name="Обычный 5 5 27 3 2 2 2" xfId="55078"/>
    <cellStyle name="Обычный 5 5 27 3 2 3" xfId="55079"/>
    <cellStyle name="Обычный 5 5 27 3 3" xfId="25207"/>
    <cellStyle name="Обычный 5 5 27 3 3 2" xfId="55080"/>
    <cellStyle name="Обычный 5 5 27 3 4" xfId="55081"/>
    <cellStyle name="Обычный 5 5 27 4" xfId="25208"/>
    <cellStyle name="Обычный 5 5 27 4 2" xfId="25209"/>
    <cellStyle name="Обычный 5 5 27 4 2 2" xfId="25210"/>
    <cellStyle name="Обычный 5 5 27 4 2 2 2" xfId="55082"/>
    <cellStyle name="Обычный 5 5 27 4 2 3" xfId="55083"/>
    <cellStyle name="Обычный 5 5 27 4 3" xfId="25211"/>
    <cellStyle name="Обычный 5 5 27 4 3 2" xfId="55084"/>
    <cellStyle name="Обычный 5 5 27 4 4" xfId="55085"/>
    <cellStyle name="Обычный 5 5 27 5" xfId="25212"/>
    <cellStyle name="Обычный 5 5 27 5 2" xfId="25213"/>
    <cellStyle name="Обычный 5 5 27 5 2 2" xfId="55086"/>
    <cellStyle name="Обычный 5 5 27 5 3" xfId="55087"/>
    <cellStyle name="Обычный 5 5 27 6" xfId="25214"/>
    <cellStyle name="Обычный 5 5 27 6 2" xfId="55088"/>
    <cellStyle name="Обычный 5 5 27 7" xfId="25215"/>
    <cellStyle name="Обычный 5 5 27 7 2" xfId="55089"/>
    <cellStyle name="Обычный 5 5 27 8" xfId="55090"/>
    <cellStyle name="Обычный 5 5 28" xfId="25216"/>
    <cellStyle name="Обычный 5 5 28 2" xfId="25217"/>
    <cellStyle name="Обычный 5 5 28 2 2" xfId="25218"/>
    <cellStyle name="Обычный 5 5 28 2 2 2" xfId="25219"/>
    <cellStyle name="Обычный 5 5 28 2 2 2 2" xfId="55091"/>
    <cellStyle name="Обычный 5 5 28 2 2 3" xfId="55092"/>
    <cellStyle name="Обычный 5 5 28 2 3" xfId="25220"/>
    <cellStyle name="Обычный 5 5 28 2 3 2" xfId="55093"/>
    <cellStyle name="Обычный 5 5 28 2 4" xfId="55094"/>
    <cellStyle name="Обычный 5 5 28 3" xfId="25221"/>
    <cellStyle name="Обычный 5 5 28 3 2" xfId="25222"/>
    <cellStyle name="Обычный 5 5 28 3 2 2" xfId="25223"/>
    <cellStyle name="Обычный 5 5 28 3 2 2 2" xfId="55095"/>
    <cellStyle name="Обычный 5 5 28 3 2 3" xfId="55096"/>
    <cellStyle name="Обычный 5 5 28 3 3" xfId="25224"/>
    <cellStyle name="Обычный 5 5 28 3 3 2" xfId="55097"/>
    <cellStyle name="Обычный 5 5 28 3 4" xfId="55098"/>
    <cellStyle name="Обычный 5 5 28 4" xfId="25225"/>
    <cellStyle name="Обычный 5 5 28 4 2" xfId="25226"/>
    <cellStyle name="Обычный 5 5 28 4 2 2" xfId="25227"/>
    <cellStyle name="Обычный 5 5 28 4 2 2 2" xfId="55099"/>
    <cellStyle name="Обычный 5 5 28 4 2 3" xfId="55100"/>
    <cellStyle name="Обычный 5 5 28 4 3" xfId="25228"/>
    <cellStyle name="Обычный 5 5 28 4 3 2" xfId="55101"/>
    <cellStyle name="Обычный 5 5 28 4 4" xfId="55102"/>
    <cellStyle name="Обычный 5 5 28 5" xfId="25229"/>
    <cellStyle name="Обычный 5 5 28 5 2" xfId="25230"/>
    <cellStyle name="Обычный 5 5 28 5 2 2" xfId="55103"/>
    <cellStyle name="Обычный 5 5 28 5 3" xfId="55104"/>
    <cellStyle name="Обычный 5 5 28 6" xfId="25231"/>
    <cellStyle name="Обычный 5 5 28 6 2" xfId="55105"/>
    <cellStyle name="Обычный 5 5 28 7" xfId="25232"/>
    <cellStyle name="Обычный 5 5 28 7 2" xfId="55106"/>
    <cellStyle name="Обычный 5 5 28 8" xfId="55107"/>
    <cellStyle name="Обычный 5 5 29" xfId="25233"/>
    <cellStyle name="Обычный 5 5 29 2" xfId="25234"/>
    <cellStyle name="Обычный 5 5 29 2 2" xfId="25235"/>
    <cellStyle name="Обычный 5 5 29 2 2 2" xfId="25236"/>
    <cellStyle name="Обычный 5 5 29 2 2 2 2" xfId="55108"/>
    <cellStyle name="Обычный 5 5 29 2 2 3" xfId="55109"/>
    <cellStyle name="Обычный 5 5 29 2 3" xfId="25237"/>
    <cellStyle name="Обычный 5 5 29 2 3 2" xfId="55110"/>
    <cellStyle name="Обычный 5 5 29 2 4" xfId="55111"/>
    <cellStyle name="Обычный 5 5 29 3" xfId="25238"/>
    <cellStyle name="Обычный 5 5 29 3 2" xfId="25239"/>
    <cellStyle name="Обычный 5 5 29 3 2 2" xfId="25240"/>
    <cellStyle name="Обычный 5 5 29 3 2 2 2" xfId="55112"/>
    <cellStyle name="Обычный 5 5 29 3 2 3" xfId="55113"/>
    <cellStyle name="Обычный 5 5 29 3 3" xfId="25241"/>
    <cellStyle name="Обычный 5 5 29 3 3 2" xfId="55114"/>
    <cellStyle name="Обычный 5 5 29 3 4" xfId="55115"/>
    <cellStyle name="Обычный 5 5 29 4" xfId="25242"/>
    <cellStyle name="Обычный 5 5 29 4 2" xfId="25243"/>
    <cellStyle name="Обычный 5 5 29 4 2 2" xfId="25244"/>
    <cellStyle name="Обычный 5 5 29 4 2 2 2" xfId="55116"/>
    <cellStyle name="Обычный 5 5 29 4 2 3" xfId="55117"/>
    <cellStyle name="Обычный 5 5 29 4 3" xfId="25245"/>
    <cellStyle name="Обычный 5 5 29 4 3 2" xfId="55118"/>
    <cellStyle name="Обычный 5 5 29 4 4" xfId="55119"/>
    <cellStyle name="Обычный 5 5 29 5" xfId="25246"/>
    <cellStyle name="Обычный 5 5 29 5 2" xfId="25247"/>
    <cellStyle name="Обычный 5 5 29 5 2 2" xfId="55120"/>
    <cellStyle name="Обычный 5 5 29 5 3" xfId="55121"/>
    <cellStyle name="Обычный 5 5 29 6" xfId="25248"/>
    <cellStyle name="Обычный 5 5 29 6 2" xfId="55122"/>
    <cellStyle name="Обычный 5 5 29 7" xfId="25249"/>
    <cellStyle name="Обычный 5 5 29 7 2" xfId="55123"/>
    <cellStyle name="Обычный 5 5 29 8" xfId="55124"/>
    <cellStyle name="Обычный 5 5 3" xfId="25250"/>
    <cellStyle name="Обычный 5 5 3 2" xfId="25251"/>
    <cellStyle name="Обычный 5 5 3 2 2" xfId="25252"/>
    <cellStyle name="Обычный 5 5 3 2 2 2" xfId="25253"/>
    <cellStyle name="Обычный 5 5 3 2 2 2 2" xfId="55125"/>
    <cellStyle name="Обычный 5 5 3 2 2 3" xfId="55126"/>
    <cellStyle name="Обычный 5 5 3 2 3" xfId="25254"/>
    <cellStyle name="Обычный 5 5 3 2 3 2" xfId="55127"/>
    <cellStyle name="Обычный 5 5 3 2 4" xfId="55128"/>
    <cellStyle name="Обычный 5 5 3 3" xfId="25255"/>
    <cellStyle name="Обычный 5 5 3 3 2" xfId="25256"/>
    <cellStyle name="Обычный 5 5 3 3 2 2" xfId="25257"/>
    <cellStyle name="Обычный 5 5 3 3 2 2 2" xfId="55129"/>
    <cellStyle name="Обычный 5 5 3 3 2 3" xfId="55130"/>
    <cellStyle name="Обычный 5 5 3 3 3" xfId="25258"/>
    <cellStyle name="Обычный 5 5 3 3 3 2" xfId="55131"/>
    <cellStyle name="Обычный 5 5 3 3 4" xfId="55132"/>
    <cellStyle name="Обычный 5 5 3 4" xfId="25259"/>
    <cellStyle name="Обычный 5 5 3 4 2" xfId="25260"/>
    <cellStyle name="Обычный 5 5 3 4 2 2" xfId="25261"/>
    <cellStyle name="Обычный 5 5 3 4 2 2 2" xfId="55133"/>
    <cellStyle name="Обычный 5 5 3 4 2 3" xfId="55134"/>
    <cellStyle name="Обычный 5 5 3 4 3" xfId="25262"/>
    <cellStyle name="Обычный 5 5 3 4 3 2" xfId="55135"/>
    <cellStyle name="Обычный 5 5 3 4 4" xfId="55136"/>
    <cellStyle name="Обычный 5 5 3 5" xfId="25263"/>
    <cellStyle name="Обычный 5 5 3 5 2" xfId="25264"/>
    <cellStyle name="Обычный 5 5 3 5 2 2" xfId="55137"/>
    <cellStyle name="Обычный 5 5 3 5 3" xfId="55138"/>
    <cellStyle name="Обычный 5 5 3 6" xfId="25265"/>
    <cellStyle name="Обычный 5 5 3 6 2" xfId="55139"/>
    <cellStyle name="Обычный 5 5 3 7" xfId="25266"/>
    <cellStyle name="Обычный 5 5 3 7 2" xfId="55140"/>
    <cellStyle name="Обычный 5 5 3 8" xfId="55141"/>
    <cellStyle name="Обычный 5 5 30" xfId="25267"/>
    <cellStyle name="Обычный 5 5 30 2" xfId="55142"/>
    <cellStyle name="Обычный 5 5 31" xfId="25268"/>
    <cellStyle name="Обычный 5 5 31 2" xfId="25269"/>
    <cellStyle name="Обычный 5 5 31 2 2" xfId="25270"/>
    <cellStyle name="Обычный 5 5 31 2 2 2" xfId="55143"/>
    <cellStyle name="Обычный 5 5 31 2 3" xfId="55144"/>
    <cellStyle name="Обычный 5 5 31 3" xfId="25271"/>
    <cellStyle name="Обычный 5 5 31 3 2" xfId="55145"/>
    <cellStyle name="Обычный 5 5 31 4" xfId="55146"/>
    <cellStyle name="Обычный 5 5 32" xfId="25272"/>
    <cellStyle name="Обычный 5 5 32 2" xfId="25273"/>
    <cellStyle name="Обычный 5 5 32 2 2" xfId="25274"/>
    <cellStyle name="Обычный 5 5 32 2 2 2" xfId="55147"/>
    <cellStyle name="Обычный 5 5 32 2 3" xfId="55148"/>
    <cellStyle name="Обычный 5 5 32 3" xfId="25275"/>
    <cellStyle name="Обычный 5 5 32 3 2" xfId="55149"/>
    <cellStyle name="Обычный 5 5 32 4" xfId="55150"/>
    <cellStyle name="Обычный 5 5 33" xfId="25276"/>
    <cellStyle name="Обычный 5 5 33 2" xfId="25277"/>
    <cellStyle name="Обычный 5 5 33 2 2" xfId="25278"/>
    <cellStyle name="Обычный 5 5 33 2 2 2" xfId="55151"/>
    <cellStyle name="Обычный 5 5 33 2 3" xfId="55152"/>
    <cellStyle name="Обычный 5 5 33 3" xfId="25279"/>
    <cellStyle name="Обычный 5 5 33 3 2" xfId="55153"/>
    <cellStyle name="Обычный 5 5 33 4" xfId="55154"/>
    <cellStyle name="Обычный 5 5 34" xfId="25280"/>
    <cellStyle name="Обычный 5 5 34 2" xfId="25281"/>
    <cellStyle name="Обычный 5 5 34 2 2" xfId="25282"/>
    <cellStyle name="Обычный 5 5 34 2 2 2" xfId="55155"/>
    <cellStyle name="Обычный 5 5 34 2 3" xfId="55156"/>
    <cellStyle name="Обычный 5 5 34 3" xfId="25283"/>
    <cellStyle name="Обычный 5 5 34 3 2" xfId="55157"/>
    <cellStyle name="Обычный 5 5 34 4" xfId="55158"/>
    <cellStyle name="Обычный 5 5 35" xfId="25284"/>
    <cellStyle name="Обычный 5 5 35 2" xfId="25285"/>
    <cellStyle name="Обычный 5 5 35 2 2" xfId="55159"/>
    <cellStyle name="Обычный 5 5 35 3" xfId="55160"/>
    <cellStyle name="Обычный 5 5 36" xfId="25286"/>
    <cellStyle name="Обычный 5 5 36 2" xfId="55161"/>
    <cellStyle name="Обычный 5 5 37" xfId="25287"/>
    <cellStyle name="Обычный 5 5 37 2" xfId="55162"/>
    <cellStyle name="Обычный 5 5 38" xfId="55163"/>
    <cellStyle name="Обычный 5 5 4" xfId="25288"/>
    <cellStyle name="Обычный 5 5 4 2" xfId="25289"/>
    <cellStyle name="Обычный 5 5 4 2 2" xfId="25290"/>
    <cellStyle name="Обычный 5 5 4 2 2 2" xfId="25291"/>
    <cellStyle name="Обычный 5 5 4 2 2 2 2" xfId="55164"/>
    <cellStyle name="Обычный 5 5 4 2 2 3" xfId="55165"/>
    <cellStyle name="Обычный 5 5 4 2 3" xfId="25292"/>
    <cellStyle name="Обычный 5 5 4 2 3 2" xfId="55166"/>
    <cellStyle name="Обычный 5 5 4 2 4" xfId="55167"/>
    <cellStyle name="Обычный 5 5 4 3" xfId="25293"/>
    <cellStyle name="Обычный 5 5 4 3 2" xfId="25294"/>
    <cellStyle name="Обычный 5 5 4 3 2 2" xfId="25295"/>
    <cellStyle name="Обычный 5 5 4 3 2 2 2" xfId="55168"/>
    <cellStyle name="Обычный 5 5 4 3 2 3" xfId="55169"/>
    <cellStyle name="Обычный 5 5 4 3 3" xfId="25296"/>
    <cellStyle name="Обычный 5 5 4 3 3 2" xfId="55170"/>
    <cellStyle name="Обычный 5 5 4 3 4" xfId="55171"/>
    <cellStyle name="Обычный 5 5 4 4" xfId="25297"/>
    <cellStyle name="Обычный 5 5 4 4 2" xfId="25298"/>
    <cellStyle name="Обычный 5 5 4 4 2 2" xfId="25299"/>
    <cellStyle name="Обычный 5 5 4 4 2 2 2" xfId="55172"/>
    <cellStyle name="Обычный 5 5 4 4 2 3" xfId="55173"/>
    <cellStyle name="Обычный 5 5 4 4 3" xfId="25300"/>
    <cellStyle name="Обычный 5 5 4 4 3 2" xfId="55174"/>
    <cellStyle name="Обычный 5 5 4 4 4" xfId="55175"/>
    <cellStyle name="Обычный 5 5 4 5" xfId="25301"/>
    <cellStyle name="Обычный 5 5 4 5 2" xfId="25302"/>
    <cellStyle name="Обычный 5 5 4 5 2 2" xfId="55176"/>
    <cellStyle name="Обычный 5 5 4 5 3" xfId="55177"/>
    <cellStyle name="Обычный 5 5 4 6" xfId="25303"/>
    <cellStyle name="Обычный 5 5 4 6 2" xfId="55178"/>
    <cellStyle name="Обычный 5 5 4 7" xfId="25304"/>
    <cellStyle name="Обычный 5 5 4 7 2" xfId="55179"/>
    <cellStyle name="Обычный 5 5 4 8" xfId="55180"/>
    <cellStyle name="Обычный 5 5 5" xfId="25305"/>
    <cellStyle name="Обычный 5 5 5 2" xfId="25306"/>
    <cellStyle name="Обычный 5 5 5 2 2" xfId="25307"/>
    <cellStyle name="Обычный 5 5 5 2 2 2" xfId="25308"/>
    <cellStyle name="Обычный 5 5 5 2 2 2 2" xfId="55181"/>
    <cellStyle name="Обычный 5 5 5 2 2 3" xfId="55182"/>
    <cellStyle name="Обычный 5 5 5 2 3" xfId="25309"/>
    <cellStyle name="Обычный 5 5 5 2 3 2" xfId="55183"/>
    <cellStyle name="Обычный 5 5 5 2 4" xfId="55184"/>
    <cellStyle name="Обычный 5 5 5 3" xfId="25310"/>
    <cellStyle name="Обычный 5 5 5 3 2" xfId="25311"/>
    <cellStyle name="Обычный 5 5 5 3 2 2" xfId="25312"/>
    <cellStyle name="Обычный 5 5 5 3 2 2 2" xfId="55185"/>
    <cellStyle name="Обычный 5 5 5 3 2 3" xfId="55186"/>
    <cellStyle name="Обычный 5 5 5 3 3" xfId="25313"/>
    <cellStyle name="Обычный 5 5 5 3 3 2" xfId="55187"/>
    <cellStyle name="Обычный 5 5 5 3 4" xfId="55188"/>
    <cellStyle name="Обычный 5 5 5 4" xfId="25314"/>
    <cellStyle name="Обычный 5 5 5 4 2" xfId="25315"/>
    <cellStyle name="Обычный 5 5 5 4 2 2" xfId="25316"/>
    <cellStyle name="Обычный 5 5 5 4 2 2 2" xfId="55189"/>
    <cellStyle name="Обычный 5 5 5 4 2 3" xfId="55190"/>
    <cellStyle name="Обычный 5 5 5 4 3" xfId="25317"/>
    <cellStyle name="Обычный 5 5 5 4 3 2" xfId="55191"/>
    <cellStyle name="Обычный 5 5 5 4 4" xfId="55192"/>
    <cellStyle name="Обычный 5 5 5 5" xfId="25318"/>
    <cellStyle name="Обычный 5 5 5 5 2" xfId="25319"/>
    <cellStyle name="Обычный 5 5 5 5 2 2" xfId="55193"/>
    <cellStyle name="Обычный 5 5 5 5 3" xfId="55194"/>
    <cellStyle name="Обычный 5 5 5 6" xfId="25320"/>
    <cellStyle name="Обычный 5 5 5 6 2" xfId="55195"/>
    <cellStyle name="Обычный 5 5 5 7" xfId="25321"/>
    <cellStyle name="Обычный 5 5 5 7 2" xfId="55196"/>
    <cellStyle name="Обычный 5 5 5 8" xfId="55197"/>
    <cellStyle name="Обычный 5 5 6" xfId="25322"/>
    <cellStyle name="Обычный 5 5 6 2" xfId="25323"/>
    <cellStyle name="Обычный 5 5 6 2 2" xfId="25324"/>
    <cellStyle name="Обычный 5 5 6 2 2 2" xfId="25325"/>
    <cellStyle name="Обычный 5 5 6 2 2 2 2" xfId="55198"/>
    <cellStyle name="Обычный 5 5 6 2 2 3" xfId="55199"/>
    <cellStyle name="Обычный 5 5 6 2 3" xfId="25326"/>
    <cellStyle name="Обычный 5 5 6 2 3 2" xfId="55200"/>
    <cellStyle name="Обычный 5 5 6 2 4" xfId="55201"/>
    <cellStyle name="Обычный 5 5 6 3" xfId="25327"/>
    <cellStyle name="Обычный 5 5 6 3 2" xfId="25328"/>
    <cellStyle name="Обычный 5 5 6 3 2 2" xfId="25329"/>
    <cellStyle name="Обычный 5 5 6 3 2 2 2" xfId="55202"/>
    <cellStyle name="Обычный 5 5 6 3 2 3" xfId="55203"/>
    <cellStyle name="Обычный 5 5 6 3 3" xfId="25330"/>
    <cellStyle name="Обычный 5 5 6 3 3 2" xfId="55204"/>
    <cellStyle name="Обычный 5 5 6 3 4" xfId="55205"/>
    <cellStyle name="Обычный 5 5 6 4" xfId="25331"/>
    <cellStyle name="Обычный 5 5 6 4 2" xfId="25332"/>
    <cellStyle name="Обычный 5 5 6 4 2 2" xfId="25333"/>
    <cellStyle name="Обычный 5 5 6 4 2 2 2" xfId="55206"/>
    <cellStyle name="Обычный 5 5 6 4 2 3" xfId="55207"/>
    <cellStyle name="Обычный 5 5 6 4 3" xfId="25334"/>
    <cellStyle name="Обычный 5 5 6 4 3 2" xfId="55208"/>
    <cellStyle name="Обычный 5 5 6 4 4" xfId="55209"/>
    <cellStyle name="Обычный 5 5 6 5" xfId="25335"/>
    <cellStyle name="Обычный 5 5 6 5 2" xfId="25336"/>
    <cellStyle name="Обычный 5 5 6 5 2 2" xfId="55210"/>
    <cellStyle name="Обычный 5 5 6 5 3" xfId="55211"/>
    <cellStyle name="Обычный 5 5 6 6" xfId="25337"/>
    <cellStyle name="Обычный 5 5 6 6 2" xfId="55212"/>
    <cellStyle name="Обычный 5 5 6 7" xfId="25338"/>
    <cellStyle name="Обычный 5 5 6 7 2" xfId="55213"/>
    <cellStyle name="Обычный 5 5 6 8" xfId="55214"/>
    <cellStyle name="Обычный 5 5 7" xfId="25339"/>
    <cellStyle name="Обычный 5 5 7 2" xfId="25340"/>
    <cellStyle name="Обычный 5 5 7 2 2" xfId="25341"/>
    <cellStyle name="Обычный 5 5 7 2 2 2" xfId="25342"/>
    <cellStyle name="Обычный 5 5 7 2 2 2 2" xfId="55215"/>
    <cellStyle name="Обычный 5 5 7 2 2 3" xfId="55216"/>
    <cellStyle name="Обычный 5 5 7 2 3" xfId="25343"/>
    <cellStyle name="Обычный 5 5 7 2 3 2" xfId="55217"/>
    <cellStyle name="Обычный 5 5 7 2 4" xfId="55218"/>
    <cellStyle name="Обычный 5 5 7 3" xfId="25344"/>
    <cellStyle name="Обычный 5 5 7 3 2" xfId="25345"/>
    <cellStyle name="Обычный 5 5 7 3 2 2" xfId="25346"/>
    <cellStyle name="Обычный 5 5 7 3 2 2 2" xfId="55219"/>
    <cellStyle name="Обычный 5 5 7 3 2 3" xfId="55220"/>
    <cellStyle name="Обычный 5 5 7 3 3" xfId="25347"/>
    <cellStyle name="Обычный 5 5 7 3 3 2" xfId="55221"/>
    <cellStyle name="Обычный 5 5 7 3 4" xfId="55222"/>
    <cellStyle name="Обычный 5 5 7 4" xfId="25348"/>
    <cellStyle name="Обычный 5 5 7 4 2" xfId="25349"/>
    <cellStyle name="Обычный 5 5 7 4 2 2" xfId="25350"/>
    <cellStyle name="Обычный 5 5 7 4 2 2 2" xfId="55223"/>
    <cellStyle name="Обычный 5 5 7 4 2 3" xfId="55224"/>
    <cellStyle name="Обычный 5 5 7 4 3" xfId="25351"/>
    <cellStyle name="Обычный 5 5 7 4 3 2" xfId="55225"/>
    <cellStyle name="Обычный 5 5 7 4 4" xfId="55226"/>
    <cellStyle name="Обычный 5 5 7 5" xfId="25352"/>
    <cellStyle name="Обычный 5 5 7 5 2" xfId="25353"/>
    <cellStyle name="Обычный 5 5 7 5 2 2" xfId="55227"/>
    <cellStyle name="Обычный 5 5 7 5 3" xfId="55228"/>
    <cellStyle name="Обычный 5 5 7 6" xfId="25354"/>
    <cellStyle name="Обычный 5 5 7 6 2" xfId="55229"/>
    <cellStyle name="Обычный 5 5 7 7" xfId="25355"/>
    <cellStyle name="Обычный 5 5 7 7 2" xfId="55230"/>
    <cellStyle name="Обычный 5 5 7 8" xfId="55231"/>
    <cellStyle name="Обычный 5 5 8" xfId="25356"/>
    <cellStyle name="Обычный 5 5 8 2" xfId="25357"/>
    <cellStyle name="Обычный 5 5 8 2 2" xfId="25358"/>
    <cellStyle name="Обычный 5 5 8 2 2 2" xfId="25359"/>
    <cellStyle name="Обычный 5 5 8 2 2 2 2" xfId="55232"/>
    <cellStyle name="Обычный 5 5 8 2 2 3" xfId="55233"/>
    <cellStyle name="Обычный 5 5 8 2 3" xfId="25360"/>
    <cellStyle name="Обычный 5 5 8 2 3 2" xfId="55234"/>
    <cellStyle name="Обычный 5 5 8 2 4" xfId="55235"/>
    <cellStyle name="Обычный 5 5 8 3" xfId="25361"/>
    <cellStyle name="Обычный 5 5 8 3 2" xfId="25362"/>
    <cellStyle name="Обычный 5 5 8 3 2 2" xfId="25363"/>
    <cellStyle name="Обычный 5 5 8 3 2 2 2" xfId="55236"/>
    <cellStyle name="Обычный 5 5 8 3 2 3" xfId="55237"/>
    <cellStyle name="Обычный 5 5 8 3 3" xfId="25364"/>
    <cellStyle name="Обычный 5 5 8 3 3 2" xfId="55238"/>
    <cellStyle name="Обычный 5 5 8 3 4" xfId="55239"/>
    <cellStyle name="Обычный 5 5 8 4" xfId="25365"/>
    <cellStyle name="Обычный 5 5 8 4 2" xfId="25366"/>
    <cellStyle name="Обычный 5 5 8 4 2 2" xfId="25367"/>
    <cellStyle name="Обычный 5 5 8 4 2 2 2" xfId="55240"/>
    <cellStyle name="Обычный 5 5 8 4 2 3" xfId="55241"/>
    <cellStyle name="Обычный 5 5 8 4 3" xfId="25368"/>
    <cellStyle name="Обычный 5 5 8 4 3 2" xfId="55242"/>
    <cellStyle name="Обычный 5 5 8 4 4" xfId="55243"/>
    <cellStyle name="Обычный 5 5 8 5" xfId="25369"/>
    <cellStyle name="Обычный 5 5 8 5 2" xfId="25370"/>
    <cellStyle name="Обычный 5 5 8 5 2 2" xfId="55244"/>
    <cellStyle name="Обычный 5 5 8 5 3" xfId="55245"/>
    <cellStyle name="Обычный 5 5 8 6" xfId="25371"/>
    <cellStyle name="Обычный 5 5 8 6 2" xfId="55246"/>
    <cellStyle name="Обычный 5 5 8 7" xfId="25372"/>
    <cellStyle name="Обычный 5 5 8 7 2" xfId="55247"/>
    <cellStyle name="Обычный 5 5 8 8" xfId="55248"/>
    <cellStyle name="Обычный 5 5 9" xfId="25373"/>
    <cellStyle name="Обычный 5 5 9 2" xfId="25374"/>
    <cellStyle name="Обычный 5 5 9 2 2" xfId="25375"/>
    <cellStyle name="Обычный 5 5 9 2 2 2" xfId="25376"/>
    <cellStyle name="Обычный 5 5 9 2 2 2 2" xfId="55249"/>
    <cellStyle name="Обычный 5 5 9 2 2 3" xfId="55250"/>
    <cellStyle name="Обычный 5 5 9 2 3" xfId="25377"/>
    <cellStyle name="Обычный 5 5 9 2 3 2" xfId="55251"/>
    <cellStyle name="Обычный 5 5 9 2 4" xfId="55252"/>
    <cellStyle name="Обычный 5 5 9 3" xfId="25378"/>
    <cellStyle name="Обычный 5 5 9 3 2" xfId="25379"/>
    <cellStyle name="Обычный 5 5 9 3 2 2" xfId="25380"/>
    <cellStyle name="Обычный 5 5 9 3 2 2 2" xfId="55253"/>
    <cellStyle name="Обычный 5 5 9 3 2 3" xfId="55254"/>
    <cellStyle name="Обычный 5 5 9 3 3" xfId="25381"/>
    <cellStyle name="Обычный 5 5 9 3 3 2" xfId="55255"/>
    <cellStyle name="Обычный 5 5 9 3 4" xfId="55256"/>
    <cellStyle name="Обычный 5 5 9 4" xfId="25382"/>
    <cellStyle name="Обычный 5 5 9 4 2" xfId="25383"/>
    <cellStyle name="Обычный 5 5 9 4 2 2" xfId="25384"/>
    <cellStyle name="Обычный 5 5 9 4 2 2 2" xfId="55257"/>
    <cellStyle name="Обычный 5 5 9 4 2 3" xfId="55258"/>
    <cellStyle name="Обычный 5 5 9 4 3" xfId="25385"/>
    <cellStyle name="Обычный 5 5 9 4 3 2" xfId="55259"/>
    <cellStyle name="Обычный 5 5 9 4 4" xfId="55260"/>
    <cellStyle name="Обычный 5 5 9 5" xfId="25386"/>
    <cellStyle name="Обычный 5 5 9 5 2" xfId="25387"/>
    <cellStyle name="Обычный 5 5 9 5 2 2" xfId="55261"/>
    <cellStyle name="Обычный 5 5 9 5 3" xfId="55262"/>
    <cellStyle name="Обычный 5 5 9 6" xfId="25388"/>
    <cellStyle name="Обычный 5 5 9 6 2" xfId="55263"/>
    <cellStyle name="Обычный 5 5 9 7" xfId="25389"/>
    <cellStyle name="Обычный 5 5 9 7 2" xfId="55264"/>
    <cellStyle name="Обычный 5 5 9 8" xfId="55265"/>
    <cellStyle name="Обычный 5 50" xfId="25390"/>
    <cellStyle name="Обычный 5 50 2" xfId="25391"/>
    <cellStyle name="Обычный 5 50 2 2" xfId="25392"/>
    <cellStyle name="Обычный 5 50 2 2 2" xfId="25393"/>
    <cellStyle name="Обычный 5 50 2 2 2 2" xfId="55266"/>
    <cellStyle name="Обычный 5 50 2 2 3" xfId="55267"/>
    <cellStyle name="Обычный 5 50 2 3" xfId="25394"/>
    <cellStyle name="Обычный 5 50 2 3 2" xfId="55268"/>
    <cellStyle name="Обычный 5 50 2 4" xfId="55269"/>
    <cellStyle name="Обычный 5 50 3" xfId="25395"/>
    <cellStyle name="Обычный 5 50 3 2" xfId="25396"/>
    <cellStyle name="Обычный 5 50 3 2 2" xfId="25397"/>
    <cellStyle name="Обычный 5 50 3 2 2 2" xfId="55270"/>
    <cellStyle name="Обычный 5 50 3 2 3" xfId="55271"/>
    <cellStyle name="Обычный 5 50 3 3" xfId="25398"/>
    <cellStyle name="Обычный 5 50 3 3 2" xfId="55272"/>
    <cellStyle name="Обычный 5 50 3 4" xfId="55273"/>
    <cellStyle name="Обычный 5 50 4" xfId="25399"/>
    <cellStyle name="Обычный 5 50 4 2" xfId="25400"/>
    <cellStyle name="Обычный 5 50 4 2 2" xfId="25401"/>
    <cellStyle name="Обычный 5 50 4 2 2 2" xfId="55274"/>
    <cellStyle name="Обычный 5 50 4 2 3" xfId="55275"/>
    <cellStyle name="Обычный 5 50 4 3" xfId="25402"/>
    <cellStyle name="Обычный 5 50 4 3 2" xfId="55276"/>
    <cellStyle name="Обычный 5 50 4 4" xfId="55277"/>
    <cellStyle name="Обычный 5 50 5" xfId="25403"/>
    <cellStyle name="Обычный 5 50 5 2" xfId="25404"/>
    <cellStyle name="Обычный 5 50 5 2 2" xfId="55278"/>
    <cellStyle name="Обычный 5 50 5 3" xfId="55279"/>
    <cellStyle name="Обычный 5 50 6" xfId="25405"/>
    <cellStyle name="Обычный 5 50 6 2" xfId="55280"/>
    <cellStyle name="Обычный 5 50 7" xfId="25406"/>
    <cellStyle name="Обычный 5 50 7 2" xfId="55281"/>
    <cellStyle name="Обычный 5 50 8" xfId="55282"/>
    <cellStyle name="Обычный 5 51" xfId="25407"/>
    <cellStyle name="Обычный 5 51 2" xfId="25408"/>
    <cellStyle name="Обычный 5 51 2 2" xfId="25409"/>
    <cellStyle name="Обычный 5 51 2 2 2" xfId="25410"/>
    <cellStyle name="Обычный 5 51 2 2 2 2" xfId="55283"/>
    <cellStyle name="Обычный 5 51 2 2 3" xfId="55284"/>
    <cellStyle name="Обычный 5 51 2 3" xfId="25411"/>
    <cellStyle name="Обычный 5 51 2 3 2" xfId="55285"/>
    <cellStyle name="Обычный 5 51 2 4" xfId="55286"/>
    <cellStyle name="Обычный 5 51 3" xfId="25412"/>
    <cellStyle name="Обычный 5 51 3 2" xfId="25413"/>
    <cellStyle name="Обычный 5 51 3 2 2" xfId="25414"/>
    <cellStyle name="Обычный 5 51 3 2 2 2" xfId="55287"/>
    <cellStyle name="Обычный 5 51 3 2 3" xfId="55288"/>
    <cellStyle name="Обычный 5 51 3 3" xfId="25415"/>
    <cellStyle name="Обычный 5 51 3 3 2" xfId="55289"/>
    <cellStyle name="Обычный 5 51 3 4" xfId="55290"/>
    <cellStyle name="Обычный 5 51 4" xfId="25416"/>
    <cellStyle name="Обычный 5 51 4 2" xfId="25417"/>
    <cellStyle name="Обычный 5 51 4 2 2" xfId="25418"/>
    <cellStyle name="Обычный 5 51 4 2 2 2" xfId="55291"/>
    <cellStyle name="Обычный 5 51 4 2 3" xfId="55292"/>
    <cellStyle name="Обычный 5 51 4 3" xfId="25419"/>
    <cellStyle name="Обычный 5 51 4 3 2" xfId="55293"/>
    <cellStyle name="Обычный 5 51 4 4" xfId="55294"/>
    <cellStyle name="Обычный 5 51 5" xfId="25420"/>
    <cellStyle name="Обычный 5 51 5 2" xfId="25421"/>
    <cellStyle name="Обычный 5 51 5 2 2" xfId="55295"/>
    <cellStyle name="Обычный 5 51 5 3" xfId="55296"/>
    <cellStyle name="Обычный 5 51 6" xfId="25422"/>
    <cellStyle name="Обычный 5 51 6 2" xfId="55297"/>
    <cellStyle name="Обычный 5 51 7" xfId="25423"/>
    <cellStyle name="Обычный 5 51 7 2" xfId="55298"/>
    <cellStyle name="Обычный 5 51 8" xfId="55299"/>
    <cellStyle name="Обычный 5 52" xfId="25424"/>
    <cellStyle name="Обычный 5 52 2" xfId="25425"/>
    <cellStyle name="Обычный 5 52 2 2" xfId="25426"/>
    <cellStyle name="Обычный 5 52 2 2 2" xfId="25427"/>
    <cellStyle name="Обычный 5 52 2 2 2 2" xfId="55300"/>
    <cellStyle name="Обычный 5 52 2 2 3" xfId="55301"/>
    <cellStyle name="Обычный 5 52 2 3" xfId="25428"/>
    <cellStyle name="Обычный 5 52 2 3 2" xfId="55302"/>
    <cellStyle name="Обычный 5 52 2 4" xfId="55303"/>
    <cellStyle name="Обычный 5 52 3" xfId="25429"/>
    <cellStyle name="Обычный 5 52 3 2" xfId="25430"/>
    <cellStyle name="Обычный 5 52 3 2 2" xfId="25431"/>
    <cellStyle name="Обычный 5 52 3 2 2 2" xfId="55304"/>
    <cellStyle name="Обычный 5 52 3 2 3" xfId="55305"/>
    <cellStyle name="Обычный 5 52 3 3" xfId="25432"/>
    <cellStyle name="Обычный 5 52 3 3 2" xfId="55306"/>
    <cellStyle name="Обычный 5 52 3 4" xfId="55307"/>
    <cellStyle name="Обычный 5 52 4" xfId="25433"/>
    <cellStyle name="Обычный 5 52 4 2" xfId="25434"/>
    <cellStyle name="Обычный 5 52 4 2 2" xfId="25435"/>
    <cellStyle name="Обычный 5 52 4 2 2 2" xfId="55308"/>
    <cellStyle name="Обычный 5 52 4 2 3" xfId="55309"/>
    <cellStyle name="Обычный 5 52 4 3" xfId="25436"/>
    <cellStyle name="Обычный 5 52 4 3 2" xfId="55310"/>
    <cellStyle name="Обычный 5 52 4 4" xfId="55311"/>
    <cellStyle name="Обычный 5 52 5" xfId="25437"/>
    <cellStyle name="Обычный 5 52 5 2" xfId="25438"/>
    <cellStyle name="Обычный 5 52 5 2 2" xfId="55312"/>
    <cellStyle name="Обычный 5 52 5 3" xfId="55313"/>
    <cellStyle name="Обычный 5 52 6" xfId="25439"/>
    <cellStyle name="Обычный 5 52 6 2" xfId="55314"/>
    <cellStyle name="Обычный 5 52 7" xfId="25440"/>
    <cellStyle name="Обычный 5 52 7 2" xfId="55315"/>
    <cellStyle name="Обычный 5 52 8" xfId="55316"/>
    <cellStyle name="Обычный 5 53" xfId="25441"/>
    <cellStyle name="Обычный 5 53 2" xfId="25442"/>
    <cellStyle name="Обычный 5 53 2 2" xfId="25443"/>
    <cellStyle name="Обычный 5 53 2 2 2" xfId="25444"/>
    <cellStyle name="Обычный 5 53 2 2 2 2" xfId="55317"/>
    <cellStyle name="Обычный 5 53 2 2 3" xfId="55318"/>
    <cellStyle name="Обычный 5 53 2 3" xfId="25445"/>
    <cellStyle name="Обычный 5 53 2 3 2" xfId="55319"/>
    <cellStyle name="Обычный 5 53 2 4" xfId="55320"/>
    <cellStyle name="Обычный 5 53 3" xfId="25446"/>
    <cellStyle name="Обычный 5 53 3 2" xfId="25447"/>
    <cellStyle name="Обычный 5 53 3 2 2" xfId="25448"/>
    <cellStyle name="Обычный 5 53 3 2 2 2" xfId="55321"/>
    <cellStyle name="Обычный 5 53 3 2 3" xfId="55322"/>
    <cellStyle name="Обычный 5 53 3 3" xfId="25449"/>
    <cellStyle name="Обычный 5 53 3 3 2" xfId="55323"/>
    <cellStyle name="Обычный 5 53 3 4" xfId="55324"/>
    <cellStyle name="Обычный 5 53 4" xfId="25450"/>
    <cellStyle name="Обычный 5 53 4 2" xfId="25451"/>
    <cellStyle name="Обычный 5 53 4 2 2" xfId="25452"/>
    <cellStyle name="Обычный 5 53 4 2 2 2" xfId="55325"/>
    <cellStyle name="Обычный 5 53 4 2 3" xfId="55326"/>
    <cellStyle name="Обычный 5 53 4 3" xfId="25453"/>
    <cellStyle name="Обычный 5 53 4 3 2" xfId="55327"/>
    <cellStyle name="Обычный 5 53 4 4" xfId="55328"/>
    <cellStyle name="Обычный 5 53 5" xfId="25454"/>
    <cellStyle name="Обычный 5 53 5 2" xfId="25455"/>
    <cellStyle name="Обычный 5 53 5 2 2" xfId="55329"/>
    <cellStyle name="Обычный 5 53 5 3" xfId="55330"/>
    <cellStyle name="Обычный 5 53 6" xfId="25456"/>
    <cellStyle name="Обычный 5 53 6 2" xfId="55331"/>
    <cellStyle name="Обычный 5 53 7" xfId="25457"/>
    <cellStyle name="Обычный 5 53 7 2" xfId="55332"/>
    <cellStyle name="Обычный 5 53 8" xfId="55333"/>
    <cellStyle name="Обычный 5 54" xfId="25458"/>
    <cellStyle name="Обычный 5 54 2" xfId="25459"/>
    <cellStyle name="Обычный 5 54 2 2" xfId="25460"/>
    <cellStyle name="Обычный 5 54 2 2 2" xfId="25461"/>
    <cellStyle name="Обычный 5 54 2 2 2 2" xfId="55334"/>
    <cellStyle name="Обычный 5 54 2 2 3" xfId="55335"/>
    <cellStyle name="Обычный 5 54 2 3" xfId="25462"/>
    <cellStyle name="Обычный 5 54 2 3 2" xfId="55336"/>
    <cellStyle name="Обычный 5 54 2 4" xfId="55337"/>
    <cellStyle name="Обычный 5 54 3" xfId="25463"/>
    <cellStyle name="Обычный 5 54 3 2" xfId="25464"/>
    <cellStyle name="Обычный 5 54 3 2 2" xfId="25465"/>
    <cellStyle name="Обычный 5 54 3 2 2 2" xfId="55338"/>
    <cellStyle name="Обычный 5 54 3 2 3" xfId="55339"/>
    <cellStyle name="Обычный 5 54 3 3" xfId="25466"/>
    <cellStyle name="Обычный 5 54 3 3 2" xfId="55340"/>
    <cellStyle name="Обычный 5 54 3 4" xfId="55341"/>
    <cellStyle name="Обычный 5 54 4" xfId="25467"/>
    <cellStyle name="Обычный 5 54 4 2" xfId="25468"/>
    <cellStyle name="Обычный 5 54 4 2 2" xfId="25469"/>
    <cellStyle name="Обычный 5 54 4 2 2 2" xfId="55342"/>
    <cellStyle name="Обычный 5 54 4 2 3" xfId="55343"/>
    <cellStyle name="Обычный 5 54 4 3" xfId="25470"/>
    <cellStyle name="Обычный 5 54 4 3 2" xfId="55344"/>
    <cellStyle name="Обычный 5 54 4 4" xfId="55345"/>
    <cellStyle name="Обычный 5 54 5" xfId="25471"/>
    <cellStyle name="Обычный 5 54 5 2" xfId="25472"/>
    <cellStyle name="Обычный 5 54 5 2 2" xfId="55346"/>
    <cellStyle name="Обычный 5 54 5 3" xfId="55347"/>
    <cellStyle name="Обычный 5 54 6" xfId="25473"/>
    <cellStyle name="Обычный 5 54 6 2" xfId="55348"/>
    <cellStyle name="Обычный 5 54 7" xfId="25474"/>
    <cellStyle name="Обычный 5 54 7 2" xfId="55349"/>
    <cellStyle name="Обычный 5 54 8" xfId="55350"/>
    <cellStyle name="Обычный 5 55" xfId="25475"/>
    <cellStyle name="Обычный 5 55 2" xfId="25476"/>
    <cellStyle name="Обычный 5 55 2 2" xfId="25477"/>
    <cellStyle name="Обычный 5 55 2 2 2" xfId="25478"/>
    <cellStyle name="Обычный 5 55 2 2 2 2" xfId="55351"/>
    <cellStyle name="Обычный 5 55 2 2 3" xfId="55352"/>
    <cellStyle name="Обычный 5 55 2 3" xfId="25479"/>
    <cellStyle name="Обычный 5 55 2 3 2" xfId="55353"/>
    <cellStyle name="Обычный 5 55 2 4" xfId="55354"/>
    <cellStyle name="Обычный 5 55 3" xfId="25480"/>
    <cellStyle name="Обычный 5 55 3 2" xfId="25481"/>
    <cellStyle name="Обычный 5 55 3 2 2" xfId="25482"/>
    <cellStyle name="Обычный 5 55 3 2 2 2" xfId="55355"/>
    <cellStyle name="Обычный 5 55 3 2 3" xfId="55356"/>
    <cellStyle name="Обычный 5 55 3 3" xfId="25483"/>
    <cellStyle name="Обычный 5 55 3 3 2" xfId="55357"/>
    <cellStyle name="Обычный 5 55 3 4" xfId="55358"/>
    <cellStyle name="Обычный 5 55 4" xfId="25484"/>
    <cellStyle name="Обычный 5 55 4 2" xfId="25485"/>
    <cellStyle name="Обычный 5 55 4 2 2" xfId="25486"/>
    <cellStyle name="Обычный 5 55 4 2 2 2" xfId="55359"/>
    <cellStyle name="Обычный 5 55 4 2 3" xfId="55360"/>
    <cellStyle name="Обычный 5 55 4 3" xfId="25487"/>
    <cellStyle name="Обычный 5 55 4 3 2" xfId="55361"/>
    <cellStyle name="Обычный 5 55 4 4" xfId="55362"/>
    <cellStyle name="Обычный 5 55 5" xfId="25488"/>
    <cellStyle name="Обычный 5 55 5 2" xfId="25489"/>
    <cellStyle name="Обычный 5 55 5 2 2" xfId="55363"/>
    <cellStyle name="Обычный 5 55 5 3" xfId="55364"/>
    <cellStyle name="Обычный 5 55 6" xfId="25490"/>
    <cellStyle name="Обычный 5 55 6 2" xfId="55365"/>
    <cellStyle name="Обычный 5 55 7" xfId="25491"/>
    <cellStyle name="Обычный 5 55 7 2" xfId="55366"/>
    <cellStyle name="Обычный 5 55 8" xfId="55367"/>
    <cellStyle name="Обычный 5 56" xfId="25492"/>
    <cellStyle name="Обычный 5 56 2" xfId="25493"/>
    <cellStyle name="Обычный 5 56 2 2" xfId="25494"/>
    <cellStyle name="Обычный 5 56 2 2 2" xfId="25495"/>
    <cellStyle name="Обычный 5 56 2 2 2 2" xfId="55368"/>
    <cellStyle name="Обычный 5 56 2 2 3" xfId="55369"/>
    <cellStyle name="Обычный 5 56 2 3" xfId="25496"/>
    <cellStyle name="Обычный 5 56 2 3 2" xfId="55370"/>
    <cellStyle name="Обычный 5 56 2 4" xfId="55371"/>
    <cellStyle name="Обычный 5 56 3" xfId="25497"/>
    <cellStyle name="Обычный 5 56 3 2" xfId="25498"/>
    <cellStyle name="Обычный 5 56 3 2 2" xfId="25499"/>
    <cellStyle name="Обычный 5 56 3 2 2 2" xfId="55372"/>
    <cellStyle name="Обычный 5 56 3 2 3" xfId="55373"/>
    <cellStyle name="Обычный 5 56 3 3" xfId="25500"/>
    <cellStyle name="Обычный 5 56 3 3 2" xfId="55374"/>
    <cellStyle name="Обычный 5 56 3 4" xfId="55375"/>
    <cellStyle name="Обычный 5 56 4" xfId="25501"/>
    <cellStyle name="Обычный 5 56 4 2" xfId="25502"/>
    <cellStyle name="Обычный 5 56 4 2 2" xfId="25503"/>
    <cellStyle name="Обычный 5 56 4 2 2 2" xfId="55376"/>
    <cellStyle name="Обычный 5 56 4 2 3" xfId="55377"/>
    <cellStyle name="Обычный 5 56 4 3" xfId="25504"/>
    <cellStyle name="Обычный 5 56 4 3 2" xfId="55378"/>
    <cellStyle name="Обычный 5 56 4 4" xfId="55379"/>
    <cellStyle name="Обычный 5 56 5" xfId="25505"/>
    <cellStyle name="Обычный 5 56 5 2" xfId="25506"/>
    <cellStyle name="Обычный 5 56 5 2 2" xfId="55380"/>
    <cellStyle name="Обычный 5 56 5 3" xfId="55381"/>
    <cellStyle name="Обычный 5 56 6" xfId="25507"/>
    <cellStyle name="Обычный 5 56 6 2" xfId="55382"/>
    <cellStyle name="Обычный 5 56 7" xfId="25508"/>
    <cellStyle name="Обычный 5 56 7 2" xfId="55383"/>
    <cellStyle name="Обычный 5 56 8" xfId="55384"/>
    <cellStyle name="Обычный 5 57" xfId="25509"/>
    <cellStyle name="Обычный 5 57 2" xfId="25510"/>
    <cellStyle name="Обычный 5 57 2 2" xfId="25511"/>
    <cellStyle name="Обычный 5 57 2 2 2" xfId="25512"/>
    <cellStyle name="Обычный 5 57 2 2 2 2" xfId="55385"/>
    <cellStyle name="Обычный 5 57 2 2 3" xfId="55386"/>
    <cellStyle name="Обычный 5 57 2 3" xfId="25513"/>
    <cellStyle name="Обычный 5 57 2 3 2" xfId="55387"/>
    <cellStyle name="Обычный 5 57 2 4" xfId="55388"/>
    <cellStyle name="Обычный 5 57 3" xfId="25514"/>
    <cellStyle name="Обычный 5 57 3 2" xfId="25515"/>
    <cellStyle name="Обычный 5 57 3 2 2" xfId="25516"/>
    <cellStyle name="Обычный 5 57 3 2 2 2" xfId="55389"/>
    <cellStyle name="Обычный 5 57 3 2 3" xfId="55390"/>
    <cellStyle name="Обычный 5 57 3 3" xfId="25517"/>
    <cellStyle name="Обычный 5 57 3 3 2" xfId="55391"/>
    <cellStyle name="Обычный 5 57 3 4" xfId="55392"/>
    <cellStyle name="Обычный 5 57 4" xfId="25518"/>
    <cellStyle name="Обычный 5 57 4 2" xfId="25519"/>
    <cellStyle name="Обычный 5 57 4 2 2" xfId="25520"/>
    <cellStyle name="Обычный 5 57 4 2 2 2" xfId="55393"/>
    <cellStyle name="Обычный 5 57 4 2 3" xfId="55394"/>
    <cellStyle name="Обычный 5 57 4 3" xfId="25521"/>
    <cellStyle name="Обычный 5 57 4 3 2" xfId="55395"/>
    <cellStyle name="Обычный 5 57 4 4" xfId="55396"/>
    <cellStyle name="Обычный 5 57 5" xfId="25522"/>
    <cellStyle name="Обычный 5 57 5 2" xfId="25523"/>
    <cellStyle name="Обычный 5 57 5 2 2" xfId="55397"/>
    <cellStyle name="Обычный 5 57 5 3" xfId="55398"/>
    <cellStyle name="Обычный 5 57 6" xfId="25524"/>
    <cellStyle name="Обычный 5 57 6 2" xfId="55399"/>
    <cellStyle name="Обычный 5 57 7" xfId="25525"/>
    <cellStyle name="Обычный 5 57 7 2" xfId="55400"/>
    <cellStyle name="Обычный 5 57 8" xfId="55401"/>
    <cellStyle name="Обычный 5 58" xfId="25526"/>
    <cellStyle name="Обычный 5 58 2" xfId="25527"/>
    <cellStyle name="Обычный 5 58 2 2" xfId="25528"/>
    <cellStyle name="Обычный 5 58 2 2 2" xfId="25529"/>
    <cellStyle name="Обычный 5 58 2 2 2 2" xfId="55402"/>
    <cellStyle name="Обычный 5 58 2 2 3" xfId="55403"/>
    <cellStyle name="Обычный 5 58 2 3" xfId="25530"/>
    <cellStyle name="Обычный 5 58 2 3 2" xfId="55404"/>
    <cellStyle name="Обычный 5 58 2 4" xfId="55405"/>
    <cellStyle name="Обычный 5 58 3" xfId="25531"/>
    <cellStyle name="Обычный 5 58 3 2" xfId="25532"/>
    <cellStyle name="Обычный 5 58 3 2 2" xfId="25533"/>
    <cellStyle name="Обычный 5 58 3 2 2 2" xfId="55406"/>
    <cellStyle name="Обычный 5 58 3 2 3" xfId="55407"/>
    <cellStyle name="Обычный 5 58 3 3" xfId="25534"/>
    <cellStyle name="Обычный 5 58 3 3 2" xfId="55408"/>
    <cellStyle name="Обычный 5 58 3 4" xfId="55409"/>
    <cellStyle name="Обычный 5 58 4" xfId="25535"/>
    <cellStyle name="Обычный 5 58 4 2" xfId="25536"/>
    <cellStyle name="Обычный 5 58 4 2 2" xfId="25537"/>
    <cellStyle name="Обычный 5 58 4 2 2 2" xfId="55410"/>
    <cellStyle name="Обычный 5 58 4 2 3" xfId="55411"/>
    <cellStyle name="Обычный 5 58 4 3" xfId="25538"/>
    <cellStyle name="Обычный 5 58 4 3 2" xfId="55412"/>
    <cellStyle name="Обычный 5 58 4 4" xfId="55413"/>
    <cellStyle name="Обычный 5 58 5" xfId="25539"/>
    <cellStyle name="Обычный 5 58 5 2" xfId="25540"/>
    <cellStyle name="Обычный 5 58 5 2 2" xfId="55414"/>
    <cellStyle name="Обычный 5 58 5 3" xfId="55415"/>
    <cellStyle name="Обычный 5 58 6" xfId="25541"/>
    <cellStyle name="Обычный 5 58 6 2" xfId="55416"/>
    <cellStyle name="Обычный 5 58 7" xfId="25542"/>
    <cellStyle name="Обычный 5 58 7 2" xfId="55417"/>
    <cellStyle name="Обычный 5 58 8" xfId="55418"/>
    <cellStyle name="Обычный 5 59" xfId="25543"/>
    <cellStyle name="Обычный 5 59 2" xfId="25544"/>
    <cellStyle name="Обычный 5 59 2 2" xfId="25545"/>
    <cellStyle name="Обычный 5 59 2 2 2" xfId="25546"/>
    <cellStyle name="Обычный 5 59 2 2 2 2" xfId="55419"/>
    <cellStyle name="Обычный 5 59 2 2 3" xfId="55420"/>
    <cellStyle name="Обычный 5 59 2 3" xfId="25547"/>
    <cellStyle name="Обычный 5 59 2 3 2" xfId="55421"/>
    <cellStyle name="Обычный 5 59 2 4" xfId="55422"/>
    <cellStyle name="Обычный 5 59 3" xfId="25548"/>
    <cellStyle name="Обычный 5 59 3 2" xfId="25549"/>
    <cellStyle name="Обычный 5 59 3 2 2" xfId="25550"/>
    <cellStyle name="Обычный 5 59 3 2 2 2" xfId="55423"/>
    <cellStyle name="Обычный 5 59 3 2 3" xfId="55424"/>
    <cellStyle name="Обычный 5 59 3 3" xfId="25551"/>
    <cellStyle name="Обычный 5 59 3 3 2" xfId="55425"/>
    <cellStyle name="Обычный 5 59 3 4" xfId="55426"/>
    <cellStyle name="Обычный 5 59 4" xfId="25552"/>
    <cellStyle name="Обычный 5 59 4 2" xfId="25553"/>
    <cellStyle name="Обычный 5 59 4 2 2" xfId="25554"/>
    <cellStyle name="Обычный 5 59 4 2 2 2" xfId="55427"/>
    <cellStyle name="Обычный 5 59 4 2 3" xfId="55428"/>
    <cellStyle name="Обычный 5 59 4 3" xfId="25555"/>
    <cellStyle name="Обычный 5 59 4 3 2" xfId="55429"/>
    <cellStyle name="Обычный 5 59 4 4" xfId="55430"/>
    <cellStyle name="Обычный 5 59 5" xfId="25556"/>
    <cellStyle name="Обычный 5 59 5 2" xfId="25557"/>
    <cellStyle name="Обычный 5 59 5 2 2" xfId="55431"/>
    <cellStyle name="Обычный 5 59 5 3" xfId="55432"/>
    <cellStyle name="Обычный 5 59 6" xfId="25558"/>
    <cellStyle name="Обычный 5 59 6 2" xfId="55433"/>
    <cellStyle name="Обычный 5 59 7" xfId="25559"/>
    <cellStyle name="Обычный 5 59 7 2" xfId="55434"/>
    <cellStyle name="Обычный 5 59 8" xfId="55435"/>
    <cellStyle name="Обычный 5 6" xfId="25560"/>
    <cellStyle name="Обычный 5 6 10" xfId="25561"/>
    <cellStyle name="Обычный 5 6 10 2" xfId="25562"/>
    <cellStyle name="Обычный 5 6 10 2 2" xfId="25563"/>
    <cellStyle name="Обычный 5 6 10 2 2 2" xfId="25564"/>
    <cellStyle name="Обычный 5 6 10 2 2 2 2" xfId="55436"/>
    <cellStyle name="Обычный 5 6 10 2 2 3" xfId="55437"/>
    <cellStyle name="Обычный 5 6 10 2 3" xfId="25565"/>
    <cellStyle name="Обычный 5 6 10 2 3 2" xfId="55438"/>
    <cellStyle name="Обычный 5 6 10 2 4" xfId="55439"/>
    <cellStyle name="Обычный 5 6 10 3" xfId="25566"/>
    <cellStyle name="Обычный 5 6 10 3 2" xfId="25567"/>
    <cellStyle name="Обычный 5 6 10 3 2 2" xfId="25568"/>
    <cellStyle name="Обычный 5 6 10 3 2 2 2" xfId="55440"/>
    <cellStyle name="Обычный 5 6 10 3 2 3" xfId="55441"/>
    <cellStyle name="Обычный 5 6 10 3 3" xfId="25569"/>
    <cellStyle name="Обычный 5 6 10 3 3 2" xfId="55442"/>
    <cellStyle name="Обычный 5 6 10 3 4" xfId="55443"/>
    <cellStyle name="Обычный 5 6 10 4" xfId="25570"/>
    <cellStyle name="Обычный 5 6 10 4 2" xfId="25571"/>
    <cellStyle name="Обычный 5 6 10 4 2 2" xfId="25572"/>
    <cellStyle name="Обычный 5 6 10 4 2 2 2" xfId="55444"/>
    <cellStyle name="Обычный 5 6 10 4 2 3" xfId="55445"/>
    <cellStyle name="Обычный 5 6 10 4 3" xfId="25573"/>
    <cellStyle name="Обычный 5 6 10 4 3 2" xfId="55446"/>
    <cellStyle name="Обычный 5 6 10 4 4" xfId="55447"/>
    <cellStyle name="Обычный 5 6 10 5" xfId="25574"/>
    <cellStyle name="Обычный 5 6 10 5 2" xfId="25575"/>
    <cellStyle name="Обычный 5 6 10 5 2 2" xfId="55448"/>
    <cellStyle name="Обычный 5 6 10 5 3" xfId="55449"/>
    <cellStyle name="Обычный 5 6 10 6" xfId="25576"/>
    <cellStyle name="Обычный 5 6 10 6 2" xfId="55450"/>
    <cellStyle name="Обычный 5 6 10 7" xfId="25577"/>
    <cellStyle name="Обычный 5 6 10 7 2" xfId="55451"/>
    <cellStyle name="Обычный 5 6 10 8" xfId="55452"/>
    <cellStyle name="Обычный 5 6 11" xfId="25578"/>
    <cellStyle name="Обычный 5 6 11 2" xfId="25579"/>
    <cellStyle name="Обычный 5 6 11 2 2" xfId="25580"/>
    <cellStyle name="Обычный 5 6 11 2 2 2" xfId="25581"/>
    <cellStyle name="Обычный 5 6 11 2 2 2 2" xfId="55453"/>
    <cellStyle name="Обычный 5 6 11 2 2 3" xfId="55454"/>
    <cellStyle name="Обычный 5 6 11 2 3" xfId="25582"/>
    <cellStyle name="Обычный 5 6 11 2 3 2" xfId="55455"/>
    <cellStyle name="Обычный 5 6 11 2 4" xfId="55456"/>
    <cellStyle name="Обычный 5 6 11 3" xfId="25583"/>
    <cellStyle name="Обычный 5 6 11 3 2" xfId="25584"/>
    <cellStyle name="Обычный 5 6 11 3 2 2" xfId="25585"/>
    <cellStyle name="Обычный 5 6 11 3 2 2 2" xfId="55457"/>
    <cellStyle name="Обычный 5 6 11 3 2 3" xfId="55458"/>
    <cellStyle name="Обычный 5 6 11 3 3" xfId="25586"/>
    <cellStyle name="Обычный 5 6 11 3 3 2" xfId="55459"/>
    <cellStyle name="Обычный 5 6 11 3 4" xfId="55460"/>
    <cellStyle name="Обычный 5 6 11 4" xfId="25587"/>
    <cellStyle name="Обычный 5 6 11 4 2" xfId="25588"/>
    <cellStyle name="Обычный 5 6 11 4 2 2" xfId="25589"/>
    <cellStyle name="Обычный 5 6 11 4 2 2 2" xfId="55461"/>
    <cellStyle name="Обычный 5 6 11 4 2 3" xfId="55462"/>
    <cellStyle name="Обычный 5 6 11 4 3" xfId="25590"/>
    <cellStyle name="Обычный 5 6 11 4 3 2" xfId="55463"/>
    <cellStyle name="Обычный 5 6 11 4 4" xfId="55464"/>
    <cellStyle name="Обычный 5 6 11 5" xfId="25591"/>
    <cellStyle name="Обычный 5 6 11 5 2" xfId="25592"/>
    <cellStyle name="Обычный 5 6 11 5 2 2" xfId="55465"/>
    <cellStyle name="Обычный 5 6 11 5 3" xfId="55466"/>
    <cellStyle name="Обычный 5 6 11 6" xfId="25593"/>
    <cellStyle name="Обычный 5 6 11 6 2" xfId="55467"/>
    <cellStyle name="Обычный 5 6 11 7" xfId="25594"/>
    <cellStyle name="Обычный 5 6 11 7 2" xfId="55468"/>
    <cellStyle name="Обычный 5 6 11 8" xfId="55469"/>
    <cellStyle name="Обычный 5 6 12" xfId="25595"/>
    <cellStyle name="Обычный 5 6 12 2" xfId="25596"/>
    <cellStyle name="Обычный 5 6 12 2 2" xfId="25597"/>
    <cellStyle name="Обычный 5 6 12 2 2 2" xfId="25598"/>
    <cellStyle name="Обычный 5 6 12 2 2 2 2" xfId="55470"/>
    <cellStyle name="Обычный 5 6 12 2 2 3" xfId="55471"/>
    <cellStyle name="Обычный 5 6 12 2 3" xfId="25599"/>
    <cellStyle name="Обычный 5 6 12 2 3 2" xfId="55472"/>
    <cellStyle name="Обычный 5 6 12 2 4" xfId="55473"/>
    <cellStyle name="Обычный 5 6 12 3" xfId="25600"/>
    <cellStyle name="Обычный 5 6 12 3 2" xfId="25601"/>
    <cellStyle name="Обычный 5 6 12 3 2 2" xfId="25602"/>
    <cellStyle name="Обычный 5 6 12 3 2 2 2" xfId="55474"/>
    <cellStyle name="Обычный 5 6 12 3 2 3" xfId="55475"/>
    <cellStyle name="Обычный 5 6 12 3 3" xfId="25603"/>
    <cellStyle name="Обычный 5 6 12 3 3 2" xfId="55476"/>
    <cellStyle name="Обычный 5 6 12 3 4" xfId="55477"/>
    <cellStyle name="Обычный 5 6 12 4" xfId="25604"/>
    <cellStyle name="Обычный 5 6 12 4 2" xfId="25605"/>
    <cellStyle name="Обычный 5 6 12 4 2 2" xfId="25606"/>
    <cellStyle name="Обычный 5 6 12 4 2 2 2" xfId="55478"/>
    <cellStyle name="Обычный 5 6 12 4 2 3" xfId="55479"/>
    <cellStyle name="Обычный 5 6 12 4 3" xfId="25607"/>
    <cellStyle name="Обычный 5 6 12 4 3 2" xfId="55480"/>
    <cellStyle name="Обычный 5 6 12 4 4" xfId="55481"/>
    <cellStyle name="Обычный 5 6 12 5" xfId="25608"/>
    <cellStyle name="Обычный 5 6 12 5 2" xfId="25609"/>
    <cellStyle name="Обычный 5 6 12 5 2 2" xfId="55482"/>
    <cellStyle name="Обычный 5 6 12 5 3" xfId="55483"/>
    <cellStyle name="Обычный 5 6 12 6" xfId="25610"/>
    <cellStyle name="Обычный 5 6 12 6 2" xfId="55484"/>
    <cellStyle name="Обычный 5 6 12 7" xfId="25611"/>
    <cellStyle name="Обычный 5 6 12 7 2" xfId="55485"/>
    <cellStyle name="Обычный 5 6 12 8" xfId="55486"/>
    <cellStyle name="Обычный 5 6 13" xfId="25612"/>
    <cellStyle name="Обычный 5 6 13 2" xfId="25613"/>
    <cellStyle name="Обычный 5 6 13 2 2" xfId="25614"/>
    <cellStyle name="Обычный 5 6 13 2 2 2" xfId="25615"/>
    <cellStyle name="Обычный 5 6 13 2 2 2 2" xfId="55487"/>
    <cellStyle name="Обычный 5 6 13 2 2 3" xfId="55488"/>
    <cellStyle name="Обычный 5 6 13 2 3" xfId="25616"/>
    <cellStyle name="Обычный 5 6 13 2 3 2" xfId="55489"/>
    <cellStyle name="Обычный 5 6 13 2 4" xfId="55490"/>
    <cellStyle name="Обычный 5 6 13 3" xfId="25617"/>
    <cellStyle name="Обычный 5 6 13 3 2" xfId="25618"/>
    <cellStyle name="Обычный 5 6 13 3 2 2" xfId="25619"/>
    <cellStyle name="Обычный 5 6 13 3 2 2 2" xfId="55491"/>
    <cellStyle name="Обычный 5 6 13 3 2 3" xfId="55492"/>
    <cellStyle name="Обычный 5 6 13 3 3" xfId="25620"/>
    <cellStyle name="Обычный 5 6 13 3 3 2" xfId="55493"/>
    <cellStyle name="Обычный 5 6 13 3 4" xfId="55494"/>
    <cellStyle name="Обычный 5 6 13 4" xfId="25621"/>
    <cellStyle name="Обычный 5 6 13 4 2" xfId="25622"/>
    <cellStyle name="Обычный 5 6 13 4 2 2" xfId="25623"/>
    <cellStyle name="Обычный 5 6 13 4 2 2 2" xfId="55495"/>
    <cellStyle name="Обычный 5 6 13 4 2 3" xfId="55496"/>
    <cellStyle name="Обычный 5 6 13 4 3" xfId="25624"/>
    <cellStyle name="Обычный 5 6 13 4 3 2" xfId="55497"/>
    <cellStyle name="Обычный 5 6 13 4 4" xfId="55498"/>
    <cellStyle name="Обычный 5 6 13 5" xfId="25625"/>
    <cellStyle name="Обычный 5 6 13 5 2" xfId="25626"/>
    <cellStyle name="Обычный 5 6 13 5 2 2" xfId="55499"/>
    <cellStyle name="Обычный 5 6 13 5 3" xfId="55500"/>
    <cellStyle name="Обычный 5 6 13 6" xfId="25627"/>
    <cellStyle name="Обычный 5 6 13 6 2" xfId="55501"/>
    <cellStyle name="Обычный 5 6 13 7" xfId="25628"/>
    <cellStyle name="Обычный 5 6 13 7 2" xfId="55502"/>
    <cellStyle name="Обычный 5 6 13 8" xfId="55503"/>
    <cellStyle name="Обычный 5 6 14" xfId="25629"/>
    <cellStyle name="Обычный 5 6 14 2" xfId="25630"/>
    <cellStyle name="Обычный 5 6 14 2 2" xfId="25631"/>
    <cellStyle name="Обычный 5 6 14 2 2 2" xfId="25632"/>
    <cellStyle name="Обычный 5 6 14 2 2 2 2" xfId="55504"/>
    <cellStyle name="Обычный 5 6 14 2 2 3" xfId="55505"/>
    <cellStyle name="Обычный 5 6 14 2 3" xfId="25633"/>
    <cellStyle name="Обычный 5 6 14 2 3 2" xfId="55506"/>
    <cellStyle name="Обычный 5 6 14 2 4" xfId="55507"/>
    <cellStyle name="Обычный 5 6 14 3" xfId="25634"/>
    <cellStyle name="Обычный 5 6 14 3 2" xfId="25635"/>
    <cellStyle name="Обычный 5 6 14 3 2 2" xfId="25636"/>
    <cellStyle name="Обычный 5 6 14 3 2 2 2" xfId="55508"/>
    <cellStyle name="Обычный 5 6 14 3 2 3" xfId="55509"/>
    <cellStyle name="Обычный 5 6 14 3 3" xfId="25637"/>
    <cellStyle name="Обычный 5 6 14 3 3 2" xfId="55510"/>
    <cellStyle name="Обычный 5 6 14 3 4" xfId="55511"/>
    <cellStyle name="Обычный 5 6 14 4" xfId="25638"/>
    <cellStyle name="Обычный 5 6 14 4 2" xfId="25639"/>
    <cellStyle name="Обычный 5 6 14 4 2 2" xfId="25640"/>
    <cellStyle name="Обычный 5 6 14 4 2 2 2" xfId="55512"/>
    <cellStyle name="Обычный 5 6 14 4 2 3" xfId="55513"/>
    <cellStyle name="Обычный 5 6 14 4 3" xfId="25641"/>
    <cellStyle name="Обычный 5 6 14 4 3 2" xfId="55514"/>
    <cellStyle name="Обычный 5 6 14 4 4" xfId="55515"/>
    <cellStyle name="Обычный 5 6 14 5" xfId="25642"/>
    <cellStyle name="Обычный 5 6 14 5 2" xfId="25643"/>
    <cellStyle name="Обычный 5 6 14 5 2 2" xfId="55516"/>
    <cellStyle name="Обычный 5 6 14 5 3" xfId="55517"/>
    <cellStyle name="Обычный 5 6 14 6" xfId="25644"/>
    <cellStyle name="Обычный 5 6 14 6 2" xfId="55518"/>
    <cellStyle name="Обычный 5 6 14 7" xfId="25645"/>
    <cellStyle name="Обычный 5 6 14 7 2" xfId="55519"/>
    <cellStyle name="Обычный 5 6 14 8" xfId="55520"/>
    <cellStyle name="Обычный 5 6 15" xfId="25646"/>
    <cellStyle name="Обычный 5 6 15 2" xfId="25647"/>
    <cellStyle name="Обычный 5 6 15 2 2" xfId="25648"/>
    <cellStyle name="Обычный 5 6 15 2 2 2" xfId="25649"/>
    <cellStyle name="Обычный 5 6 15 2 2 2 2" xfId="55521"/>
    <cellStyle name="Обычный 5 6 15 2 2 3" xfId="55522"/>
    <cellStyle name="Обычный 5 6 15 2 3" xfId="25650"/>
    <cellStyle name="Обычный 5 6 15 2 3 2" xfId="55523"/>
    <cellStyle name="Обычный 5 6 15 2 4" xfId="55524"/>
    <cellStyle name="Обычный 5 6 15 3" xfId="25651"/>
    <cellStyle name="Обычный 5 6 15 3 2" xfId="25652"/>
    <cellStyle name="Обычный 5 6 15 3 2 2" xfId="25653"/>
    <cellStyle name="Обычный 5 6 15 3 2 2 2" xfId="55525"/>
    <cellStyle name="Обычный 5 6 15 3 2 3" xfId="55526"/>
    <cellStyle name="Обычный 5 6 15 3 3" xfId="25654"/>
    <cellStyle name="Обычный 5 6 15 3 3 2" xfId="55527"/>
    <cellStyle name="Обычный 5 6 15 3 4" xfId="55528"/>
    <cellStyle name="Обычный 5 6 15 4" xfId="25655"/>
    <cellStyle name="Обычный 5 6 15 4 2" xfId="25656"/>
    <cellStyle name="Обычный 5 6 15 4 2 2" xfId="25657"/>
    <cellStyle name="Обычный 5 6 15 4 2 2 2" xfId="55529"/>
    <cellStyle name="Обычный 5 6 15 4 2 3" xfId="55530"/>
    <cellStyle name="Обычный 5 6 15 4 3" xfId="25658"/>
    <cellStyle name="Обычный 5 6 15 4 3 2" xfId="55531"/>
    <cellStyle name="Обычный 5 6 15 4 4" xfId="55532"/>
    <cellStyle name="Обычный 5 6 15 5" xfId="25659"/>
    <cellStyle name="Обычный 5 6 15 5 2" xfId="25660"/>
    <cellStyle name="Обычный 5 6 15 5 2 2" xfId="55533"/>
    <cellStyle name="Обычный 5 6 15 5 3" xfId="55534"/>
    <cellStyle name="Обычный 5 6 15 6" xfId="25661"/>
    <cellStyle name="Обычный 5 6 15 6 2" xfId="55535"/>
    <cellStyle name="Обычный 5 6 15 7" xfId="25662"/>
    <cellStyle name="Обычный 5 6 15 7 2" xfId="55536"/>
    <cellStyle name="Обычный 5 6 15 8" xfId="55537"/>
    <cellStyle name="Обычный 5 6 16" xfId="25663"/>
    <cellStyle name="Обычный 5 6 16 2" xfId="25664"/>
    <cellStyle name="Обычный 5 6 16 2 2" xfId="25665"/>
    <cellStyle name="Обычный 5 6 16 2 2 2" xfId="25666"/>
    <cellStyle name="Обычный 5 6 16 2 2 2 2" xfId="55538"/>
    <cellStyle name="Обычный 5 6 16 2 2 3" xfId="55539"/>
    <cellStyle name="Обычный 5 6 16 2 3" xfId="25667"/>
    <cellStyle name="Обычный 5 6 16 2 3 2" xfId="55540"/>
    <cellStyle name="Обычный 5 6 16 2 4" xfId="55541"/>
    <cellStyle name="Обычный 5 6 16 3" xfId="25668"/>
    <cellStyle name="Обычный 5 6 16 3 2" xfId="25669"/>
    <cellStyle name="Обычный 5 6 16 3 2 2" xfId="25670"/>
    <cellStyle name="Обычный 5 6 16 3 2 2 2" xfId="55542"/>
    <cellStyle name="Обычный 5 6 16 3 2 3" xfId="55543"/>
    <cellStyle name="Обычный 5 6 16 3 3" xfId="25671"/>
    <cellStyle name="Обычный 5 6 16 3 3 2" xfId="55544"/>
    <cellStyle name="Обычный 5 6 16 3 4" xfId="55545"/>
    <cellStyle name="Обычный 5 6 16 4" xfId="25672"/>
    <cellStyle name="Обычный 5 6 16 4 2" xfId="25673"/>
    <cellStyle name="Обычный 5 6 16 4 2 2" xfId="25674"/>
    <cellStyle name="Обычный 5 6 16 4 2 2 2" xfId="55546"/>
    <cellStyle name="Обычный 5 6 16 4 2 3" xfId="55547"/>
    <cellStyle name="Обычный 5 6 16 4 3" xfId="25675"/>
    <cellStyle name="Обычный 5 6 16 4 3 2" xfId="55548"/>
    <cellStyle name="Обычный 5 6 16 4 4" xfId="55549"/>
    <cellStyle name="Обычный 5 6 16 5" xfId="25676"/>
    <cellStyle name="Обычный 5 6 16 5 2" xfId="25677"/>
    <cellStyle name="Обычный 5 6 16 5 2 2" xfId="55550"/>
    <cellStyle name="Обычный 5 6 16 5 3" xfId="55551"/>
    <cellStyle name="Обычный 5 6 16 6" xfId="25678"/>
    <cellStyle name="Обычный 5 6 16 6 2" xfId="55552"/>
    <cellStyle name="Обычный 5 6 16 7" xfId="25679"/>
    <cellStyle name="Обычный 5 6 16 7 2" xfId="55553"/>
    <cellStyle name="Обычный 5 6 16 8" xfId="55554"/>
    <cellStyle name="Обычный 5 6 17" xfId="25680"/>
    <cellStyle name="Обычный 5 6 17 2" xfId="25681"/>
    <cellStyle name="Обычный 5 6 17 2 2" xfId="25682"/>
    <cellStyle name="Обычный 5 6 17 2 2 2" xfId="25683"/>
    <cellStyle name="Обычный 5 6 17 2 2 2 2" xfId="55555"/>
    <cellStyle name="Обычный 5 6 17 2 2 3" xfId="55556"/>
    <cellStyle name="Обычный 5 6 17 2 3" xfId="25684"/>
    <cellStyle name="Обычный 5 6 17 2 3 2" xfId="55557"/>
    <cellStyle name="Обычный 5 6 17 2 4" xfId="55558"/>
    <cellStyle name="Обычный 5 6 17 3" xfId="25685"/>
    <cellStyle name="Обычный 5 6 17 3 2" xfId="25686"/>
    <cellStyle name="Обычный 5 6 17 3 2 2" xfId="25687"/>
    <cellStyle name="Обычный 5 6 17 3 2 2 2" xfId="55559"/>
    <cellStyle name="Обычный 5 6 17 3 2 3" xfId="55560"/>
    <cellStyle name="Обычный 5 6 17 3 3" xfId="25688"/>
    <cellStyle name="Обычный 5 6 17 3 3 2" xfId="55561"/>
    <cellStyle name="Обычный 5 6 17 3 4" xfId="55562"/>
    <cellStyle name="Обычный 5 6 17 4" xfId="25689"/>
    <cellStyle name="Обычный 5 6 17 4 2" xfId="25690"/>
    <cellStyle name="Обычный 5 6 17 4 2 2" xfId="25691"/>
    <cellStyle name="Обычный 5 6 17 4 2 2 2" xfId="55563"/>
    <cellStyle name="Обычный 5 6 17 4 2 3" xfId="55564"/>
    <cellStyle name="Обычный 5 6 17 4 3" xfId="25692"/>
    <cellStyle name="Обычный 5 6 17 4 3 2" xfId="55565"/>
    <cellStyle name="Обычный 5 6 17 4 4" xfId="55566"/>
    <cellStyle name="Обычный 5 6 17 5" xfId="25693"/>
    <cellStyle name="Обычный 5 6 17 5 2" xfId="25694"/>
    <cellStyle name="Обычный 5 6 17 5 2 2" xfId="55567"/>
    <cellStyle name="Обычный 5 6 17 5 3" xfId="55568"/>
    <cellStyle name="Обычный 5 6 17 6" xfId="25695"/>
    <cellStyle name="Обычный 5 6 17 6 2" xfId="55569"/>
    <cellStyle name="Обычный 5 6 17 7" xfId="25696"/>
    <cellStyle name="Обычный 5 6 17 7 2" xfId="55570"/>
    <cellStyle name="Обычный 5 6 17 8" xfId="55571"/>
    <cellStyle name="Обычный 5 6 18" xfId="25697"/>
    <cellStyle name="Обычный 5 6 18 2" xfId="25698"/>
    <cellStyle name="Обычный 5 6 18 2 2" xfId="25699"/>
    <cellStyle name="Обычный 5 6 18 2 2 2" xfId="25700"/>
    <cellStyle name="Обычный 5 6 18 2 2 2 2" xfId="55572"/>
    <cellStyle name="Обычный 5 6 18 2 2 3" xfId="55573"/>
    <cellStyle name="Обычный 5 6 18 2 3" xfId="25701"/>
    <cellStyle name="Обычный 5 6 18 2 3 2" xfId="55574"/>
    <cellStyle name="Обычный 5 6 18 2 4" xfId="55575"/>
    <cellStyle name="Обычный 5 6 18 3" xfId="25702"/>
    <cellStyle name="Обычный 5 6 18 3 2" xfId="25703"/>
    <cellStyle name="Обычный 5 6 18 3 2 2" xfId="25704"/>
    <cellStyle name="Обычный 5 6 18 3 2 2 2" xfId="55576"/>
    <cellStyle name="Обычный 5 6 18 3 2 3" xfId="55577"/>
    <cellStyle name="Обычный 5 6 18 3 3" xfId="25705"/>
    <cellStyle name="Обычный 5 6 18 3 3 2" xfId="55578"/>
    <cellStyle name="Обычный 5 6 18 3 4" xfId="55579"/>
    <cellStyle name="Обычный 5 6 18 4" xfId="25706"/>
    <cellStyle name="Обычный 5 6 18 4 2" xfId="25707"/>
    <cellStyle name="Обычный 5 6 18 4 2 2" xfId="25708"/>
    <cellStyle name="Обычный 5 6 18 4 2 2 2" xfId="55580"/>
    <cellStyle name="Обычный 5 6 18 4 2 3" xfId="55581"/>
    <cellStyle name="Обычный 5 6 18 4 3" xfId="25709"/>
    <cellStyle name="Обычный 5 6 18 4 3 2" xfId="55582"/>
    <cellStyle name="Обычный 5 6 18 4 4" xfId="55583"/>
    <cellStyle name="Обычный 5 6 18 5" xfId="25710"/>
    <cellStyle name="Обычный 5 6 18 5 2" xfId="25711"/>
    <cellStyle name="Обычный 5 6 18 5 2 2" xfId="55584"/>
    <cellStyle name="Обычный 5 6 18 5 3" xfId="55585"/>
    <cellStyle name="Обычный 5 6 18 6" xfId="25712"/>
    <cellStyle name="Обычный 5 6 18 6 2" xfId="55586"/>
    <cellStyle name="Обычный 5 6 18 7" xfId="25713"/>
    <cellStyle name="Обычный 5 6 18 7 2" xfId="55587"/>
    <cellStyle name="Обычный 5 6 18 8" xfId="55588"/>
    <cellStyle name="Обычный 5 6 19" xfId="25714"/>
    <cellStyle name="Обычный 5 6 19 2" xfId="25715"/>
    <cellStyle name="Обычный 5 6 19 2 2" xfId="25716"/>
    <cellStyle name="Обычный 5 6 19 2 2 2" xfId="25717"/>
    <cellStyle name="Обычный 5 6 19 2 2 2 2" xfId="55589"/>
    <cellStyle name="Обычный 5 6 19 2 2 3" xfId="55590"/>
    <cellStyle name="Обычный 5 6 19 2 3" xfId="25718"/>
    <cellStyle name="Обычный 5 6 19 2 3 2" xfId="55591"/>
    <cellStyle name="Обычный 5 6 19 2 4" xfId="55592"/>
    <cellStyle name="Обычный 5 6 19 3" xfId="25719"/>
    <cellStyle name="Обычный 5 6 19 3 2" xfId="25720"/>
    <cellStyle name="Обычный 5 6 19 3 2 2" xfId="25721"/>
    <cellStyle name="Обычный 5 6 19 3 2 2 2" xfId="55593"/>
    <cellStyle name="Обычный 5 6 19 3 2 3" xfId="55594"/>
    <cellStyle name="Обычный 5 6 19 3 3" xfId="25722"/>
    <cellStyle name="Обычный 5 6 19 3 3 2" xfId="55595"/>
    <cellStyle name="Обычный 5 6 19 3 4" xfId="55596"/>
    <cellStyle name="Обычный 5 6 19 4" xfId="25723"/>
    <cellStyle name="Обычный 5 6 19 4 2" xfId="25724"/>
    <cellStyle name="Обычный 5 6 19 4 2 2" xfId="25725"/>
    <cellStyle name="Обычный 5 6 19 4 2 2 2" xfId="55597"/>
    <cellStyle name="Обычный 5 6 19 4 2 3" xfId="55598"/>
    <cellStyle name="Обычный 5 6 19 4 3" xfId="25726"/>
    <cellStyle name="Обычный 5 6 19 4 3 2" xfId="55599"/>
    <cellStyle name="Обычный 5 6 19 4 4" xfId="55600"/>
    <cellStyle name="Обычный 5 6 19 5" xfId="25727"/>
    <cellStyle name="Обычный 5 6 19 5 2" xfId="25728"/>
    <cellStyle name="Обычный 5 6 19 5 2 2" xfId="55601"/>
    <cellStyle name="Обычный 5 6 19 5 3" xfId="55602"/>
    <cellStyle name="Обычный 5 6 19 6" xfId="25729"/>
    <cellStyle name="Обычный 5 6 19 6 2" xfId="55603"/>
    <cellStyle name="Обычный 5 6 19 7" xfId="25730"/>
    <cellStyle name="Обычный 5 6 19 7 2" xfId="55604"/>
    <cellStyle name="Обычный 5 6 19 8" xfId="55605"/>
    <cellStyle name="Обычный 5 6 2" xfId="25731"/>
    <cellStyle name="Обычный 5 6 2 2" xfId="25732"/>
    <cellStyle name="Обычный 5 6 2 2 2" xfId="25733"/>
    <cellStyle name="Обычный 5 6 2 2 2 2" xfId="25734"/>
    <cellStyle name="Обычный 5 6 2 2 2 2 2" xfId="55606"/>
    <cellStyle name="Обычный 5 6 2 2 2 3" xfId="55607"/>
    <cellStyle name="Обычный 5 6 2 2 3" xfId="25735"/>
    <cellStyle name="Обычный 5 6 2 2 3 2" xfId="55608"/>
    <cellStyle name="Обычный 5 6 2 2 4" xfId="55609"/>
    <cellStyle name="Обычный 5 6 2 3" xfId="25736"/>
    <cellStyle name="Обычный 5 6 2 3 2" xfId="25737"/>
    <cellStyle name="Обычный 5 6 2 3 2 2" xfId="25738"/>
    <cellStyle name="Обычный 5 6 2 3 2 2 2" xfId="55610"/>
    <cellStyle name="Обычный 5 6 2 3 2 3" xfId="55611"/>
    <cellStyle name="Обычный 5 6 2 3 3" xfId="25739"/>
    <cellStyle name="Обычный 5 6 2 3 3 2" xfId="55612"/>
    <cellStyle name="Обычный 5 6 2 3 4" xfId="55613"/>
    <cellStyle name="Обычный 5 6 2 4" xfId="25740"/>
    <cellStyle name="Обычный 5 6 2 4 2" xfId="25741"/>
    <cellStyle name="Обычный 5 6 2 4 2 2" xfId="25742"/>
    <cellStyle name="Обычный 5 6 2 4 2 2 2" xfId="55614"/>
    <cellStyle name="Обычный 5 6 2 4 2 3" xfId="55615"/>
    <cellStyle name="Обычный 5 6 2 4 3" xfId="25743"/>
    <cellStyle name="Обычный 5 6 2 4 3 2" xfId="55616"/>
    <cellStyle name="Обычный 5 6 2 4 4" xfId="55617"/>
    <cellStyle name="Обычный 5 6 2 5" xfId="25744"/>
    <cellStyle name="Обычный 5 6 2 5 2" xfId="25745"/>
    <cellStyle name="Обычный 5 6 2 5 2 2" xfId="55618"/>
    <cellStyle name="Обычный 5 6 2 5 3" xfId="55619"/>
    <cellStyle name="Обычный 5 6 2 6" xfId="25746"/>
    <cellStyle name="Обычный 5 6 2 6 2" xfId="55620"/>
    <cellStyle name="Обычный 5 6 2 7" xfId="25747"/>
    <cellStyle name="Обычный 5 6 2 7 2" xfId="55621"/>
    <cellStyle name="Обычный 5 6 2 8" xfId="55622"/>
    <cellStyle name="Обычный 5 6 20" xfId="25748"/>
    <cellStyle name="Обычный 5 6 20 2" xfId="25749"/>
    <cellStyle name="Обычный 5 6 20 2 2" xfId="25750"/>
    <cellStyle name="Обычный 5 6 20 2 2 2" xfId="25751"/>
    <cellStyle name="Обычный 5 6 20 2 2 2 2" xfId="55623"/>
    <cellStyle name="Обычный 5 6 20 2 2 3" xfId="55624"/>
    <cellStyle name="Обычный 5 6 20 2 3" xfId="25752"/>
    <cellStyle name="Обычный 5 6 20 2 3 2" xfId="55625"/>
    <cellStyle name="Обычный 5 6 20 2 4" xfId="55626"/>
    <cellStyle name="Обычный 5 6 20 3" xfId="25753"/>
    <cellStyle name="Обычный 5 6 20 3 2" xfId="25754"/>
    <cellStyle name="Обычный 5 6 20 3 2 2" xfId="25755"/>
    <cellStyle name="Обычный 5 6 20 3 2 2 2" xfId="55627"/>
    <cellStyle name="Обычный 5 6 20 3 2 3" xfId="55628"/>
    <cellStyle name="Обычный 5 6 20 3 3" xfId="25756"/>
    <cellStyle name="Обычный 5 6 20 3 3 2" xfId="55629"/>
    <cellStyle name="Обычный 5 6 20 3 4" xfId="55630"/>
    <cellStyle name="Обычный 5 6 20 4" xfId="25757"/>
    <cellStyle name="Обычный 5 6 20 4 2" xfId="25758"/>
    <cellStyle name="Обычный 5 6 20 4 2 2" xfId="25759"/>
    <cellStyle name="Обычный 5 6 20 4 2 2 2" xfId="55631"/>
    <cellStyle name="Обычный 5 6 20 4 2 3" xfId="55632"/>
    <cellStyle name="Обычный 5 6 20 4 3" xfId="25760"/>
    <cellStyle name="Обычный 5 6 20 4 3 2" xfId="55633"/>
    <cellStyle name="Обычный 5 6 20 4 4" xfId="55634"/>
    <cellStyle name="Обычный 5 6 20 5" xfId="25761"/>
    <cellStyle name="Обычный 5 6 20 5 2" xfId="25762"/>
    <cellStyle name="Обычный 5 6 20 5 2 2" xfId="55635"/>
    <cellStyle name="Обычный 5 6 20 5 3" xfId="55636"/>
    <cellStyle name="Обычный 5 6 20 6" xfId="25763"/>
    <cellStyle name="Обычный 5 6 20 6 2" xfId="55637"/>
    <cellStyle name="Обычный 5 6 20 7" xfId="25764"/>
    <cellStyle name="Обычный 5 6 20 7 2" xfId="55638"/>
    <cellStyle name="Обычный 5 6 20 8" xfId="55639"/>
    <cellStyle name="Обычный 5 6 21" xfId="25765"/>
    <cellStyle name="Обычный 5 6 21 2" xfId="25766"/>
    <cellStyle name="Обычный 5 6 21 2 2" xfId="25767"/>
    <cellStyle name="Обычный 5 6 21 2 2 2" xfId="25768"/>
    <cellStyle name="Обычный 5 6 21 2 2 2 2" xfId="55640"/>
    <cellStyle name="Обычный 5 6 21 2 2 3" xfId="55641"/>
    <cellStyle name="Обычный 5 6 21 2 3" xfId="25769"/>
    <cellStyle name="Обычный 5 6 21 2 3 2" xfId="55642"/>
    <cellStyle name="Обычный 5 6 21 2 4" xfId="55643"/>
    <cellStyle name="Обычный 5 6 21 3" xfId="25770"/>
    <cellStyle name="Обычный 5 6 21 3 2" xfId="25771"/>
    <cellStyle name="Обычный 5 6 21 3 2 2" xfId="25772"/>
    <cellStyle name="Обычный 5 6 21 3 2 2 2" xfId="55644"/>
    <cellStyle name="Обычный 5 6 21 3 2 3" xfId="55645"/>
    <cellStyle name="Обычный 5 6 21 3 3" xfId="25773"/>
    <cellStyle name="Обычный 5 6 21 3 3 2" xfId="55646"/>
    <cellStyle name="Обычный 5 6 21 3 4" xfId="55647"/>
    <cellStyle name="Обычный 5 6 21 4" xfId="25774"/>
    <cellStyle name="Обычный 5 6 21 4 2" xfId="25775"/>
    <cellStyle name="Обычный 5 6 21 4 2 2" xfId="25776"/>
    <cellStyle name="Обычный 5 6 21 4 2 2 2" xfId="55648"/>
    <cellStyle name="Обычный 5 6 21 4 2 3" xfId="55649"/>
    <cellStyle name="Обычный 5 6 21 4 3" xfId="25777"/>
    <cellStyle name="Обычный 5 6 21 4 3 2" xfId="55650"/>
    <cellStyle name="Обычный 5 6 21 4 4" xfId="55651"/>
    <cellStyle name="Обычный 5 6 21 5" xfId="25778"/>
    <cellStyle name="Обычный 5 6 21 5 2" xfId="25779"/>
    <cellStyle name="Обычный 5 6 21 5 2 2" xfId="55652"/>
    <cellStyle name="Обычный 5 6 21 5 3" xfId="55653"/>
    <cellStyle name="Обычный 5 6 21 6" xfId="25780"/>
    <cellStyle name="Обычный 5 6 21 6 2" xfId="55654"/>
    <cellStyle name="Обычный 5 6 21 7" xfId="25781"/>
    <cellStyle name="Обычный 5 6 21 7 2" xfId="55655"/>
    <cellStyle name="Обычный 5 6 21 8" xfId="55656"/>
    <cellStyle name="Обычный 5 6 22" xfId="25782"/>
    <cellStyle name="Обычный 5 6 22 2" xfId="25783"/>
    <cellStyle name="Обычный 5 6 22 2 2" xfId="25784"/>
    <cellStyle name="Обычный 5 6 22 2 2 2" xfId="25785"/>
    <cellStyle name="Обычный 5 6 22 2 2 2 2" xfId="55657"/>
    <cellStyle name="Обычный 5 6 22 2 2 3" xfId="55658"/>
    <cellStyle name="Обычный 5 6 22 2 3" xfId="25786"/>
    <cellStyle name="Обычный 5 6 22 2 3 2" xfId="55659"/>
    <cellStyle name="Обычный 5 6 22 2 4" xfId="55660"/>
    <cellStyle name="Обычный 5 6 22 3" xfId="25787"/>
    <cellStyle name="Обычный 5 6 22 3 2" xfId="25788"/>
    <cellStyle name="Обычный 5 6 22 3 2 2" xfId="25789"/>
    <cellStyle name="Обычный 5 6 22 3 2 2 2" xfId="55661"/>
    <cellStyle name="Обычный 5 6 22 3 2 3" xfId="55662"/>
    <cellStyle name="Обычный 5 6 22 3 3" xfId="25790"/>
    <cellStyle name="Обычный 5 6 22 3 3 2" xfId="55663"/>
    <cellStyle name="Обычный 5 6 22 3 4" xfId="55664"/>
    <cellStyle name="Обычный 5 6 22 4" xfId="25791"/>
    <cellStyle name="Обычный 5 6 22 4 2" xfId="25792"/>
    <cellStyle name="Обычный 5 6 22 4 2 2" xfId="25793"/>
    <cellStyle name="Обычный 5 6 22 4 2 2 2" xfId="55665"/>
    <cellStyle name="Обычный 5 6 22 4 2 3" xfId="55666"/>
    <cellStyle name="Обычный 5 6 22 4 3" xfId="25794"/>
    <cellStyle name="Обычный 5 6 22 4 3 2" xfId="55667"/>
    <cellStyle name="Обычный 5 6 22 4 4" xfId="55668"/>
    <cellStyle name="Обычный 5 6 22 5" xfId="25795"/>
    <cellStyle name="Обычный 5 6 22 5 2" xfId="25796"/>
    <cellStyle name="Обычный 5 6 22 5 2 2" xfId="55669"/>
    <cellStyle name="Обычный 5 6 22 5 3" xfId="55670"/>
    <cellStyle name="Обычный 5 6 22 6" xfId="25797"/>
    <cellStyle name="Обычный 5 6 22 6 2" xfId="55671"/>
    <cellStyle name="Обычный 5 6 22 7" xfId="25798"/>
    <cellStyle name="Обычный 5 6 22 7 2" xfId="55672"/>
    <cellStyle name="Обычный 5 6 22 8" xfId="55673"/>
    <cellStyle name="Обычный 5 6 23" xfId="25799"/>
    <cellStyle name="Обычный 5 6 23 2" xfId="25800"/>
    <cellStyle name="Обычный 5 6 23 2 2" xfId="25801"/>
    <cellStyle name="Обычный 5 6 23 2 2 2" xfId="25802"/>
    <cellStyle name="Обычный 5 6 23 2 2 2 2" xfId="55674"/>
    <cellStyle name="Обычный 5 6 23 2 2 3" xfId="55675"/>
    <cellStyle name="Обычный 5 6 23 2 3" xfId="25803"/>
    <cellStyle name="Обычный 5 6 23 2 3 2" xfId="55676"/>
    <cellStyle name="Обычный 5 6 23 2 4" xfId="55677"/>
    <cellStyle name="Обычный 5 6 23 3" xfId="25804"/>
    <cellStyle name="Обычный 5 6 23 3 2" xfId="25805"/>
    <cellStyle name="Обычный 5 6 23 3 2 2" xfId="25806"/>
    <cellStyle name="Обычный 5 6 23 3 2 2 2" xfId="55678"/>
    <cellStyle name="Обычный 5 6 23 3 2 3" xfId="55679"/>
    <cellStyle name="Обычный 5 6 23 3 3" xfId="25807"/>
    <cellStyle name="Обычный 5 6 23 3 3 2" xfId="55680"/>
    <cellStyle name="Обычный 5 6 23 3 4" xfId="55681"/>
    <cellStyle name="Обычный 5 6 23 4" xfId="25808"/>
    <cellStyle name="Обычный 5 6 23 4 2" xfId="25809"/>
    <cellStyle name="Обычный 5 6 23 4 2 2" xfId="25810"/>
    <cellStyle name="Обычный 5 6 23 4 2 2 2" xfId="55682"/>
    <cellStyle name="Обычный 5 6 23 4 2 3" xfId="55683"/>
    <cellStyle name="Обычный 5 6 23 4 3" xfId="25811"/>
    <cellStyle name="Обычный 5 6 23 4 3 2" xfId="55684"/>
    <cellStyle name="Обычный 5 6 23 4 4" xfId="55685"/>
    <cellStyle name="Обычный 5 6 23 5" xfId="25812"/>
    <cellStyle name="Обычный 5 6 23 5 2" xfId="25813"/>
    <cellStyle name="Обычный 5 6 23 5 2 2" xfId="55686"/>
    <cellStyle name="Обычный 5 6 23 5 3" xfId="55687"/>
    <cellStyle name="Обычный 5 6 23 6" xfId="25814"/>
    <cellStyle name="Обычный 5 6 23 6 2" xfId="55688"/>
    <cellStyle name="Обычный 5 6 23 7" xfId="25815"/>
    <cellStyle name="Обычный 5 6 23 7 2" xfId="55689"/>
    <cellStyle name="Обычный 5 6 23 8" xfId="55690"/>
    <cellStyle name="Обычный 5 6 24" xfId="25816"/>
    <cellStyle name="Обычный 5 6 24 2" xfId="25817"/>
    <cellStyle name="Обычный 5 6 24 2 2" xfId="25818"/>
    <cellStyle name="Обычный 5 6 24 2 2 2" xfId="25819"/>
    <cellStyle name="Обычный 5 6 24 2 2 2 2" xfId="55691"/>
    <cellStyle name="Обычный 5 6 24 2 2 3" xfId="55692"/>
    <cellStyle name="Обычный 5 6 24 2 3" xfId="25820"/>
    <cellStyle name="Обычный 5 6 24 2 3 2" xfId="55693"/>
    <cellStyle name="Обычный 5 6 24 2 4" xfId="55694"/>
    <cellStyle name="Обычный 5 6 24 3" xfId="25821"/>
    <cellStyle name="Обычный 5 6 24 3 2" xfId="25822"/>
    <cellStyle name="Обычный 5 6 24 3 2 2" xfId="25823"/>
    <cellStyle name="Обычный 5 6 24 3 2 2 2" xfId="55695"/>
    <cellStyle name="Обычный 5 6 24 3 2 3" xfId="55696"/>
    <cellStyle name="Обычный 5 6 24 3 3" xfId="25824"/>
    <cellStyle name="Обычный 5 6 24 3 3 2" xfId="55697"/>
    <cellStyle name="Обычный 5 6 24 3 4" xfId="55698"/>
    <cellStyle name="Обычный 5 6 24 4" xfId="25825"/>
    <cellStyle name="Обычный 5 6 24 4 2" xfId="25826"/>
    <cellStyle name="Обычный 5 6 24 4 2 2" xfId="25827"/>
    <cellStyle name="Обычный 5 6 24 4 2 2 2" xfId="55699"/>
    <cellStyle name="Обычный 5 6 24 4 2 3" xfId="55700"/>
    <cellStyle name="Обычный 5 6 24 4 3" xfId="25828"/>
    <cellStyle name="Обычный 5 6 24 4 3 2" xfId="55701"/>
    <cellStyle name="Обычный 5 6 24 4 4" xfId="55702"/>
    <cellStyle name="Обычный 5 6 24 5" xfId="25829"/>
    <cellStyle name="Обычный 5 6 24 5 2" xfId="25830"/>
    <cellStyle name="Обычный 5 6 24 5 2 2" xfId="55703"/>
    <cellStyle name="Обычный 5 6 24 5 3" xfId="55704"/>
    <cellStyle name="Обычный 5 6 24 6" xfId="25831"/>
    <cellStyle name="Обычный 5 6 24 6 2" xfId="55705"/>
    <cellStyle name="Обычный 5 6 24 7" xfId="25832"/>
    <cellStyle name="Обычный 5 6 24 7 2" xfId="55706"/>
    <cellStyle name="Обычный 5 6 24 8" xfId="55707"/>
    <cellStyle name="Обычный 5 6 25" xfId="25833"/>
    <cellStyle name="Обычный 5 6 25 2" xfId="25834"/>
    <cellStyle name="Обычный 5 6 25 2 2" xfId="25835"/>
    <cellStyle name="Обычный 5 6 25 2 2 2" xfId="25836"/>
    <cellStyle name="Обычный 5 6 25 2 2 2 2" xfId="55708"/>
    <cellStyle name="Обычный 5 6 25 2 2 3" xfId="55709"/>
    <cellStyle name="Обычный 5 6 25 2 3" xfId="25837"/>
    <cellStyle name="Обычный 5 6 25 2 3 2" xfId="55710"/>
    <cellStyle name="Обычный 5 6 25 2 4" xfId="55711"/>
    <cellStyle name="Обычный 5 6 25 3" xfId="25838"/>
    <cellStyle name="Обычный 5 6 25 3 2" xfId="25839"/>
    <cellStyle name="Обычный 5 6 25 3 2 2" xfId="25840"/>
    <cellStyle name="Обычный 5 6 25 3 2 2 2" xfId="55712"/>
    <cellStyle name="Обычный 5 6 25 3 2 3" xfId="55713"/>
    <cellStyle name="Обычный 5 6 25 3 3" xfId="25841"/>
    <cellStyle name="Обычный 5 6 25 3 3 2" xfId="55714"/>
    <cellStyle name="Обычный 5 6 25 3 4" xfId="55715"/>
    <cellStyle name="Обычный 5 6 25 4" xfId="25842"/>
    <cellStyle name="Обычный 5 6 25 4 2" xfId="25843"/>
    <cellStyle name="Обычный 5 6 25 4 2 2" xfId="25844"/>
    <cellStyle name="Обычный 5 6 25 4 2 2 2" xfId="55716"/>
    <cellStyle name="Обычный 5 6 25 4 2 3" xfId="55717"/>
    <cellStyle name="Обычный 5 6 25 4 3" xfId="25845"/>
    <cellStyle name="Обычный 5 6 25 4 3 2" xfId="55718"/>
    <cellStyle name="Обычный 5 6 25 4 4" xfId="55719"/>
    <cellStyle name="Обычный 5 6 25 5" xfId="25846"/>
    <cellStyle name="Обычный 5 6 25 5 2" xfId="25847"/>
    <cellStyle name="Обычный 5 6 25 5 2 2" xfId="55720"/>
    <cellStyle name="Обычный 5 6 25 5 3" xfId="55721"/>
    <cellStyle name="Обычный 5 6 25 6" xfId="25848"/>
    <cellStyle name="Обычный 5 6 25 6 2" xfId="55722"/>
    <cellStyle name="Обычный 5 6 25 7" xfId="25849"/>
    <cellStyle name="Обычный 5 6 25 7 2" xfId="55723"/>
    <cellStyle name="Обычный 5 6 25 8" xfId="55724"/>
    <cellStyle name="Обычный 5 6 26" xfId="25850"/>
    <cellStyle name="Обычный 5 6 26 2" xfId="25851"/>
    <cellStyle name="Обычный 5 6 26 2 2" xfId="25852"/>
    <cellStyle name="Обычный 5 6 26 2 2 2" xfId="25853"/>
    <cellStyle name="Обычный 5 6 26 2 2 2 2" xfId="55725"/>
    <cellStyle name="Обычный 5 6 26 2 2 3" xfId="55726"/>
    <cellStyle name="Обычный 5 6 26 2 3" xfId="25854"/>
    <cellStyle name="Обычный 5 6 26 2 3 2" xfId="55727"/>
    <cellStyle name="Обычный 5 6 26 2 4" xfId="55728"/>
    <cellStyle name="Обычный 5 6 26 3" xfId="25855"/>
    <cellStyle name="Обычный 5 6 26 3 2" xfId="25856"/>
    <cellStyle name="Обычный 5 6 26 3 2 2" xfId="25857"/>
    <cellStyle name="Обычный 5 6 26 3 2 2 2" xfId="55729"/>
    <cellStyle name="Обычный 5 6 26 3 2 3" xfId="55730"/>
    <cellStyle name="Обычный 5 6 26 3 3" xfId="25858"/>
    <cellStyle name="Обычный 5 6 26 3 3 2" xfId="55731"/>
    <cellStyle name="Обычный 5 6 26 3 4" xfId="55732"/>
    <cellStyle name="Обычный 5 6 26 4" xfId="25859"/>
    <cellStyle name="Обычный 5 6 26 4 2" xfId="25860"/>
    <cellStyle name="Обычный 5 6 26 4 2 2" xfId="25861"/>
    <cellStyle name="Обычный 5 6 26 4 2 2 2" xfId="55733"/>
    <cellStyle name="Обычный 5 6 26 4 2 3" xfId="55734"/>
    <cellStyle name="Обычный 5 6 26 4 3" xfId="25862"/>
    <cellStyle name="Обычный 5 6 26 4 3 2" xfId="55735"/>
    <cellStyle name="Обычный 5 6 26 4 4" xfId="55736"/>
    <cellStyle name="Обычный 5 6 26 5" xfId="25863"/>
    <cellStyle name="Обычный 5 6 26 5 2" xfId="25864"/>
    <cellStyle name="Обычный 5 6 26 5 2 2" xfId="55737"/>
    <cellStyle name="Обычный 5 6 26 5 3" xfId="55738"/>
    <cellStyle name="Обычный 5 6 26 6" xfId="25865"/>
    <cellStyle name="Обычный 5 6 26 6 2" xfId="55739"/>
    <cellStyle name="Обычный 5 6 26 7" xfId="25866"/>
    <cellStyle name="Обычный 5 6 26 7 2" xfId="55740"/>
    <cellStyle name="Обычный 5 6 26 8" xfId="55741"/>
    <cellStyle name="Обычный 5 6 27" xfId="25867"/>
    <cellStyle name="Обычный 5 6 27 2" xfId="25868"/>
    <cellStyle name="Обычный 5 6 27 2 2" xfId="25869"/>
    <cellStyle name="Обычный 5 6 27 2 2 2" xfId="25870"/>
    <cellStyle name="Обычный 5 6 27 2 2 2 2" xfId="55742"/>
    <cellStyle name="Обычный 5 6 27 2 2 3" xfId="55743"/>
    <cellStyle name="Обычный 5 6 27 2 3" xfId="25871"/>
    <cellStyle name="Обычный 5 6 27 2 3 2" xfId="55744"/>
    <cellStyle name="Обычный 5 6 27 2 4" xfId="55745"/>
    <cellStyle name="Обычный 5 6 27 3" xfId="25872"/>
    <cellStyle name="Обычный 5 6 27 3 2" xfId="25873"/>
    <cellStyle name="Обычный 5 6 27 3 2 2" xfId="25874"/>
    <cellStyle name="Обычный 5 6 27 3 2 2 2" xfId="55746"/>
    <cellStyle name="Обычный 5 6 27 3 2 3" xfId="55747"/>
    <cellStyle name="Обычный 5 6 27 3 3" xfId="25875"/>
    <cellStyle name="Обычный 5 6 27 3 3 2" xfId="55748"/>
    <cellStyle name="Обычный 5 6 27 3 4" xfId="55749"/>
    <cellStyle name="Обычный 5 6 27 4" xfId="25876"/>
    <cellStyle name="Обычный 5 6 27 4 2" xfId="25877"/>
    <cellStyle name="Обычный 5 6 27 4 2 2" xfId="25878"/>
    <cellStyle name="Обычный 5 6 27 4 2 2 2" xfId="55750"/>
    <cellStyle name="Обычный 5 6 27 4 2 3" xfId="55751"/>
    <cellStyle name="Обычный 5 6 27 4 3" xfId="25879"/>
    <cellStyle name="Обычный 5 6 27 4 3 2" xfId="55752"/>
    <cellStyle name="Обычный 5 6 27 4 4" xfId="55753"/>
    <cellStyle name="Обычный 5 6 27 5" xfId="25880"/>
    <cellStyle name="Обычный 5 6 27 5 2" xfId="25881"/>
    <cellStyle name="Обычный 5 6 27 5 2 2" xfId="55754"/>
    <cellStyle name="Обычный 5 6 27 5 3" xfId="55755"/>
    <cellStyle name="Обычный 5 6 27 6" xfId="25882"/>
    <cellStyle name="Обычный 5 6 27 6 2" xfId="55756"/>
    <cellStyle name="Обычный 5 6 27 7" xfId="25883"/>
    <cellStyle name="Обычный 5 6 27 7 2" xfId="55757"/>
    <cellStyle name="Обычный 5 6 27 8" xfId="55758"/>
    <cellStyle name="Обычный 5 6 28" xfId="25884"/>
    <cellStyle name="Обычный 5 6 28 2" xfId="25885"/>
    <cellStyle name="Обычный 5 6 28 2 2" xfId="25886"/>
    <cellStyle name="Обычный 5 6 28 2 2 2" xfId="25887"/>
    <cellStyle name="Обычный 5 6 28 2 2 2 2" xfId="55759"/>
    <cellStyle name="Обычный 5 6 28 2 2 3" xfId="55760"/>
    <cellStyle name="Обычный 5 6 28 2 3" xfId="25888"/>
    <cellStyle name="Обычный 5 6 28 2 3 2" xfId="55761"/>
    <cellStyle name="Обычный 5 6 28 2 4" xfId="55762"/>
    <cellStyle name="Обычный 5 6 28 3" xfId="25889"/>
    <cellStyle name="Обычный 5 6 28 3 2" xfId="25890"/>
    <cellStyle name="Обычный 5 6 28 3 2 2" xfId="25891"/>
    <cellStyle name="Обычный 5 6 28 3 2 2 2" xfId="55763"/>
    <cellStyle name="Обычный 5 6 28 3 2 3" xfId="55764"/>
    <cellStyle name="Обычный 5 6 28 3 3" xfId="25892"/>
    <cellStyle name="Обычный 5 6 28 3 3 2" xfId="55765"/>
    <cellStyle name="Обычный 5 6 28 3 4" xfId="55766"/>
    <cellStyle name="Обычный 5 6 28 4" xfId="25893"/>
    <cellStyle name="Обычный 5 6 28 4 2" xfId="25894"/>
    <cellStyle name="Обычный 5 6 28 4 2 2" xfId="25895"/>
    <cellStyle name="Обычный 5 6 28 4 2 2 2" xfId="55767"/>
    <cellStyle name="Обычный 5 6 28 4 2 3" xfId="55768"/>
    <cellStyle name="Обычный 5 6 28 4 3" xfId="25896"/>
    <cellStyle name="Обычный 5 6 28 4 3 2" xfId="55769"/>
    <cellStyle name="Обычный 5 6 28 4 4" xfId="55770"/>
    <cellStyle name="Обычный 5 6 28 5" xfId="25897"/>
    <cellStyle name="Обычный 5 6 28 5 2" xfId="25898"/>
    <cellStyle name="Обычный 5 6 28 5 2 2" xfId="55771"/>
    <cellStyle name="Обычный 5 6 28 5 3" xfId="55772"/>
    <cellStyle name="Обычный 5 6 28 6" xfId="25899"/>
    <cellStyle name="Обычный 5 6 28 6 2" xfId="55773"/>
    <cellStyle name="Обычный 5 6 28 7" xfId="25900"/>
    <cellStyle name="Обычный 5 6 28 7 2" xfId="55774"/>
    <cellStyle name="Обычный 5 6 28 8" xfId="55775"/>
    <cellStyle name="Обычный 5 6 29" xfId="25901"/>
    <cellStyle name="Обычный 5 6 29 2" xfId="25902"/>
    <cellStyle name="Обычный 5 6 29 2 2" xfId="25903"/>
    <cellStyle name="Обычный 5 6 29 2 2 2" xfId="25904"/>
    <cellStyle name="Обычный 5 6 29 2 2 2 2" xfId="55776"/>
    <cellStyle name="Обычный 5 6 29 2 2 3" xfId="55777"/>
    <cellStyle name="Обычный 5 6 29 2 3" xfId="25905"/>
    <cellStyle name="Обычный 5 6 29 2 3 2" xfId="55778"/>
    <cellStyle name="Обычный 5 6 29 2 4" xfId="55779"/>
    <cellStyle name="Обычный 5 6 29 3" xfId="25906"/>
    <cellStyle name="Обычный 5 6 29 3 2" xfId="25907"/>
    <cellStyle name="Обычный 5 6 29 3 2 2" xfId="25908"/>
    <cellStyle name="Обычный 5 6 29 3 2 2 2" xfId="55780"/>
    <cellStyle name="Обычный 5 6 29 3 2 3" xfId="55781"/>
    <cellStyle name="Обычный 5 6 29 3 3" xfId="25909"/>
    <cellStyle name="Обычный 5 6 29 3 3 2" xfId="55782"/>
    <cellStyle name="Обычный 5 6 29 3 4" xfId="55783"/>
    <cellStyle name="Обычный 5 6 29 4" xfId="25910"/>
    <cellStyle name="Обычный 5 6 29 4 2" xfId="25911"/>
    <cellStyle name="Обычный 5 6 29 4 2 2" xfId="25912"/>
    <cellStyle name="Обычный 5 6 29 4 2 2 2" xfId="55784"/>
    <cellStyle name="Обычный 5 6 29 4 2 3" xfId="55785"/>
    <cellStyle name="Обычный 5 6 29 4 3" xfId="25913"/>
    <cellStyle name="Обычный 5 6 29 4 3 2" xfId="55786"/>
    <cellStyle name="Обычный 5 6 29 4 4" xfId="55787"/>
    <cellStyle name="Обычный 5 6 29 5" xfId="25914"/>
    <cellStyle name="Обычный 5 6 29 5 2" xfId="25915"/>
    <cellStyle name="Обычный 5 6 29 5 2 2" xfId="55788"/>
    <cellStyle name="Обычный 5 6 29 5 3" xfId="55789"/>
    <cellStyle name="Обычный 5 6 29 6" xfId="25916"/>
    <cellStyle name="Обычный 5 6 29 6 2" xfId="55790"/>
    <cellStyle name="Обычный 5 6 29 7" xfId="25917"/>
    <cellStyle name="Обычный 5 6 29 7 2" xfId="55791"/>
    <cellStyle name="Обычный 5 6 29 8" xfId="55792"/>
    <cellStyle name="Обычный 5 6 3" xfId="25918"/>
    <cellStyle name="Обычный 5 6 3 2" xfId="25919"/>
    <cellStyle name="Обычный 5 6 3 2 2" xfId="25920"/>
    <cellStyle name="Обычный 5 6 3 2 2 2" xfId="25921"/>
    <cellStyle name="Обычный 5 6 3 2 2 2 2" xfId="55793"/>
    <cellStyle name="Обычный 5 6 3 2 2 3" xfId="55794"/>
    <cellStyle name="Обычный 5 6 3 2 3" xfId="25922"/>
    <cellStyle name="Обычный 5 6 3 2 3 2" xfId="55795"/>
    <cellStyle name="Обычный 5 6 3 2 4" xfId="55796"/>
    <cellStyle name="Обычный 5 6 3 3" xfId="25923"/>
    <cellStyle name="Обычный 5 6 3 3 2" xfId="25924"/>
    <cellStyle name="Обычный 5 6 3 3 2 2" xfId="25925"/>
    <cellStyle name="Обычный 5 6 3 3 2 2 2" xfId="55797"/>
    <cellStyle name="Обычный 5 6 3 3 2 3" xfId="55798"/>
    <cellStyle name="Обычный 5 6 3 3 3" xfId="25926"/>
    <cellStyle name="Обычный 5 6 3 3 3 2" xfId="55799"/>
    <cellStyle name="Обычный 5 6 3 3 4" xfId="55800"/>
    <cellStyle name="Обычный 5 6 3 4" xfId="25927"/>
    <cellStyle name="Обычный 5 6 3 4 2" xfId="25928"/>
    <cellStyle name="Обычный 5 6 3 4 2 2" xfId="25929"/>
    <cellStyle name="Обычный 5 6 3 4 2 2 2" xfId="55801"/>
    <cellStyle name="Обычный 5 6 3 4 2 3" xfId="55802"/>
    <cellStyle name="Обычный 5 6 3 4 3" xfId="25930"/>
    <cellStyle name="Обычный 5 6 3 4 3 2" xfId="55803"/>
    <cellStyle name="Обычный 5 6 3 4 4" xfId="55804"/>
    <cellStyle name="Обычный 5 6 3 5" xfId="25931"/>
    <cellStyle name="Обычный 5 6 3 5 2" xfId="25932"/>
    <cellStyle name="Обычный 5 6 3 5 2 2" xfId="55805"/>
    <cellStyle name="Обычный 5 6 3 5 3" xfId="55806"/>
    <cellStyle name="Обычный 5 6 3 6" xfId="25933"/>
    <cellStyle name="Обычный 5 6 3 6 2" xfId="55807"/>
    <cellStyle name="Обычный 5 6 3 7" xfId="25934"/>
    <cellStyle name="Обычный 5 6 3 7 2" xfId="55808"/>
    <cellStyle name="Обычный 5 6 3 8" xfId="55809"/>
    <cellStyle name="Обычный 5 6 30" xfId="25935"/>
    <cellStyle name="Обычный 5 6 30 2" xfId="25936"/>
    <cellStyle name="Обычный 5 6 30 2 2" xfId="25937"/>
    <cellStyle name="Обычный 5 6 30 2 2 2" xfId="55810"/>
    <cellStyle name="Обычный 5 6 30 2 3" xfId="55811"/>
    <cellStyle name="Обычный 5 6 30 3" xfId="25938"/>
    <cellStyle name="Обычный 5 6 30 3 2" xfId="55812"/>
    <cellStyle name="Обычный 5 6 30 4" xfId="55813"/>
    <cellStyle name="Обычный 5 6 31" xfId="25939"/>
    <cellStyle name="Обычный 5 6 31 2" xfId="25940"/>
    <cellStyle name="Обычный 5 6 31 2 2" xfId="25941"/>
    <cellStyle name="Обычный 5 6 31 2 2 2" xfId="55814"/>
    <cellStyle name="Обычный 5 6 31 2 3" xfId="55815"/>
    <cellStyle name="Обычный 5 6 31 3" xfId="25942"/>
    <cellStyle name="Обычный 5 6 31 3 2" xfId="55816"/>
    <cellStyle name="Обычный 5 6 31 4" xfId="55817"/>
    <cellStyle name="Обычный 5 6 32" xfId="25943"/>
    <cellStyle name="Обычный 5 6 32 2" xfId="25944"/>
    <cellStyle name="Обычный 5 6 32 2 2" xfId="25945"/>
    <cellStyle name="Обычный 5 6 32 2 2 2" xfId="55818"/>
    <cellStyle name="Обычный 5 6 32 2 3" xfId="55819"/>
    <cellStyle name="Обычный 5 6 32 3" xfId="25946"/>
    <cellStyle name="Обычный 5 6 32 3 2" xfId="55820"/>
    <cellStyle name="Обычный 5 6 32 4" xfId="55821"/>
    <cellStyle name="Обычный 5 6 33" xfId="25947"/>
    <cellStyle name="Обычный 5 6 33 2" xfId="25948"/>
    <cellStyle name="Обычный 5 6 33 2 2" xfId="25949"/>
    <cellStyle name="Обычный 5 6 33 2 2 2" xfId="55822"/>
    <cellStyle name="Обычный 5 6 33 2 3" xfId="55823"/>
    <cellStyle name="Обычный 5 6 33 3" xfId="25950"/>
    <cellStyle name="Обычный 5 6 33 3 2" xfId="55824"/>
    <cellStyle name="Обычный 5 6 33 4" xfId="55825"/>
    <cellStyle name="Обычный 5 6 34" xfId="25951"/>
    <cellStyle name="Обычный 5 6 34 2" xfId="25952"/>
    <cellStyle name="Обычный 5 6 34 2 2" xfId="55826"/>
    <cellStyle name="Обычный 5 6 34 3" xfId="55827"/>
    <cellStyle name="Обычный 5 6 35" xfId="25953"/>
    <cellStyle name="Обычный 5 6 35 2" xfId="55828"/>
    <cellStyle name="Обычный 5 6 36" xfId="25954"/>
    <cellStyle name="Обычный 5 6 36 2" xfId="55829"/>
    <cellStyle name="Обычный 5 6 37" xfId="55830"/>
    <cellStyle name="Обычный 5 6 4" xfId="25955"/>
    <cellStyle name="Обычный 5 6 4 2" xfId="25956"/>
    <cellStyle name="Обычный 5 6 4 2 2" xfId="25957"/>
    <cellStyle name="Обычный 5 6 4 2 2 2" xfId="25958"/>
    <cellStyle name="Обычный 5 6 4 2 2 2 2" xfId="55831"/>
    <cellStyle name="Обычный 5 6 4 2 2 3" xfId="55832"/>
    <cellStyle name="Обычный 5 6 4 2 3" xfId="25959"/>
    <cellStyle name="Обычный 5 6 4 2 3 2" xfId="55833"/>
    <cellStyle name="Обычный 5 6 4 2 4" xfId="55834"/>
    <cellStyle name="Обычный 5 6 4 3" xfId="25960"/>
    <cellStyle name="Обычный 5 6 4 3 2" xfId="25961"/>
    <cellStyle name="Обычный 5 6 4 3 2 2" xfId="25962"/>
    <cellStyle name="Обычный 5 6 4 3 2 2 2" xfId="55835"/>
    <cellStyle name="Обычный 5 6 4 3 2 3" xfId="55836"/>
    <cellStyle name="Обычный 5 6 4 3 3" xfId="25963"/>
    <cellStyle name="Обычный 5 6 4 3 3 2" xfId="55837"/>
    <cellStyle name="Обычный 5 6 4 3 4" xfId="55838"/>
    <cellStyle name="Обычный 5 6 4 4" xfId="25964"/>
    <cellStyle name="Обычный 5 6 4 4 2" xfId="25965"/>
    <cellStyle name="Обычный 5 6 4 4 2 2" xfId="25966"/>
    <cellStyle name="Обычный 5 6 4 4 2 2 2" xfId="55839"/>
    <cellStyle name="Обычный 5 6 4 4 2 3" xfId="55840"/>
    <cellStyle name="Обычный 5 6 4 4 3" xfId="25967"/>
    <cellStyle name="Обычный 5 6 4 4 3 2" xfId="55841"/>
    <cellStyle name="Обычный 5 6 4 4 4" xfId="55842"/>
    <cellStyle name="Обычный 5 6 4 5" xfId="25968"/>
    <cellStyle name="Обычный 5 6 4 5 2" xfId="25969"/>
    <cellStyle name="Обычный 5 6 4 5 2 2" xfId="55843"/>
    <cellStyle name="Обычный 5 6 4 5 3" xfId="55844"/>
    <cellStyle name="Обычный 5 6 4 6" xfId="25970"/>
    <cellStyle name="Обычный 5 6 4 6 2" xfId="55845"/>
    <cellStyle name="Обычный 5 6 4 7" xfId="25971"/>
    <cellStyle name="Обычный 5 6 4 7 2" xfId="55846"/>
    <cellStyle name="Обычный 5 6 4 8" xfId="55847"/>
    <cellStyle name="Обычный 5 6 5" xfId="25972"/>
    <cellStyle name="Обычный 5 6 5 2" xfId="25973"/>
    <cellStyle name="Обычный 5 6 5 2 2" xfId="25974"/>
    <cellStyle name="Обычный 5 6 5 2 2 2" xfId="25975"/>
    <cellStyle name="Обычный 5 6 5 2 2 2 2" xfId="55848"/>
    <cellStyle name="Обычный 5 6 5 2 2 3" xfId="55849"/>
    <cellStyle name="Обычный 5 6 5 2 3" xfId="25976"/>
    <cellStyle name="Обычный 5 6 5 2 3 2" xfId="55850"/>
    <cellStyle name="Обычный 5 6 5 2 4" xfId="55851"/>
    <cellStyle name="Обычный 5 6 5 3" xfId="25977"/>
    <cellStyle name="Обычный 5 6 5 3 2" xfId="25978"/>
    <cellStyle name="Обычный 5 6 5 3 2 2" xfId="25979"/>
    <cellStyle name="Обычный 5 6 5 3 2 2 2" xfId="55852"/>
    <cellStyle name="Обычный 5 6 5 3 2 3" xfId="55853"/>
    <cellStyle name="Обычный 5 6 5 3 3" xfId="25980"/>
    <cellStyle name="Обычный 5 6 5 3 3 2" xfId="55854"/>
    <cellStyle name="Обычный 5 6 5 3 4" xfId="55855"/>
    <cellStyle name="Обычный 5 6 5 4" xfId="25981"/>
    <cellStyle name="Обычный 5 6 5 4 2" xfId="25982"/>
    <cellStyle name="Обычный 5 6 5 4 2 2" xfId="25983"/>
    <cellStyle name="Обычный 5 6 5 4 2 2 2" xfId="55856"/>
    <cellStyle name="Обычный 5 6 5 4 2 3" xfId="55857"/>
    <cellStyle name="Обычный 5 6 5 4 3" xfId="25984"/>
    <cellStyle name="Обычный 5 6 5 4 3 2" xfId="55858"/>
    <cellStyle name="Обычный 5 6 5 4 4" xfId="55859"/>
    <cellStyle name="Обычный 5 6 5 5" xfId="25985"/>
    <cellStyle name="Обычный 5 6 5 5 2" xfId="25986"/>
    <cellStyle name="Обычный 5 6 5 5 2 2" xfId="55860"/>
    <cellStyle name="Обычный 5 6 5 5 3" xfId="55861"/>
    <cellStyle name="Обычный 5 6 5 6" xfId="25987"/>
    <cellStyle name="Обычный 5 6 5 6 2" xfId="55862"/>
    <cellStyle name="Обычный 5 6 5 7" xfId="25988"/>
    <cellStyle name="Обычный 5 6 5 7 2" xfId="55863"/>
    <cellStyle name="Обычный 5 6 5 8" xfId="55864"/>
    <cellStyle name="Обычный 5 6 6" xfId="25989"/>
    <cellStyle name="Обычный 5 6 6 2" xfId="25990"/>
    <cellStyle name="Обычный 5 6 6 2 2" xfId="25991"/>
    <cellStyle name="Обычный 5 6 6 2 2 2" xfId="25992"/>
    <cellStyle name="Обычный 5 6 6 2 2 2 2" xfId="55865"/>
    <cellStyle name="Обычный 5 6 6 2 2 3" xfId="55866"/>
    <cellStyle name="Обычный 5 6 6 2 3" xfId="25993"/>
    <cellStyle name="Обычный 5 6 6 2 3 2" xfId="55867"/>
    <cellStyle name="Обычный 5 6 6 2 4" xfId="55868"/>
    <cellStyle name="Обычный 5 6 6 3" xfId="25994"/>
    <cellStyle name="Обычный 5 6 6 3 2" xfId="25995"/>
    <cellStyle name="Обычный 5 6 6 3 2 2" xfId="25996"/>
    <cellStyle name="Обычный 5 6 6 3 2 2 2" xfId="55869"/>
    <cellStyle name="Обычный 5 6 6 3 2 3" xfId="55870"/>
    <cellStyle name="Обычный 5 6 6 3 3" xfId="25997"/>
    <cellStyle name="Обычный 5 6 6 3 3 2" xfId="55871"/>
    <cellStyle name="Обычный 5 6 6 3 4" xfId="55872"/>
    <cellStyle name="Обычный 5 6 6 4" xfId="25998"/>
    <cellStyle name="Обычный 5 6 6 4 2" xfId="25999"/>
    <cellStyle name="Обычный 5 6 6 4 2 2" xfId="26000"/>
    <cellStyle name="Обычный 5 6 6 4 2 2 2" xfId="55873"/>
    <cellStyle name="Обычный 5 6 6 4 2 3" xfId="55874"/>
    <cellStyle name="Обычный 5 6 6 4 3" xfId="26001"/>
    <cellStyle name="Обычный 5 6 6 4 3 2" xfId="55875"/>
    <cellStyle name="Обычный 5 6 6 4 4" xfId="55876"/>
    <cellStyle name="Обычный 5 6 6 5" xfId="26002"/>
    <cellStyle name="Обычный 5 6 6 5 2" xfId="26003"/>
    <cellStyle name="Обычный 5 6 6 5 2 2" xfId="55877"/>
    <cellStyle name="Обычный 5 6 6 5 3" xfId="55878"/>
    <cellStyle name="Обычный 5 6 6 6" xfId="26004"/>
    <cellStyle name="Обычный 5 6 6 6 2" xfId="55879"/>
    <cellStyle name="Обычный 5 6 6 7" xfId="26005"/>
    <cellStyle name="Обычный 5 6 6 7 2" xfId="55880"/>
    <cellStyle name="Обычный 5 6 6 8" xfId="55881"/>
    <cellStyle name="Обычный 5 6 7" xfId="26006"/>
    <cellStyle name="Обычный 5 6 7 2" xfId="26007"/>
    <cellStyle name="Обычный 5 6 7 2 2" xfId="26008"/>
    <cellStyle name="Обычный 5 6 7 2 2 2" xfId="26009"/>
    <cellStyle name="Обычный 5 6 7 2 2 2 2" xfId="55882"/>
    <cellStyle name="Обычный 5 6 7 2 2 3" xfId="55883"/>
    <cellStyle name="Обычный 5 6 7 2 3" xfId="26010"/>
    <cellStyle name="Обычный 5 6 7 2 3 2" xfId="55884"/>
    <cellStyle name="Обычный 5 6 7 2 4" xfId="55885"/>
    <cellStyle name="Обычный 5 6 7 3" xfId="26011"/>
    <cellStyle name="Обычный 5 6 7 3 2" xfId="26012"/>
    <cellStyle name="Обычный 5 6 7 3 2 2" xfId="26013"/>
    <cellStyle name="Обычный 5 6 7 3 2 2 2" xfId="55886"/>
    <cellStyle name="Обычный 5 6 7 3 2 3" xfId="55887"/>
    <cellStyle name="Обычный 5 6 7 3 3" xfId="26014"/>
    <cellStyle name="Обычный 5 6 7 3 3 2" xfId="55888"/>
    <cellStyle name="Обычный 5 6 7 3 4" xfId="55889"/>
    <cellStyle name="Обычный 5 6 7 4" xfId="26015"/>
    <cellStyle name="Обычный 5 6 7 4 2" xfId="26016"/>
    <cellStyle name="Обычный 5 6 7 4 2 2" xfId="26017"/>
    <cellStyle name="Обычный 5 6 7 4 2 2 2" xfId="55890"/>
    <cellStyle name="Обычный 5 6 7 4 2 3" xfId="55891"/>
    <cellStyle name="Обычный 5 6 7 4 3" xfId="26018"/>
    <cellStyle name="Обычный 5 6 7 4 3 2" xfId="55892"/>
    <cellStyle name="Обычный 5 6 7 4 4" xfId="55893"/>
    <cellStyle name="Обычный 5 6 7 5" xfId="26019"/>
    <cellStyle name="Обычный 5 6 7 5 2" xfId="26020"/>
    <cellStyle name="Обычный 5 6 7 5 2 2" xfId="55894"/>
    <cellStyle name="Обычный 5 6 7 5 3" xfId="55895"/>
    <cellStyle name="Обычный 5 6 7 6" xfId="26021"/>
    <cellStyle name="Обычный 5 6 7 6 2" xfId="55896"/>
    <cellStyle name="Обычный 5 6 7 7" xfId="26022"/>
    <cellStyle name="Обычный 5 6 7 7 2" xfId="55897"/>
    <cellStyle name="Обычный 5 6 7 8" xfId="55898"/>
    <cellStyle name="Обычный 5 6 8" xfId="26023"/>
    <cellStyle name="Обычный 5 6 8 2" xfId="26024"/>
    <cellStyle name="Обычный 5 6 8 2 2" xfId="26025"/>
    <cellStyle name="Обычный 5 6 8 2 2 2" xfId="26026"/>
    <cellStyle name="Обычный 5 6 8 2 2 2 2" xfId="55899"/>
    <cellStyle name="Обычный 5 6 8 2 2 3" xfId="55900"/>
    <cellStyle name="Обычный 5 6 8 2 3" xfId="26027"/>
    <cellStyle name="Обычный 5 6 8 2 3 2" xfId="55901"/>
    <cellStyle name="Обычный 5 6 8 2 4" xfId="55902"/>
    <cellStyle name="Обычный 5 6 8 3" xfId="26028"/>
    <cellStyle name="Обычный 5 6 8 3 2" xfId="26029"/>
    <cellStyle name="Обычный 5 6 8 3 2 2" xfId="26030"/>
    <cellStyle name="Обычный 5 6 8 3 2 2 2" xfId="55903"/>
    <cellStyle name="Обычный 5 6 8 3 2 3" xfId="55904"/>
    <cellStyle name="Обычный 5 6 8 3 3" xfId="26031"/>
    <cellStyle name="Обычный 5 6 8 3 3 2" xfId="55905"/>
    <cellStyle name="Обычный 5 6 8 3 4" xfId="55906"/>
    <cellStyle name="Обычный 5 6 8 4" xfId="26032"/>
    <cellStyle name="Обычный 5 6 8 4 2" xfId="26033"/>
    <cellStyle name="Обычный 5 6 8 4 2 2" xfId="26034"/>
    <cellStyle name="Обычный 5 6 8 4 2 2 2" xfId="55907"/>
    <cellStyle name="Обычный 5 6 8 4 2 3" xfId="55908"/>
    <cellStyle name="Обычный 5 6 8 4 3" xfId="26035"/>
    <cellStyle name="Обычный 5 6 8 4 3 2" xfId="55909"/>
    <cellStyle name="Обычный 5 6 8 4 4" xfId="55910"/>
    <cellStyle name="Обычный 5 6 8 5" xfId="26036"/>
    <cellStyle name="Обычный 5 6 8 5 2" xfId="26037"/>
    <cellStyle name="Обычный 5 6 8 5 2 2" xfId="55911"/>
    <cellStyle name="Обычный 5 6 8 5 3" xfId="55912"/>
    <cellStyle name="Обычный 5 6 8 6" xfId="26038"/>
    <cellStyle name="Обычный 5 6 8 6 2" xfId="55913"/>
    <cellStyle name="Обычный 5 6 8 7" xfId="26039"/>
    <cellStyle name="Обычный 5 6 8 7 2" xfId="55914"/>
    <cellStyle name="Обычный 5 6 8 8" xfId="55915"/>
    <cellStyle name="Обычный 5 6 9" xfId="26040"/>
    <cellStyle name="Обычный 5 6 9 2" xfId="26041"/>
    <cellStyle name="Обычный 5 6 9 2 2" xfId="26042"/>
    <cellStyle name="Обычный 5 6 9 2 2 2" xfId="26043"/>
    <cellStyle name="Обычный 5 6 9 2 2 2 2" xfId="55916"/>
    <cellStyle name="Обычный 5 6 9 2 2 3" xfId="55917"/>
    <cellStyle name="Обычный 5 6 9 2 3" xfId="26044"/>
    <cellStyle name="Обычный 5 6 9 2 3 2" xfId="55918"/>
    <cellStyle name="Обычный 5 6 9 2 4" xfId="55919"/>
    <cellStyle name="Обычный 5 6 9 3" xfId="26045"/>
    <cellStyle name="Обычный 5 6 9 3 2" xfId="26046"/>
    <cellStyle name="Обычный 5 6 9 3 2 2" xfId="26047"/>
    <cellStyle name="Обычный 5 6 9 3 2 2 2" xfId="55920"/>
    <cellStyle name="Обычный 5 6 9 3 2 3" xfId="55921"/>
    <cellStyle name="Обычный 5 6 9 3 3" xfId="26048"/>
    <cellStyle name="Обычный 5 6 9 3 3 2" xfId="55922"/>
    <cellStyle name="Обычный 5 6 9 3 4" xfId="55923"/>
    <cellStyle name="Обычный 5 6 9 4" xfId="26049"/>
    <cellStyle name="Обычный 5 6 9 4 2" xfId="26050"/>
    <cellStyle name="Обычный 5 6 9 4 2 2" xfId="26051"/>
    <cellStyle name="Обычный 5 6 9 4 2 2 2" xfId="55924"/>
    <cellStyle name="Обычный 5 6 9 4 2 3" xfId="55925"/>
    <cellStyle name="Обычный 5 6 9 4 3" xfId="26052"/>
    <cellStyle name="Обычный 5 6 9 4 3 2" xfId="55926"/>
    <cellStyle name="Обычный 5 6 9 4 4" xfId="55927"/>
    <cellStyle name="Обычный 5 6 9 5" xfId="26053"/>
    <cellStyle name="Обычный 5 6 9 5 2" xfId="26054"/>
    <cellStyle name="Обычный 5 6 9 5 2 2" xfId="55928"/>
    <cellStyle name="Обычный 5 6 9 5 3" xfId="55929"/>
    <cellStyle name="Обычный 5 6 9 6" xfId="26055"/>
    <cellStyle name="Обычный 5 6 9 6 2" xfId="55930"/>
    <cellStyle name="Обычный 5 6 9 7" xfId="26056"/>
    <cellStyle name="Обычный 5 6 9 7 2" xfId="55931"/>
    <cellStyle name="Обычный 5 6 9 8" xfId="55932"/>
    <cellStyle name="Обычный 5 60" xfId="26057"/>
    <cellStyle name="Обычный 5 60 2" xfId="26058"/>
    <cellStyle name="Обычный 5 60 2 2" xfId="26059"/>
    <cellStyle name="Обычный 5 60 2 2 2" xfId="26060"/>
    <cellStyle name="Обычный 5 60 2 2 2 2" xfId="55933"/>
    <cellStyle name="Обычный 5 60 2 2 3" xfId="55934"/>
    <cellStyle name="Обычный 5 60 2 3" xfId="26061"/>
    <cellStyle name="Обычный 5 60 2 3 2" xfId="55935"/>
    <cellStyle name="Обычный 5 60 2 4" xfId="55936"/>
    <cellStyle name="Обычный 5 60 3" xfId="26062"/>
    <cellStyle name="Обычный 5 60 3 2" xfId="26063"/>
    <cellStyle name="Обычный 5 60 3 2 2" xfId="26064"/>
    <cellStyle name="Обычный 5 60 3 2 2 2" xfId="55937"/>
    <cellStyle name="Обычный 5 60 3 2 3" xfId="55938"/>
    <cellStyle name="Обычный 5 60 3 3" xfId="26065"/>
    <cellStyle name="Обычный 5 60 3 3 2" xfId="55939"/>
    <cellStyle name="Обычный 5 60 3 4" xfId="55940"/>
    <cellStyle name="Обычный 5 60 4" xfId="26066"/>
    <cellStyle name="Обычный 5 60 4 2" xfId="26067"/>
    <cellStyle name="Обычный 5 60 4 2 2" xfId="26068"/>
    <cellStyle name="Обычный 5 60 4 2 2 2" xfId="55941"/>
    <cellStyle name="Обычный 5 60 4 2 3" xfId="55942"/>
    <cellStyle name="Обычный 5 60 4 3" xfId="26069"/>
    <cellStyle name="Обычный 5 60 4 3 2" xfId="55943"/>
    <cellStyle name="Обычный 5 60 4 4" xfId="55944"/>
    <cellStyle name="Обычный 5 60 5" xfId="26070"/>
    <cellStyle name="Обычный 5 60 5 2" xfId="26071"/>
    <cellStyle name="Обычный 5 60 5 2 2" xfId="55945"/>
    <cellStyle name="Обычный 5 60 5 3" xfId="55946"/>
    <cellStyle name="Обычный 5 60 6" xfId="26072"/>
    <cellStyle name="Обычный 5 60 6 2" xfId="55947"/>
    <cellStyle name="Обычный 5 60 7" xfId="26073"/>
    <cellStyle name="Обычный 5 60 7 2" xfId="55948"/>
    <cellStyle name="Обычный 5 60 8" xfId="55949"/>
    <cellStyle name="Обычный 5 61" xfId="26074"/>
    <cellStyle name="Обычный 5 61 2" xfId="26075"/>
    <cellStyle name="Обычный 5 61 2 2" xfId="26076"/>
    <cellStyle name="Обычный 5 61 2 2 2" xfId="26077"/>
    <cellStyle name="Обычный 5 61 2 2 2 2" xfId="55950"/>
    <cellStyle name="Обычный 5 61 2 2 3" xfId="55951"/>
    <cellStyle name="Обычный 5 61 2 3" xfId="26078"/>
    <cellStyle name="Обычный 5 61 2 3 2" xfId="55952"/>
    <cellStyle name="Обычный 5 61 2 4" xfId="55953"/>
    <cellStyle name="Обычный 5 61 3" xfId="26079"/>
    <cellStyle name="Обычный 5 61 3 2" xfId="26080"/>
    <cellStyle name="Обычный 5 61 3 2 2" xfId="26081"/>
    <cellStyle name="Обычный 5 61 3 2 2 2" xfId="55954"/>
    <cellStyle name="Обычный 5 61 3 2 3" xfId="55955"/>
    <cellStyle name="Обычный 5 61 3 3" xfId="26082"/>
    <cellStyle name="Обычный 5 61 3 3 2" xfId="55956"/>
    <cellStyle name="Обычный 5 61 3 4" xfId="55957"/>
    <cellStyle name="Обычный 5 61 4" xfId="26083"/>
    <cellStyle name="Обычный 5 61 4 2" xfId="26084"/>
    <cellStyle name="Обычный 5 61 4 2 2" xfId="26085"/>
    <cellStyle name="Обычный 5 61 4 2 2 2" xfId="55958"/>
    <cellStyle name="Обычный 5 61 4 2 3" xfId="55959"/>
    <cellStyle name="Обычный 5 61 4 3" xfId="26086"/>
    <cellStyle name="Обычный 5 61 4 3 2" xfId="55960"/>
    <cellStyle name="Обычный 5 61 4 4" xfId="55961"/>
    <cellStyle name="Обычный 5 61 5" xfId="26087"/>
    <cellStyle name="Обычный 5 61 5 2" xfId="26088"/>
    <cellStyle name="Обычный 5 61 5 2 2" xfId="55962"/>
    <cellStyle name="Обычный 5 61 5 3" xfId="55963"/>
    <cellStyle name="Обычный 5 61 6" xfId="26089"/>
    <cellStyle name="Обычный 5 61 6 2" xfId="55964"/>
    <cellStyle name="Обычный 5 61 7" xfId="26090"/>
    <cellStyle name="Обычный 5 61 7 2" xfId="55965"/>
    <cellStyle name="Обычный 5 61 8" xfId="55966"/>
    <cellStyle name="Обычный 5 62" xfId="26091"/>
    <cellStyle name="Обычный 5 62 2" xfId="26092"/>
    <cellStyle name="Обычный 5 62 2 2" xfId="26093"/>
    <cellStyle name="Обычный 5 62 2 2 2" xfId="26094"/>
    <cellStyle name="Обычный 5 62 2 2 2 2" xfId="55967"/>
    <cellStyle name="Обычный 5 62 2 2 3" xfId="55968"/>
    <cellStyle name="Обычный 5 62 2 3" xfId="26095"/>
    <cellStyle name="Обычный 5 62 2 3 2" xfId="55969"/>
    <cellStyle name="Обычный 5 62 2 4" xfId="55970"/>
    <cellStyle name="Обычный 5 62 3" xfId="26096"/>
    <cellStyle name="Обычный 5 62 3 2" xfId="26097"/>
    <cellStyle name="Обычный 5 62 3 2 2" xfId="26098"/>
    <cellStyle name="Обычный 5 62 3 2 2 2" xfId="55971"/>
    <cellStyle name="Обычный 5 62 3 2 3" xfId="55972"/>
    <cellStyle name="Обычный 5 62 3 3" xfId="26099"/>
    <cellStyle name="Обычный 5 62 3 3 2" xfId="55973"/>
    <cellStyle name="Обычный 5 62 3 4" xfId="55974"/>
    <cellStyle name="Обычный 5 62 4" xfId="26100"/>
    <cellStyle name="Обычный 5 62 4 2" xfId="26101"/>
    <cellStyle name="Обычный 5 62 4 2 2" xfId="26102"/>
    <cellStyle name="Обычный 5 62 4 2 2 2" xfId="55975"/>
    <cellStyle name="Обычный 5 62 4 2 3" xfId="55976"/>
    <cellStyle name="Обычный 5 62 4 3" xfId="26103"/>
    <cellStyle name="Обычный 5 62 4 3 2" xfId="55977"/>
    <cellStyle name="Обычный 5 62 4 4" xfId="55978"/>
    <cellStyle name="Обычный 5 62 5" xfId="26104"/>
    <cellStyle name="Обычный 5 62 5 2" xfId="26105"/>
    <cellStyle name="Обычный 5 62 5 2 2" xfId="55979"/>
    <cellStyle name="Обычный 5 62 5 3" xfId="55980"/>
    <cellStyle name="Обычный 5 62 6" xfId="26106"/>
    <cellStyle name="Обычный 5 62 6 2" xfId="55981"/>
    <cellStyle name="Обычный 5 62 7" xfId="26107"/>
    <cellStyle name="Обычный 5 62 7 2" xfId="55982"/>
    <cellStyle name="Обычный 5 62 8" xfId="55983"/>
    <cellStyle name="Обычный 5 63" xfId="26108"/>
    <cellStyle name="Обычный 5 63 2" xfId="26109"/>
    <cellStyle name="Обычный 5 63 2 2" xfId="26110"/>
    <cellStyle name="Обычный 5 63 2 2 2" xfId="26111"/>
    <cellStyle name="Обычный 5 63 2 2 2 2" xfId="55984"/>
    <cellStyle name="Обычный 5 63 2 2 3" xfId="55985"/>
    <cellStyle name="Обычный 5 63 2 3" xfId="26112"/>
    <cellStyle name="Обычный 5 63 2 3 2" xfId="55986"/>
    <cellStyle name="Обычный 5 63 2 4" xfId="55987"/>
    <cellStyle name="Обычный 5 63 3" xfId="26113"/>
    <cellStyle name="Обычный 5 63 3 2" xfId="26114"/>
    <cellStyle name="Обычный 5 63 3 2 2" xfId="26115"/>
    <cellStyle name="Обычный 5 63 3 2 2 2" xfId="55988"/>
    <cellStyle name="Обычный 5 63 3 2 3" xfId="55989"/>
    <cellStyle name="Обычный 5 63 3 3" xfId="26116"/>
    <cellStyle name="Обычный 5 63 3 3 2" xfId="55990"/>
    <cellStyle name="Обычный 5 63 3 4" xfId="55991"/>
    <cellStyle name="Обычный 5 63 4" xfId="26117"/>
    <cellStyle name="Обычный 5 63 4 2" xfId="26118"/>
    <cellStyle name="Обычный 5 63 4 2 2" xfId="26119"/>
    <cellStyle name="Обычный 5 63 4 2 2 2" xfId="55992"/>
    <cellStyle name="Обычный 5 63 4 2 3" xfId="55993"/>
    <cellStyle name="Обычный 5 63 4 3" xfId="26120"/>
    <cellStyle name="Обычный 5 63 4 3 2" xfId="55994"/>
    <cellStyle name="Обычный 5 63 4 4" xfId="55995"/>
    <cellStyle name="Обычный 5 63 5" xfId="26121"/>
    <cellStyle name="Обычный 5 63 5 2" xfId="26122"/>
    <cellStyle name="Обычный 5 63 5 2 2" xfId="55996"/>
    <cellStyle name="Обычный 5 63 5 3" xfId="55997"/>
    <cellStyle name="Обычный 5 63 6" xfId="26123"/>
    <cellStyle name="Обычный 5 63 6 2" xfId="55998"/>
    <cellStyle name="Обычный 5 63 7" xfId="26124"/>
    <cellStyle name="Обычный 5 63 7 2" xfId="55999"/>
    <cellStyle name="Обычный 5 63 8" xfId="56000"/>
    <cellStyle name="Обычный 5 64" xfId="26125"/>
    <cellStyle name="Обычный 5 64 2" xfId="26126"/>
    <cellStyle name="Обычный 5 64 2 2" xfId="26127"/>
    <cellStyle name="Обычный 5 64 2 2 2" xfId="26128"/>
    <cellStyle name="Обычный 5 64 2 2 2 2" xfId="56001"/>
    <cellStyle name="Обычный 5 64 2 2 3" xfId="56002"/>
    <cellStyle name="Обычный 5 64 2 3" xfId="26129"/>
    <cellStyle name="Обычный 5 64 2 3 2" xfId="56003"/>
    <cellStyle name="Обычный 5 64 2 4" xfId="56004"/>
    <cellStyle name="Обычный 5 64 3" xfId="26130"/>
    <cellStyle name="Обычный 5 64 3 2" xfId="26131"/>
    <cellStyle name="Обычный 5 64 3 2 2" xfId="26132"/>
    <cellStyle name="Обычный 5 64 3 2 2 2" xfId="56005"/>
    <cellStyle name="Обычный 5 64 3 2 3" xfId="56006"/>
    <cellStyle name="Обычный 5 64 3 3" xfId="26133"/>
    <cellStyle name="Обычный 5 64 3 3 2" xfId="56007"/>
    <cellStyle name="Обычный 5 64 3 4" xfId="56008"/>
    <cellStyle name="Обычный 5 64 4" xfId="26134"/>
    <cellStyle name="Обычный 5 64 4 2" xfId="26135"/>
    <cellStyle name="Обычный 5 64 4 2 2" xfId="26136"/>
    <cellStyle name="Обычный 5 64 4 2 2 2" xfId="56009"/>
    <cellStyle name="Обычный 5 64 4 2 3" xfId="56010"/>
    <cellStyle name="Обычный 5 64 4 3" xfId="26137"/>
    <cellStyle name="Обычный 5 64 4 3 2" xfId="56011"/>
    <cellStyle name="Обычный 5 64 4 4" xfId="56012"/>
    <cellStyle name="Обычный 5 64 5" xfId="26138"/>
    <cellStyle name="Обычный 5 64 5 2" xfId="26139"/>
    <cellStyle name="Обычный 5 64 5 2 2" xfId="56013"/>
    <cellStyle name="Обычный 5 64 5 3" xfId="56014"/>
    <cellStyle name="Обычный 5 64 6" xfId="26140"/>
    <cellStyle name="Обычный 5 64 6 2" xfId="56015"/>
    <cellStyle name="Обычный 5 64 7" xfId="26141"/>
    <cellStyle name="Обычный 5 64 7 2" xfId="56016"/>
    <cellStyle name="Обычный 5 64 8" xfId="56017"/>
    <cellStyle name="Обычный 5 65" xfId="26142"/>
    <cellStyle name="Обычный 5 65 2" xfId="26143"/>
    <cellStyle name="Обычный 5 65 2 2" xfId="26144"/>
    <cellStyle name="Обычный 5 65 2 2 2" xfId="26145"/>
    <cellStyle name="Обычный 5 65 2 2 2 2" xfId="56018"/>
    <cellStyle name="Обычный 5 65 2 2 3" xfId="56019"/>
    <cellStyle name="Обычный 5 65 2 3" xfId="26146"/>
    <cellStyle name="Обычный 5 65 2 3 2" xfId="56020"/>
    <cellStyle name="Обычный 5 65 2 4" xfId="56021"/>
    <cellStyle name="Обычный 5 65 3" xfId="26147"/>
    <cellStyle name="Обычный 5 65 3 2" xfId="26148"/>
    <cellStyle name="Обычный 5 65 3 2 2" xfId="26149"/>
    <cellStyle name="Обычный 5 65 3 2 2 2" xfId="56022"/>
    <cellStyle name="Обычный 5 65 3 2 3" xfId="56023"/>
    <cellStyle name="Обычный 5 65 3 3" xfId="26150"/>
    <cellStyle name="Обычный 5 65 3 3 2" xfId="56024"/>
    <cellStyle name="Обычный 5 65 3 4" xfId="56025"/>
    <cellStyle name="Обычный 5 65 4" xfId="26151"/>
    <cellStyle name="Обычный 5 65 4 2" xfId="26152"/>
    <cellStyle name="Обычный 5 65 4 2 2" xfId="26153"/>
    <cellStyle name="Обычный 5 65 4 2 2 2" xfId="56026"/>
    <cellStyle name="Обычный 5 65 4 2 3" xfId="56027"/>
    <cellStyle name="Обычный 5 65 4 3" xfId="26154"/>
    <cellStyle name="Обычный 5 65 4 3 2" xfId="56028"/>
    <cellStyle name="Обычный 5 65 4 4" xfId="56029"/>
    <cellStyle name="Обычный 5 65 5" xfId="26155"/>
    <cellStyle name="Обычный 5 65 5 2" xfId="26156"/>
    <cellStyle name="Обычный 5 65 5 2 2" xfId="56030"/>
    <cellStyle name="Обычный 5 65 5 3" xfId="56031"/>
    <cellStyle name="Обычный 5 65 6" xfId="26157"/>
    <cellStyle name="Обычный 5 65 6 2" xfId="56032"/>
    <cellStyle name="Обычный 5 65 7" xfId="26158"/>
    <cellStyle name="Обычный 5 65 7 2" xfId="56033"/>
    <cellStyle name="Обычный 5 65 8" xfId="56034"/>
    <cellStyle name="Обычный 5 66" xfId="26159"/>
    <cellStyle name="Обычный 5 66 2" xfId="26160"/>
    <cellStyle name="Обычный 5 66 2 2" xfId="26161"/>
    <cellStyle name="Обычный 5 66 2 2 2" xfId="26162"/>
    <cellStyle name="Обычный 5 66 2 2 2 2" xfId="56035"/>
    <cellStyle name="Обычный 5 66 2 2 3" xfId="56036"/>
    <cellStyle name="Обычный 5 66 2 3" xfId="26163"/>
    <cellStyle name="Обычный 5 66 2 3 2" xfId="56037"/>
    <cellStyle name="Обычный 5 66 2 4" xfId="56038"/>
    <cellStyle name="Обычный 5 66 3" xfId="26164"/>
    <cellStyle name="Обычный 5 66 3 2" xfId="26165"/>
    <cellStyle name="Обычный 5 66 3 2 2" xfId="26166"/>
    <cellStyle name="Обычный 5 66 3 2 2 2" xfId="56039"/>
    <cellStyle name="Обычный 5 66 3 2 3" xfId="56040"/>
    <cellStyle name="Обычный 5 66 3 3" xfId="26167"/>
    <cellStyle name="Обычный 5 66 3 3 2" xfId="56041"/>
    <cellStyle name="Обычный 5 66 3 4" xfId="56042"/>
    <cellStyle name="Обычный 5 66 4" xfId="26168"/>
    <cellStyle name="Обычный 5 66 4 2" xfId="26169"/>
    <cellStyle name="Обычный 5 66 4 2 2" xfId="26170"/>
    <cellStyle name="Обычный 5 66 4 2 2 2" xfId="56043"/>
    <cellStyle name="Обычный 5 66 4 2 3" xfId="56044"/>
    <cellStyle name="Обычный 5 66 4 3" xfId="26171"/>
    <cellStyle name="Обычный 5 66 4 3 2" xfId="56045"/>
    <cellStyle name="Обычный 5 66 4 4" xfId="56046"/>
    <cellStyle name="Обычный 5 66 5" xfId="26172"/>
    <cellStyle name="Обычный 5 66 5 2" xfId="26173"/>
    <cellStyle name="Обычный 5 66 5 2 2" xfId="56047"/>
    <cellStyle name="Обычный 5 66 5 3" xfId="56048"/>
    <cellStyle name="Обычный 5 66 6" xfId="26174"/>
    <cellStyle name="Обычный 5 66 6 2" xfId="56049"/>
    <cellStyle name="Обычный 5 66 7" xfId="26175"/>
    <cellStyle name="Обычный 5 66 7 2" xfId="56050"/>
    <cellStyle name="Обычный 5 66 8" xfId="56051"/>
    <cellStyle name="Обычный 5 67" xfId="26176"/>
    <cellStyle name="Обычный 5 67 2" xfId="26177"/>
    <cellStyle name="Обычный 5 67 2 2" xfId="26178"/>
    <cellStyle name="Обычный 5 67 2 2 2" xfId="26179"/>
    <cellStyle name="Обычный 5 67 2 2 2 2" xfId="56052"/>
    <cellStyle name="Обычный 5 67 2 2 3" xfId="56053"/>
    <cellStyle name="Обычный 5 67 2 3" xfId="26180"/>
    <cellStyle name="Обычный 5 67 2 3 2" xfId="56054"/>
    <cellStyle name="Обычный 5 67 2 4" xfId="56055"/>
    <cellStyle name="Обычный 5 67 3" xfId="26181"/>
    <cellStyle name="Обычный 5 67 3 2" xfId="26182"/>
    <cellStyle name="Обычный 5 67 3 2 2" xfId="26183"/>
    <cellStyle name="Обычный 5 67 3 2 2 2" xfId="56056"/>
    <cellStyle name="Обычный 5 67 3 2 3" xfId="56057"/>
    <cellStyle name="Обычный 5 67 3 3" xfId="26184"/>
    <cellStyle name="Обычный 5 67 3 3 2" xfId="56058"/>
    <cellStyle name="Обычный 5 67 3 4" xfId="56059"/>
    <cellStyle name="Обычный 5 67 4" xfId="26185"/>
    <cellStyle name="Обычный 5 67 4 2" xfId="26186"/>
    <cellStyle name="Обычный 5 67 4 2 2" xfId="26187"/>
    <cellStyle name="Обычный 5 67 4 2 2 2" xfId="56060"/>
    <cellStyle name="Обычный 5 67 4 2 3" xfId="56061"/>
    <cellStyle name="Обычный 5 67 4 3" xfId="26188"/>
    <cellStyle name="Обычный 5 67 4 3 2" xfId="56062"/>
    <cellStyle name="Обычный 5 67 4 4" xfId="56063"/>
    <cellStyle name="Обычный 5 67 5" xfId="26189"/>
    <cellStyle name="Обычный 5 67 5 2" xfId="26190"/>
    <cellStyle name="Обычный 5 67 5 2 2" xfId="56064"/>
    <cellStyle name="Обычный 5 67 5 3" xfId="56065"/>
    <cellStyle name="Обычный 5 67 6" xfId="26191"/>
    <cellStyle name="Обычный 5 67 6 2" xfId="56066"/>
    <cellStyle name="Обычный 5 67 7" xfId="26192"/>
    <cellStyle name="Обычный 5 67 7 2" xfId="56067"/>
    <cellStyle name="Обычный 5 67 8" xfId="56068"/>
    <cellStyle name="Обычный 5 68" xfId="26193"/>
    <cellStyle name="Обычный 5 68 2" xfId="26194"/>
    <cellStyle name="Обычный 5 68 2 2" xfId="26195"/>
    <cellStyle name="Обычный 5 68 2 2 2" xfId="26196"/>
    <cellStyle name="Обычный 5 68 2 2 2 2" xfId="56069"/>
    <cellStyle name="Обычный 5 68 2 2 3" xfId="56070"/>
    <cellStyle name="Обычный 5 68 2 3" xfId="26197"/>
    <cellStyle name="Обычный 5 68 2 3 2" xfId="56071"/>
    <cellStyle name="Обычный 5 68 2 4" xfId="56072"/>
    <cellStyle name="Обычный 5 68 3" xfId="26198"/>
    <cellStyle name="Обычный 5 68 3 2" xfId="26199"/>
    <cellStyle name="Обычный 5 68 3 2 2" xfId="26200"/>
    <cellStyle name="Обычный 5 68 3 2 2 2" xfId="56073"/>
    <cellStyle name="Обычный 5 68 3 2 3" xfId="56074"/>
    <cellStyle name="Обычный 5 68 3 3" xfId="26201"/>
    <cellStyle name="Обычный 5 68 3 3 2" xfId="56075"/>
    <cellStyle name="Обычный 5 68 3 4" xfId="56076"/>
    <cellStyle name="Обычный 5 68 4" xfId="26202"/>
    <cellStyle name="Обычный 5 68 4 2" xfId="26203"/>
    <cellStyle name="Обычный 5 68 4 2 2" xfId="26204"/>
    <cellStyle name="Обычный 5 68 4 2 2 2" xfId="56077"/>
    <cellStyle name="Обычный 5 68 4 2 3" xfId="56078"/>
    <cellStyle name="Обычный 5 68 4 3" xfId="26205"/>
    <cellStyle name="Обычный 5 68 4 3 2" xfId="56079"/>
    <cellStyle name="Обычный 5 68 4 4" xfId="56080"/>
    <cellStyle name="Обычный 5 68 5" xfId="26206"/>
    <cellStyle name="Обычный 5 68 5 2" xfId="26207"/>
    <cellStyle name="Обычный 5 68 5 2 2" xfId="56081"/>
    <cellStyle name="Обычный 5 68 5 3" xfId="56082"/>
    <cellStyle name="Обычный 5 68 6" xfId="26208"/>
    <cellStyle name="Обычный 5 68 6 2" xfId="56083"/>
    <cellStyle name="Обычный 5 68 7" xfId="26209"/>
    <cellStyle name="Обычный 5 68 7 2" xfId="56084"/>
    <cellStyle name="Обычный 5 68 8" xfId="56085"/>
    <cellStyle name="Обычный 5 69" xfId="26210"/>
    <cellStyle name="Обычный 5 69 2" xfId="26211"/>
    <cellStyle name="Обычный 5 69 2 2" xfId="26212"/>
    <cellStyle name="Обычный 5 69 2 2 2" xfId="26213"/>
    <cellStyle name="Обычный 5 69 2 2 2 2" xfId="56086"/>
    <cellStyle name="Обычный 5 69 2 2 3" xfId="56087"/>
    <cellStyle name="Обычный 5 69 2 3" xfId="26214"/>
    <cellStyle name="Обычный 5 69 2 3 2" xfId="56088"/>
    <cellStyle name="Обычный 5 69 2 4" xfId="56089"/>
    <cellStyle name="Обычный 5 69 3" xfId="26215"/>
    <cellStyle name="Обычный 5 69 3 2" xfId="26216"/>
    <cellStyle name="Обычный 5 69 3 2 2" xfId="26217"/>
    <cellStyle name="Обычный 5 69 3 2 2 2" xfId="56090"/>
    <cellStyle name="Обычный 5 69 3 2 3" xfId="56091"/>
    <cellStyle name="Обычный 5 69 3 3" xfId="26218"/>
    <cellStyle name="Обычный 5 69 3 3 2" xfId="56092"/>
    <cellStyle name="Обычный 5 69 3 4" xfId="56093"/>
    <cellStyle name="Обычный 5 69 4" xfId="26219"/>
    <cellStyle name="Обычный 5 69 4 2" xfId="26220"/>
    <cellStyle name="Обычный 5 69 4 2 2" xfId="26221"/>
    <cellStyle name="Обычный 5 69 4 2 2 2" xfId="56094"/>
    <cellStyle name="Обычный 5 69 4 2 3" xfId="56095"/>
    <cellStyle name="Обычный 5 69 4 3" xfId="26222"/>
    <cellStyle name="Обычный 5 69 4 3 2" xfId="56096"/>
    <cellStyle name="Обычный 5 69 4 4" xfId="56097"/>
    <cellStyle name="Обычный 5 69 5" xfId="26223"/>
    <cellStyle name="Обычный 5 69 5 2" xfId="26224"/>
    <cellStyle name="Обычный 5 69 5 2 2" xfId="56098"/>
    <cellStyle name="Обычный 5 69 5 3" xfId="56099"/>
    <cellStyle name="Обычный 5 69 6" xfId="26225"/>
    <cellStyle name="Обычный 5 69 6 2" xfId="56100"/>
    <cellStyle name="Обычный 5 69 7" xfId="26226"/>
    <cellStyle name="Обычный 5 69 7 2" xfId="56101"/>
    <cellStyle name="Обычный 5 69 8" xfId="56102"/>
    <cellStyle name="Обычный 5 7" xfId="26227"/>
    <cellStyle name="Обычный 5 7 10" xfId="26228"/>
    <cellStyle name="Обычный 5 7 10 2" xfId="26229"/>
    <cellStyle name="Обычный 5 7 10 2 2" xfId="26230"/>
    <cellStyle name="Обычный 5 7 10 2 2 2" xfId="26231"/>
    <cellStyle name="Обычный 5 7 10 2 2 2 2" xfId="56103"/>
    <cellStyle name="Обычный 5 7 10 2 2 3" xfId="56104"/>
    <cellStyle name="Обычный 5 7 10 2 3" xfId="26232"/>
    <cellStyle name="Обычный 5 7 10 2 3 2" xfId="56105"/>
    <cellStyle name="Обычный 5 7 10 2 4" xfId="56106"/>
    <cellStyle name="Обычный 5 7 10 3" xfId="26233"/>
    <cellStyle name="Обычный 5 7 10 3 2" xfId="26234"/>
    <cellStyle name="Обычный 5 7 10 3 2 2" xfId="26235"/>
    <cellStyle name="Обычный 5 7 10 3 2 2 2" xfId="56107"/>
    <cellStyle name="Обычный 5 7 10 3 2 3" xfId="56108"/>
    <cellStyle name="Обычный 5 7 10 3 3" xfId="26236"/>
    <cellStyle name="Обычный 5 7 10 3 3 2" xfId="56109"/>
    <cellStyle name="Обычный 5 7 10 3 4" xfId="56110"/>
    <cellStyle name="Обычный 5 7 10 4" xfId="26237"/>
    <cellStyle name="Обычный 5 7 10 4 2" xfId="26238"/>
    <cellStyle name="Обычный 5 7 10 4 2 2" xfId="26239"/>
    <cellStyle name="Обычный 5 7 10 4 2 2 2" xfId="56111"/>
    <cellStyle name="Обычный 5 7 10 4 2 3" xfId="56112"/>
    <cellStyle name="Обычный 5 7 10 4 3" xfId="26240"/>
    <cellStyle name="Обычный 5 7 10 4 3 2" xfId="56113"/>
    <cellStyle name="Обычный 5 7 10 4 4" xfId="56114"/>
    <cellStyle name="Обычный 5 7 10 5" xfId="26241"/>
    <cellStyle name="Обычный 5 7 10 5 2" xfId="26242"/>
    <cellStyle name="Обычный 5 7 10 5 2 2" xfId="56115"/>
    <cellStyle name="Обычный 5 7 10 5 3" xfId="56116"/>
    <cellStyle name="Обычный 5 7 10 6" xfId="26243"/>
    <cellStyle name="Обычный 5 7 10 6 2" xfId="56117"/>
    <cellStyle name="Обычный 5 7 10 7" xfId="26244"/>
    <cellStyle name="Обычный 5 7 10 7 2" xfId="56118"/>
    <cellStyle name="Обычный 5 7 10 8" xfId="56119"/>
    <cellStyle name="Обычный 5 7 11" xfId="26245"/>
    <cellStyle name="Обычный 5 7 11 2" xfId="26246"/>
    <cellStyle name="Обычный 5 7 11 2 2" xfId="26247"/>
    <cellStyle name="Обычный 5 7 11 2 2 2" xfId="26248"/>
    <cellStyle name="Обычный 5 7 11 2 2 2 2" xfId="56120"/>
    <cellStyle name="Обычный 5 7 11 2 2 3" xfId="56121"/>
    <cellStyle name="Обычный 5 7 11 2 3" xfId="26249"/>
    <cellStyle name="Обычный 5 7 11 2 3 2" xfId="56122"/>
    <cellStyle name="Обычный 5 7 11 2 4" xfId="56123"/>
    <cellStyle name="Обычный 5 7 11 3" xfId="26250"/>
    <cellStyle name="Обычный 5 7 11 3 2" xfId="26251"/>
    <cellStyle name="Обычный 5 7 11 3 2 2" xfId="26252"/>
    <cellStyle name="Обычный 5 7 11 3 2 2 2" xfId="56124"/>
    <cellStyle name="Обычный 5 7 11 3 2 3" xfId="56125"/>
    <cellStyle name="Обычный 5 7 11 3 3" xfId="26253"/>
    <cellStyle name="Обычный 5 7 11 3 3 2" xfId="56126"/>
    <cellStyle name="Обычный 5 7 11 3 4" xfId="56127"/>
    <cellStyle name="Обычный 5 7 11 4" xfId="26254"/>
    <cellStyle name="Обычный 5 7 11 4 2" xfId="26255"/>
    <cellStyle name="Обычный 5 7 11 4 2 2" xfId="26256"/>
    <cellStyle name="Обычный 5 7 11 4 2 2 2" xfId="56128"/>
    <cellStyle name="Обычный 5 7 11 4 2 3" xfId="56129"/>
    <cellStyle name="Обычный 5 7 11 4 3" xfId="26257"/>
    <cellStyle name="Обычный 5 7 11 4 3 2" xfId="56130"/>
    <cellStyle name="Обычный 5 7 11 4 4" xfId="56131"/>
    <cellStyle name="Обычный 5 7 11 5" xfId="26258"/>
    <cellStyle name="Обычный 5 7 11 5 2" xfId="26259"/>
    <cellStyle name="Обычный 5 7 11 5 2 2" xfId="56132"/>
    <cellStyle name="Обычный 5 7 11 5 3" xfId="56133"/>
    <cellStyle name="Обычный 5 7 11 6" xfId="26260"/>
    <cellStyle name="Обычный 5 7 11 6 2" xfId="56134"/>
    <cellStyle name="Обычный 5 7 11 7" xfId="26261"/>
    <cellStyle name="Обычный 5 7 11 7 2" xfId="56135"/>
    <cellStyle name="Обычный 5 7 11 8" xfId="56136"/>
    <cellStyle name="Обычный 5 7 12" xfId="26262"/>
    <cellStyle name="Обычный 5 7 12 2" xfId="26263"/>
    <cellStyle name="Обычный 5 7 12 2 2" xfId="26264"/>
    <cellStyle name="Обычный 5 7 12 2 2 2" xfId="26265"/>
    <cellStyle name="Обычный 5 7 12 2 2 2 2" xfId="56137"/>
    <cellStyle name="Обычный 5 7 12 2 2 3" xfId="56138"/>
    <cellStyle name="Обычный 5 7 12 2 3" xfId="26266"/>
    <cellStyle name="Обычный 5 7 12 2 3 2" xfId="56139"/>
    <cellStyle name="Обычный 5 7 12 2 4" xfId="56140"/>
    <cellStyle name="Обычный 5 7 12 3" xfId="26267"/>
    <cellStyle name="Обычный 5 7 12 3 2" xfId="26268"/>
    <cellStyle name="Обычный 5 7 12 3 2 2" xfId="26269"/>
    <cellStyle name="Обычный 5 7 12 3 2 2 2" xfId="56141"/>
    <cellStyle name="Обычный 5 7 12 3 2 3" xfId="56142"/>
    <cellStyle name="Обычный 5 7 12 3 3" xfId="26270"/>
    <cellStyle name="Обычный 5 7 12 3 3 2" xfId="56143"/>
    <cellStyle name="Обычный 5 7 12 3 4" xfId="56144"/>
    <cellStyle name="Обычный 5 7 12 4" xfId="26271"/>
    <cellStyle name="Обычный 5 7 12 4 2" xfId="26272"/>
    <cellStyle name="Обычный 5 7 12 4 2 2" xfId="26273"/>
    <cellStyle name="Обычный 5 7 12 4 2 2 2" xfId="56145"/>
    <cellStyle name="Обычный 5 7 12 4 2 3" xfId="56146"/>
    <cellStyle name="Обычный 5 7 12 4 3" xfId="26274"/>
    <cellStyle name="Обычный 5 7 12 4 3 2" xfId="56147"/>
    <cellStyle name="Обычный 5 7 12 4 4" xfId="56148"/>
    <cellStyle name="Обычный 5 7 12 5" xfId="26275"/>
    <cellStyle name="Обычный 5 7 12 5 2" xfId="26276"/>
    <cellStyle name="Обычный 5 7 12 5 2 2" xfId="56149"/>
    <cellStyle name="Обычный 5 7 12 5 3" xfId="56150"/>
    <cellStyle name="Обычный 5 7 12 6" xfId="26277"/>
    <cellStyle name="Обычный 5 7 12 6 2" xfId="56151"/>
    <cellStyle name="Обычный 5 7 12 7" xfId="26278"/>
    <cellStyle name="Обычный 5 7 12 7 2" xfId="56152"/>
    <cellStyle name="Обычный 5 7 12 8" xfId="56153"/>
    <cellStyle name="Обычный 5 7 13" xfId="26279"/>
    <cellStyle name="Обычный 5 7 13 2" xfId="26280"/>
    <cellStyle name="Обычный 5 7 13 2 2" xfId="26281"/>
    <cellStyle name="Обычный 5 7 13 2 2 2" xfId="26282"/>
    <cellStyle name="Обычный 5 7 13 2 2 2 2" xfId="56154"/>
    <cellStyle name="Обычный 5 7 13 2 2 3" xfId="56155"/>
    <cellStyle name="Обычный 5 7 13 2 3" xfId="26283"/>
    <cellStyle name="Обычный 5 7 13 2 3 2" xfId="56156"/>
    <cellStyle name="Обычный 5 7 13 2 4" xfId="56157"/>
    <cellStyle name="Обычный 5 7 13 3" xfId="26284"/>
    <cellStyle name="Обычный 5 7 13 3 2" xfId="26285"/>
    <cellStyle name="Обычный 5 7 13 3 2 2" xfId="26286"/>
    <cellStyle name="Обычный 5 7 13 3 2 2 2" xfId="56158"/>
    <cellStyle name="Обычный 5 7 13 3 2 3" xfId="56159"/>
    <cellStyle name="Обычный 5 7 13 3 3" xfId="26287"/>
    <cellStyle name="Обычный 5 7 13 3 3 2" xfId="56160"/>
    <cellStyle name="Обычный 5 7 13 3 4" xfId="56161"/>
    <cellStyle name="Обычный 5 7 13 4" xfId="26288"/>
    <cellStyle name="Обычный 5 7 13 4 2" xfId="26289"/>
    <cellStyle name="Обычный 5 7 13 4 2 2" xfId="26290"/>
    <cellStyle name="Обычный 5 7 13 4 2 2 2" xfId="56162"/>
    <cellStyle name="Обычный 5 7 13 4 2 3" xfId="56163"/>
    <cellStyle name="Обычный 5 7 13 4 3" xfId="26291"/>
    <cellStyle name="Обычный 5 7 13 4 3 2" xfId="56164"/>
    <cellStyle name="Обычный 5 7 13 4 4" xfId="56165"/>
    <cellStyle name="Обычный 5 7 13 5" xfId="26292"/>
    <cellStyle name="Обычный 5 7 13 5 2" xfId="26293"/>
    <cellStyle name="Обычный 5 7 13 5 2 2" xfId="56166"/>
    <cellStyle name="Обычный 5 7 13 5 3" xfId="56167"/>
    <cellStyle name="Обычный 5 7 13 6" xfId="26294"/>
    <cellStyle name="Обычный 5 7 13 6 2" xfId="56168"/>
    <cellStyle name="Обычный 5 7 13 7" xfId="26295"/>
    <cellStyle name="Обычный 5 7 13 7 2" xfId="56169"/>
    <cellStyle name="Обычный 5 7 13 8" xfId="56170"/>
    <cellStyle name="Обычный 5 7 14" xfId="26296"/>
    <cellStyle name="Обычный 5 7 14 2" xfId="26297"/>
    <cellStyle name="Обычный 5 7 14 2 2" xfId="26298"/>
    <cellStyle name="Обычный 5 7 14 2 2 2" xfId="26299"/>
    <cellStyle name="Обычный 5 7 14 2 2 2 2" xfId="56171"/>
    <cellStyle name="Обычный 5 7 14 2 2 3" xfId="56172"/>
    <cellStyle name="Обычный 5 7 14 2 3" xfId="26300"/>
    <cellStyle name="Обычный 5 7 14 2 3 2" xfId="56173"/>
    <cellStyle name="Обычный 5 7 14 2 4" xfId="56174"/>
    <cellStyle name="Обычный 5 7 14 3" xfId="26301"/>
    <cellStyle name="Обычный 5 7 14 3 2" xfId="26302"/>
    <cellStyle name="Обычный 5 7 14 3 2 2" xfId="26303"/>
    <cellStyle name="Обычный 5 7 14 3 2 2 2" xfId="56175"/>
    <cellStyle name="Обычный 5 7 14 3 2 3" xfId="56176"/>
    <cellStyle name="Обычный 5 7 14 3 3" xfId="26304"/>
    <cellStyle name="Обычный 5 7 14 3 3 2" xfId="56177"/>
    <cellStyle name="Обычный 5 7 14 3 4" xfId="56178"/>
    <cellStyle name="Обычный 5 7 14 4" xfId="26305"/>
    <cellStyle name="Обычный 5 7 14 4 2" xfId="26306"/>
    <cellStyle name="Обычный 5 7 14 4 2 2" xfId="26307"/>
    <cellStyle name="Обычный 5 7 14 4 2 2 2" xfId="56179"/>
    <cellStyle name="Обычный 5 7 14 4 2 3" xfId="56180"/>
    <cellStyle name="Обычный 5 7 14 4 3" xfId="26308"/>
    <cellStyle name="Обычный 5 7 14 4 3 2" xfId="56181"/>
    <cellStyle name="Обычный 5 7 14 4 4" xfId="56182"/>
    <cellStyle name="Обычный 5 7 14 5" xfId="26309"/>
    <cellStyle name="Обычный 5 7 14 5 2" xfId="26310"/>
    <cellStyle name="Обычный 5 7 14 5 2 2" xfId="56183"/>
    <cellStyle name="Обычный 5 7 14 5 3" xfId="56184"/>
    <cellStyle name="Обычный 5 7 14 6" xfId="26311"/>
    <cellStyle name="Обычный 5 7 14 6 2" xfId="56185"/>
    <cellStyle name="Обычный 5 7 14 7" xfId="26312"/>
    <cellStyle name="Обычный 5 7 14 7 2" xfId="56186"/>
    <cellStyle name="Обычный 5 7 14 8" xfId="56187"/>
    <cellStyle name="Обычный 5 7 15" xfId="26313"/>
    <cellStyle name="Обычный 5 7 15 2" xfId="26314"/>
    <cellStyle name="Обычный 5 7 15 2 2" xfId="26315"/>
    <cellStyle name="Обычный 5 7 15 2 2 2" xfId="26316"/>
    <cellStyle name="Обычный 5 7 15 2 2 2 2" xfId="56188"/>
    <cellStyle name="Обычный 5 7 15 2 2 3" xfId="56189"/>
    <cellStyle name="Обычный 5 7 15 2 3" xfId="26317"/>
    <cellStyle name="Обычный 5 7 15 2 3 2" xfId="56190"/>
    <cellStyle name="Обычный 5 7 15 2 4" xfId="56191"/>
    <cellStyle name="Обычный 5 7 15 3" xfId="26318"/>
    <cellStyle name="Обычный 5 7 15 3 2" xfId="26319"/>
    <cellStyle name="Обычный 5 7 15 3 2 2" xfId="26320"/>
    <cellStyle name="Обычный 5 7 15 3 2 2 2" xfId="56192"/>
    <cellStyle name="Обычный 5 7 15 3 2 3" xfId="56193"/>
    <cellStyle name="Обычный 5 7 15 3 3" xfId="26321"/>
    <cellStyle name="Обычный 5 7 15 3 3 2" xfId="56194"/>
    <cellStyle name="Обычный 5 7 15 3 4" xfId="56195"/>
    <cellStyle name="Обычный 5 7 15 4" xfId="26322"/>
    <cellStyle name="Обычный 5 7 15 4 2" xfId="26323"/>
    <cellStyle name="Обычный 5 7 15 4 2 2" xfId="26324"/>
    <cellStyle name="Обычный 5 7 15 4 2 2 2" xfId="56196"/>
    <cellStyle name="Обычный 5 7 15 4 2 3" xfId="56197"/>
    <cellStyle name="Обычный 5 7 15 4 3" xfId="26325"/>
    <cellStyle name="Обычный 5 7 15 4 3 2" xfId="56198"/>
    <cellStyle name="Обычный 5 7 15 4 4" xfId="56199"/>
    <cellStyle name="Обычный 5 7 15 5" xfId="26326"/>
    <cellStyle name="Обычный 5 7 15 5 2" xfId="26327"/>
    <cellStyle name="Обычный 5 7 15 5 2 2" xfId="56200"/>
    <cellStyle name="Обычный 5 7 15 5 3" xfId="56201"/>
    <cellStyle name="Обычный 5 7 15 6" xfId="26328"/>
    <cellStyle name="Обычный 5 7 15 6 2" xfId="56202"/>
    <cellStyle name="Обычный 5 7 15 7" xfId="26329"/>
    <cellStyle name="Обычный 5 7 15 7 2" xfId="56203"/>
    <cellStyle name="Обычный 5 7 15 8" xfId="56204"/>
    <cellStyle name="Обычный 5 7 16" xfId="26330"/>
    <cellStyle name="Обычный 5 7 16 2" xfId="26331"/>
    <cellStyle name="Обычный 5 7 16 2 2" xfId="26332"/>
    <cellStyle name="Обычный 5 7 16 2 2 2" xfId="26333"/>
    <cellStyle name="Обычный 5 7 16 2 2 2 2" xfId="56205"/>
    <cellStyle name="Обычный 5 7 16 2 2 3" xfId="56206"/>
    <cellStyle name="Обычный 5 7 16 2 3" xfId="26334"/>
    <cellStyle name="Обычный 5 7 16 2 3 2" xfId="56207"/>
    <cellStyle name="Обычный 5 7 16 2 4" xfId="56208"/>
    <cellStyle name="Обычный 5 7 16 3" xfId="26335"/>
    <cellStyle name="Обычный 5 7 16 3 2" xfId="26336"/>
    <cellStyle name="Обычный 5 7 16 3 2 2" xfId="26337"/>
    <cellStyle name="Обычный 5 7 16 3 2 2 2" xfId="56209"/>
    <cellStyle name="Обычный 5 7 16 3 2 3" xfId="56210"/>
    <cellStyle name="Обычный 5 7 16 3 3" xfId="26338"/>
    <cellStyle name="Обычный 5 7 16 3 3 2" xfId="56211"/>
    <cellStyle name="Обычный 5 7 16 3 4" xfId="56212"/>
    <cellStyle name="Обычный 5 7 16 4" xfId="26339"/>
    <cellStyle name="Обычный 5 7 16 4 2" xfId="26340"/>
    <cellStyle name="Обычный 5 7 16 4 2 2" xfId="26341"/>
    <cellStyle name="Обычный 5 7 16 4 2 2 2" xfId="56213"/>
    <cellStyle name="Обычный 5 7 16 4 2 3" xfId="56214"/>
    <cellStyle name="Обычный 5 7 16 4 3" xfId="26342"/>
    <cellStyle name="Обычный 5 7 16 4 3 2" xfId="56215"/>
    <cellStyle name="Обычный 5 7 16 4 4" xfId="56216"/>
    <cellStyle name="Обычный 5 7 16 5" xfId="26343"/>
    <cellStyle name="Обычный 5 7 16 5 2" xfId="26344"/>
    <cellStyle name="Обычный 5 7 16 5 2 2" xfId="56217"/>
    <cellStyle name="Обычный 5 7 16 5 3" xfId="56218"/>
    <cellStyle name="Обычный 5 7 16 6" xfId="26345"/>
    <cellStyle name="Обычный 5 7 16 6 2" xfId="56219"/>
    <cellStyle name="Обычный 5 7 16 7" xfId="26346"/>
    <cellStyle name="Обычный 5 7 16 7 2" xfId="56220"/>
    <cellStyle name="Обычный 5 7 16 8" xfId="56221"/>
    <cellStyle name="Обычный 5 7 17" xfId="26347"/>
    <cellStyle name="Обычный 5 7 17 2" xfId="26348"/>
    <cellStyle name="Обычный 5 7 17 2 2" xfId="26349"/>
    <cellStyle name="Обычный 5 7 17 2 2 2" xfId="26350"/>
    <cellStyle name="Обычный 5 7 17 2 2 2 2" xfId="56222"/>
    <cellStyle name="Обычный 5 7 17 2 2 3" xfId="56223"/>
    <cellStyle name="Обычный 5 7 17 2 3" xfId="26351"/>
    <cellStyle name="Обычный 5 7 17 2 3 2" xfId="56224"/>
    <cellStyle name="Обычный 5 7 17 2 4" xfId="56225"/>
    <cellStyle name="Обычный 5 7 17 3" xfId="26352"/>
    <cellStyle name="Обычный 5 7 17 3 2" xfId="26353"/>
    <cellStyle name="Обычный 5 7 17 3 2 2" xfId="26354"/>
    <cellStyle name="Обычный 5 7 17 3 2 2 2" xfId="56226"/>
    <cellStyle name="Обычный 5 7 17 3 2 3" xfId="56227"/>
    <cellStyle name="Обычный 5 7 17 3 3" xfId="26355"/>
    <cellStyle name="Обычный 5 7 17 3 3 2" xfId="56228"/>
    <cellStyle name="Обычный 5 7 17 3 4" xfId="56229"/>
    <cellStyle name="Обычный 5 7 17 4" xfId="26356"/>
    <cellStyle name="Обычный 5 7 17 4 2" xfId="26357"/>
    <cellStyle name="Обычный 5 7 17 4 2 2" xfId="26358"/>
    <cellStyle name="Обычный 5 7 17 4 2 2 2" xfId="56230"/>
    <cellStyle name="Обычный 5 7 17 4 2 3" xfId="56231"/>
    <cellStyle name="Обычный 5 7 17 4 3" xfId="26359"/>
    <cellStyle name="Обычный 5 7 17 4 3 2" xfId="56232"/>
    <cellStyle name="Обычный 5 7 17 4 4" xfId="56233"/>
    <cellStyle name="Обычный 5 7 17 5" xfId="26360"/>
    <cellStyle name="Обычный 5 7 17 5 2" xfId="26361"/>
    <cellStyle name="Обычный 5 7 17 5 2 2" xfId="56234"/>
    <cellStyle name="Обычный 5 7 17 5 3" xfId="56235"/>
    <cellStyle name="Обычный 5 7 17 6" xfId="26362"/>
    <cellStyle name="Обычный 5 7 17 6 2" xfId="56236"/>
    <cellStyle name="Обычный 5 7 17 7" xfId="26363"/>
    <cellStyle name="Обычный 5 7 17 7 2" xfId="56237"/>
    <cellStyle name="Обычный 5 7 17 8" xfId="56238"/>
    <cellStyle name="Обычный 5 7 18" xfId="26364"/>
    <cellStyle name="Обычный 5 7 18 2" xfId="26365"/>
    <cellStyle name="Обычный 5 7 18 2 2" xfId="26366"/>
    <cellStyle name="Обычный 5 7 18 2 2 2" xfId="26367"/>
    <cellStyle name="Обычный 5 7 18 2 2 2 2" xfId="56239"/>
    <cellStyle name="Обычный 5 7 18 2 2 3" xfId="56240"/>
    <cellStyle name="Обычный 5 7 18 2 3" xfId="26368"/>
    <cellStyle name="Обычный 5 7 18 2 3 2" xfId="56241"/>
    <cellStyle name="Обычный 5 7 18 2 4" xfId="56242"/>
    <cellStyle name="Обычный 5 7 18 3" xfId="26369"/>
    <cellStyle name="Обычный 5 7 18 3 2" xfId="26370"/>
    <cellStyle name="Обычный 5 7 18 3 2 2" xfId="26371"/>
    <cellStyle name="Обычный 5 7 18 3 2 2 2" xfId="56243"/>
    <cellStyle name="Обычный 5 7 18 3 2 3" xfId="56244"/>
    <cellStyle name="Обычный 5 7 18 3 3" xfId="26372"/>
    <cellStyle name="Обычный 5 7 18 3 3 2" xfId="56245"/>
    <cellStyle name="Обычный 5 7 18 3 4" xfId="56246"/>
    <cellStyle name="Обычный 5 7 18 4" xfId="26373"/>
    <cellStyle name="Обычный 5 7 18 4 2" xfId="26374"/>
    <cellStyle name="Обычный 5 7 18 4 2 2" xfId="26375"/>
    <cellStyle name="Обычный 5 7 18 4 2 2 2" xfId="56247"/>
    <cellStyle name="Обычный 5 7 18 4 2 3" xfId="56248"/>
    <cellStyle name="Обычный 5 7 18 4 3" xfId="26376"/>
    <cellStyle name="Обычный 5 7 18 4 3 2" xfId="56249"/>
    <cellStyle name="Обычный 5 7 18 4 4" xfId="56250"/>
    <cellStyle name="Обычный 5 7 18 5" xfId="26377"/>
    <cellStyle name="Обычный 5 7 18 5 2" xfId="26378"/>
    <cellStyle name="Обычный 5 7 18 5 2 2" xfId="56251"/>
    <cellStyle name="Обычный 5 7 18 5 3" xfId="56252"/>
    <cellStyle name="Обычный 5 7 18 6" xfId="26379"/>
    <cellStyle name="Обычный 5 7 18 6 2" xfId="56253"/>
    <cellStyle name="Обычный 5 7 18 7" xfId="26380"/>
    <cellStyle name="Обычный 5 7 18 7 2" xfId="56254"/>
    <cellStyle name="Обычный 5 7 18 8" xfId="56255"/>
    <cellStyle name="Обычный 5 7 19" xfId="26381"/>
    <cellStyle name="Обычный 5 7 19 2" xfId="26382"/>
    <cellStyle name="Обычный 5 7 19 2 2" xfId="26383"/>
    <cellStyle name="Обычный 5 7 19 2 2 2" xfId="26384"/>
    <cellStyle name="Обычный 5 7 19 2 2 2 2" xfId="56256"/>
    <cellStyle name="Обычный 5 7 19 2 2 3" xfId="56257"/>
    <cellStyle name="Обычный 5 7 19 2 3" xfId="26385"/>
    <cellStyle name="Обычный 5 7 19 2 3 2" xfId="56258"/>
    <cellStyle name="Обычный 5 7 19 2 4" xfId="56259"/>
    <cellStyle name="Обычный 5 7 19 3" xfId="26386"/>
    <cellStyle name="Обычный 5 7 19 3 2" xfId="26387"/>
    <cellStyle name="Обычный 5 7 19 3 2 2" xfId="26388"/>
    <cellStyle name="Обычный 5 7 19 3 2 2 2" xfId="56260"/>
    <cellStyle name="Обычный 5 7 19 3 2 3" xfId="56261"/>
    <cellStyle name="Обычный 5 7 19 3 3" xfId="26389"/>
    <cellStyle name="Обычный 5 7 19 3 3 2" xfId="56262"/>
    <cellStyle name="Обычный 5 7 19 3 4" xfId="56263"/>
    <cellStyle name="Обычный 5 7 19 4" xfId="26390"/>
    <cellStyle name="Обычный 5 7 19 4 2" xfId="26391"/>
    <cellStyle name="Обычный 5 7 19 4 2 2" xfId="26392"/>
    <cellStyle name="Обычный 5 7 19 4 2 2 2" xfId="56264"/>
    <cellStyle name="Обычный 5 7 19 4 2 3" xfId="56265"/>
    <cellStyle name="Обычный 5 7 19 4 3" xfId="26393"/>
    <cellStyle name="Обычный 5 7 19 4 3 2" xfId="56266"/>
    <cellStyle name="Обычный 5 7 19 4 4" xfId="56267"/>
    <cellStyle name="Обычный 5 7 19 5" xfId="26394"/>
    <cellStyle name="Обычный 5 7 19 5 2" xfId="26395"/>
    <cellStyle name="Обычный 5 7 19 5 2 2" xfId="56268"/>
    <cellStyle name="Обычный 5 7 19 5 3" xfId="56269"/>
    <cellStyle name="Обычный 5 7 19 6" xfId="26396"/>
    <cellStyle name="Обычный 5 7 19 6 2" xfId="56270"/>
    <cellStyle name="Обычный 5 7 19 7" xfId="26397"/>
    <cellStyle name="Обычный 5 7 19 7 2" xfId="56271"/>
    <cellStyle name="Обычный 5 7 19 8" xfId="56272"/>
    <cellStyle name="Обычный 5 7 2" xfId="26398"/>
    <cellStyle name="Обычный 5 7 2 2" xfId="26399"/>
    <cellStyle name="Обычный 5 7 2 2 2" xfId="26400"/>
    <cellStyle name="Обычный 5 7 2 2 2 2" xfId="26401"/>
    <cellStyle name="Обычный 5 7 2 2 2 2 2" xfId="56273"/>
    <cellStyle name="Обычный 5 7 2 2 2 3" xfId="56274"/>
    <cellStyle name="Обычный 5 7 2 2 3" xfId="26402"/>
    <cellStyle name="Обычный 5 7 2 2 3 2" xfId="56275"/>
    <cellStyle name="Обычный 5 7 2 2 4" xfId="56276"/>
    <cellStyle name="Обычный 5 7 2 3" xfId="26403"/>
    <cellStyle name="Обычный 5 7 2 3 2" xfId="26404"/>
    <cellStyle name="Обычный 5 7 2 3 2 2" xfId="26405"/>
    <cellStyle name="Обычный 5 7 2 3 2 2 2" xfId="56277"/>
    <cellStyle name="Обычный 5 7 2 3 2 3" xfId="56278"/>
    <cellStyle name="Обычный 5 7 2 3 3" xfId="26406"/>
    <cellStyle name="Обычный 5 7 2 3 3 2" xfId="56279"/>
    <cellStyle name="Обычный 5 7 2 3 4" xfId="56280"/>
    <cellStyle name="Обычный 5 7 2 4" xfId="26407"/>
    <cellStyle name="Обычный 5 7 2 4 2" xfId="26408"/>
    <cellStyle name="Обычный 5 7 2 4 2 2" xfId="26409"/>
    <cellStyle name="Обычный 5 7 2 4 2 2 2" xfId="56281"/>
    <cellStyle name="Обычный 5 7 2 4 2 3" xfId="56282"/>
    <cellStyle name="Обычный 5 7 2 4 3" xfId="26410"/>
    <cellStyle name="Обычный 5 7 2 4 3 2" xfId="56283"/>
    <cellStyle name="Обычный 5 7 2 4 4" xfId="56284"/>
    <cellStyle name="Обычный 5 7 2 5" xfId="26411"/>
    <cellStyle name="Обычный 5 7 2 5 2" xfId="26412"/>
    <cellStyle name="Обычный 5 7 2 5 2 2" xfId="56285"/>
    <cellStyle name="Обычный 5 7 2 5 3" xfId="56286"/>
    <cellStyle name="Обычный 5 7 2 6" xfId="26413"/>
    <cellStyle name="Обычный 5 7 2 6 2" xfId="56287"/>
    <cellStyle name="Обычный 5 7 2 7" xfId="26414"/>
    <cellStyle name="Обычный 5 7 2 7 2" xfId="56288"/>
    <cellStyle name="Обычный 5 7 2 8" xfId="56289"/>
    <cellStyle name="Обычный 5 7 20" xfId="26415"/>
    <cellStyle name="Обычный 5 7 20 2" xfId="26416"/>
    <cellStyle name="Обычный 5 7 20 2 2" xfId="26417"/>
    <cellStyle name="Обычный 5 7 20 2 2 2" xfId="26418"/>
    <cellStyle name="Обычный 5 7 20 2 2 2 2" xfId="56290"/>
    <cellStyle name="Обычный 5 7 20 2 2 3" xfId="56291"/>
    <cellStyle name="Обычный 5 7 20 2 3" xfId="26419"/>
    <cellStyle name="Обычный 5 7 20 2 3 2" xfId="56292"/>
    <cellStyle name="Обычный 5 7 20 2 4" xfId="56293"/>
    <cellStyle name="Обычный 5 7 20 3" xfId="26420"/>
    <cellStyle name="Обычный 5 7 20 3 2" xfId="26421"/>
    <cellStyle name="Обычный 5 7 20 3 2 2" xfId="26422"/>
    <cellStyle name="Обычный 5 7 20 3 2 2 2" xfId="56294"/>
    <cellStyle name="Обычный 5 7 20 3 2 3" xfId="56295"/>
    <cellStyle name="Обычный 5 7 20 3 3" xfId="26423"/>
    <cellStyle name="Обычный 5 7 20 3 3 2" xfId="56296"/>
    <cellStyle name="Обычный 5 7 20 3 4" xfId="56297"/>
    <cellStyle name="Обычный 5 7 20 4" xfId="26424"/>
    <cellStyle name="Обычный 5 7 20 4 2" xfId="26425"/>
    <cellStyle name="Обычный 5 7 20 4 2 2" xfId="26426"/>
    <cellStyle name="Обычный 5 7 20 4 2 2 2" xfId="56298"/>
    <cellStyle name="Обычный 5 7 20 4 2 3" xfId="56299"/>
    <cellStyle name="Обычный 5 7 20 4 3" xfId="26427"/>
    <cellStyle name="Обычный 5 7 20 4 3 2" xfId="56300"/>
    <cellStyle name="Обычный 5 7 20 4 4" xfId="56301"/>
    <cellStyle name="Обычный 5 7 20 5" xfId="26428"/>
    <cellStyle name="Обычный 5 7 20 5 2" xfId="26429"/>
    <cellStyle name="Обычный 5 7 20 5 2 2" xfId="56302"/>
    <cellStyle name="Обычный 5 7 20 5 3" xfId="56303"/>
    <cellStyle name="Обычный 5 7 20 6" xfId="26430"/>
    <cellStyle name="Обычный 5 7 20 6 2" xfId="56304"/>
    <cellStyle name="Обычный 5 7 20 7" xfId="26431"/>
    <cellStyle name="Обычный 5 7 20 7 2" xfId="56305"/>
    <cellStyle name="Обычный 5 7 20 8" xfId="56306"/>
    <cellStyle name="Обычный 5 7 21" xfId="26432"/>
    <cellStyle name="Обычный 5 7 21 2" xfId="26433"/>
    <cellStyle name="Обычный 5 7 21 2 2" xfId="26434"/>
    <cellStyle name="Обычный 5 7 21 2 2 2" xfId="26435"/>
    <cellStyle name="Обычный 5 7 21 2 2 2 2" xfId="56307"/>
    <cellStyle name="Обычный 5 7 21 2 2 3" xfId="56308"/>
    <cellStyle name="Обычный 5 7 21 2 3" xfId="26436"/>
    <cellStyle name="Обычный 5 7 21 2 3 2" xfId="56309"/>
    <cellStyle name="Обычный 5 7 21 2 4" xfId="56310"/>
    <cellStyle name="Обычный 5 7 21 3" xfId="26437"/>
    <cellStyle name="Обычный 5 7 21 3 2" xfId="26438"/>
    <cellStyle name="Обычный 5 7 21 3 2 2" xfId="26439"/>
    <cellStyle name="Обычный 5 7 21 3 2 2 2" xfId="56311"/>
    <cellStyle name="Обычный 5 7 21 3 2 3" xfId="56312"/>
    <cellStyle name="Обычный 5 7 21 3 3" xfId="26440"/>
    <cellStyle name="Обычный 5 7 21 3 3 2" xfId="56313"/>
    <cellStyle name="Обычный 5 7 21 3 4" xfId="56314"/>
    <cellStyle name="Обычный 5 7 21 4" xfId="26441"/>
    <cellStyle name="Обычный 5 7 21 4 2" xfId="26442"/>
    <cellStyle name="Обычный 5 7 21 4 2 2" xfId="26443"/>
    <cellStyle name="Обычный 5 7 21 4 2 2 2" xfId="56315"/>
    <cellStyle name="Обычный 5 7 21 4 2 3" xfId="56316"/>
    <cellStyle name="Обычный 5 7 21 4 3" xfId="26444"/>
    <cellStyle name="Обычный 5 7 21 4 3 2" xfId="56317"/>
    <cellStyle name="Обычный 5 7 21 4 4" xfId="56318"/>
    <cellStyle name="Обычный 5 7 21 5" xfId="26445"/>
    <cellStyle name="Обычный 5 7 21 5 2" xfId="26446"/>
    <cellStyle name="Обычный 5 7 21 5 2 2" xfId="56319"/>
    <cellStyle name="Обычный 5 7 21 5 3" xfId="56320"/>
    <cellStyle name="Обычный 5 7 21 6" xfId="26447"/>
    <cellStyle name="Обычный 5 7 21 6 2" xfId="56321"/>
    <cellStyle name="Обычный 5 7 21 7" xfId="26448"/>
    <cellStyle name="Обычный 5 7 21 7 2" xfId="56322"/>
    <cellStyle name="Обычный 5 7 21 8" xfId="56323"/>
    <cellStyle name="Обычный 5 7 22" xfId="26449"/>
    <cellStyle name="Обычный 5 7 22 2" xfId="26450"/>
    <cellStyle name="Обычный 5 7 22 2 2" xfId="26451"/>
    <cellStyle name="Обычный 5 7 22 2 2 2" xfId="26452"/>
    <cellStyle name="Обычный 5 7 22 2 2 2 2" xfId="56324"/>
    <cellStyle name="Обычный 5 7 22 2 2 3" xfId="56325"/>
    <cellStyle name="Обычный 5 7 22 2 3" xfId="26453"/>
    <cellStyle name="Обычный 5 7 22 2 3 2" xfId="56326"/>
    <cellStyle name="Обычный 5 7 22 2 4" xfId="56327"/>
    <cellStyle name="Обычный 5 7 22 3" xfId="26454"/>
    <cellStyle name="Обычный 5 7 22 3 2" xfId="26455"/>
    <cellStyle name="Обычный 5 7 22 3 2 2" xfId="26456"/>
    <cellStyle name="Обычный 5 7 22 3 2 2 2" xfId="56328"/>
    <cellStyle name="Обычный 5 7 22 3 2 3" xfId="56329"/>
    <cellStyle name="Обычный 5 7 22 3 3" xfId="26457"/>
    <cellStyle name="Обычный 5 7 22 3 3 2" xfId="56330"/>
    <cellStyle name="Обычный 5 7 22 3 4" xfId="56331"/>
    <cellStyle name="Обычный 5 7 22 4" xfId="26458"/>
    <cellStyle name="Обычный 5 7 22 4 2" xfId="26459"/>
    <cellStyle name="Обычный 5 7 22 4 2 2" xfId="26460"/>
    <cellStyle name="Обычный 5 7 22 4 2 2 2" xfId="56332"/>
    <cellStyle name="Обычный 5 7 22 4 2 3" xfId="56333"/>
    <cellStyle name="Обычный 5 7 22 4 3" xfId="26461"/>
    <cellStyle name="Обычный 5 7 22 4 3 2" xfId="56334"/>
    <cellStyle name="Обычный 5 7 22 4 4" xfId="56335"/>
    <cellStyle name="Обычный 5 7 22 5" xfId="26462"/>
    <cellStyle name="Обычный 5 7 22 5 2" xfId="26463"/>
    <cellStyle name="Обычный 5 7 22 5 2 2" xfId="56336"/>
    <cellStyle name="Обычный 5 7 22 5 3" xfId="56337"/>
    <cellStyle name="Обычный 5 7 22 6" xfId="26464"/>
    <cellStyle name="Обычный 5 7 22 6 2" xfId="56338"/>
    <cellStyle name="Обычный 5 7 22 7" xfId="26465"/>
    <cellStyle name="Обычный 5 7 22 7 2" xfId="56339"/>
    <cellStyle name="Обычный 5 7 22 8" xfId="56340"/>
    <cellStyle name="Обычный 5 7 23" xfId="26466"/>
    <cellStyle name="Обычный 5 7 23 2" xfId="26467"/>
    <cellStyle name="Обычный 5 7 23 2 2" xfId="26468"/>
    <cellStyle name="Обычный 5 7 23 2 2 2" xfId="26469"/>
    <cellStyle name="Обычный 5 7 23 2 2 2 2" xfId="56341"/>
    <cellStyle name="Обычный 5 7 23 2 2 3" xfId="56342"/>
    <cellStyle name="Обычный 5 7 23 2 3" xfId="26470"/>
    <cellStyle name="Обычный 5 7 23 2 3 2" xfId="56343"/>
    <cellStyle name="Обычный 5 7 23 2 4" xfId="56344"/>
    <cellStyle name="Обычный 5 7 23 3" xfId="26471"/>
    <cellStyle name="Обычный 5 7 23 3 2" xfId="26472"/>
    <cellStyle name="Обычный 5 7 23 3 2 2" xfId="26473"/>
    <cellStyle name="Обычный 5 7 23 3 2 2 2" xfId="56345"/>
    <cellStyle name="Обычный 5 7 23 3 2 3" xfId="56346"/>
    <cellStyle name="Обычный 5 7 23 3 3" xfId="26474"/>
    <cellStyle name="Обычный 5 7 23 3 3 2" xfId="56347"/>
    <cellStyle name="Обычный 5 7 23 3 4" xfId="56348"/>
    <cellStyle name="Обычный 5 7 23 4" xfId="26475"/>
    <cellStyle name="Обычный 5 7 23 4 2" xfId="26476"/>
    <cellStyle name="Обычный 5 7 23 4 2 2" xfId="26477"/>
    <cellStyle name="Обычный 5 7 23 4 2 2 2" xfId="56349"/>
    <cellStyle name="Обычный 5 7 23 4 2 3" xfId="56350"/>
    <cellStyle name="Обычный 5 7 23 4 3" xfId="26478"/>
    <cellStyle name="Обычный 5 7 23 4 3 2" xfId="56351"/>
    <cellStyle name="Обычный 5 7 23 4 4" xfId="56352"/>
    <cellStyle name="Обычный 5 7 23 5" xfId="26479"/>
    <cellStyle name="Обычный 5 7 23 5 2" xfId="26480"/>
    <cellStyle name="Обычный 5 7 23 5 2 2" xfId="56353"/>
    <cellStyle name="Обычный 5 7 23 5 3" xfId="56354"/>
    <cellStyle name="Обычный 5 7 23 6" xfId="26481"/>
    <cellStyle name="Обычный 5 7 23 6 2" xfId="56355"/>
    <cellStyle name="Обычный 5 7 23 7" xfId="26482"/>
    <cellStyle name="Обычный 5 7 23 7 2" xfId="56356"/>
    <cellStyle name="Обычный 5 7 23 8" xfId="56357"/>
    <cellStyle name="Обычный 5 7 24" xfId="26483"/>
    <cellStyle name="Обычный 5 7 24 2" xfId="26484"/>
    <cellStyle name="Обычный 5 7 24 2 2" xfId="26485"/>
    <cellStyle name="Обычный 5 7 24 2 2 2" xfId="26486"/>
    <cellStyle name="Обычный 5 7 24 2 2 2 2" xfId="56358"/>
    <cellStyle name="Обычный 5 7 24 2 2 3" xfId="56359"/>
    <cellStyle name="Обычный 5 7 24 2 3" xfId="26487"/>
    <cellStyle name="Обычный 5 7 24 2 3 2" xfId="56360"/>
    <cellStyle name="Обычный 5 7 24 2 4" xfId="56361"/>
    <cellStyle name="Обычный 5 7 24 3" xfId="26488"/>
    <cellStyle name="Обычный 5 7 24 3 2" xfId="26489"/>
    <cellStyle name="Обычный 5 7 24 3 2 2" xfId="26490"/>
    <cellStyle name="Обычный 5 7 24 3 2 2 2" xfId="56362"/>
    <cellStyle name="Обычный 5 7 24 3 2 3" xfId="56363"/>
    <cellStyle name="Обычный 5 7 24 3 3" xfId="26491"/>
    <cellStyle name="Обычный 5 7 24 3 3 2" xfId="56364"/>
    <cellStyle name="Обычный 5 7 24 3 4" xfId="56365"/>
    <cellStyle name="Обычный 5 7 24 4" xfId="26492"/>
    <cellStyle name="Обычный 5 7 24 4 2" xfId="26493"/>
    <cellStyle name="Обычный 5 7 24 4 2 2" xfId="26494"/>
    <cellStyle name="Обычный 5 7 24 4 2 2 2" xfId="56366"/>
    <cellStyle name="Обычный 5 7 24 4 2 3" xfId="56367"/>
    <cellStyle name="Обычный 5 7 24 4 3" xfId="26495"/>
    <cellStyle name="Обычный 5 7 24 4 3 2" xfId="56368"/>
    <cellStyle name="Обычный 5 7 24 4 4" xfId="56369"/>
    <cellStyle name="Обычный 5 7 24 5" xfId="26496"/>
    <cellStyle name="Обычный 5 7 24 5 2" xfId="26497"/>
    <cellStyle name="Обычный 5 7 24 5 2 2" xfId="56370"/>
    <cellStyle name="Обычный 5 7 24 5 3" xfId="56371"/>
    <cellStyle name="Обычный 5 7 24 6" xfId="26498"/>
    <cellStyle name="Обычный 5 7 24 6 2" xfId="56372"/>
    <cellStyle name="Обычный 5 7 24 7" xfId="26499"/>
    <cellStyle name="Обычный 5 7 24 7 2" xfId="56373"/>
    <cellStyle name="Обычный 5 7 24 8" xfId="56374"/>
    <cellStyle name="Обычный 5 7 25" xfId="26500"/>
    <cellStyle name="Обычный 5 7 25 2" xfId="26501"/>
    <cellStyle name="Обычный 5 7 25 2 2" xfId="26502"/>
    <cellStyle name="Обычный 5 7 25 2 2 2" xfId="26503"/>
    <cellStyle name="Обычный 5 7 25 2 2 2 2" xfId="56375"/>
    <cellStyle name="Обычный 5 7 25 2 2 3" xfId="56376"/>
    <cellStyle name="Обычный 5 7 25 2 3" xfId="26504"/>
    <cellStyle name="Обычный 5 7 25 2 3 2" xfId="56377"/>
    <cellStyle name="Обычный 5 7 25 2 4" xfId="56378"/>
    <cellStyle name="Обычный 5 7 25 3" xfId="26505"/>
    <cellStyle name="Обычный 5 7 25 3 2" xfId="26506"/>
    <cellStyle name="Обычный 5 7 25 3 2 2" xfId="26507"/>
    <cellStyle name="Обычный 5 7 25 3 2 2 2" xfId="56379"/>
    <cellStyle name="Обычный 5 7 25 3 2 3" xfId="56380"/>
    <cellStyle name="Обычный 5 7 25 3 3" xfId="26508"/>
    <cellStyle name="Обычный 5 7 25 3 3 2" xfId="56381"/>
    <cellStyle name="Обычный 5 7 25 3 4" xfId="56382"/>
    <cellStyle name="Обычный 5 7 25 4" xfId="26509"/>
    <cellStyle name="Обычный 5 7 25 4 2" xfId="26510"/>
    <cellStyle name="Обычный 5 7 25 4 2 2" xfId="26511"/>
    <cellStyle name="Обычный 5 7 25 4 2 2 2" xfId="56383"/>
    <cellStyle name="Обычный 5 7 25 4 2 3" xfId="56384"/>
    <cellStyle name="Обычный 5 7 25 4 3" xfId="26512"/>
    <cellStyle name="Обычный 5 7 25 4 3 2" xfId="56385"/>
    <cellStyle name="Обычный 5 7 25 4 4" xfId="56386"/>
    <cellStyle name="Обычный 5 7 25 5" xfId="26513"/>
    <cellStyle name="Обычный 5 7 25 5 2" xfId="26514"/>
    <cellStyle name="Обычный 5 7 25 5 2 2" xfId="56387"/>
    <cellStyle name="Обычный 5 7 25 5 3" xfId="56388"/>
    <cellStyle name="Обычный 5 7 25 6" xfId="26515"/>
    <cellStyle name="Обычный 5 7 25 6 2" xfId="56389"/>
    <cellStyle name="Обычный 5 7 25 7" xfId="26516"/>
    <cellStyle name="Обычный 5 7 25 7 2" xfId="56390"/>
    <cellStyle name="Обычный 5 7 25 8" xfId="56391"/>
    <cellStyle name="Обычный 5 7 26" xfId="26517"/>
    <cellStyle name="Обычный 5 7 26 2" xfId="26518"/>
    <cellStyle name="Обычный 5 7 26 2 2" xfId="26519"/>
    <cellStyle name="Обычный 5 7 26 2 2 2" xfId="26520"/>
    <cellStyle name="Обычный 5 7 26 2 2 2 2" xfId="56392"/>
    <cellStyle name="Обычный 5 7 26 2 2 3" xfId="56393"/>
    <cellStyle name="Обычный 5 7 26 2 3" xfId="26521"/>
    <cellStyle name="Обычный 5 7 26 2 3 2" xfId="56394"/>
    <cellStyle name="Обычный 5 7 26 2 4" xfId="56395"/>
    <cellStyle name="Обычный 5 7 26 3" xfId="26522"/>
    <cellStyle name="Обычный 5 7 26 3 2" xfId="26523"/>
    <cellStyle name="Обычный 5 7 26 3 2 2" xfId="26524"/>
    <cellStyle name="Обычный 5 7 26 3 2 2 2" xfId="56396"/>
    <cellStyle name="Обычный 5 7 26 3 2 3" xfId="56397"/>
    <cellStyle name="Обычный 5 7 26 3 3" xfId="26525"/>
    <cellStyle name="Обычный 5 7 26 3 3 2" xfId="56398"/>
    <cellStyle name="Обычный 5 7 26 3 4" xfId="56399"/>
    <cellStyle name="Обычный 5 7 26 4" xfId="26526"/>
    <cellStyle name="Обычный 5 7 26 4 2" xfId="26527"/>
    <cellStyle name="Обычный 5 7 26 4 2 2" xfId="26528"/>
    <cellStyle name="Обычный 5 7 26 4 2 2 2" xfId="56400"/>
    <cellStyle name="Обычный 5 7 26 4 2 3" xfId="56401"/>
    <cellStyle name="Обычный 5 7 26 4 3" xfId="26529"/>
    <cellStyle name="Обычный 5 7 26 4 3 2" xfId="56402"/>
    <cellStyle name="Обычный 5 7 26 4 4" xfId="56403"/>
    <cellStyle name="Обычный 5 7 26 5" xfId="26530"/>
    <cellStyle name="Обычный 5 7 26 5 2" xfId="26531"/>
    <cellStyle name="Обычный 5 7 26 5 2 2" xfId="56404"/>
    <cellStyle name="Обычный 5 7 26 5 3" xfId="56405"/>
    <cellStyle name="Обычный 5 7 26 6" xfId="26532"/>
    <cellStyle name="Обычный 5 7 26 6 2" xfId="56406"/>
    <cellStyle name="Обычный 5 7 26 7" xfId="26533"/>
    <cellStyle name="Обычный 5 7 26 7 2" xfId="56407"/>
    <cellStyle name="Обычный 5 7 26 8" xfId="56408"/>
    <cellStyle name="Обычный 5 7 27" xfId="26534"/>
    <cellStyle name="Обычный 5 7 27 2" xfId="26535"/>
    <cellStyle name="Обычный 5 7 27 2 2" xfId="26536"/>
    <cellStyle name="Обычный 5 7 27 2 2 2" xfId="26537"/>
    <cellStyle name="Обычный 5 7 27 2 2 2 2" xfId="56409"/>
    <cellStyle name="Обычный 5 7 27 2 2 3" xfId="56410"/>
    <cellStyle name="Обычный 5 7 27 2 3" xfId="26538"/>
    <cellStyle name="Обычный 5 7 27 2 3 2" xfId="56411"/>
    <cellStyle name="Обычный 5 7 27 2 4" xfId="56412"/>
    <cellStyle name="Обычный 5 7 27 3" xfId="26539"/>
    <cellStyle name="Обычный 5 7 27 3 2" xfId="26540"/>
    <cellStyle name="Обычный 5 7 27 3 2 2" xfId="26541"/>
    <cellStyle name="Обычный 5 7 27 3 2 2 2" xfId="56413"/>
    <cellStyle name="Обычный 5 7 27 3 2 3" xfId="56414"/>
    <cellStyle name="Обычный 5 7 27 3 3" xfId="26542"/>
    <cellStyle name="Обычный 5 7 27 3 3 2" xfId="56415"/>
    <cellStyle name="Обычный 5 7 27 3 4" xfId="56416"/>
    <cellStyle name="Обычный 5 7 27 4" xfId="26543"/>
    <cellStyle name="Обычный 5 7 27 4 2" xfId="26544"/>
    <cellStyle name="Обычный 5 7 27 4 2 2" xfId="26545"/>
    <cellStyle name="Обычный 5 7 27 4 2 2 2" xfId="56417"/>
    <cellStyle name="Обычный 5 7 27 4 2 3" xfId="56418"/>
    <cellStyle name="Обычный 5 7 27 4 3" xfId="26546"/>
    <cellStyle name="Обычный 5 7 27 4 3 2" xfId="56419"/>
    <cellStyle name="Обычный 5 7 27 4 4" xfId="56420"/>
    <cellStyle name="Обычный 5 7 27 5" xfId="26547"/>
    <cellStyle name="Обычный 5 7 27 5 2" xfId="26548"/>
    <cellStyle name="Обычный 5 7 27 5 2 2" xfId="56421"/>
    <cellStyle name="Обычный 5 7 27 5 3" xfId="56422"/>
    <cellStyle name="Обычный 5 7 27 6" xfId="26549"/>
    <cellStyle name="Обычный 5 7 27 6 2" xfId="56423"/>
    <cellStyle name="Обычный 5 7 27 7" xfId="26550"/>
    <cellStyle name="Обычный 5 7 27 7 2" xfId="56424"/>
    <cellStyle name="Обычный 5 7 27 8" xfId="56425"/>
    <cellStyle name="Обычный 5 7 28" xfId="26551"/>
    <cellStyle name="Обычный 5 7 28 2" xfId="26552"/>
    <cellStyle name="Обычный 5 7 28 2 2" xfId="26553"/>
    <cellStyle name="Обычный 5 7 28 2 2 2" xfId="26554"/>
    <cellStyle name="Обычный 5 7 28 2 2 2 2" xfId="56426"/>
    <cellStyle name="Обычный 5 7 28 2 2 3" xfId="56427"/>
    <cellStyle name="Обычный 5 7 28 2 3" xfId="26555"/>
    <cellStyle name="Обычный 5 7 28 2 3 2" xfId="56428"/>
    <cellStyle name="Обычный 5 7 28 2 4" xfId="56429"/>
    <cellStyle name="Обычный 5 7 28 3" xfId="26556"/>
    <cellStyle name="Обычный 5 7 28 3 2" xfId="26557"/>
    <cellStyle name="Обычный 5 7 28 3 2 2" xfId="26558"/>
    <cellStyle name="Обычный 5 7 28 3 2 2 2" xfId="56430"/>
    <cellStyle name="Обычный 5 7 28 3 2 3" xfId="56431"/>
    <cellStyle name="Обычный 5 7 28 3 3" xfId="26559"/>
    <cellStyle name="Обычный 5 7 28 3 3 2" xfId="56432"/>
    <cellStyle name="Обычный 5 7 28 3 4" xfId="56433"/>
    <cellStyle name="Обычный 5 7 28 4" xfId="26560"/>
    <cellStyle name="Обычный 5 7 28 4 2" xfId="26561"/>
    <cellStyle name="Обычный 5 7 28 4 2 2" xfId="26562"/>
    <cellStyle name="Обычный 5 7 28 4 2 2 2" xfId="56434"/>
    <cellStyle name="Обычный 5 7 28 4 2 3" xfId="56435"/>
    <cellStyle name="Обычный 5 7 28 4 3" xfId="26563"/>
    <cellStyle name="Обычный 5 7 28 4 3 2" xfId="56436"/>
    <cellStyle name="Обычный 5 7 28 4 4" xfId="56437"/>
    <cellStyle name="Обычный 5 7 28 5" xfId="26564"/>
    <cellStyle name="Обычный 5 7 28 5 2" xfId="26565"/>
    <cellStyle name="Обычный 5 7 28 5 2 2" xfId="56438"/>
    <cellStyle name="Обычный 5 7 28 5 3" xfId="56439"/>
    <cellStyle name="Обычный 5 7 28 6" xfId="26566"/>
    <cellStyle name="Обычный 5 7 28 6 2" xfId="56440"/>
    <cellStyle name="Обычный 5 7 28 7" xfId="26567"/>
    <cellStyle name="Обычный 5 7 28 7 2" xfId="56441"/>
    <cellStyle name="Обычный 5 7 28 8" xfId="56442"/>
    <cellStyle name="Обычный 5 7 29" xfId="26568"/>
    <cellStyle name="Обычный 5 7 29 2" xfId="26569"/>
    <cellStyle name="Обычный 5 7 29 2 2" xfId="26570"/>
    <cellStyle name="Обычный 5 7 29 2 2 2" xfId="26571"/>
    <cellStyle name="Обычный 5 7 29 2 2 2 2" xfId="56443"/>
    <cellStyle name="Обычный 5 7 29 2 2 3" xfId="56444"/>
    <cellStyle name="Обычный 5 7 29 2 3" xfId="26572"/>
    <cellStyle name="Обычный 5 7 29 2 3 2" xfId="56445"/>
    <cellStyle name="Обычный 5 7 29 2 4" xfId="56446"/>
    <cellStyle name="Обычный 5 7 29 3" xfId="26573"/>
    <cellStyle name="Обычный 5 7 29 3 2" xfId="26574"/>
    <cellStyle name="Обычный 5 7 29 3 2 2" xfId="26575"/>
    <cellStyle name="Обычный 5 7 29 3 2 2 2" xfId="56447"/>
    <cellStyle name="Обычный 5 7 29 3 2 3" xfId="56448"/>
    <cellStyle name="Обычный 5 7 29 3 3" xfId="26576"/>
    <cellStyle name="Обычный 5 7 29 3 3 2" xfId="56449"/>
    <cellStyle name="Обычный 5 7 29 3 4" xfId="56450"/>
    <cellStyle name="Обычный 5 7 29 4" xfId="26577"/>
    <cellStyle name="Обычный 5 7 29 4 2" xfId="26578"/>
    <cellStyle name="Обычный 5 7 29 4 2 2" xfId="26579"/>
    <cellStyle name="Обычный 5 7 29 4 2 2 2" xfId="56451"/>
    <cellStyle name="Обычный 5 7 29 4 2 3" xfId="56452"/>
    <cellStyle name="Обычный 5 7 29 4 3" xfId="26580"/>
    <cellStyle name="Обычный 5 7 29 4 3 2" xfId="56453"/>
    <cellStyle name="Обычный 5 7 29 4 4" xfId="56454"/>
    <cellStyle name="Обычный 5 7 29 5" xfId="26581"/>
    <cellStyle name="Обычный 5 7 29 5 2" xfId="26582"/>
    <cellStyle name="Обычный 5 7 29 5 2 2" xfId="56455"/>
    <cellStyle name="Обычный 5 7 29 5 3" xfId="56456"/>
    <cellStyle name="Обычный 5 7 29 6" xfId="26583"/>
    <cellStyle name="Обычный 5 7 29 6 2" xfId="56457"/>
    <cellStyle name="Обычный 5 7 29 7" xfId="26584"/>
    <cellStyle name="Обычный 5 7 29 7 2" xfId="56458"/>
    <cellStyle name="Обычный 5 7 29 8" xfId="56459"/>
    <cellStyle name="Обычный 5 7 3" xfId="26585"/>
    <cellStyle name="Обычный 5 7 3 2" xfId="26586"/>
    <cellStyle name="Обычный 5 7 3 2 2" xfId="26587"/>
    <cellStyle name="Обычный 5 7 3 2 2 2" xfId="26588"/>
    <cellStyle name="Обычный 5 7 3 2 2 2 2" xfId="56460"/>
    <cellStyle name="Обычный 5 7 3 2 2 3" xfId="56461"/>
    <cellStyle name="Обычный 5 7 3 2 3" xfId="26589"/>
    <cellStyle name="Обычный 5 7 3 2 3 2" xfId="56462"/>
    <cellStyle name="Обычный 5 7 3 2 4" xfId="56463"/>
    <cellStyle name="Обычный 5 7 3 3" xfId="26590"/>
    <cellStyle name="Обычный 5 7 3 3 2" xfId="26591"/>
    <cellStyle name="Обычный 5 7 3 3 2 2" xfId="26592"/>
    <cellStyle name="Обычный 5 7 3 3 2 2 2" xfId="56464"/>
    <cellStyle name="Обычный 5 7 3 3 2 3" xfId="56465"/>
    <cellStyle name="Обычный 5 7 3 3 3" xfId="26593"/>
    <cellStyle name="Обычный 5 7 3 3 3 2" xfId="56466"/>
    <cellStyle name="Обычный 5 7 3 3 4" xfId="56467"/>
    <cellStyle name="Обычный 5 7 3 4" xfId="26594"/>
    <cellStyle name="Обычный 5 7 3 4 2" xfId="26595"/>
    <cellStyle name="Обычный 5 7 3 4 2 2" xfId="26596"/>
    <cellStyle name="Обычный 5 7 3 4 2 2 2" xfId="56468"/>
    <cellStyle name="Обычный 5 7 3 4 2 3" xfId="56469"/>
    <cellStyle name="Обычный 5 7 3 4 3" xfId="26597"/>
    <cellStyle name="Обычный 5 7 3 4 3 2" xfId="56470"/>
    <cellStyle name="Обычный 5 7 3 4 4" xfId="56471"/>
    <cellStyle name="Обычный 5 7 3 5" xfId="26598"/>
    <cellStyle name="Обычный 5 7 3 5 2" xfId="26599"/>
    <cellStyle name="Обычный 5 7 3 5 2 2" xfId="56472"/>
    <cellStyle name="Обычный 5 7 3 5 3" xfId="56473"/>
    <cellStyle name="Обычный 5 7 3 6" xfId="26600"/>
    <cellStyle name="Обычный 5 7 3 6 2" xfId="56474"/>
    <cellStyle name="Обычный 5 7 3 7" xfId="26601"/>
    <cellStyle name="Обычный 5 7 3 7 2" xfId="56475"/>
    <cellStyle name="Обычный 5 7 3 8" xfId="56476"/>
    <cellStyle name="Обычный 5 7 30" xfId="26602"/>
    <cellStyle name="Обычный 5 7 30 2" xfId="26603"/>
    <cellStyle name="Обычный 5 7 30 2 2" xfId="26604"/>
    <cellStyle name="Обычный 5 7 30 2 2 2" xfId="56477"/>
    <cellStyle name="Обычный 5 7 30 2 3" xfId="56478"/>
    <cellStyle name="Обычный 5 7 30 3" xfId="26605"/>
    <cellStyle name="Обычный 5 7 30 3 2" xfId="56479"/>
    <cellStyle name="Обычный 5 7 30 4" xfId="56480"/>
    <cellStyle name="Обычный 5 7 31" xfId="26606"/>
    <cellStyle name="Обычный 5 7 31 2" xfId="26607"/>
    <cellStyle name="Обычный 5 7 31 2 2" xfId="26608"/>
    <cellStyle name="Обычный 5 7 31 2 2 2" xfId="56481"/>
    <cellStyle name="Обычный 5 7 31 2 3" xfId="56482"/>
    <cellStyle name="Обычный 5 7 31 3" xfId="26609"/>
    <cellStyle name="Обычный 5 7 31 3 2" xfId="56483"/>
    <cellStyle name="Обычный 5 7 31 4" xfId="56484"/>
    <cellStyle name="Обычный 5 7 32" xfId="26610"/>
    <cellStyle name="Обычный 5 7 32 2" xfId="26611"/>
    <cellStyle name="Обычный 5 7 32 2 2" xfId="26612"/>
    <cellStyle name="Обычный 5 7 32 2 2 2" xfId="56485"/>
    <cellStyle name="Обычный 5 7 32 2 3" xfId="56486"/>
    <cellStyle name="Обычный 5 7 32 3" xfId="26613"/>
    <cellStyle name="Обычный 5 7 32 3 2" xfId="56487"/>
    <cellStyle name="Обычный 5 7 32 4" xfId="56488"/>
    <cellStyle name="Обычный 5 7 33" xfId="26614"/>
    <cellStyle name="Обычный 5 7 33 2" xfId="26615"/>
    <cellStyle name="Обычный 5 7 33 2 2" xfId="56489"/>
    <cellStyle name="Обычный 5 7 33 3" xfId="56490"/>
    <cellStyle name="Обычный 5 7 34" xfId="26616"/>
    <cellStyle name="Обычный 5 7 34 2" xfId="56491"/>
    <cellStyle name="Обычный 5 7 35" xfId="26617"/>
    <cellStyle name="Обычный 5 7 35 2" xfId="56492"/>
    <cellStyle name="Обычный 5 7 36" xfId="56493"/>
    <cellStyle name="Обычный 5 7 4" xfId="26618"/>
    <cellStyle name="Обычный 5 7 4 2" xfId="26619"/>
    <cellStyle name="Обычный 5 7 4 2 2" xfId="26620"/>
    <cellStyle name="Обычный 5 7 4 2 2 2" xfId="26621"/>
    <cellStyle name="Обычный 5 7 4 2 2 2 2" xfId="56494"/>
    <cellStyle name="Обычный 5 7 4 2 2 3" xfId="56495"/>
    <cellStyle name="Обычный 5 7 4 2 3" xfId="26622"/>
    <cellStyle name="Обычный 5 7 4 2 3 2" xfId="56496"/>
    <cellStyle name="Обычный 5 7 4 2 4" xfId="56497"/>
    <cellStyle name="Обычный 5 7 4 3" xfId="26623"/>
    <cellStyle name="Обычный 5 7 4 3 2" xfId="26624"/>
    <cellStyle name="Обычный 5 7 4 3 2 2" xfId="26625"/>
    <cellStyle name="Обычный 5 7 4 3 2 2 2" xfId="56498"/>
    <cellStyle name="Обычный 5 7 4 3 2 3" xfId="56499"/>
    <cellStyle name="Обычный 5 7 4 3 3" xfId="26626"/>
    <cellStyle name="Обычный 5 7 4 3 3 2" xfId="56500"/>
    <cellStyle name="Обычный 5 7 4 3 4" xfId="56501"/>
    <cellStyle name="Обычный 5 7 4 4" xfId="26627"/>
    <cellStyle name="Обычный 5 7 4 4 2" xfId="26628"/>
    <cellStyle name="Обычный 5 7 4 4 2 2" xfId="26629"/>
    <cellStyle name="Обычный 5 7 4 4 2 2 2" xfId="56502"/>
    <cellStyle name="Обычный 5 7 4 4 2 3" xfId="56503"/>
    <cellStyle name="Обычный 5 7 4 4 3" xfId="26630"/>
    <cellStyle name="Обычный 5 7 4 4 3 2" xfId="56504"/>
    <cellStyle name="Обычный 5 7 4 4 4" xfId="56505"/>
    <cellStyle name="Обычный 5 7 4 5" xfId="26631"/>
    <cellStyle name="Обычный 5 7 4 5 2" xfId="26632"/>
    <cellStyle name="Обычный 5 7 4 5 2 2" xfId="56506"/>
    <cellStyle name="Обычный 5 7 4 5 3" xfId="56507"/>
    <cellStyle name="Обычный 5 7 4 6" xfId="26633"/>
    <cellStyle name="Обычный 5 7 4 6 2" xfId="56508"/>
    <cellStyle name="Обычный 5 7 4 7" xfId="26634"/>
    <cellStyle name="Обычный 5 7 4 7 2" xfId="56509"/>
    <cellStyle name="Обычный 5 7 4 8" xfId="56510"/>
    <cellStyle name="Обычный 5 7 5" xfId="26635"/>
    <cellStyle name="Обычный 5 7 5 2" xfId="26636"/>
    <cellStyle name="Обычный 5 7 5 2 2" xfId="26637"/>
    <cellStyle name="Обычный 5 7 5 2 2 2" xfId="26638"/>
    <cellStyle name="Обычный 5 7 5 2 2 2 2" xfId="56511"/>
    <cellStyle name="Обычный 5 7 5 2 2 3" xfId="56512"/>
    <cellStyle name="Обычный 5 7 5 2 3" xfId="26639"/>
    <cellStyle name="Обычный 5 7 5 2 3 2" xfId="56513"/>
    <cellStyle name="Обычный 5 7 5 2 4" xfId="56514"/>
    <cellStyle name="Обычный 5 7 5 3" xfId="26640"/>
    <cellStyle name="Обычный 5 7 5 3 2" xfId="26641"/>
    <cellStyle name="Обычный 5 7 5 3 2 2" xfId="26642"/>
    <cellStyle name="Обычный 5 7 5 3 2 2 2" xfId="56515"/>
    <cellStyle name="Обычный 5 7 5 3 2 3" xfId="56516"/>
    <cellStyle name="Обычный 5 7 5 3 3" xfId="26643"/>
    <cellStyle name="Обычный 5 7 5 3 3 2" xfId="56517"/>
    <cellStyle name="Обычный 5 7 5 3 4" xfId="56518"/>
    <cellStyle name="Обычный 5 7 5 4" xfId="26644"/>
    <cellStyle name="Обычный 5 7 5 4 2" xfId="26645"/>
    <cellStyle name="Обычный 5 7 5 4 2 2" xfId="26646"/>
    <cellStyle name="Обычный 5 7 5 4 2 2 2" xfId="56519"/>
    <cellStyle name="Обычный 5 7 5 4 2 3" xfId="56520"/>
    <cellStyle name="Обычный 5 7 5 4 3" xfId="26647"/>
    <cellStyle name="Обычный 5 7 5 4 3 2" xfId="56521"/>
    <cellStyle name="Обычный 5 7 5 4 4" xfId="56522"/>
    <cellStyle name="Обычный 5 7 5 5" xfId="26648"/>
    <cellStyle name="Обычный 5 7 5 5 2" xfId="26649"/>
    <cellStyle name="Обычный 5 7 5 5 2 2" xfId="56523"/>
    <cellStyle name="Обычный 5 7 5 5 3" xfId="56524"/>
    <cellStyle name="Обычный 5 7 5 6" xfId="26650"/>
    <cellStyle name="Обычный 5 7 5 6 2" xfId="56525"/>
    <cellStyle name="Обычный 5 7 5 7" xfId="26651"/>
    <cellStyle name="Обычный 5 7 5 7 2" xfId="56526"/>
    <cellStyle name="Обычный 5 7 5 8" xfId="56527"/>
    <cellStyle name="Обычный 5 7 6" xfId="26652"/>
    <cellStyle name="Обычный 5 7 6 2" xfId="26653"/>
    <cellStyle name="Обычный 5 7 6 2 2" xfId="26654"/>
    <cellStyle name="Обычный 5 7 6 2 2 2" xfId="26655"/>
    <cellStyle name="Обычный 5 7 6 2 2 2 2" xfId="56528"/>
    <cellStyle name="Обычный 5 7 6 2 2 3" xfId="56529"/>
    <cellStyle name="Обычный 5 7 6 2 3" xfId="26656"/>
    <cellStyle name="Обычный 5 7 6 2 3 2" xfId="56530"/>
    <cellStyle name="Обычный 5 7 6 2 4" xfId="56531"/>
    <cellStyle name="Обычный 5 7 6 3" xfId="26657"/>
    <cellStyle name="Обычный 5 7 6 3 2" xfId="26658"/>
    <cellStyle name="Обычный 5 7 6 3 2 2" xfId="26659"/>
    <cellStyle name="Обычный 5 7 6 3 2 2 2" xfId="56532"/>
    <cellStyle name="Обычный 5 7 6 3 2 3" xfId="56533"/>
    <cellStyle name="Обычный 5 7 6 3 3" xfId="26660"/>
    <cellStyle name="Обычный 5 7 6 3 3 2" xfId="56534"/>
    <cellStyle name="Обычный 5 7 6 3 4" xfId="56535"/>
    <cellStyle name="Обычный 5 7 6 4" xfId="26661"/>
    <cellStyle name="Обычный 5 7 6 4 2" xfId="26662"/>
    <cellStyle name="Обычный 5 7 6 4 2 2" xfId="26663"/>
    <cellStyle name="Обычный 5 7 6 4 2 2 2" xfId="56536"/>
    <cellStyle name="Обычный 5 7 6 4 2 3" xfId="56537"/>
    <cellStyle name="Обычный 5 7 6 4 3" xfId="26664"/>
    <cellStyle name="Обычный 5 7 6 4 3 2" xfId="56538"/>
    <cellStyle name="Обычный 5 7 6 4 4" xfId="56539"/>
    <cellStyle name="Обычный 5 7 6 5" xfId="26665"/>
    <cellStyle name="Обычный 5 7 6 5 2" xfId="26666"/>
    <cellStyle name="Обычный 5 7 6 5 2 2" xfId="56540"/>
    <cellStyle name="Обычный 5 7 6 5 3" xfId="56541"/>
    <cellStyle name="Обычный 5 7 6 6" xfId="26667"/>
    <cellStyle name="Обычный 5 7 6 6 2" xfId="56542"/>
    <cellStyle name="Обычный 5 7 6 7" xfId="26668"/>
    <cellStyle name="Обычный 5 7 6 7 2" xfId="56543"/>
    <cellStyle name="Обычный 5 7 6 8" xfId="56544"/>
    <cellStyle name="Обычный 5 7 7" xfId="26669"/>
    <cellStyle name="Обычный 5 7 7 2" xfId="26670"/>
    <cellStyle name="Обычный 5 7 7 2 2" xfId="26671"/>
    <cellStyle name="Обычный 5 7 7 2 2 2" xfId="26672"/>
    <cellStyle name="Обычный 5 7 7 2 2 2 2" xfId="56545"/>
    <cellStyle name="Обычный 5 7 7 2 2 3" xfId="56546"/>
    <cellStyle name="Обычный 5 7 7 2 3" xfId="26673"/>
    <cellStyle name="Обычный 5 7 7 2 3 2" xfId="56547"/>
    <cellStyle name="Обычный 5 7 7 2 4" xfId="56548"/>
    <cellStyle name="Обычный 5 7 7 3" xfId="26674"/>
    <cellStyle name="Обычный 5 7 7 3 2" xfId="26675"/>
    <cellStyle name="Обычный 5 7 7 3 2 2" xfId="26676"/>
    <cellStyle name="Обычный 5 7 7 3 2 2 2" xfId="56549"/>
    <cellStyle name="Обычный 5 7 7 3 2 3" xfId="56550"/>
    <cellStyle name="Обычный 5 7 7 3 3" xfId="26677"/>
    <cellStyle name="Обычный 5 7 7 3 3 2" xfId="56551"/>
    <cellStyle name="Обычный 5 7 7 3 4" xfId="56552"/>
    <cellStyle name="Обычный 5 7 7 4" xfId="26678"/>
    <cellStyle name="Обычный 5 7 7 4 2" xfId="26679"/>
    <cellStyle name="Обычный 5 7 7 4 2 2" xfId="26680"/>
    <cellStyle name="Обычный 5 7 7 4 2 2 2" xfId="56553"/>
    <cellStyle name="Обычный 5 7 7 4 2 3" xfId="56554"/>
    <cellStyle name="Обычный 5 7 7 4 3" xfId="26681"/>
    <cellStyle name="Обычный 5 7 7 4 3 2" xfId="56555"/>
    <cellStyle name="Обычный 5 7 7 4 4" xfId="56556"/>
    <cellStyle name="Обычный 5 7 7 5" xfId="26682"/>
    <cellStyle name="Обычный 5 7 7 5 2" xfId="26683"/>
    <cellStyle name="Обычный 5 7 7 5 2 2" xfId="56557"/>
    <cellStyle name="Обычный 5 7 7 5 3" xfId="56558"/>
    <cellStyle name="Обычный 5 7 7 6" xfId="26684"/>
    <cellStyle name="Обычный 5 7 7 6 2" xfId="56559"/>
    <cellStyle name="Обычный 5 7 7 7" xfId="26685"/>
    <cellStyle name="Обычный 5 7 7 7 2" xfId="56560"/>
    <cellStyle name="Обычный 5 7 7 8" xfId="56561"/>
    <cellStyle name="Обычный 5 7 8" xfId="26686"/>
    <cellStyle name="Обычный 5 7 8 2" xfId="26687"/>
    <cellStyle name="Обычный 5 7 8 2 2" xfId="26688"/>
    <cellStyle name="Обычный 5 7 8 2 2 2" xfId="26689"/>
    <cellStyle name="Обычный 5 7 8 2 2 2 2" xfId="56562"/>
    <cellStyle name="Обычный 5 7 8 2 2 3" xfId="56563"/>
    <cellStyle name="Обычный 5 7 8 2 3" xfId="26690"/>
    <cellStyle name="Обычный 5 7 8 2 3 2" xfId="56564"/>
    <cellStyle name="Обычный 5 7 8 2 4" xfId="56565"/>
    <cellStyle name="Обычный 5 7 8 3" xfId="26691"/>
    <cellStyle name="Обычный 5 7 8 3 2" xfId="26692"/>
    <cellStyle name="Обычный 5 7 8 3 2 2" xfId="26693"/>
    <cellStyle name="Обычный 5 7 8 3 2 2 2" xfId="56566"/>
    <cellStyle name="Обычный 5 7 8 3 2 3" xfId="56567"/>
    <cellStyle name="Обычный 5 7 8 3 3" xfId="26694"/>
    <cellStyle name="Обычный 5 7 8 3 3 2" xfId="56568"/>
    <cellStyle name="Обычный 5 7 8 3 4" xfId="56569"/>
    <cellStyle name="Обычный 5 7 8 4" xfId="26695"/>
    <cellStyle name="Обычный 5 7 8 4 2" xfId="26696"/>
    <cellStyle name="Обычный 5 7 8 4 2 2" xfId="26697"/>
    <cellStyle name="Обычный 5 7 8 4 2 2 2" xfId="56570"/>
    <cellStyle name="Обычный 5 7 8 4 2 3" xfId="56571"/>
    <cellStyle name="Обычный 5 7 8 4 3" xfId="26698"/>
    <cellStyle name="Обычный 5 7 8 4 3 2" xfId="56572"/>
    <cellStyle name="Обычный 5 7 8 4 4" xfId="56573"/>
    <cellStyle name="Обычный 5 7 8 5" xfId="26699"/>
    <cellStyle name="Обычный 5 7 8 5 2" xfId="26700"/>
    <cellStyle name="Обычный 5 7 8 5 2 2" xfId="56574"/>
    <cellStyle name="Обычный 5 7 8 5 3" xfId="56575"/>
    <cellStyle name="Обычный 5 7 8 6" xfId="26701"/>
    <cellStyle name="Обычный 5 7 8 6 2" xfId="56576"/>
    <cellStyle name="Обычный 5 7 8 7" xfId="26702"/>
    <cellStyle name="Обычный 5 7 8 7 2" xfId="56577"/>
    <cellStyle name="Обычный 5 7 8 8" xfId="56578"/>
    <cellStyle name="Обычный 5 7 9" xfId="26703"/>
    <cellStyle name="Обычный 5 7 9 2" xfId="26704"/>
    <cellStyle name="Обычный 5 7 9 2 2" xfId="26705"/>
    <cellStyle name="Обычный 5 7 9 2 2 2" xfId="26706"/>
    <cellStyle name="Обычный 5 7 9 2 2 2 2" xfId="56579"/>
    <cellStyle name="Обычный 5 7 9 2 2 3" xfId="56580"/>
    <cellStyle name="Обычный 5 7 9 2 3" xfId="26707"/>
    <cellStyle name="Обычный 5 7 9 2 3 2" xfId="56581"/>
    <cellStyle name="Обычный 5 7 9 2 4" xfId="56582"/>
    <cellStyle name="Обычный 5 7 9 3" xfId="26708"/>
    <cellStyle name="Обычный 5 7 9 3 2" xfId="26709"/>
    <cellStyle name="Обычный 5 7 9 3 2 2" xfId="26710"/>
    <cellStyle name="Обычный 5 7 9 3 2 2 2" xfId="56583"/>
    <cellStyle name="Обычный 5 7 9 3 2 3" xfId="56584"/>
    <cellStyle name="Обычный 5 7 9 3 3" xfId="26711"/>
    <cellStyle name="Обычный 5 7 9 3 3 2" xfId="56585"/>
    <cellStyle name="Обычный 5 7 9 3 4" xfId="56586"/>
    <cellStyle name="Обычный 5 7 9 4" xfId="26712"/>
    <cellStyle name="Обычный 5 7 9 4 2" xfId="26713"/>
    <cellStyle name="Обычный 5 7 9 4 2 2" xfId="26714"/>
    <cellStyle name="Обычный 5 7 9 4 2 2 2" xfId="56587"/>
    <cellStyle name="Обычный 5 7 9 4 2 3" xfId="56588"/>
    <cellStyle name="Обычный 5 7 9 4 3" xfId="26715"/>
    <cellStyle name="Обычный 5 7 9 4 3 2" xfId="56589"/>
    <cellStyle name="Обычный 5 7 9 4 4" xfId="56590"/>
    <cellStyle name="Обычный 5 7 9 5" xfId="26716"/>
    <cellStyle name="Обычный 5 7 9 5 2" xfId="26717"/>
    <cellStyle name="Обычный 5 7 9 5 2 2" xfId="56591"/>
    <cellStyle name="Обычный 5 7 9 5 3" xfId="56592"/>
    <cellStyle name="Обычный 5 7 9 6" xfId="26718"/>
    <cellStyle name="Обычный 5 7 9 6 2" xfId="56593"/>
    <cellStyle name="Обычный 5 7 9 7" xfId="26719"/>
    <cellStyle name="Обычный 5 7 9 7 2" xfId="56594"/>
    <cellStyle name="Обычный 5 7 9 8" xfId="56595"/>
    <cellStyle name="Обычный 5 70" xfId="26720"/>
    <cellStyle name="Обычный 5 70 2" xfId="26721"/>
    <cellStyle name="Обычный 5 70 2 2" xfId="26722"/>
    <cellStyle name="Обычный 5 70 2 2 2" xfId="26723"/>
    <cellStyle name="Обычный 5 70 2 2 2 2" xfId="56596"/>
    <cellStyle name="Обычный 5 70 2 2 3" xfId="56597"/>
    <cellStyle name="Обычный 5 70 2 3" xfId="26724"/>
    <cellStyle name="Обычный 5 70 2 3 2" xfId="56598"/>
    <cellStyle name="Обычный 5 70 2 4" xfId="56599"/>
    <cellStyle name="Обычный 5 70 3" xfId="26725"/>
    <cellStyle name="Обычный 5 70 3 2" xfId="26726"/>
    <cellStyle name="Обычный 5 70 3 2 2" xfId="26727"/>
    <cellStyle name="Обычный 5 70 3 2 2 2" xfId="56600"/>
    <cellStyle name="Обычный 5 70 3 2 3" xfId="56601"/>
    <cellStyle name="Обычный 5 70 3 3" xfId="26728"/>
    <cellStyle name="Обычный 5 70 3 3 2" xfId="56602"/>
    <cellStyle name="Обычный 5 70 3 4" xfId="56603"/>
    <cellStyle name="Обычный 5 70 4" xfId="26729"/>
    <cellStyle name="Обычный 5 70 4 2" xfId="26730"/>
    <cellStyle name="Обычный 5 70 4 2 2" xfId="26731"/>
    <cellStyle name="Обычный 5 70 4 2 2 2" xfId="56604"/>
    <cellStyle name="Обычный 5 70 4 2 3" xfId="56605"/>
    <cellStyle name="Обычный 5 70 4 3" xfId="26732"/>
    <cellStyle name="Обычный 5 70 4 3 2" xfId="56606"/>
    <cellStyle name="Обычный 5 70 4 4" xfId="56607"/>
    <cellStyle name="Обычный 5 70 5" xfId="26733"/>
    <cellStyle name="Обычный 5 70 5 2" xfId="26734"/>
    <cellStyle name="Обычный 5 70 5 2 2" xfId="56608"/>
    <cellStyle name="Обычный 5 70 5 3" xfId="56609"/>
    <cellStyle name="Обычный 5 70 6" xfId="26735"/>
    <cellStyle name="Обычный 5 70 6 2" xfId="56610"/>
    <cellStyle name="Обычный 5 70 7" xfId="26736"/>
    <cellStyle name="Обычный 5 70 7 2" xfId="56611"/>
    <cellStyle name="Обычный 5 70 8" xfId="56612"/>
    <cellStyle name="Обычный 5 71" xfId="26737"/>
    <cellStyle name="Обычный 5 71 2" xfId="26738"/>
    <cellStyle name="Обычный 5 71 2 2" xfId="26739"/>
    <cellStyle name="Обычный 5 71 2 2 2" xfId="26740"/>
    <cellStyle name="Обычный 5 71 2 2 2 2" xfId="56613"/>
    <cellStyle name="Обычный 5 71 2 2 3" xfId="56614"/>
    <cellStyle name="Обычный 5 71 2 3" xfId="26741"/>
    <cellStyle name="Обычный 5 71 2 3 2" xfId="56615"/>
    <cellStyle name="Обычный 5 71 2 4" xfId="56616"/>
    <cellStyle name="Обычный 5 71 3" xfId="26742"/>
    <cellStyle name="Обычный 5 71 3 2" xfId="26743"/>
    <cellStyle name="Обычный 5 71 3 2 2" xfId="26744"/>
    <cellStyle name="Обычный 5 71 3 2 2 2" xfId="56617"/>
    <cellStyle name="Обычный 5 71 3 2 3" xfId="56618"/>
    <cellStyle name="Обычный 5 71 3 3" xfId="26745"/>
    <cellStyle name="Обычный 5 71 3 3 2" xfId="56619"/>
    <cellStyle name="Обычный 5 71 3 4" xfId="56620"/>
    <cellStyle name="Обычный 5 71 4" xfId="26746"/>
    <cellStyle name="Обычный 5 71 4 2" xfId="26747"/>
    <cellStyle name="Обычный 5 71 4 2 2" xfId="26748"/>
    <cellStyle name="Обычный 5 71 4 2 2 2" xfId="56621"/>
    <cellStyle name="Обычный 5 71 4 2 3" xfId="56622"/>
    <cellStyle name="Обычный 5 71 4 3" xfId="26749"/>
    <cellStyle name="Обычный 5 71 4 3 2" xfId="56623"/>
    <cellStyle name="Обычный 5 71 4 4" xfId="56624"/>
    <cellStyle name="Обычный 5 71 5" xfId="26750"/>
    <cellStyle name="Обычный 5 71 5 2" xfId="26751"/>
    <cellStyle name="Обычный 5 71 5 2 2" xfId="56625"/>
    <cellStyle name="Обычный 5 71 5 3" xfId="56626"/>
    <cellStyle name="Обычный 5 71 6" xfId="26752"/>
    <cellStyle name="Обычный 5 71 6 2" xfId="56627"/>
    <cellStyle name="Обычный 5 71 7" xfId="26753"/>
    <cellStyle name="Обычный 5 71 7 2" xfId="56628"/>
    <cellStyle name="Обычный 5 71 8" xfId="56629"/>
    <cellStyle name="Обычный 5 72" xfId="26754"/>
    <cellStyle name="Обычный 5 72 2" xfId="26755"/>
    <cellStyle name="Обычный 5 72 2 2" xfId="26756"/>
    <cellStyle name="Обычный 5 72 2 2 2" xfId="26757"/>
    <cellStyle name="Обычный 5 72 2 2 2 2" xfId="56630"/>
    <cellStyle name="Обычный 5 72 2 2 3" xfId="56631"/>
    <cellStyle name="Обычный 5 72 2 3" xfId="26758"/>
    <cellStyle name="Обычный 5 72 2 3 2" xfId="56632"/>
    <cellStyle name="Обычный 5 72 2 4" xfId="56633"/>
    <cellStyle name="Обычный 5 72 3" xfId="26759"/>
    <cellStyle name="Обычный 5 72 3 2" xfId="26760"/>
    <cellStyle name="Обычный 5 72 3 2 2" xfId="26761"/>
    <cellStyle name="Обычный 5 72 3 2 2 2" xfId="56634"/>
    <cellStyle name="Обычный 5 72 3 2 3" xfId="56635"/>
    <cellStyle name="Обычный 5 72 3 3" xfId="26762"/>
    <cellStyle name="Обычный 5 72 3 3 2" xfId="56636"/>
    <cellStyle name="Обычный 5 72 3 4" xfId="56637"/>
    <cellStyle name="Обычный 5 72 4" xfId="26763"/>
    <cellStyle name="Обычный 5 72 4 2" xfId="26764"/>
    <cellStyle name="Обычный 5 72 4 2 2" xfId="26765"/>
    <cellStyle name="Обычный 5 72 4 2 2 2" xfId="56638"/>
    <cellStyle name="Обычный 5 72 4 2 3" xfId="56639"/>
    <cellStyle name="Обычный 5 72 4 3" xfId="26766"/>
    <cellStyle name="Обычный 5 72 4 3 2" xfId="56640"/>
    <cellStyle name="Обычный 5 72 4 4" xfId="56641"/>
    <cellStyle name="Обычный 5 72 5" xfId="26767"/>
    <cellStyle name="Обычный 5 72 5 2" xfId="26768"/>
    <cellStyle name="Обычный 5 72 5 2 2" xfId="56642"/>
    <cellStyle name="Обычный 5 72 5 3" xfId="56643"/>
    <cellStyle name="Обычный 5 72 6" xfId="26769"/>
    <cellStyle name="Обычный 5 72 6 2" xfId="56644"/>
    <cellStyle name="Обычный 5 72 7" xfId="26770"/>
    <cellStyle name="Обычный 5 72 7 2" xfId="56645"/>
    <cellStyle name="Обычный 5 72 8" xfId="56646"/>
    <cellStyle name="Обычный 5 73" xfId="26771"/>
    <cellStyle name="Обычный 5 73 2" xfId="26772"/>
    <cellStyle name="Обычный 5 73 2 2" xfId="26773"/>
    <cellStyle name="Обычный 5 73 2 2 2" xfId="26774"/>
    <cellStyle name="Обычный 5 73 2 2 2 2" xfId="56647"/>
    <cellStyle name="Обычный 5 73 2 2 3" xfId="56648"/>
    <cellStyle name="Обычный 5 73 2 3" xfId="26775"/>
    <cellStyle name="Обычный 5 73 2 3 2" xfId="56649"/>
    <cellStyle name="Обычный 5 73 2 4" xfId="56650"/>
    <cellStyle name="Обычный 5 73 3" xfId="26776"/>
    <cellStyle name="Обычный 5 73 3 2" xfId="26777"/>
    <cellStyle name="Обычный 5 73 3 2 2" xfId="26778"/>
    <cellStyle name="Обычный 5 73 3 2 2 2" xfId="56651"/>
    <cellStyle name="Обычный 5 73 3 2 3" xfId="56652"/>
    <cellStyle name="Обычный 5 73 3 3" xfId="26779"/>
    <cellStyle name="Обычный 5 73 3 3 2" xfId="56653"/>
    <cellStyle name="Обычный 5 73 3 4" xfId="56654"/>
    <cellStyle name="Обычный 5 73 4" xfId="26780"/>
    <cellStyle name="Обычный 5 73 4 2" xfId="26781"/>
    <cellStyle name="Обычный 5 73 4 2 2" xfId="26782"/>
    <cellStyle name="Обычный 5 73 4 2 2 2" xfId="56655"/>
    <cellStyle name="Обычный 5 73 4 2 3" xfId="56656"/>
    <cellStyle name="Обычный 5 73 4 3" xfId="26783"/>
    <cellStyle name="Обычный 5 73 4 3 2" xfId="56657"/>
    <cellStyle name="Обычный 5 73 4 4" xfId="56658"/>
    <cellStyle name="Обычный 5 73 5" xfId="26784"/>
    <cellStyle name="Обычный 5 73 5 2" xfId="26785"/>
    <cellStyle name="Обычный 5 73 5 2 2" xfId="56659"/>
    <cellStyle name="Обычный 5 73 5 3" xfId="56660"/>
    <cellStyle name="Обычный 5 73 6" xfId="26786"/>
    <cellStyle name="Обычный 5 73 6 2" xfId="56661"/>
    <cellStyle name="Обычный 5 73 7" xfId="26787"/>
    <cellStyle name="Обычный 5 73 7 2" xfId="56662"/>
    <cellStyle name="Обычный 5 73 8" xfId="56663"/>
    <cellStyle name="Обычный 5 74" xfId="26788"/>
    <cellStyle name="Обычный 5 74 2" xfId="26789"/>
    <cellStyle name="Обычный 5 74 2 2" xfId="26790"/>
    <cellStyle name="Обычный 5 74 2 2 2" xfId="26791"/>
    <cellStyle name="Обычный 5 74 2 2 2 2" xfId="56664"/>
    <cellStyle name="Обычный 5 74 2 2 3" xfId="56665"/>
    <cellStyle name="Обычный 5 74 2 3" xfId="26792"/>
    <cellStyle name="Обычный 5 74 2 3 2" xfId="56666"/>
    <cellStyle name="Обычный 5 74 2 4" xfId="56667"/>
    <cellStyle name="Обычный 5 74 3" xfId="26793"/>
    <cellStyle name="Обычный 5 74 3 2" xfId="26794"/>
    <cellStyle name="Обычный 5 74 3 2 2" xfId="26795"/>
    <cellStyle name="Обычный 5 74 3 2 2 2" xfId="56668"/>
    <cellStyle name="Обычный 5 74 3 2 3" xfId="56669"/>
    <cellStyle name="Обычный 5 74 3 3" xfId="26796"/>
    <cellStyle name="Обычный 5 74 3 3 2" xfId="56670"/>
    <cellStyle name="Обычный 5 74 3 4" xfId="56671"/>
    <cellStyle name="Обычный 5 74 4" xfId="26797"/>
    <cellStyle name="Обычный 5 74 4 2" xfId="26798"/>
    <cellStyle name="Обычный 5 74 4 2 2" xfId="26799"/>
    <cellStyle name="Обычный 5 74 4 2 2 2" xfId="56672"/>
    <cellStyle name="Обычный 5 74 4 2 3" xfId="56673"/>
    <cellStyle name="Обычный 5 74 4 3" xfId="26800"/>
    <cellStyle name="Обычный 5 74 4 3 2" xfId="56674"/>
    <cellStyle name="Обычный 5 74 4 4" xfId="56675"/>
    <cellStyle name="Обычный 5 74 5" xfId="26801"/>
    <cellStyle name="Обычный 5 74 5 2" xfId="26802"/>
    <cellStyle name="Обычный 5 74 5 2 2" xfId="56676"/>
    <cellStyle name="Обычный 5 74 5 3" xfId="56677"/>
    <cellStyle name="Обычный 5 74 6" xfId="26803"/>
    <cellStyle name="Обычный 5 74 6 2" xfId="56678"/>
    <cellStyle name="Обычный 5 74 7" xfId="26804"/>
    <cellStyle name="Обычный 5 74 7 2" xfId="56679"/>
    <cellStyle name="Обычный 5 74 8" xfId="56680"/>
    <cellStyle name="Обычный 5 75" xfId="26805"/>
    <cellStyle name="Обычный 5 75 2" xfId="26806"/>
    <cellStyle name="Обычный 5 75 2 2" xfId="26807"/>
    <cellStyle name="Обычный 5 75 2 2 2" xfId="26808"/>
    <cellStyle name="Обычный 5 75 2 2 2 2" xfId="56681"/>
    <cellStyle name="Обычный 5 75 2 2 3" xfId="56682"/>
    <cellStyle name="Обычный 5 75 2 3" xfId="26809"/>
    <cellStyle name="Обычный 5 75 2 3 2" xfId="56683"/>
    <cellStyle name="Обычный 5 75 2 4" xfId="56684"/>
    <cellStyle name="Обычный 5 75 3" xfId="26810"/>
    <cellStyle name="Обычный 5 75 3 2" xfId="26811"/>
    <cellStyle name="Обычный 5 75 3 2 2" xfId="26812"/>
    <cellStyle name="Обычный 5 75 3 2 2 2" xfId="56685"/>
    <cellStyle name="Обычный 5 75 3 2 3" xfId="56686"/>
    <cellStyle name="Обычный 5 75 3 3" xfId="26813"/>
    <cellStyle name="Обычный 5 75 3 3 2" xfId="56687"/>
    <cellStyle name="Обычный 5 75 3 4" xfId="56688"/>
    <cellStyle name="Обычный 5 75 4" xfId="26814"/>
    <cellStyle name="Обычный 5 75 4 2" xfId="26815"/>
    <cellStyle name="Обычный 5 75 4 2 2" xfId="26816"/>
    <cellStyle name="Обычный 5 75 4 2 2 2" xfId="56689"/>
    <cellStyle name="Обычный 5 75 4 2 3" xfId="56690"/>
    <cellStyle name="Обычный 5 75 4 3" xfId="26817"/>
    <cellStyle name="Обычный 5 75 4 3 2" xfId="56691"/>
    <cellStyle name="Обычный 5 75 4 4" xfId="56692"/>
    <cellStyle name="Обычный 5 75 5" xfId="26818"/>
    <cellStyle name="Обычный 5 75 5 2" xfId="26819"/>
    <cellStyle name="Обычный 5 75 5 2 2" xfId="56693"/>
    <cellStyle name="Обычный 5 75 5 3" xfId="56694"/>
    <cellStyle name="Обычный 5 75 6" xfId="26820"/>
    <cellStyle name="Обычный 5 75 6 2" xfId="56695"/>
    <cellStyle name="Обычный 5 75 7" xfId="26821"/>
    <cellStyle name="Обычный 5 75 7 2" xfId="56696"/>
    <cellStyle name="Обычный 5 75 8" xfId="56697"/>
    <cellStyle name="Обычный 5 76" xfId="26822"/>
    <cellStyle name="Обычный 5 76 2" xfId="26823"/>
    <cellStyle name="Обычный 5 77" xfId="26824"/>
    <cellStyle name="Обычный 5 77 2" xfId="26825"/>
    <cellStyle name="Обычный 5 78" xfId="26826"/>
    <cellStyle name="Обычный 5 78 2" xfId="26827"/>
    <cellStyle name="Обычный 5 79" xfId="26828"/>
    <cellStyle name="Обычный 5 79 2" xfId="56698"/>
    <cellStyle name="Обычный 5 8" xfId="26829"/>
    <cellStyle name="Обычный 5 8 10" xfId="26830"/>
    <cellStyle name="Обычный 5 8 10 2" xfId="26831"/>
    <cellStyle name="Обычный 5 8 10 2 2" xfId="26832"/>
    <cellStyle name="Обычный 5 8 10 2 2 2" xfId="26833"/>
    <cellStyle name="Обычный 5 8 10 2 2 2 2" xfId="56699"/>
    <cellStyle name="Обычный 5 8 10 2 2 3" xfId="56700"/>
    <cellStyle name="Обычный 5 8 10 2 3" xfId="26834"/>
    <cellStyle name="Обычный 5 8 10 2 3 2" xfId="56701"/>
    <cellStyle name="Обычный 5 8 10 2 4" xfId="56702"/>
    <cellStyle name="Обычный 5 8 10 3" xfId="26835"/>
    <cellStyle name="Обычный 5 8 10 3 2" xfId="26836"/>
    <cellStyle name="Обычный 5 8 10 3 2 2" xfId="26837"/>
    <cellStyle name="Обычный 5 8 10 3 2 2 2" xfId="56703"/>
    <cellStyle name="Обычный 5 8 10 3 2 3" xfId="56704"/>
    <cellStyle name="Обычный 5 8 10 3 3" xfId="26838"/>
    <cellStyle name="Обычный 5 8 10 3 3 2" xfId="56705"/>
    <cellStyle name="Обычный 5 8 10 3 4" xfId="56706"/>
    <cellStyle name="Обычный 5 8 10 4" xfId="26839"/>
    <cellStyle name="Обычный 5 8 10 4 2" xfId="26840"/>
    <cellStyle name="Обычный 5 8 10 4 2 2" xfId="26841"/>
    <cellStyle name="Обычный 5 8 10 4 2 2 2" xfId="56707"/>
    <cellStyle name="Обычный 5 8 10 4 2 3" xfId="56708"/>
    <cellStyle name="Обычный 5 8 10 4 3" xfId="26842"/>
    <cellStyle name="Обычный 5 8 10 4 3 2" xfId="56709"/>
    <cellStyle name="Обычный 5 8 10 4 4" xfId="56710"/>
    <cellStyle name="Обычный 5 8 10 5" xfId="26843"/>
    <cellStyle name="Обычный 5 8 10 5 2" xfId="26844"/>
    <cellStyle name="Обычный 5 8 10 5 2 2" xfId="56711"/>
    <cellStyle name="Обычный 5 8 10 5 3" xfId="56712"/>
    <cellStyle name="Обычный 5 8 10 6" xfId="26845"/>
    <cellStyle name="Обычный 5 8 10 6 2" xfId="56713"/>
    <cellStyle name="Обычный 5 8 10 7" xfId="26846"/>
    <cellStyle name="Обычный 5 8 10 7 2" xfId="56714"/>
    <cellStyle name="Обычный 5 8 10 8" xfId="56715"/>
    <cellStyle name="Обычный 5 8 11" xfId="26847"/>
    <cellStyle name="Обычный 5 8 11 2" xfId="26848"/>
    <cellStyle name="Обычный 5 8 11 2 2" xfId="26849"/>
    <cellStyle name="Обычный 5 8 11 2 2 2" xfId="26850"/>
    <cellStyle name="Обычный 5 8 11 2 2 2 2" xfId="56716"/>
    <cellStyle name="Обычный 5 8 11 2 2 3" xfId="56717"/>
    <cellStyle name="Обычный 5 8 11 2 3" xfId="26851"/>
    <cellStyle name="Обычный 5 8 11 2 3 2" xfId="56718"/>
    <cellStyle name="Обычный 5 8 11 2 4" xfId="56719"/>
    <cellStyle name="Обычный 5 8 11 3" xfId="26852"/>
    <cellStyle name="Обычный 5 8 11 3 2" xfId="26853"/>
    <cellStyle name="Обычный 5 8 11 3 2 2" xfId="26854"/>
    <cellStyle name="Обычный 5 8 11 3 2 2 2" xfId="56720"/>
    <cellStyle name="Обычный 5 8 11 3 2 3" xfId="56721"/>
    <cellStyle name="Обычный 5 8 11 3 3" xfId="26855"/>
    <cellStyle name="Обычный 5 8 11 3 3 2" xfId="56722"/>
    <cellStyle name="Обычный 5 8 11 3 4" xfId="56723"/>
    <cellStyle name="Обычный 5 8 11 4" xfId="26856"/>
    <cellStyle name="Обычный 5 8 11 4 2" xfId="26857"/>
    <cellStyle name="Обычный 5 8 11 4 2 2" xfId="26858"/>
    <cellStyle name="Обычный 5 8 11 4 2 2 2" xfId="56724"/>
    <cellStyle name="Обычный 5 8 11 4 2 3" xfId="56725"/>
    <cellStyle name="Обычный 5 8 11 4 3" xfId="26859"/>
    <cellStyle name="Обычный 5 8 11 4 3 2" xfId="56726"/>
    <cellStyle name="Обычный 5 8 11 4 4" xfId="56727"/>
    <cellStyle name="Обычный 5 8 11 5" xfId="26860"/>
    <cellStyle name="Обычный 5 8 11 5 2" xfId="26861"/>
    <cellStyle name="Обычный 5 8 11 5 2 2" xfId="56728"/>
    <cellStyle name="Обычный 5 8 11 5 3" xfId="56729"/>
    <cellStyle name="Обычный 5 8 11 6" xfId="26862"/>
    <cellStyle name="Обычный 5 8 11 6 2" xfId="56730"/>
    <cellStyle name="Обычный 5 8 11 7" xfId="26863"/>
    <cellStyle name="Обычный 5 8 11 7 2" xfId="56731"/>
    <cellStyle name="Обычный 5 8 11 8" xfId="56732"/>
    <cellStyle name="Обычный 5 8 12" xfId="26864"/>
    <cellStyle name="Обычный 5 8 12 2" xfId="26865"/>
    <cellStyle name="Обычный 5 8 12 2 2" xfId="26866"/>
    <cellStyle name="Обычный 5 8 12 2 2 2" xfId="26867"/>
    <cellStyle name="Обычный 5 8 12 2 2 2 2" xfId="56733"/>
    <cellStyle name="Обычный 5 8 12 2 2 3" xfId="56734"/>
    <cellStyle name="Обычный 5 8 12 2 3" xfId="26868"/>
    <cellStyle name="Обычный 5 8 12 2 3 2" xfId="56735"/>
    <cellStyle name="Обычный 5 8 12 2 4" xfId="56736"/>
    <cellStyle name="Обычный 5 8 12 3" xfId="26869"/>
    <cellStyle name="Обычный 5 8 12 3 2" xfId="26870"/>
    <cellStyle name="Обычный 5 8 12 3 2 2" xfId="26871"/>
    <cellStyle name="Обычный 5 8 12 3 2 2 2" xfId="56737"/>
    <cellStyle name="Обычный 5 8 12 3 2 3" xfId="56738"/>
    <cellStyle name="Обычный 5 8 12 3 3" xfId="26872"/>
    <cellStyle name="Обычный 5 8 12 3 3 2" xfId="56739"/>
    <cellStyle name="Обычный 5 8 12 3 4" xfId="56740"/>
    <cellStyle name="Обычный 5 8 12 4" xfId="26873"/>
    <cellStyle name="Обычный 5 8 12 4 2" xfId="26874"/>
    <cellStyle name="Обычный 5 8 12 4 2 2" xfId="26875"/>
    <cellStyle name="Обычный 5 8 12 4 2 2 2" xfId="56741"/>
    <cellStyle name="Обычный 5 8 12 4 2 3" xfId="56742"/>
    <cellStyle name="Обычный 5 8 12 4 3" xfId="26876"/>
    <cellStyle name="Обычный 5 8 12 4 3 2" xfId="56743"/>
    <cellStyle name="Обычный 5 8 12 4 4" xfId="56744"/>
    <cellStyle name="Обычный 5 8 12 5" xfId="26877"/>
    <cellStyle name="Обычный 5 8 12 5 2" xfId="26878"/>
    <cellStyle name="Обычный 5 8 12 5 2 2" xfId="56745"/>
    <cellStyle name="Обычный 5 8 12 5 3" xfId="56746"/>
    <cellStyle name="Обычный 5 8 12 6" xfId="26879"/>
    <cellStyle name="Обычный 5 8 12 6 2" xfId="56747"/>
    <cellStyle name="Обычный 5 8 12 7" xfId="26880"/>
    <cellStyle name="Обычный 5 8 12 7 2" xfId="56748"/>
    <cellStyle name="Обычный 5 8 12 8" xfId="56749"/>
    <cellStyle name="Обычный 5 8 13" xfId="26881"/>
    <cellStyle name="Обычный 5 8 13 2" xfId="26882"/>
    <cellStyle name="Обычный 5 8 13 2 2" xfId="26883"/>
    <cellStyle name="Обычный 5 8 13 2 2 2" xfId="26884"/>
    <cellStyle name="Обычный 5 8 13 2 2 2 2" xfId="56750"/>
    <cellStyle name="Обычный 5 8 13 2 2 3" xfId="56751"/>
    <cellStyle name="Обычный 5 8 13 2 3" xfId="26885"/>
    <cellStyle name="Обычный 5 8 13 2 3 2" xfId="56752"/>
    <cellStyle name="Обычный 5 8 13 2 4" xfId="56753"/>
    <cellStyle name="Обычный 5 8 13 3" xfId="26886"/>
    <cellStyle name="Обычный 5 8 13 3 2" xfId="26887"/>
    <cellStyle name="Обычный 5 8 13 3 2 2" xfId="26888"/>
    <cellStyle name="Обычный 5 8 13 3 2 2 2" xfId="56754"/>
    <cellStyle name="Обычный 5 8 13 3 2 3" xfId="56755"/>
    <cellStyle name="Обычный 5 8 13 3 3" xfId="26889"/>
    <cellStyle name="Обычный 5 8 13 3 3 2" xfId="56756"/>
    <cellStyle name="Обычный 5 8 13 3 4" xfId="56757"/>
    <cellStyle name="Обычный 5 8 13 4" xfId="26890"/>
    <cellStyle name="Обычный 5 8 13 4 2" xfId="26891"/>
    <cellStyle name="Обычный 5 8 13 4 2 2" xfId="26892"/>
    <cellStyle name="Обычный 5 8 13 4 2 2 2" xfId="56758"/>
    <cellStyle name="Обычный 5 8 13 4 2 3" xfId="56759"/>
    <cellStyle name="Обычный 5 8 13 4 3" xfId="26893"/>
    <cellStyle name="Обычный 5 8 13 4 3 2" xfId="56760"/>
    <cellStyle name="Обычный 5 8 13 4 4" xfId="56761"/>
    <cellStyle name="Обычный 5 8 13 5" xfId="26894"/>
    <cellStyle name="Обычный 5 8 13 5 2" xfId="26895"/>
    <cellStyle name="Обычный 5 8 13 5 2 2" xfId="56762"/>
    <cellStyle name="Обычный 5 8 13 5 3" xfId="56763"/>
    <cellStyle name="Обычный 5 8 13 6" xfId="26896"/>
    <cellStyle name="Обычный 5 8 13 6 2" xfId="56764"/>
    <cellStyle name="Обычный 5 8 13 7" xfId="26897"/>
    <cellStyle name="Обычный 5 8 13 7 2" xfId="56765"/>
    <cellStyle name="Обычный 5 8 13 8" xfId="56766"/>
    <cellStyle name="Обычный 5 8 14" xfId="26898"/>
    <cellStyle name="Обычный 5 8 14 2" xfId="26899"/>
    <cellStyle name="Обычный 5 8 14 2 2" xfId="26900"/>
    <cellStyle name="Обычный 5 8 14 2 2 2" xfId="26901"/>
    <cellStyle name="Обычный 5 8 14 2 2 2 2" xfId="56767"/>
    <cellStyle name="Обычный 5 8 14 2 2 3" xfId="56768"/>
    <cellStyle name="Обычный 5 8 14 2 3" xfId="26902"/>
    <cellStyle name="Обычный 5 8 14 2 3 2" xfId="56769"/>
    <cellStyle name="Обычный 5 8 14 2 4" xfId="56770"/>
    <cellStyle name="Обычный 5 8 14 3" xfId="26903"/>
    <cellStyle name="Обычный 5 8 14 3 2" xfId="26904"/>
    <cellStyle name="Обычный 5 8 14 3 2 2" xfId="26905"/>
    <cellStyle name="Обычный 5 8 14 3 2 2 2" xfId="56771"/>
    <cellStyle name="Обычный 5 8 14 3 2 3" xfId="56772"/>
    <cellStyle name="Обычный 5 8 14 3 3" xfId="26906"/>
    <cellStyle name="Обычный 5 8 14 3 3 2" xfId="56773"/>
    <cellStyle name="Обычный 5 8 14 3 4" xfId="56774"/>
    <cellStyle name="Обычный 5 8 14 4" xfId="26907"/>
    <cellStyle name="Обычный 5 8 14 4 2" xfId="26908"/>
    <cellStyle name="Обычный 5 8 14 4 2 2" xfId="26909"/>
    <cellStyle name="Обычный 5 8 14 4 2 2 2" xfId="56775"/>
    <cellStyle name="Обычный 5 8 14 4 2 3" xfId="56776"/>
    <cellStyle name="Обычный 5 8 14 4 3" xfId="26910"/>
    <cellStyle name="Обычный 5 8 14 4 3 2" xfId="56777"/>
    <cellStyle name="Обычный 5 8 14 4 4" xfId="56778"/>
    <cellStyle name="Обычный 5 8 14 5" xfId="26911"/>
    <cellStyle name="Обычный 5 8 14 5 2" xfId="26912"/>
    <cellStyle name="Обычный 5 8 14 5 2 2" xfId="56779"/>
    <cellStyle name="Обычный 5 8 14 5 3" xfId="56780"/>
    <cellStyle name="Обычный 5 8 14 6" xfId="26913"/>
    <cellStyle name="Обычный 5 8 14 6 2" xfId="56781"/>
    <cellStyle name="Обычный 5 8 14 7" xfId="26914"/>
    <cellStyle name="Обычный 5 8 14 7 2" xfId="56782"/>
    <cellStyle name="Обычный 5 8 14 8" xfId="56783"/>
    <cellStyle name="Обычный 5 8 15" xfId="26915"/>
    <cellStyle name="Обычный 5 8 15 2" xfId="26916"/>
    <cellStyle name="Обычный 5 8 15 2 2" xfId="26917"/>
    <cellStyle name="Обычный 5 8 15 2 2 2" xfId="26918"/>
    <cellStyle name="Обычный 5 8 15 2 2 2 2" xfId="56784"/>
    <cellStyle name="Обычный 5 8 15 2 2 3" xfId="56785"/>
    <cellStyle name="Обычный 5 8 15 2 3" xfId="26919"/>
    <cellStyle name="Обычный 5 8 15 2 3 2" xfId="56786"/>
    <cellStyle name="Обычный 5 8 15 2 4" xfId="56787"/>
    <cellStyle name="Обычный 5 8 15 3" xfId="26920"/>
    <cellStyle name="Обычный 5 8 15 3 2" xfId="26921"/>
    <cellStyle name="Обычный 5 8 15 3 2 2" xfId="26922"/>
    <cellStyle name="Обычный 5 8 15 3 2 2 2" xfId="56788"/>
    <cellStyle name="Обычный 5 8 15 3 2 3" xfId="56789"/>
    <cellStyle name="Обычный 5 8 15 3 3" xfId="26923"/>
    <cellStyle name="Обычный 5 8 15 3 3 2" xfId="56790"/>
    <cellStyle name="Обычный 5 8 15 3 4" xfId="56791"/>
    <cellStyle name="Обычный 5 8 15 4" xfId="26924"/>
    <cellStyle name="Обычный 5 8 15 4 2" xfId="26925"/>
    <cellStyle name="Обычный 5 8 15 4 2 2" xfId="26926"/>
    <cellStyle name="Обычный 5 8 15 4 2 2 2" xfId="56792"/>
    <cellStyle name="Обычный 5 8 15 4 2 3" xfId="56793"/>
    <cellStyle name="Обычный 5 8 15 4 3" xfId="26927"/>
    <cellStyle name="Обычный 5 8 15 4 3 2" xfId="56794"/>
    <cellStyle name="Обычный 5 8 15 4 4" xfId="56795"/>
    <cellStyle name="Обычный 5 8 15 5" xfId="26928"/>
    <cellStyle name="Обычный 5 8 15 5 2" xfId="26929"/>
    <cellStyle name="Обычный 5 8 15 5 2 2" xfId="56796"/>
    <cellStyle name="Обычный 5 8 15 5 3" xfId="56797"/>
    <cellStyle name="Обычный 5 8 15 6" xfId="26930"/>
    <cellStyle name="Обычный 5 8 15 6 2" xfId="56798"/>
    <cellStyle name="Обычный 5 8 15 7" xfId="26931"/>
    <cellStyle name="Обычный 5 8 15 7 2" xfId="56799"/>
    <cellStyle name="Обычный 5 8 15 8" xfId="56800"/>
    <cellStyle name="Обычный 5 8 16" xfId="26932"/>
    <cellStyle name="Обычный 5 8 16 2" xfId="26933"/>
    <cellStyle name="Обычный 5 8 16 2 2" xfId="26934"/>
    <cellStyle name="Обычный 5 8 16 2 2 2" xfId="26935"/>
    <cellStyle name="Обычный 5 8 16 2 2 2 2" xfId="56801"/>
    <cellStyle name="Обычный 5 8 16 2 2 3" xfId="56802"/>
    <cellStyle name="Обычный 5 8 16 2 3" xfId="26936"/>
    <cellStyle name="Обычный 5 8 16 2 3 2" xfId="56803"/>
    <cellStyle name="Обычный 5 8 16 2 4" xfId="56804"/>
    <cellStyle name="Обычный 5 8 16 3" xfId="26937"/>
    <cellStyle name="Обычный 5 8 16 3 2" xfId="26938"/>
    <cellStyle name="Обычный 5 8 16 3 2 2" xfId="26939"/>
    <cellStyle name="Обычный 5 8 16 3 2 2 2" xfId="56805"/>
    <cellStyle name="Обычный 5 8 16 3 2 3" xfId="56806"/>
    <cellStyle name="Обычный 5 8 16 3 3" xfId="26940"/>
    <cellStyle name="Обычный 5 8 16 3 3 2" xfId="56807"/>
    <cellStyle name="Обычный 5 8 16 3 4" xfId="56808"/>
    <cellStyle name="Обычный 5 8 16 4" xfId="26941"/>
    <cellStyle name="Обычный 5 8 16 4 2" xfId="26942"/>
    <cellStyle name="Обычный 5 8 16 4 2 2" xfId="26943"/>
    <cellStyle name="Обычный 5 8 16 4 2 2 2" xfId="56809"/>
    <cellStyle name="Обычный 5 8 16 4 2 3" xfId="56810"/>
    <cellStyle name="Обычный 5 8 16 4 3" xfId="26944"/>
    <cellStyle name="Обычный 5 8 16 4 3 2" xfId="56811"/>
    <cellStyle name="Обычный 5 8 16 4 4" xfId="56812"/>
    <cellStyle name="Обычный 5 8 16 5" xfId="26945"/>
    <cellStyle name="Обычный 5 8 16 5 2" xfId="26946"/>
    <cellStyle name="Обычный 5 8 16 5 2 2" xfId="56813"/>
    <cellStyle name="Обычный 5 8 16 5 3" xfId="56814"/>
    <cellStyle name="Обычный 5 8 16 6" xfId="26947"/>
    <cellStyle name="Обычный 5 8 16 6 2" xfId="56815"/>
    <cellStyle name="Обычный 5 8 16 7" xfId="26948"/>
    <cellStyle name="Обычный 5 8 16 7 2" xfId="56816"/>
    <cellStyle name="Обычный 5 8 16 8" xfId="56817"/>
    <cellStyle name="Обычный 5 8 17" xfId="26949"/>
    <cellStyle name="Обычный 5 8 17 2" xfId="26950"/>
    <cellStyle name="Обычный 5 8 17 2 2" xfId="26951"/>
    <cellStyle name="Обычный 5 8 17 2 2 2" xfId="26952"/>
    <cellStyle name="Обычный 5 8 17 2 2 2 2" xfId="56818"/>
    <cellStyle name="Обычный 5 8 17 2 2 3" xfId="56819"/>
    <cellStyle name="Обычный 5 8 17 2 3" xfId="26953"/>
    <cellStyle name="Обычный 5 8 17 2 3 2" xfId="56820"/>
    <cellStyle name="Обычный 5 8 17 2 4" xfId="56821"/>
    <cellStyle name="Обычный 5 8 17 3" xfId="26954"/>
    <cellStyle name="Обычный 5 8 17 3 2" xfId="26955"/>
    <cellStyle name="Обычный 5 8 17 3 2 2" xfId="26956"/>
    <cellStyle name="Обычный 5 8 17 3 2 2 2" xfId="56822"/>
    <cellStyle name="Обычный 5 8 17 3 2 3" xfId="56823"/>
    <cellStyle name="Обычный 5 8 17 3 3" xfId="26957"/>
    <cellStyle name="Обычный 5 8 17 3 3 2" xfId="56824"/>
    <cellStyle name="Обычный 5 8 17 3 4" xfId="56825"/>
    <cellStyle name="Обычный 5 8 17 4" xfId="26958"/>
    <cellStyle name="Обычный 5 8 17 4 2" xfId="26959"/>
    <cellStyle name="Обычный 5 8 17 4 2 2" xfId="26960"/>
    <cellStyle name="Обычный 5 8 17 4 2 2 2" xfId="56826"/>
    <cellStyle name="Обычный 5 8 17 4 2 3" xfId="56827"/>
    <cellStyle name="Обычный 5 8 17 4 3" xfId="26961"/>
    <cellStyle name="Обычный 5 8 17 4 3 2" xfId="56828"/>
    <cellStyle name="Обычный 5 8 17 4 4" xfId="56829"/>
    <cellStyle name="Обычный 5 8 17 5" xfId="26962"/>
    <cellStyle name="Обычный 5 8 17 5 2" xfId="26963"/>
    <cellStyle name="Обычный 5 8 17 5 2 2" xfId="56830"/>
    <cellStyle name="Обычный 5 8 17 5 3" xfId="56831"/>
    <cellStyle name="Обычный 5 8 17 6" xfId="26964"/>
    <cellStyle name="Обычный 5 8 17 6 2" xfId="56832"/>
    <cellStyle name="Обычный 5 8 17 7" xfId="26965"/>
    <cellStyle name="Обычный 5 8 17 7 2" xfId="56833"/>
    <cellStyle name="Обычный 5 8 17 8" xfId="56834"/>
    <cellStyle name="Обычный 5 8 18" xfId="26966"/>
    <cellStyle name="Обычный 5 8 18 2" xfId="26967"/>
    <cellStyle name="Обычный 5 8 18 2 2" xfId="26968"/>
    <cellStyle name="Обычный 5 8 18 2 2 2" xfId="26969"/>
    <cellStyle name="Обычный 5 8 18 2 2 2 2" xfId="56835"/>
    <cellStyle name="Обычный 5 8 18 2 2 3" xfId="56836"/>
    <cellStyle name="Обычный 5 8 18 2 3" xfId="26970"/>
    <cellStyle name="Обычный 5 8 18 2 3 2" xfId="56837"/>
    <cellStyle name="Обычный 5 8 18 2 4" xfId="56838"/>
    <cellStyle name="Обычный 5 8 18 3" xfId="26971"/>
    <cellStyle name="Обычный 5 8 18 3 2" xfId="26972"/>
    <cellStyle name="Обычный 5 8 18 3 2 2" xfId="26973"/>
    <cellStyle name="Обычный 5 8 18 3 2 2 2" xfId="56839"/>
    <cellStyle name="Обычный 5 8 18 3 2 3" xfId="56840"/>
    <cellStyle name="Обычный 5 8 18 3 3" xfId="26974"/>
    <cellStyle name="Обычный 5 8 18 3 3 2" xfId="56841"/>
    <cellStyle name="Обычный 5 8 18 3 4" xfId="56842"/>
    <cellStyle name="Обычный 5 8 18 4" xfId="26975"/>
    <cellStyle name="Обычный 5 8 18 4 2" xfId="26976"/>
    <cellStyle name="Обычный 5 8 18 4 2 2" xfId="26977"/>
    <cellStyle name="Обычный 5 8 18 4 2 2 2" xfId="56843"/>
    <cellStyle name="Обычный 5 8 18 4 2 3" xfId="56844"/>
    <cellStyle name="Обычный 5 8 18 4 3" xfId="26978"/>
    <cellStyle name="Обычный 5 8 18 4 3 2" xfId="56845"/>
    <cellStyle name="Обычный 5 8 18 4 4" xfId="56846"/>
    <cellStyle name="Обычный 5 8 18 5" xfId="26979"/>
    <cellStyle name="Обычный 5 8 18 5 2" xfId="26980"/>
    <cellStyle name="Обычный 5 8 18 5 2 2" xfId="56847"/>
    <cellStyle name="Обычный 5 8 18 5 3" xfId="56848"/>
    <cellStyle name="Обычный 5 8 18 6" xfId="26981"/>
    <cellStyle name="Обычный 5 8 18 6 2" xfId="56849"/>
    <cellStyle name="Обычный 5 8 18 7" xfId="26982"/>
    <cellStyle name="Обычный 5 8 18 7 2" xfId="56850"/>
    <cellStyle name="Обычный 5 8 18 8" xfId="56851"/>
    <cellStyle name="Обычный 5 8 19" xfId="26983"/>
    <cellStyle name="Обычный 5 8 19 2" xfId="26984"/>
    <cellStyle name="Обычный 5 8 19 2 2" xfId="26985"/>
    <cellStyle name="Обычный 5 8 19 2 2 2" xfId="26986"/>
    <cellStyle name="Обычный 5 8 19 2 2 2 2" xfId="56852"/>
    <cellStyle name="Обычный 5 8 19 2 2 3" xfId="56853"/>
    <cellStyle name="Обычный 5 8 19 2 3" xfId="26987"/>
    <cellStyle name="Обычный 5 8 19 2 3 2" xfId="56854"/>
    <cellStyle name="Обычный 5 8 19 2 4" xfId="56855"/>
    <cellStyle name="Обычный 5 8 19 3" xfId="26988"/>
    <cellStyle name="Обычный 5 8 19 3 2" xfId="26989"/>
    <cellStyle name="Обычный 5 8 19 3 2 2" xfId="26990"/>
    <cellStyle name="Обычный 5 8 19 3 2 2 2" xfId="56856"/>
    <cellStyle name="Обычный 5 8 19 3 2 3" xfId="56857"/>
    <cellStyle name="Обычный 5 8 19 3 3" xfId="26991"/>
    <cellStyle name="Обычный 5 8 19 3 3 2" xfId="56858"/>
    <cellStyle name="Обычный 5 8 19 3 4" xfId="56859"/>
    <cellStyle name="Обычный 5 8 19 4" xfId="26992"/>
    <cellStyle name="Обычный 5 8 19 4 2" xfId="26993"/>
    <cellStyle name="Обычный 5 8 19 4 2 2" xfId="26994"/>
    <cellStyle name="Обычный 5 8 19 4 2 2 2" xfId="56860"/>
    <cellStyle name="Обычный 5 8 19 4 2 3" xfId="56861"/>
    <cellStyle name="Обычный 5 8 19 4 3" xfId="26995"/>
    <cellStyle name="Обычный 5 8 19 4 3 2" xfId="56862"/>
    <cellStyle name="Обычный 5 8 19 4 4" xfId="56863"/>
    <cellStyle name="Обычный 5 8 19 5" xfId="26996"/>
    <cellStyle name="Обычный 5 8 19 5 2" xfId="26997"/>
    <cellStyle name="Обычный 5 8 19 5 2 2" xfId="56864"/>
    <cellStyle name="Обычный 5 8 19 5 3" xfId="56865"/>
    <cellStyle name="Обычный 5 8 19 6" xfId="26998"/>
    <cellStyle name="Обычный 5 8 19 6 2" xfId="56866"/>
    <cellStyle name="Обычный 5 8 19 7" xfId="26999"/>
    <cellStyle name="Обычный 5 8 19 7 2" xfId="56867"/>
    <cellStyle name="Обычный 5 8 19 8" xfId="56868"/>
    <cellStyle name="Обычный 5 8 2" xfId="27000"/>
    <cellStyle name="Обычный 5 8 2 2" xfId="27001"/>
    <cellStyle name="Обычный 5 8 2 2 2" xfId="27002"/>
    <cellStyle name="Обычный 5 8 2 2 2 2" xfId="27003"/>
    <cellStyle name="Обычный 5 8 2 2 2 2 2" xfId="56869"/>
    <cellStyle name="Обычный 5 8 2 2 2 3" xfId="56870"/>
    <cellStyle name="Обычный 5 8 2 2 3" xfId="27004"/>
    <cellStyle name="Обычный 5 8 2 2 3 2" xfId="56871"/>
    <cellStyle name="Обычный 5 8 2 2 4" xfId="56872"/>
    <cellStyle name="Обычный 5 8 2 3" xfId="27005"/>
    <cellStyle name="Обычный 5 8 2 3 2" xfId="27006"/>
    <cellStyle name="Обычный 5 8 2 3 2 2" xfId="27007"/>
    <cellStyle name="Обычный 5 8 2 3 2 2 2" xfId="56873"/>
    <cellStyle name="Обычный 5 8 2 3 2 3" xfId="56874"/>
    <cellStyle name="Обычный 5 8 2 3 3" xfId="27008"/>
    <cellStyle name="Обычный 5 8 2 3 3 2" xfId="56875"/>
    <cellStyle name="Обычный 5 8 2 3 4" xfId="56876"/>
    <cellStyle name="Обычный 5 8 2 4" xfId="27009"/>
    <cellStyle name="Обычный 5 8 2 4 2" xfId="27010"/>
    <cellStyle name="Обычный 5 8 2 4 2 2" xfId="27011"/>
    <cellStyle name="Обычный 5 8 2 4 2 2 2" xfId="56877"/>
    <cellStyle name="Обычный 5 8 2 4 2 3" xfId="56878"/>
    <cellStyle name="Обычный 5 8 2 4 3" xfId="27012"/>
    <cellStyle name="Обычный 5 8 2 4 3 2" xfId="56879"/>
    <cellStyle name="Обычный 5 8 2 4 4" xfId="56880"/>
    <cellStyle name="Обычный 5 8 2 5" xfId="27013"/>
    <cellStyle name="Обычный 5 8 2 5 2" xfId="27014"/>
    <cellStyle name="Обычный 5 8 2 5 2 2" xfId="56881"/>
    <cellStyle name="Обычный 5 8 2 5 3" xfId="56882"/>
    <cellStyle name="Обычный 5 8 2 6" xfId="27015"/>
    <cellStyle name="Обычный 5 8 2 6 2" xfId="56883"/>
    <cellStyle name="Обычный 5 8 2 7" xfId="27016"/>
    <cellStyle name="Обычный 5 8 2 7 2" xfId="56884"/>
    <cellStyle name="Обычный 5 8 2 8" xfId="56885"/>
    <cellStyle name="Обычный 5 8 20" xfId="27017"/>
    <cellStyle name="Обычный 5 8 20 2" xfId="27018"/>
    <cellStyle name="Обычный 5 8 20 2 2" xfId="27019"/>
    <cellStyle name="Обычный 5 8 20 2 2 2" xfId="27020"/>
    <cellStyle name="Обычный 5 8 20 2 2 2 2" xfId="56886"/>
    <cellStyle name="Обычный 5 8 20 2 2 3" xfId="56887"/>
    <cellStyle name="Обычный 5 8 20 2 3" xfId="27021"/>
    <cellStyle name="Обычный 5 8 20 2 3 2" xfId="56888"/>
    <cellStyle name="Обычный 5 8 20 2 4" xfId="56889"/>
    <cellStyle name="Обычный 5 8 20 3" xfId="27022"/>
    <cellStyle name="Обычный 5 8 20 3 2" xfId="27023"/>
    <cellStyle name="Обычный 5 8 20 3 2 2" xfId="27024"/>
    <cellStyle name="Обычный 5 8 20 3 2 2 2" xfId="56890"/>
    <cellStyle name="Обычный 5 8 20 3 2 3" xfId="56891"/>
    <cellStyle name="Обычный 5 8 20 3 3" xfId="27025"/>
    <cellStyle name="Обычный 5 8 20 3 3 2" xfId="56892"/>
    <cellStyle name="Обычный 5 8 20 3 4" xfId="56893"/>
    <cellStyle name="Обычный 5 8 20 4" xfId="27026"/>
    <cellStyle name="Обычный 5 8 20 4 2" xfId="27027"/>
    <cellStyle name="Обычный 5 8 20 4 2 2" xfId="27028"/>
    <cellStyle name="Обычный 5 8 20 4 2 2 2" xfId="56894"/>
    <cellStyle name="Обычный 5 8 20 4 2 3" xfId="56895"/>
    <cellStyle name="Обычный 5 8 20 4 3" xfId="27029"/>
    <cellStyle name="Обычный 5 8 20 4 3 2" xfId="56896"/>
    <cellStyle name="Обычный 5 8 20 4 4" xfId="56897"/>
    <cellStyle name="Обычный 5 8 20 5" xfId="27030"/>
    <cellStyle name="Обычный 5 8 20 5 2" xfId="27031"/>
    <cellStyle name="Обычный 5 8 20 5 2 2" xfId="56898"/>
    <cellStyle name="Обычный 5 8 20 5 3" xfId="56899"/>
    <cellStyle name="Обычный 5 8 20 6" xfId="27032"/>
    <cellStyle name="Обычный 5 8 20 6 2" xfId="56900"/>
    <cellStyle name="Обычный 5 8 20 7" xfId="27033"/>
    <cellStyle name="Обычный 5 8 20 7 2" xfId="56901"/>
    <cellStyle name="Обычный 5 8 20 8" xfId="56902"/>
    <cellStyle name="Обычный 5 8 21" xfId="27034"/>
    <cellStyle name="Обычный 5 8 21 2" xfId="27035"/>
    <cellStyle name="Обычный 5 8 21 2 2" xfId="27036"/>
    <cellStyle name="Обычный 5 8 21 2 2 2" xfId="27037"/>
    <cellStyle name="Обычный 5 8 21 2 2 2 2" xfId="56903"/>
    <cellStyle name="Обычный 5 8 21 2 2 3" xfId="56904"/>
    <cellStyle name="Обычный 5 8 21 2 3" xfId="27038"/>
    <cellStyle name="Обычный 5 8 21 2 3 2" xfId="56905"/>
    <cellStyle name="Обычный 5 8 21 2 4" xfId="56906"/>
    <cellStyle name="Обычный 5 8 21 3" xfId="27039"/>
    <cellStyle name="Обычный 5 8 21 3 2" xfId="27040"/>
    <cellStyle name="Обычный 5 8 21 3 2 2" xfId="27041"/>
    <cellStyle name="Обычный 5 8 21 3 2 2 2" xfId="56907"/>
    <cellStyle name="Обычный 5 8 21 3 2 3" xfId="56908"/>
    <cellStyle name="Обычный 5 8 21 3 3" xfId="27042"/>
    <cellStyle name="Обычный 5 8 21 3 3 2" xfId="56909"/>
    <cellStyle name="Обычный 5 8 21 3 4" xfId="56910"/>
    <cellStyle name="Обычный 5 8 21 4" xfId="27043"/>
    <cellStyle name="Обычный 5 8 21 4 2" xfId="27044"/>
    <cellStyle name="Обычный 5 8 21 4 2 2" xfId="27045"/>
    <cellStyle name="Обычный 5 8 21 4 2 2 2" xfId="56911"/>
    <cellStyle name="Обычный 5 8 21 4 2 3" xfId="56912"/>
    <cellStyle name="Обычный 5 8 21 4 3" xfId="27046"/>
    <cellStyle name="Обычный 5 8 21 4 3 2" xfId="56913"/>
    <cellStyle name="Обычный 5 8 21 4 4" xfId="56914"/>
    <cellStyle name="Обычный 5 8 21 5" xfId="27047"/>
    <cellStyle name="Обычный 5 8 21 5 2" xfId="27048"/>
    <cellStyle name="Обычный 5 8 21 5 2 2" xfId="56915"/>
    <cellStyle name="Обычный 5 8 21 5 3" xfId="56916"/>
    <cellStyle name="Обычный 5 8 21 6" xfId="27049"/>
    <cellStyle name="Обычный 5 8 21 6 2" xfId="56917"/>
    <cellStyle name="Обычный 5 8 21 7" xfId="27050"/>
    <cellStyle name="Обычный 5 8 21 7 2" xfId="56918"/>
    <cellStyle name="Обычный 5 8 21 8" xfId="56919"/>
    <cellStyle name="Обычный 5 8 22" xfId="27051"/>
    <cellStyle name="Обычный 5 8 22 2" xfId="27052"/>
    <cellStyle name="Обычный 5 8 22 2 2" xfId="27053"/>
    <cellStyle name="Обычный 5 8 22 2 2 2" xfId="27054"/>
    <cellStyle name="Обычный 5 8 22 2 2 2 2" xfId="56920"/>
    <cellStyle name="Обычный 5 8 22 2 2 3" xfId="56921"/>
    <cellStyle name="Обычный 5 8 22 2 3" xfId="27055"/>
    <cellStyle name="Обычный 5 8 22 2 3 2" xfId="56922"/>
    <cellStyle name="Обычный 5 8 22 2 4" xfId="56923"/>
    <cellStyle name="Обычный 5 8 22 3" xfId="27056"/>
    <cellStyle name="Обычный 5 8 22 3 2" xfId="27057"/>
    <cellStyle name="Обычный 5 8 22 3 2 2" xfId="27058"/>
    <cellStyle name="Обычный 5 8 22 3 2 2 2" xfId="56924"/>
    <cellStyle name="Обычный 5 8 22 3 2 3" xfId="56925"/>
    <cellStyle name="Обычный 5 8 22 3 3" xfId="27059"/>
    <cellStyle name="Обычный 5 8 22 3 3 2" xfId="56926"/>
    <cellStyle name="Обычный 5 8 22 3 4" xfId="56927"/>
    <cellStyle name="Обычный 5 8 22 4" xfId="27060"/>
    <cellStyle name="Обычный 5 8 22 4 2" xfId="27061"/>
    <cellStyle name="Обычный 5 8 22 4 2 2" xfId="27062"/>
    <cellStyle name="Обычный 5 8 22 4 2 2 2" xfId="56928"/>
    <cellStyle name="Обычный 5 8 22 4 2 3" xfId="56929"/>
    <cellStyle name="Обычный 5 8 22 4 3" xfId="27063"/>
    <cellStyle name="Обычный 5 8 22 4 3 2" xfId="56930"/>
    <cellStyle name="Обычный 5 8 22 4 4" xfId="56931"/>
    <cellStyle name="Обычный 5 8 22 5" xfId="27064"/>
    <cellStyle name="Обычный 5 8 22 5 2" xfId="27065"/>
    <cellStyle name="Обычный 5 8 22 5 2 2" xfId="56932"/>
    <cellStyle name="Обычный 5 8 22 5 3" xfId="56933"/>
    <cellStyle name="Обычный 5 8 22 6" xfId="27066"/>
    <cellStyle name="Обычный 5 8 22 6 2" xfId="56934"/>
    <cellStyle name="Обычный 5 8 22 7" xfId="27067"/>
    <cellStyle name="Обычный 5 8 22 7 2" xfId="56935"/>
    <cellStyle name="Обычный 5 8 22 8" xfId="56936"/>
    <cellStyle name="Обычный 5 8 23" xfId="27068"/>
    <cellStyle name="Обычный 5 8 23 2" xfId="27069"/>
    <cellStyle name="Обычный 5 8 23 2 2" xfId="27070"/>
    <cellStyle name="Обычный 5 8 23 2 2 2" xfId="27071"/>
    <cellStyle name="Обычный 5 8 23 2 2 2 2" xfId="56937"/>
    <cellStyle name="Обычный 5 8 23 2 2 3" xfId="56938"/>
    <cellStyle name="Обычный 5 8 23 2 3" xfId="27072"/>
    <cellStyle name="Обычный 5 8 23 2 3 2" xfId="56939"/>
    <cellStyle name="Обычный 5 8 23 2 4" xfId="56940"/>
    <cellStyle name="Обычный 5 8 23 3" xfId="27073"/>
    <cellStyle name="Обычный 5 8 23 3 2" xfId="27074"/>
    <cellStyle name="Обычный 5 8 23 3 2 2" xfId="27075"/>
    <cellStyle name="Обычный 5 8 23 3 2 2 2" xfId="56941"/>
    <cellStyle name="Обычный 5 8 23 3 2 3" xfId="56942"/>
    <cellStyle name="Обычный 5 8 23 3 3" xfId="27076"/>
    <cellStyle name="Обычный 5 8 23 3 3 2" xfId="56943"/>
    <cellStyle name="Обычный 5 8 23 3 4" xfId="56944"/>
    <cellStyle name="Обычный 5 8 23 4" xfId="27077"/>
    <cellStyle name="Обычный 5 8 23 4 2" xfId="27078"/>
    <cellStyle name="Обычный 5 8 23 4 2 2" xfId="27079"/>
    <cellStyle name="Обычный 5 8 23 4 2 2 2" xfId="56945"/>
    <cellStyle name="Обычный 5 8 23 4 2 3" xfId="56946"/>
    <cellStyle name="Обычный 5 8 23 4 3" xfId="27080"/>
    <cellStyle name="Обычный 5 8 23 4 3 2" xfId="56947"/>
    <cellStyle name="Обычный 5 8 23 4 4" xfId="56948"/>
    <cellStyle name="Обычный 5 8 23 5" xfId="27081"/>
    <cellStyle name="Обычный 5 8 23 5 2" xfId="27082"/>
    <cellStyle name="Обычный 5 8 23 5 2 2" xfId="56949"/>
    <cellStyle name="Обычный 5 8 23 5 3" xfId="56950"/>
    <cellStyle name="Обычный 5 8 23 6" xfId="27083"/>
    <cellStyle name="Обычный 5 8 23 6 2" xfId="56951"/>
    <cellStyle name="Обычный 5 8 23 7" xfId="27084"/>
    <cellStyle name="Обычный 5 8 23 7 2" xfId="56952"/>
    <cellStyle name="Обычный 5 8 23 8" xfId="56953"/>
    <cellStyle name="Обычный 5 8 24" xfId="27085"/>
    <cellStyle name="Обычный 5 8 24 2" xfId="27086"/>
    <cellStyle name="Обычный 5 8 24 2 2" xfId="27087"/>
    <cellStyle name="Обычный 5 8 24 2 2 2" xfId="27088"/>
    <cellStyle name="Обычный 5 8 24 2 2 2 2" xfId="56954"/>
    <cellStyle name="Обычный 5 8 24 2 2 3" xfId="56955"/>
    <cellStyle name="Обычный 5 8 24 2 3" xfId="27089"/>
    <cellStyle name="Обычный 5 8 24 2 3 2" xfId="56956"/>
    <cellStyle name="Обычный 5 8 24 2 4" xfId="56957"/>
    <cellStyle name="Обычный 5 8 24 3" xfId="27090"/>
    <cellStyle name="Обычный 5 8 24 3 2" xfId="27091"/>
    <cellStyle name="Обычный 5 8 24 3 2 2" xfId="27092"/>
    <cellStyle name="Обычный 5 8 24 3 2 2 2" xfId="56958"/>
    <cellStyle name="Обычный 5 8 24 3 2 3" xfId="56959"/>
    <cellStyle name="Обычный 5 8 24 3 3" xfId="27093"/>
    <cellStyle name="Обычный 5 8 24 3 3 2" xfId="56960"/>
    <cellStyle name="Обычный 5 8 24 3 4" xfId="56961"/>
    <cellStyle name="Обычный 5 8 24 4" xfId="27094"/>
    <cellStyle name="Обычный 5 8 24 4 2" xfId="27095"/>
    <cellStyle name="Обычный 5 8 24 4 2 2" xfId="27096"/>
    <cellStyle name="Обычный 5 8 24 4 2 2 2" xfId="56962"/>
    <cellStyle name="Обычный 5 8 24 4 2 3" xfId="56963"/>
    <cellStyle name="Обычный 5 8 24 4 3" xfId="27097"/>
    <cellStyle name="Обычный 5 8 24 4 3 2" xfId="56964"/>
    <cellStyle name="Обычный 5 8 24 4 4" xfId="56965"/>
    <cellStyle name="Обычный 5 8 24 5" xfId="27098"/>
    <cellStyle name="Обычный 5 8 24 5 2" xfId="27099"/>
    <cellStyle name="Обычный 5 8 24 5 2 2" xfId="56966"/>
    <cellStyle name="Обычный 5 8 24 5 3" xfId="56967"/>
    <cellStyle name="Обычный 5 8 24 6" xfId="27100"/>
    <cellStyle name="Обычный 5 8 24 6 2" xfId="56968"/>
    <cellStyle name="Обычный 5 8 24 7" xfId="27101"/>
    <cellStyle name="Обычный 5 8 24 7 2" xfId="56969"/>
    <cellStyle name="Обычный 5 8 24 8" xfId="56970"/>
    <cellStyle name="Обычный 5 8 25" xfId="27102"/>
    <cellStyle name="Обычный 5 8 25 2" xfId="27103"/>
    <cellStyle name="Обычный 5 8 25 2 2" xfId="27104"/>
    <cellStyle name="Обычный 5 8 25 2 2 2" xfId="27105"/>
    <cellStyle name="Обычный 5 8 25 2 2 2 2" xfId="56971"/>
    <cellStyle name="Обычный 5 8 25 2 2 3" xfId="56972"/>
    <cellStyle name="Обычный 5 8 25 2 3" xfId="27106"/>
    <cellStyle name="Обычный 5 8 25 2 3 2" xfId="56973"/>
    <cellStyle name="Обычный 5 8 25 2 4" xfId="56974"/>
    <cellStyle name="Обычный 5 8 25 3" xfId="27107"/>
    <cellStyle name="Обычный 5 8 25 3 2" xfId="27108"/>
    <cellStyle name="Обычный 5 8 25 3 2 2" xfId="27109"/>
    <cellStyle name="Обычный 5 8 25 3 2 2 2" xfId="56975"/>
    <cellStyle name="Обычный 5 8 25 3 2 3" xfId="56976"/>
    <cellStyle name="Обычный 5 8 25 3 3" xfId="27110"/>
    <cellStyle name="Обычный 5 8 25 3 3 2" xfId="56977"/>
    <cellStyle name="Обычный 5 8 25 3 4" xfId="56978"/>
    <cellStyle name="Обычный 5 8 25 4" xfId="27111"/>
    <cellStyle name="Обычный 5 8 25 4 2" xfId="27112"/>
    <cellStyle name="Обычный 5 8 25 4 2 2" xfId="27113"/>
    <cellStyle name="Обычный 5 8 25 4 2 2 2" xfId="56979"/>
    <cellStyle name="Обычный 5 8 25 4 2 3" xfId="56980"/>
    <cellStyle name="Обычный 5 8 25 4 3" xfId="27114"/>
    <cellStyle name="Обычный 5 8 25 4 3 2" xfId="56981"/>
    <cellStyle name="Обычный 5 8 25 4 4" xfId="56982"/>
    <cellStyle name="Обычный 5 8 25 5" xfId="27115"/>
    <cellStyle name="Обычный 5 8 25 5 2" xfId="27116"/>
    <cellStyle name="Обычный 5 8 25 5 2 2" xfId="56983"/>
    <cellStyle name="Обычный 5 8 25 5 3" xfId="56984"/>
    <cellStyle name="Обычный 5 8 25 6" xfId="27117"/>
    <cellStyle name="Обычный 5 8 25 6 2" xfId="56985"/>
    <cellStyle name="Обычный 5 8 25 7" xfId="27118"/>
    <cellStyle name="Обычный 5 8 25 7 2" xfId="56986"/>
    <cellStyle name="Обычный 5 8 25 8" xfId="56987"/>
    <cellStyle name="Обычный 5 8 26" xfId="27119"/>
    <cellStyle name="Обычный 5 8 26 2" xfId="27120"/>
    <cellStyle name="Обычный 5 8 26 2 2" xfId="27121"/>
    <cellStyle name="Обычный 5 8 26 2 2 2" xfId="27122"/>
    <cellStyle name="Обычный 5 8 26 2 2 2 2" xfId="56988"/>
    <cellStyle name="Обычный 5 8 26 2 2 3" xfId="56989"/>
    <cellStyle name="Обычный 5 8 26 2 3" xfId="27123"/>
    <cellStyle name="Обычный 5 8 26 2 3 2" xfId="56990"/>
    <cellStyle name="Обычный 5 8 26 2 4" xfId="56991"/>
    <cellStyle name="Обычный 5 8 26 3" xfId="27124"/>
    <cellStyle name="Обычный 5 8 26 3 2" xfId="27125"/>
    <cellStyle name="Обычный 5 8 26 3 2 2" xfId="27126"/>
    <cellStyle name="Обычный 5 8 26 3 2 2 2" xfId="56992"/>
    <cellStyle name="Обычный 5 8 26 3 2 3" xfId="56993"/>
    <cellStyle name="Обычный 5 8 26 3 3" xfId="27127"/>
    <cellStyle name="Обычный 5 8 26 3 3 2" xfId="56994"/>
    <cellStyle name="Обычный 5 8 26 3 4" xfId="56995"/>
    <cellStyle name="Обычный 5 8 26 4" xfId="27128"/>
    <cellStyle name="Обычный 5 8 26 4 2" xfId="27129"/>
    <cellStyle name="Обычный 5 8 26 4 2 2" xfId="27130"/>
    <cellStyle name="Обычный 5 8 26 4 2 2 2" xfId="56996"/>
    <cellStyle name="Обычный 5 8 26 4 2 3" xfId="56997"/>
    <cellStyle name="Обычный 5 8 26 4 3" xfId="27131"/>
    <cellStyle name="Обычный 5 8 26 4 3 2" xfId="56998"/>
    <cellStyle name="Обычный 5 8 26 4 4" xfId="56999"/>
    <cellStyle name="Обычный 5 8 26 5" xfId="27132"/>
    <cellStyle name="Обычный 5 8 26 5 2" xfId="27133"/>
    <cellStyle name="Обычный 5 8 26 5 2 2" xfId="57000"/>
    <cellStyle name="Обычный 5 8 26 5 3" xfId="57001"/>
    <cellStyle name="Обычный 5 8 26 6" xfId="27134"/>
    <cellStyle name="Обычный 5 8 26 6 2" xfId="57002"/>
    <cellStyle name="Обычный 5 8 26 7" xfId="27135"/>
    <cellStyle name="Обычный 5 8 26 7 2" xfId="57003"/>
    <cellStyle name="Обычный 5 8 26 8" xfId="57004"/>
    <cellStyle name="Обычный 5 8 27" xfId="27136"/>
    <cellStyle name="Обычный 5 8 27 2" xfId="27137"/>
    <cellStyle name="Обычный 5 8 27 2 2" xfId="27138"/>
    <cellStyle name="Обычный 5 8 27 2 2 2" xfId="27139"/>
    <cellStyle name="Обычный 5 8 27 2 2 2 2" xfId="57005"/>
    <cellStyle name="Обычный 5 8 27 2 2 3" xfId="57006"/>
    <cellStyle name="Обычный 5 8 27 2 3" xfId="27140"/>
    <cellStyle name="Обычный 5 8 27 2 3 2" xfId="57007"/>
    <cellStyle name="Обычный 5 8 27 2 4" xfId="57008"/>
    <cellStyle name="Обычный 5 8 27 3" xfId="27141"/>
    <cellStyle name="Обычный 5 8 27 3 2" xfId="27142"/>
    <cellStyle name="Обычный 5 8 27 3 2 2" xfId="27143"/>
    <cellStyle name="Обычный 5 8 27 3 2 2 2" xfId="57009"/>
    <cellStyle name="Обычный 5 8 27 3 2 3" xfId="57010"/>
    <cellStyle name="Обычный 5 8 27 3 3" xfId="27144"/>
    <cellStyle name="Обычный 5 8 27 3 3 2" xfId="57011"/>
    <cellStyle name="Обычный 5 8 27 3 4" xfId="57012"/>
    <cellStyle name="Обычный 5 8 27 4" xfId="27145"/>
    <cellStyle name="Обычный 5 8 27 4 2" xfId="27146"/>
    <cellStyle name="Обычный 5 8 27 4 2 2" xfId="27147"/>
    <cellStyle name="Обычный 5 8 27 4 2 2 2" xfId="57013"/>
    <cellStyle name="Обычный 5 8 27 4 2 3" xfId="57014"/>
    <cellStyle name="Обычный 5 8 27 4 3" xfId="27148"/>
    <cellStyle name="Обычный 5 8 27 4 3 2" xfId="57015"/>
    <cellStyle name="Обычный 5 8 27 4 4" xfId="57016"/>
    <cellStyle name="Обычный 5 8 27 5" xfId="27149"/>
    <cellStyle name="Обычный 5 8 27 5 2" xfId="27150"/>
    <cellStyle name="Обычный 5 8 27 5 2 2" xfId="57017"/>
    <cellStyle name="Обычный 5 8 27 5 3" xfId="57018"/>
    <cellStyle name="Обычный 5 8 27 6" xfId="27151"/>
    <cellStyle name="Обычный 5 8 27 6 2" xfId="57019"/>
    <cellStyle name="Обычный 5 8 27 7" xfId="27152"/>
    <cellStyle name="Обычный 5 8 27 7 2" xfId="57020"/>
    <cellStyle name="Обычный 5 8 27 8" xfId="57021"/>
    <cellStyle name="Обычный 5 8 28" xfId="27153"/>
    <cellStyle name="Обычный 5 8 28 2" xfId="27154"/>
    <cellStyle name="Обычный 5 8 28 2 2" xfId="27155"/>
    <cellStyle name="Обычный 5 8 28 2 2 2" xfId="27156"/>
    <cellStyle name="Обычный 5 8 28 2 2 2 2" xfId="57022"/>
    <cellStyle name="Обычный 5 8 28 2 2 3" xfId="57023"/>
    <cellStyle name="Обычный 5 8 28 2 3" xfId="27157"/>
    <cellStyle name="Обычный 5 8 28 2 3 2" xfId="57024"/>
    <cellStyle name="Обычный 5 8 28 2 4" xfId="57025"/>
    <cellStyle name="Обычный 5 8 28 3" xfId="27158"/>
    <cellStyle name="Обычный 5 8 28 3 2" xfId="27159"/>
    <cellStyle name="Обычный 5 8 28 3 2 2" xfId="27160"/>
    <cellStyle name="Обычный 5 8 28 3 2 2 2" xfId="57026"/>
    <cellStyle name="Обычный 5 8 28 3 2 3" xfId="57027"/>
    <cellStyle name="Обычный 5 8 28 3 3" xfId="27161"/>
    <cellStyle name="Обычный 5 8 28 3 3 2" xfId="57028"/>
    <cellStyle name="Обычный 5 8 28 3 4" xfId="57029"/>
    <cellStyle name="Обычный 5 8 28 4" xfId="27162"/>
    <cellStyle name="Обычный 5 8 28 4 2" xfId="27163"/>
    <cellStyle name="Обычный 5 8 28 4 2 2" xfId="27164"/>
    <cellStyle name="Обычный 5 8 28 4 2 2 2" xfId="57030"/>
    <cellStyle name="Обычный 5 8 28 4 2 3" xfId="57031"/>
    <cellStyle name="Обычный 5 8 28 4 3" xfId="27165"/>
    <cellStyle name="Обычный 5 8 28 4 3 2" xfId="57032"/>
    <cellStyle name="Обычный 5 8 28 4 4" xfId="57033"/>
    <cellStyle name="Обычный 5 8 28 5" xfId="27166"/>
    <cellStyle name="Обычный 5 8 28 5 2" xfId="27167"/>
    <cellStyle name="Обычный 5 8 28 5 2 2" xfId="57034"/>
    <cellStyle name="Обычный 5 8 28 5 3" xfId="57035"/>
    <cellStyle name="Обычный 5 8 28 6" xfId="27168"/>
    <cellStyle name="Обычный 5 8 28 6 2" xfId="57036"/>
    <cellStyle name="Обычный 5 8 28 7" xfId="27169"/>
    <cellStyle name="Обычный 5 8 28 7 2" xfId="57037"/>
    <cellStyle name="Обычный 5 8 28 8" xfId="57038"/>
    <cellStyle name="Обычный 5 8 29" xfId="27170"/>
    <cellStyle name="Обычный 5 8 29 2" xfId="27171"/>
    <cellStyle name="Обычный 5 8 29 2 2" xfId="27172"/>
    <cellStyle name="Обычный 5 8 29 2 2 2" xfId="27173"/>
    <cellStyle name="Обычный 5 8 29 2 2 2 2" xfId="57039"/>
    <cellStyle name="Обычный 5 8 29 2 2 3" xfId="57040"/>
    <cellStyle name="Обычный 5 8 29 2 3" xfId="27174"/>
    <cellStyle name="Обычный 5 8 29 2 3 2" xfId="57041"/>
    <cellStyle name="Обычный 5 8 29 2 4" xfId="57042"/>
    <cellStyle name="Обычный 5 8 29 3" xfId="27175"/>
    <cellStyle name="Обычный 5 8 29 3 2" xfId="27176"/>
    <cellStyle name="Обычный 5 8 29 3 2 2" xfId="27177"/>
    <cellStyle name="Обычный 5 8 29 3 2 2 2" xfId="57043"/>
    <cellStyle name="Обычный 5 8 29 3 2 3" xfId="57044"/>
    <cellStyle name="Обычный 5 8 29 3 3" xfId="27178"/>
    <cellStyle name="Обычный 5 8 29 3 3 2" xfId="57045"/>
    <cellStyle name="Обычный 5 8 29 3 4" xfId="57046"/>
    <cellStyle name="Обычный 5 8 29 4" xfId="27179"/>
    <cellStyle name="Обычный 5 8 29 4 2" xfId="27180"/>
    <cellStyle name="Обычный 5 8 29 4 2 2" xfId="27181"/>
    <cellStyle name="Обычный 5 8 29 4 2 2 2" xfId="57047"/>
    <cellStyle name="Обычный 5 8 29 4 2 3" xfId="57048"/>
    <cellStyle name="Обычный 5 8 29 4 3" xfId="27182"/>
    <cellStyle name="Обычный 5 8 29 4 3 2" xfId="57049"/>
    <cellStyle name="Обычный 5 8 29 4 4" xfId="57050"/>
    <cellStyle name="Обычный 5 8 29 5" xfId="27183"/>
    <cellStyle name="Обычный 5 8 29 5 2" xfId="27184"/>
    <cellStyle name="Обычный 5 8 29 5 2 2" xfId="57051"/>
    <cellStyle name="Обычный 5 8 29 5 3" xfId="57052"/>
    <cellStyle name="Обычный 5 8 29 6" xfId="27185"/>
    <cellStyle name="Обычный 5 8 29 6 2" xfId="57053"/>
    <cellStyle name="Обычный 5 8 29 7" xfId="27186"/>
    <cellStyle name="Обычный 5 8 29 7 2" xfId="57054"/>
    <cellStyle name="Обычный 5 8 29 8" xfId="57055"/>
    <cellStyle name="Обычный 5 8 3" xfId="27187"/>
    <cellStyle name="Обычный 5 8 3 2" xfId="27188"/>
    <cellStyle name="Обычный 5 8 3 2 2" xfId="27189"/>
    <cellStyle name="Обычный 5 8 3 2 2 2" xfId="27190"/>
    <cellStyle name="Обычный 5 8 3 2 2 2 2" xfId="57056"/>
    <cellStyle name="Обычный 5 8 3 2 2 3" xfId="57057"/>
    <cellStyle name="Обычный 5 8 3 2 3" xfId="27191"/>
    <cellStyle name="Обычный 5 8 3 2 3 2" xfId="57058"/>
    <cellStyle name="Обычный 5 8 3 2 4" xfId="57059"/>
    <cellStyle name="Обычный 5 8 3 3" xfId="27192"/>
    <cellStyle name="Обычный 5 8 3 3 2" xfId="27193"/>
    <cellStyle name="Обычный 5 8 3 3 2 2" xfId="27194"/>
    <cellStyle name="Обычный 5 8 3 3 2 2 2" xfId="57060"/>
    <cellStyle name="Обычный 5 8 3 3 2 3" xfId="57061"/>
    <cellStyle name="Обычный 5 8 3 3 3" xfId="27195"/>
    <cellStyle name="Обычный 5 8 3 3 3 2" xfId="57062"/>
    <cellStyle name="Обычный 5 8 3 3 4" xfId="57063"/>
    <cellStyle name="Обычный 5 8 3 4" xfId="27196"/>
    <cellStyle name="Обычный 5 8 3 4 2" xfId="27197"/>
    <cellStyle name="Обычный 5 8 3 4 2 2" xfId="27198"/>
    <cellStyle name="Обычный 5 8 3 4 2 2 2" xfId="57064"/>
    <cellStyle name="Обычный 5 8 3 4 2 3" xfId="57065"/>
    <cellStyle name="Обычный 5 8 3 4 3" xfId="27199"/>
    <cellStyle name="Обычный 5 8 3 4 3 2" xfId="57066"/>
    <cellStyle name="Обычный 5 8 3 4 4" xfId="57067"/>
    <cellStyle name="Обычный 5 8 3 5" xfId="27200"/>
    <cellStyle name="Обычный 5 8 3 5 2" xfId="27201"/>
    <cellStyle name="Обычный 5 8 3 5 2 2" xfId="57068"/>
    <cellStyle name="Обычный 5 8 3 5 3" xfId="57069"/>
    <cellStyle name="Обычный 5 8 3 6" xfId="27202"/>
    <cellStyle name="Обычный 5 8 3 6 2" xfId="57070"/>
    <cellStyle name="Обычный 5 8 3 7" xfId="27203"/>
    <cellStyle name="Обычный 5 8 3 7 2" xfId="57071"/>
    <cellStyle name="Обычный 5 8 3 8" xfId="57072"/>
    <cellStyle name="Обычный 5 8 30" xfId="27204"/>
    <cellStyle name="Обычный 5 8 30 2" xfId="27205"/>
    <cellStyle name="Обычный 5 8 30 2 2" xfId="27206"/>
    <cellStyle name="Обычный 5 8 30 2 2 2" xfId="57073"/>
    <cellStyle name="Обычный 5 8 30 2 3" xfId="57074"/>
    <cellStyle name="Обычный 5 8 30 3" xfId="27207"/>
    <cellStyle name="Обычный 5 8 30 3 2" xfId="57075"/>
    <cellStyle name="Обычный 5 8 30 4" xfId="57076"/>
    <cellStyle name="Обычный 5 8 31" xfId="27208"/>
    <cellStyle name="Обычный 5 8 31 2" xfId="27209"/>
    <cellStyle name="Обычный 5 8 31 2 2" xfId="27210"/>
    <cellStyle name="Обычный 5 8 31 2 2 2" xfId="57077"/>
    <cellStyle name="Обычный 5 8 31 2 3" xfId="57078"/>
    <cellStyle name="Обычный 5 8 31 3" xfId="27211"/>
    <cellStyle name="Обычный 5 8 31 3 2" xfId="57079"/>
    <cellStyle name="Обычный 5 8 31 4" xfId="57080"/>
    <cellStyle name="Обычный 5 8 32" xfId="27212"/>
    <cellStyle name="Обычный 5 8 32 2" xfId="27213"/>
    <cellStyle name="Обычный 5 8 32 2 2" xfId="27214"/>
    <cellStyle name="Обычный 5 8 32 2 2 2" xfId="57081"/>
    <cellStyle name="Обычный 5 8 32 2 3" xfId="57082"/>
    <cellStyle name="Обычный 5 8 32 3" xfId="27215"/>
    <cellStyle name="Обычный 5 8 32 3 2" xfId="57083"/>
    <cellStyle name="Обычный 5 8 32 4" xfId="57084"/>
    <cellStyle name="Обычный 5 8 33" xfId="27216"/>
    <cellStyle name="Обычный 5 8 33 2" xfId="27217"/>
    <cellStyle name="Обычный 5 8 33 2 2" xfId="57085"/>
    <cellStyle name="Обычный 5 8 33 3" xfId="57086"/>
    <cellStyle name="Обычный 5 8 34" xfId="27218"/>
    <cellStyle name="Обычный 5 8 34 2" xfId="57087"/>
    <cellStyle name="Обычный 5 8 35" xfId="27219"/>
    <cellStyle name="Обычный 5 8 35 2" xfId="57088"/>
    <cellStyle name="Обычный 5 8 36" xfId="57089"/>
    <cellStyle name="Обычный 5 8 4" xfId="27220"/>
    <cellStyle name="Обычный 5 8 4 2" xfId="27221"/>
    <cellStyle name="Обычный 5 8 4 2 2" xfId="27222"/>
    <cellStyle name="Обычный 5 8 4 2 2 2" xfId="27223"/>
    <cellStyle name="Обычный 5 8 4 2 2 2 2" xfId="57090"/>
    <cellStyle name="Обычный 5 8 4 2 2 3" xfId="57091"/>
    <cellStyle name="Обычный 5 8 4 2 3" xfId="27224"/>
    <cellStyle name="Обычный 5 8 4 2 3 2" xfId="57092"/>
    <cellStyle name="Обычный 5 8 4 2 4" xfId="57093"/>
    <cellStyle name="Обычный 5 8 4 3" xfId="27225"/>
    <cellStyle name="Обычный 5 8 4 3 2" xfId="27226"/>
    <cellStyle name="Обычный 5 8 4 3 2 2" xfId="27227"/>
    <cellStyle name="Обычный 5 8 4 3 2 2 2" xfId="57094"/>
    <cellStyle name="Обычный 5 8 4 3 2 3" xfId="57095"/>
    <cellStyle name="Обычный 5 8 4 3 3" xfId="27228"/>
    <cellStyle name="Обычный 5 8 4 3 3 2" xfId="57096"/>
    <cellStyle name="Обычный 5 8 4 3 4" xfId="57097"/>
    <cellStyle name="Обычный 5 8 4 4" xfId="27229"/>
    <cellStyle name="Обычный 5 8 4 4 2" xfId="27230"/>
    <cellStyle name="Обычный 5 8 4 4 2 2" xfId="27231"/>
    <cellStyle name="Обычный 5 8 4 4 2 2 2" xfId="57098"/>
    <cellStyle name="Обычный 5 8 4 4 2 3" xfId="57099"/>
    <cellStyle name="Обычный 5 8 4 4 3" xfId="27232"/>
    <cellStyle name="Обычный 5 8 4 4 3 2" xfId="57100"/>
    <cellStyle name="Обычный 5 8 4 4 4" xfId="57101"/>
    <cellStyle name="Обычный 5 8 4 5" xfId="27233"/>
    <cellStyle name="Обычный 5 8 4 5 2" xfId="27234"/>
    <cellStyle name="Обычный 5 8 4 5 2 2" xfId="57102"/>
    <cellStyle name="Обычный 5 8 4 5 3" xfId="57103"/>
    <cellStyle name="Обычный 5 8 4 6" xfId="27235"/>
    <cellStyle name="Обычный 5 8 4 6 2" xfId="57104"/>
    <cellStyle name="Обычный 5 8 4 7" xfId="27236"/>
    <cellStyle name="Обычный 5 8 4 7 2" xfId="57105"/>
    <cellStyle name="Обычный 5 8 4 8" xfId="57106"/>
    <cellStyle name="Обычный 5 8 5" xfId="27237"/>
    <cellStyle name="Обычный 5 8 5 2" xfId="27238"/>
    <cellStyle name="Обычный 5 8 5 2 2" xfId="27239"/>
    <cellStyle name="Обычный 5 8 5 2 2 2" xfId="27240"/>
    <cellStyle name="Обычный 5 8 5 2 2 2 2" xfId="57107"/>
    <cellStyle name="Обычный 5 8 5 2 2 3" xfId="57108"/>
    <cellStyle name="Обычный 5 8 5 2 3" xfId="27241"/>
    <cellStyle name="Обычный 5 8 5 2 3 2" xfId="57109"/>
    <cellStyle name="Обычный 5 8 5 2 4" xfId="57110"/>
    <cellStyle name="Обычный 5 8 5 3" xfId="27242"/>
    <cellStyle name="Обычный 5 8 5 3 2" xfId="27243"/>
    <cellStyle name="Обычный 5 8 5 3 2 2" xfId="27244"/>
    <cellStyle name="Обычный 5 8 5 3 2 2 2" xfId="57111"/>
    <cellStyle name="Обычный 5 8 5 3 2 3" xfId="57112"/>
    <cellStyle name="Обычный 5 8 5 3 3" xfId="27245"/>
    <cellStyle name="Обычный 5 8 5 3 3 2" xfId="57113"/>
    <cellStyle name="Обычный 5 8 5 3 4" xfId="57114"/>
    <cellStyle name="Обычный 5 8 5 4" xfId="27246"/>
    <cellStyle name="Обычный 5 8 5 4 2" xfId="27247"/>
    <cellStyle name="Обычный 5 8 5 4 2 2" xfId="27248"/>
    <cellStyle name="Обычный 5 8 5 4 2 2 2" xfId="57115"/>
    <cellStyle name="Обычный 5 8 5 4 2 3" xfId="57116"/>
    <cellStyle name="Обычный 5 8 5 4 3" xfId="27249"/>
    <cellStyle name="Обычный 5 8 5 4 3 2" xfId="57117"/>
    <cellStyle name="Обычный 5 8 5 4 4" xfId="57118"/>
    <cellStyle name="Обычный 5 8 5 5" xfId="27250"/>
    <cellStyle name="Обычный 5 8 5 5 2" xfId="27251"/>
    <cellStyle name="Обычный 5 8 5 5 2 2" xfId="57119"/>
    <cellStyle name="Обычный 5 8 5 5 3" xfId="57120"/>
    <cellStyle name="Обычный 5 8 5 6" xfId="27252"/>
    <cellStyle name="Обычный 5 8 5 6 2" xfId="57121"/>
    <cellStyle name="Обычный 5 8 5 7" xfId="27253"/>
    <cellStyle name="Обычный 5 8 5 7 2" xfId="57122"/>
    <cellStyle name="Обычный 5 8 5 8" xfId="57123"/>
    <cellStyle name="Обычный 5 8 6" xfId="27254"/>
    <cellStyle name="Обычный 5 8 6 2" xfId="27255"/>
    <cellStyle name="Обычный 5 8 6 2 2" xfId="27256"/>
    <cellStyle name="Обычный 5 8 6 2 2 2" xfId="27257"/>
    <cellStyle name="Обычный 5 8 6 2 2 2 2" xfId="57124"/>
    <cellStyle name="Обычный 5 8 6 2 2 3" xfId="57125"/>
    <cellStyle name="Обычный 5 8 6 2 3" xfId="27258"/>
    <cellStyle name="Обычный 5 8 6 2 3 2" xfId="57126"/>
    <cellStyle name="Обычный 5 8 6 2 4" xfId="57127"/>
    <cellStyle name="Обычный 5 8 6 3" xfId="27259"/>
    <cellStyle name="Обычный 5 8 6 3 2" xfId="27260"/>
    <cellStyle name="Обычный 5 8 6 3 2 2" xfId="27261"/>
    <cellStyle name="Обычный 5 8 6 3 2 2 2" xfId="57128"/>
    <cellStyle name="Обычный 5 8 6 3 2 3" xfId="57129"/>
    <cellStyle name="Обычный 5 8 6 3 3" xfId="27262"/>
    <cellStyle name="Обычный 5 8 6 3 3 2" xfId="57130"/>
    <cellStyle name="Обычный 5 8 6 3 4" xfId="57131"/>
    <cellStyle name="Обычный 5 8 6 4" xfId="27263"/>
    <cellStyle name="Обычный 5 8 6 4 2" xfId="27264"/>
    <cellStyle name="Обычный 5 8 6 4 2 2" xfId="27265"/>
    <cellStyle name="Обычный 5 8 6 4 2 2 2" xfId="57132"/>
    <cellStyle name="Обычный 5 8 6 4 2 3" xfId="57133"/>
    <cellStyle name="Обычный 5 8 6 4 3" xfId="27266"/>
    <cellStyle name="Обычный 5 8 6 4 3 2" xfId="57134"/>
    <cellStyle name="Обычный 5 8 6 4 4" xfId="57135"/>
    <cellStyle name="Обычный 5 8 6 5" xfId="27267"/>
    <cellStyle name="Обычный 5 8 6 5 2" xfId="27268"/>
    <cellStyle name="Обычный 5 8 6 5 2 2" xfId="57136"/>
    <cellStyle name="Обычный 5 8 6 5 3" xfId="57137"/>
    <cellStyle name="Обычный 5 8 6 6" xfId="27269"/>
    <cellStyle name="Обычный 5 8 6 6 2" xfId="57138"/>
    <cellStyle name="Обычный 5 8 6 7" xfId="27270"/>
    <cellStyle name="Обычный 5 8 6 7 2" xfId="57139"/>
    <cellStyle name="Обычный 5 8 6 8" xfId="57140"/>
    <cellStyle name="Обычный 5 8 7" xfId="27271"/>
    <cellStyle name="Обычный 5 8 7 2" xfId="27272"/>
    <cellStyle name="Обычный 5 8 7 2 2" xfId="27273"/>
    <cellStyle name="Обычный 5 8 7 2 2 2" xfId="27274"/>
    <cellStyle name="Обычный 5 8 7 2 2 2 2" xfId="57141"/>
    <cellStyle name="Обычный 5 8 7 2 2 3" xfId="57142"/>
    <cellStyle name="Обычный 5 8 7 2 3" xfId="27275"/>
    <cellStyle name="Обычный 5 8 7 2 3 2" xfId="57143"/>
    <cellStyle name="Обычный 5 8 7 2 4" xfId="57144"/>
    <cellStyle name="Обычный 5 8 7 3" xfId="27276"/>
    <cellStyle name="Обычный 5 8 7 3 2" xfId="27277"/>
    <cellStyle name="Обычный 5 8 7 3 2 2" xfId="27278"/>
    <cellStyle name="Обычный 5 8 7 3 2 2 2" xfId="57145"/>
    <cellStyle name="Обычный 5 8 7 3 2 3" xfId="57146"/>
    <cellStyle name="Обычный 5 8 7 3 3" xfId="27279"/>
    <cellStyle name="Обычный 5 8 7 3 3 2" xfId="57147"/>
    <cellStyle name="Обычный 5 8 7 3 4" xfId="57148"/>
    <cellStyle name="Обычный 5 8 7 4" xfId="27280"/>
    <cellStyle name="Обычный 5 8 7 4 2" xfId="27281"/>
    <cellStyle name="Обычный 5 8 7 4 2 2" xfId="27282"/>
    <cellStyle name="Обычный 5 8 7 4 2 2 2" xfId="57149"/>
    <cellStyle name="Обычный 5 8 7 4 2 3" xfId="57150"/>
    <cellStyle name="Обычный 5 8 7 4 3" xfId="27283"/>
    <cellStyle name="Обычный 5 8 7 4 3 2" xfId="57151"/>
    <cellStyle name="Обычный 5 8 7 4 4" xfId="57152"/>
    <cellStyle name="Обычный 5 8 7 5" xfId="27284"/>
    <cellStyle name="Обычный 5 8 7 5 2" xfId="27285"/>
    <cellStyle name="Обычный 5 8 7 5 2 2" xfId="57153"/>
    <cellStyle name="Обычный 5 8 7 5 3" xfId="57154"/>
    <cellStyle name="Обычный 5 8 7 6" xfId="27286"/>
    <cellStyle name="Обычный 5 8 7 6 2" xfId="57155"/>
    <cellStyle name="Обычный 5 8 7 7" xfId="27287"/>
    <cellStyle name="Обычный 5 8 7 7 2" xfId="57156"/>
    <cellStyle name="Обычный 5 8 7 8" xfId="57157"/>
    <cellStyle name="Обычный 5 8 8" xfId="27288"/>
    <cellStyle name="Обычный 5 8 8 2" xfId="27289"/>
    <cellStyle name="Обычный 5 8 8 2 2" xfId="27290"/>
    <cellStyle name="Обычный 5 8 8 2 2 2" xfId="27291"/>
    <cellStyle name="Обычный 5 8 8 2 2 2 2" xfId="57158"/>
    <cellStyle name="Обычный 5 8 8 2 2 3" xfId="57159"/>
    <cellStyle name="Обычный 5 8 8 2 3" xfId="27292"/>
    <cellStyle name="Обычный 5 8 8 2 3 2" xfId="57160"/>
    <cellStyle name="Обычный 5 8 8 2 4" xfId="57161"/>
    <cellStyle name="Обычный 5 8 8 3" xfId="27293"/>
    <cellStyle name="Обычный 5 8 8 3 2" xfId="27294"/>
    <cellStyle name="Обычный 5 8 8 3 2 2" xfId="27295"/>
    <cellStyle name="Обычный 5 8 8 3 2 2 2" xfId="57162"/>
    <cellStyle name="Обычный 5 8 8 3 2 3" xfId="57163"/>
    <cellStyle name="Обычный 5 8 8 3 3" xfId="27296"/>
    <cellStyle name="Обычный 5 8 8 3 3 2" xfId="57164"/>
    <cellStyle name="Обычный 5 8 8 3 4" xfId="57165"/>
    <cellStyle name="Обычный 5 8 8 4" xfId="27297"/>
    <cellStyle name="Обычный 5 8 8 4 2" xfId="27298"/>
    <cellStyle name="Обычный 5 8 8 4 2 2" xfId="27299"/>
    <cellStyle name="Обычный 5 8 8 4 2 2 2" xfId="57166"/>
    <cellStyle name="Обычный 5 8 8 4 2 3" xfId="57167"/>
    <cellStyle name="Обычный 5 8 8 4 3" xfId="27300"/>
    <cellStyle name="Обычный 5 8 8 4 3 2" xfId="57168"/>
    <cellStyle name="Обычный 5 8 8 4 4" xfId="57169"/>
    <cellStyle name="Обычный 5 8 8 5" xfId="27301"/>
    <cellStyle name="Обычный 5 8 8 5 2" xfId="27302"/>
    <cellStyle name="Обычный 5 8 8 5 2 2" xfId="57170"/>
    <cellStyle name="Обычный 5 8 8 5 3" xfId="57171"/>
    <cellStyle name="Обычный 5 8 8 6" xfId="27303"/>
    <cellStyle name="Обычный 5 8 8 6 2" xfId="57172"/>
    <cellStyle name="Обычный 5 8 8 7" xfId="27304"/>
    <cellStyle name="Обычный 5 8 8 7 2" xfId="57173"/>
    <cellStyle name="Обычный 5 8 8 8" xfId="57174"/>
    <cellStyle name="Обычный 5 8 9" xfId="27305"/>
    <cellStyle name="Обычный 5 8 9 2" xfId="27306"/>
    <cellStyle name="Обычный 5 8 9 2 2" xfId="27307"/>
    <cellStyle name="Обычный 5 8 9 2 2 2" xfId="27308"/>
    <cellStyle name="Обычный 5 8 9 2 2 2 2" xfId="57175"/>
    <cellStyle name="Обычный 5 8 9 2 2 3" xfId="57176"/>
    <cellStyle name="Обычный 5 8 9 2 3" xfId="27309"/>
    <cellStyle name="Обычный 5 8 9 2 3 2" xfId="57177"/>
    <cellStyle name="Обычный 5 8 9 2 4" xfId="57178"/>
    <cellStyle name="Обычный 5 8 9 3" xfId="27310"/>
    <cellStyle name="Обычный 5 8 9 3 2" xfId="27311"/>
    <cellStyle name="Обычный 5 8 9 3 2 2" xfId="27312"/>
    <cellStyle name="Обычный 5 8 9 3 2 2 2" xfId="57179"/>
    <cellStyle name="Обычный 5 8 9 3 2 3" xfId="57180"/>
    <cellStyle name="Обычный 5 8 9 3 3" xfId="27313"/>
    <cellStyle name="Обычный 5 8 9 3 3 2" xfId="57181"/>
    <cellStyle name="Обычный 5 8 9 3 4" xfId="57182"/>
    <cellStyle name="Обычный 5 8 9 4" xfId="27314"/>
    <cellStyle name="Обычный 5 8 9 4 2" xfId="27315"/>
    <cellStyle name="Обычный 5 8 9 4 2 2" xfId="27316"/>
    <cellStyle name="Обычный 5 8 9 4 2 2 2" xfId="57183"/>
    <cellStyle name="Обычный 5 8 9 4 2 3" xfId="57184"/>
    <cellStyle name="Обычный 5 8 9 4 3" xfId="27317"/>
    <cellStyle name="Обычный 5 8 9 4 3 2" xfId="57185"/>
    <cellStyle name="Обычный 5 8 9 4 4" xfId="57186"/>
    <cellStyle name="Обычный 5 8 9 5" xfId="27318"/>
    <cellStyle name="Обычный 5 8 9 5 2" xfId="27319"/>
    <cellStyle name="Обычный 5 8 9 5 2 2" xfId="57187"/>
    <cellStyle name="Обычный 5 8 9 5 3" xfId="57188"/>
    <cellStyle name="Обычный 5 8 9 6" xfId="27320"/>
    <cellStyle name="Обычный 5 8 9 6 2" xfId="57189"/>
    <cellStyle name="Обычный 5 8 9 7" xfId="27321"/>
    <cellStyle name="Обычный 5 8 9 7 2" xfId="57190"/>
    <cellStyle name="Обычный 5 8 9 8" xfId="57191"/>
    <cellStyle name="Обычный 5 80" xfId="27322"/>
    <cellStyle name="Обычный 5 80 2" xfId="27323"/>
    <cellStyle name="Обычный 5 80 2 2" xfId="27324"/>
    <cellStyle name="Обычный 5 80 2 2 2" xfId="57192"/>
    <cellStyle name="Обычный 5 80 2 3" xfId="57193"/>
    <cellStyle name="Обычный 5 80 3" xfId="27325"/>
    <cellStyle name="Обычный 5 80 3 2" xfId="57194"/>
    <cellStyle name="Обычный 5 80 4" xfId="57195"/>
    <cellStyle name="Обычный 5 81" xfId="27326"/>
    <cellStyle name="Обычный 5 81 2" xfId="27327"/>
    <cellStyle name="Обычный 5 81 2 2" xfId="27328"/>
    <cellStyle name="Обычный 5 81 2 2 2" xfId="57196"/>
    <cellStyle name="Обычный 5 81 2 3" xfId="57197"/>
    <cellStyle name="Обычный 5 81 3" xfId="27329"/>
    <cellStyle name="Обычный 5 81 3 2" xfId="57198"/>
    <cellStyle name="Обычный 5 81 4" xfId="57199"/>
    <cellStyle name="Обычный 5 82" xfId="27330"/>
    <cellStyle name="Обычный 5 82 2" xfId="27331"/>
    <cellStyle name="Обычный 5 82 2 2" xfId="27332"/>
    <cellStyle name="Обычный 5 82 2 2 2" xfId="57200"/>
    <cellStyle name="Обычный 5 82 2 3" xfId="57201"/>
    <cellStyle name="Обычный 5 82 3" xfId="27333"/>
    <cellStyle name="Обычный 5 82 3 2" xfId="57202"/>
    <cellStyle name="Обычный 5 82 4" xfId="57203"/>
    <cellStyle name="Обычный 5 83" xfId="27334"/>
    <cellStyle name="Обычный 5 83 2" xfId="27335"/>
    <cellStyle name="Обычный 5 83 2 2" xfId="27336"/>
    <cellStyle name="Обычный 5 83 2 2 2" xfId="57204"/>
    <cellStyle name="Обычный 5 83 2 3" xfId="57205"/>
    <cellStyle name="Обычный 5 83 3" xfId="27337"/>
    <cellStyle name="Обычный 5 83 3 2" xfId="57206"/>
    <cellStyle name="Обычный 5 83 4" xfId="57207"/>
    <cellStyle name="Обычный 5 84" xfId="27338"/>
    <cellStyle name="Обычный 5 84 2" xfId="27339"/>
    <cellStyle name="Обычный 5 84 2 2" xfId="27340"/>
    <cellStyle name="Обычный 5 84 2 2 2" xfId="57208"/>
    <cellStyle name="Обычный 5 84 2 3" xfId="57209"/>
    <cellStyle name="Обычный 5 84 3" xfId="27341"/>
    <cellStyle name="Обычный 5 84 3 2" xfId="57210"/>
    <cellStyle name="Обычный 5 84 4" xfId="57211"/>
    <cellStyle name="Обычный 5 85" xfId="27342"/>
    <cellStyle name="Обычный 5 85 2" xfId="27343"/>
    <cellStyle name="Обычный 5 85 2 2" xfId="27344"/>
    <cellStyle name="Обычный 5 85 2 2 2" xfId="57212"/>
    <cellStyle name="Обычный 5 85 2 3" xfId="57213"/>
    <cellStyle name="Обычный 5 85 3" xfId="27345"/>
    <cellStyle name="Обычный 5 85 3 2" xfId="57214"/>
    <cellStyle name="Обычный 5 85 4" xfId="57215"/>
    <cellStyle name="Обычный 5 86" xfId="27346"/>
    <cellStyle name="Обычный 5 86 2" xfId="27347"/>
    <cellStyle name="Обычный 5 86 2 2" xfId="27348"/>
    <cellStyle name="Обычный 5 86 2 2 2" xfId="57216"/>
    <cellStyle name="Обычный 5 86 2 3" xfId="57217"/>
    <cellStyle name="Обычный 5 86 3" xfId="27349"/>
    <cellStyle name="Обычный 5 86 3 2" xfId="57218"/>
    <cellStyle name="Обычный 5 86 4" xfId="57219"/>
    <cellStyle name="Обычный 5 87" xfId="27350"/>
    <cellStyle name="Обычный 5 87 2" xfId="27351"/>
    <cellStyle name="Обычный 5 87 2 2" xfId="27352"/>
    <cellStyle name="Обычный 5 87 2 2 2" xfId="57220"/>
    <cellStyle name="Обычный 5 87 2 3" xfId="57221"/>
    <cellStyle name="Обычный 5 87 3" xfId="27353"/>
    <cellStyle name="Обычный 5 87 3 2" xfId="57222"/>
    <cellStyle name="Обычный 5 87 4" xfId="57223"/>
    <cellStyle name="Обычный 5 88" xfId="27354"/>
    <cellStyle name="Обычный 5 88 2" xfId="27355"/>
    <cellStyle name="Обычный 5 88 2 2" xfId="27356"/>
    <cellStyle name="Обычный 5 88 2 2 2" xfId="57224"/>
    <cellStyle name="Обычный 5 88 2 3" xfId="57225"/>
    <cellStyle name="Обычный 5 88 3" xfId="27357"/>
    <cellStyle name="Обычный 5 88 3 2" xfId="57226"/>
    <cellStyle name="Обычный 5 88 4" xfId="57227"/>
    <cellStyle name="Обычный 5 89" xfId="27358"/>
    <cellStyle name="Обычный 5 89 2" xfId="27359"/>
    <cellStyle name="Обычный 5 89 2 2" xfId="27360"/>
    <cellStyle name="Обычный 5 89 2 2 2" xfId="57228"/>
    <cellStyle name="Обычный 5 89 2 3" xfId="57229"/>
    <cellStyle name="Обычный 5 89 3" xfId="27361"/>
    <cellStyle name="Обычный 5 89 3 2" xfId="57230"/>
    <cellStyle name="Обычный 5 89 4" xfId="57231"/>
    <cellStyle name="Обычный 5 9" xfId="27362"/>
    <cellStyle name="Обычный 5 9 10" xfId="27363"/>
    <cellStyle name="Обычный 5 9 10 2" xfId="27364"/>
    <cellStyle name="Обычный 5 9 10 2 2" xfId="27365"/>
    <cellStyle name="Обычный 5 9 10 2 2 2" xfId="27366"/>
    <cellStyle name="Обычный 5 9 10 2 2 2 2" xfId="57232"/>
    <cellStyle name="Обычный 5 9 10 2 2 3" xfId="57233"/>
    <cellStyle name="Обычный 5 9 10 2 3" xfId="27367"/>
    <cellStyle name="Обычный 5 9 10 2 3 2" xfId="57234"/>
    <cellStyle name="Обычный 5 9 10 2 4" xfId="57235"/>
    <cellStyle name="Обычный 5 9 10 3" xfId="27368"/>
    <cellStyle name="Обычный 5 9 10 3 2" xfId="27369"/>
    <cellStyle name="Обычный 5 9 10 3 2 2" xfId="27370"/>
    <cellStyle name="Обычный 5 9 10 3 2 2 2" xfId="57236"/>
    <cellStyle name="Обычный 5 9 10 3 2 3" xfId="57237"/>
    <cellStyle name="Обычный 5 9 10 3 3" xfId="27371"/>
    <cellStyle name="Обычный 5 9 10 3 3 2" xfId="57238"/>
    <cellStyle name="Обычный 5 9 10 3 4" xfId="57239"/>
    <cellStyle name="Обычный 5 9 10 4" xfId="27372"/>
    <cellStyle name="Обычный 5 9 10 4 2" xfId="27373"/>
    <cellStyle name="Обычный 5 9 10 4 2 2" xfId="27374"/>
    <cellStyle name="Обычный 5 9 10 4 2 2 2" xfId="57240"/>
    <cellStyle name="Обычный 5 9 10 4 2 3" xfId="57241"/>
    <cellStyle name="Обычный 5 9 10 4 3" xfId="27375"/>
    <cellStyle name="Обычный 5 9 10 4 3 2" xfId="57242"/>
    <cellStyle name="Обычный 5 9 10 4 4" xfId="57243"/>
    <cellStyle name="Обычный 5 9 10 5" xfId="27376"/>
    <cellStyle name="Обычный 5 9 10 5 2" xfId="27377"/>
    <cellStyle name="Обычный 5 9 10 5 2 2" xfId="57244"/>
    <cellStyle name="Обычный 5 9 10 5 3" xfId="57245"/>
    <cellStyle name="Обычный 5 9 10 6" xfId="27378"/>
    <cellStyle name="Обычный 5 9 10 6 2" xfId="57246"/>
    <cellStyle name="Обычный 5 9 10 7" xfId="27379"/>
    <cellStyle name="Обычный 5 9 10 7 2" xfId="57247"/>
    <cellStyle name="Обычный 5 9 10 8" xfId="57248"/>
    <cellStyle name="Обычный 5 9 11" xfId="27380"/>
    <cellStyle name="Обычный 5 9 11 2" xfId="27381"/>
    <cellStyle name="Обычный 5 9 11 2 2" xfId="27382"/>
    <cellStyle name="Обычный 5 9 11 2 2 2" xfId="27383"/>
    <cellStyle name="Обычный 5 9 11 2 2 2 2" xfId="57249"/>
    <cellStyle name="Обычный 5 9 11 2 2 3" xfId="57250"/>
    <cellStyle name="Обычный 5 9 11 2 3" xfId="27384"/>
    <cellStyle name="Обычный 5 9 11 2 3 2" xfId="57251"/>
    <cellStyle name="Обычный 5 9 11 2 4" xfId="57252"/>
    <cellStyle name="Обычный 5 9 11 3" xfId="27385"/>
    <cellStyle name="Обычный 5 9 11 3 2" xfId="27386"/>
    <cellStyle name="Обычный 5 9 11 3 2 2" xfId="27387"/>
    <cellStyle name="Обычный 5 9 11 3 2 2 2" xfId="57253"/>
    <cellStyle name="Обычный 5 9 11 3 2 3" xfId="57254"/>
    <cellStyle name="Обычный 5 9 11 3 3" xfId="27388"/>
    <cellStyle name="Обычный 5 9 11 3 3 2" xfId="57255"/>
    <cellStyle name="Обычный 5 9 11 3 4" xfId="57256"/>
    <cellStyle name="Обычный 5 9 11 4" xfId="27389"/>
    <cellStyle name="Обычный 5 9 11 4 2" xfId="27390"/>
    <cellStyle name="Обычный 5 9 11 4 2 2" xfId="27391"/>
    <cellStyle name="Обычный 5 9 11 4 2 2 2" xfId="57257"/>
    <cellStyle name="Обычный 5 9 11 4 2 3" xfId="57258"/>
    <cellStyle name="Обычный 5 9 11 4 3" xfId="27392"/>
    <cellStyle name="Обычный 5 9 11 4 3 2" xfId="57259"/>
    <cellStyle name="Обычный 5 9 11 4 4" xfId="57260"/>
    <cellStyle name="Обычный 5 9 11 5" xfId="27393"/>
    <cellStyle name="Обычный 5 9 11 5 2" xfId="27394"/>
    <cellStyle name="Обычный 5 9 11 5 2 2" xfId="57261"/>
    <cellStyle name="Обычный 5 9 11 5 3" xfId="57262"/>
    <cellStyle name="Обычный 5 9 11 6" xfId="27395"/>
    <cellStyle name="Обычный 5 9 11 6 2" xfId="57263"/>
    <cellStyle name="Обычный 5 9 11 7" xfId="27396"/>
    <cellStyle name="Обычный 5 9 11 7 2" xfId="57264"/>
    <cellStyle name="Обычный 5 9 11 8" xfId="57265"/>
    <cellStyle name="Обычный 5 9 12" xfId="27397"/>
    <cellStyle name="Обычный 5 9 12 2" xfId="27398"/>
    <cellStyle name="Обычный 5 9 12 2 2" xfId="27399"/>
    <cellStyle name="Обычный 5 9 12 2 2 2" xfId="27400"/>
    <cellStyle name="Обычный 5 9 12 2 2 2 2" xfId="57266"/>
    <cellStyle name="Обычный 5 9 12 2 2 3" xfId="57267"/>
    <cellStyle name="Обычный 5 9 12 2 3" xfId="27401"/>
    <cellStyle name="Обычный 5 9 12 2 3 2" xfId="57268"/>
    <cellStyle name="Обычный 5 9 12 2 4" xfId="57269"/>
    <cellStyle name="Обычный 5 9 12 3" xfId="27402"/>
    <cellStyle name="Обычный 5 9 12 3 2" xfId="27403"/>
    <cellStyle name="Обычный 5 9 12 3 2 2" xfId="27404"/>
    <cellStyle name="Обычный 5 9 12 3 2 2 2" xfId="57270"/>
    <cellStyle name="Обычный 5 9 12 3 2 3" xfId="57271"/>
    <cellStyle name="Обычный 5 9 12 3 3" xfId="27405"/>
    <cellStyle name="Обычный 5 9 12 3 3 2" xfId="57272"/>
    <cellStyle name="Обычный 5 9 12 3 4" xfId="57273"/>
    <cellStyle name="Обычный 5 9 12 4" xfId="27406"/>
    <cellStyle name="Обычный 5 9 12 4 2" xfId="27407"/>
    <cellStyle name="Обычный 5 9 12 4 2 2" xfId="27408"/>
    <cellStyle name="Обычный 5 9 12 4 2 2 2" xfId="57274"/>
    <cellStyle name="Обычный 5 9 12 4 2 3" xfId="57275"/>
    <cellStyle name="Обычный 5 9 12 4 3" xfId="27409"/>
    <cellStyle name="Обычный 5 9 12 4 3 2" xfId="57276"/>
    <cellStyle name="Обычный 5 9 12 4 4" xfId="57277"/>
    <cellStyle name="Обычный 5 9 12 5" xfId="27410"/>
    <cellStyle name="Обычный 5 9 12 5 2" xfId="27411"/>
    <cellStyle name="Обычный 5 9 12 5 2 2" xfId="57278"/>
    <cellStyle name="Обычный 5 9 12 5 3" xfId="57279"/>
    <cellStyle name="Обычный 5 9 12 6" xfId="27412"/>
    <cellStyle name="Обычный 5 9 12 6 2" xfId="57280"/>
    <cellStyle name="Обычный 5 9 12 7" xfId="27413"/>
    <cellStyle name="Обычный 5 9 12 7 2" xfId="57281"/>
    <cellStyle name="Обычный 5 9 12 8" xfId="57282"/>
    <cellStyle name="Обычный 5 9 13" xfId="27414"/>
    <cellStyle name="Обычный 5 9 13 2" xfId="27415"/>
    <cellStyle name="Обычный 5 9 13 2 2" xfId="27416"/>
    <cellStyle name="Обычный 5 9 13 2 2 2" xfId="27417"/>
    <cellStyle name="Обычный 5 9 13 2 2 2 2" xfId="57283"/>
    <cellStyle name="Обычный 5 9 13 2 2 3" xfId="57284"/>
    <cellStyle name="Обычный 5 9 13 2 3" xfId="27418"/>
    <cellStyle name="Обычный 5 9 13 2 3 2" xfId="57285"/>
    <cellStyle name="Обычный 5 9 13 2 4" xfId="57286"/>
    <cellStyle name="Обычный 5 9 13 3" xfId="27419"/>
    <cellStyle name="Обычный 5 9 13 3 2" xfId="27420"/>
    <cellStyle name="Обычный 5 9 13 3 2 2" xfId="27421"/>
    <cellStyle name="Обычный 5 9 13 3 2 2 2" xfId="57287"/>
    <cellStyle name="Обычный 5 9 13 3 2 3" xfId="57288"/>
    <cellStyle name="Обычный 5 9 13 3 3" xfId="27422"/>
    <cellStyle name="Обычный 5 9 13 3 3 2" xfId="57289"/>
    <cellStyle name="Обычный 5 9 13 3 4" xfId="57290"/>
    <cellStyle name="Обычный 5 9 13 4" xfId="27423"/>
    <cellStyle name="Обычный 5 9 13 4 2" xfId="27424"/>
    <cellStyle name="Обычный 5 9 13 4 2 2" xfId="27425"/>
    <cellStyle name="Обычный 5 9 13 4 2 2 2" xfId="57291"/>
    <cellStyle name="Обычный 5 9 13 4 2 3" xfId="57292"/>
    <cellStyle name="Обычный 5 9 13 4 3" xfId="27426"/>
    <cellStyle name="Обычный 5 9 13 4 3 2" xfId="57293"/>
    <cellStyle name="Обычный 5 9 13 4 4" xfId="57294"/>
    <cellStyle name="Обычный 5 9 13 5" xfId="27427"/>
    <cellStyle name="Обычный 5 9 13 5 2" xfId="27428"/>
    <cellStyle name="Обычный 5 9 13 5 2 2" xfId="57295"/>
    <cellStyle name="Обычный 5 9 13 5 3" xfId="57296"/>
    <cellStyle name="Обычный 5 9 13 6" xfId="27429"/>
    <cellStyle name="Обычный 5 9 13 6 2" xfId="57297"/>
    <cellStyle name="Обычный 5 9 13 7" xfId="27430"/>
    <cellStyle name="Обычный 5 9 13 7 2" xfId="57298"/>
    <cellStyle name="Обычный 5 9 13 8" xfId="57299"/>
    <cellStyle name="Обычный 5 9 14" xfId="27431"/>
    <cellStyle name="Обычный 5 9 14 2" xfId="27432"/>
    <cellStyle name="Обычный 5 9 14 2 2" xfId="27433"/>
    <cellStyle name="Обычный 5 9 14 2 2 2" xfId="27434"/>
    <cellStyle name="Обычный 5 9 14 2 2 2 2" xfId="57300"/>
    <cellStyle name="Обычный 5 9 14 2 2 3" xfId="57301"/>
    <cellStyle name="Обычный 5 9 14 2 3" xfId="27435"/>
    <cellStyle name="Обычный 5 9 14 2 3 2" xfId="57302"/>
    <cellStyle name="Обычный 5 9 14 2 4" xfId="57303"/>
    <cellStyle name="Обычный 5 9 14 3" xfId="27436"/>
    <cellStyle name="Обычный 5 9 14 3 2" xfId="27437"/>
    <cellStyle name="Обычный 5 9 14 3 2 2" xfId="27438"/>
    <cellStyle name="Обычный 5 9 14 3 2 2 2" xfId="57304"/>
    <cellStyle name="Обычный 5 9 14 3 2 3" xfId="57305"/>
    <cellStyle name="Обычный 5 9 14 3 3" xfId="27439"/>
    <cellStyle name="Обычный 5 9 14 3 3 2" xfId="57306"/>
    <cellStyle name="Обычный 5 9 14 3 4" xfId="57307"/>
    <cellStyle name="Обычный 5 9 14 4" xfId="27440"/>
    <cellStyle name="Обычный 5 9 14 4 2" xfId="27441"/>
    <cellStyle name="Обычный 5 9 14 4 2 2" xfId="27442"/>
    <cellStyle name="Обычный 5 9 14 4 2 2 2" xfId="57308"/>
    <cellStyle name="Обычный 5 9 14 4 2 3" xfId="57309"/>
    <cellStyle name="Обычный 5 9 14 4 3" xfId="27443"/>
    <cellStyle name="Обычный 5 9 14 4 3 2" xfId="57310"/>
    <cellStyle name="Обычный 5 9 14 4 4" xfId="57311"/>
    <cellStyle name="Обычный 5 9 14 5" xfId="27444"/>
    <cellStyle name="Обычный 5 9 14 5 2" xfId="27445"/>
    <cellStyle name="Обычный 5 9 14 5 2 2" xfId="57312"/>
    <cellStyle name="Обычный 5 9 14 5 3" xfId="57313"/>
    <cellStyle name="Обычный 5 9 14 6" xfId="27446"/>
    <cellStyle name="Обычный 5 9 14 6 2" xfId="57314"/>
    <cellStyle name="Обычный 5 9 14 7" xfId="27447"/>
    <cellStyle name="Обычный 5 9 14 7 2" xfId="57315"/>
    <cellStyle name="Обычный 5 9 14 8" xfId="57316"/>
    <cellStyle name="Обычный 5 9 15" xfId="27448"/>
    <cellStyle name="Обычный 5 9 15 2" xfId="27449"/>
    <cellStyle name="Обычный 5 9 15 2 2" xfId="27450"/>
    <cellStyle name="Обычный 5 9 15 2 2 2" xfId="27451"/>
    <cellStyle name="Обычный 5 9 15 2 2 2 2" xfId="57317"/>
    <cellStyle name="Обычный 5 9 15 2 2 3" xfId="57318"/>
    <cellStyle name="Обычный 5 9 15 2 3" xfId="27452"/>
    <cellStyle name="Обычный 5 9 15 2 3 2" xfId="57319"/>
    <cellStyle name="Обычный 5 9 15 2 4" xfId="57320"/>
    <cellStyle name="Обычный 5 9 15 3" xfId="27453"/>
    <cellStyle name="Обычный 5 9 15 3 2" xfId="27454"/>
    <cellStyle name="Обычный 5 9 15 3 2 2" xfId="27455"/>
    <cellStyle name="Обычный 5 9 15 3 2 2 2" xfId="57321"/>
    <cellStyle name="Обычный 5 9 15 3 2 3" xfId="57322"/>
    <cellStyle name="Обычный 5 9 15 3 3" xfId="27456"/>
    <cellStyle name="Обычный 5 9 15 3 3 2" xfId="57323"/>
    <cellStyle name="Обычный 5 9 15 3 4" xfId="57324"/>
    <cellStyle name="Обычный 5 9 15 4" xfId="27457"/>
    <cellStyle name="Обычный 5 9 15 4 2" xfId="27458"/>
    <cellStyle name="Обычный 5 9 15 4 2 2" xfId="27459"/>
    <cellStyle name="Обычный 5 9 15 4 2 2 2" xfId="57325"/>
    <cellStyle name="Обычный 5 9 15 4 2 3" xfId="57326"/>
    <cellStyle name="Обычный 5 9 15 4 3" xfId="27460"/>
    <cellStyle name="Обычный 5 9 15 4 3 2" xfId="57327"/>
    <cellStyle name="Обычный 5 9 15 4 4" xfId="57328"/>
    <cellStyle name="Обычный 5 9 15 5" xfId="27461"/>
    <cellStyle name="Обычный 5 9 15 5 2" xfId="27462"/>
    <cellStyle name="Обычный 5 9 15 5 2 2" xfId="57329"/>
    <cellStyle name="Обычный 5 9 15 5 3" xfId="57330"/>
    <cellStyle name="Обычный 5 9 15 6" xfId="27463"/>
    <cellStyle name="Обычный 5 9 15 6 2" xfId="57331"/>
    <cellStyle name="Обычный 5 9 15 7" xfId="27464"/>
    <cellStyle name="Обычный 5 9 15 7 2" xfId="57332"/>
    <cellStyle name="Обычный 5 9 15 8" xfId="57333"/>
    <cellStyle name="Обычный 5 9 16" xfId="27465"/>
    <cellStyle name="Обычный 5 9 16 2" xfId="27466"/>
    <cellStyle name="Обычный 5 9 16 2 2" xfId="27467"/>
    <cellStyle name="Обычный 5 9 16 2 2 2" xfId="27468"/>
    <cellStyle name="Обычный 5 9 16 2 2 2 2" xfId="57334"/>
    <cellStyle name="Обычный 5 9 16 2 2 3" xfId="57335"/>
    <cellStyle name="Обычный 5 9 16 2 3" xfId="27469"/>
    <cellStyle name="Обычный 5 9 16 2 3 2" xfId="57336"/>
    <cellStyle name="Обычный 5 9 16 2 4" xfId="57337"/>
    <cellStyle name="Обычный 5 9 16 3" xfId="27470"/>
    <cellStyle name="Обычный 5 9 16 3 2" xfId="27471"/>
    <cellStyle name="Обычный 5 9 16 3 2 2" xfId="27472"/>
    <cellStyle name="Обычный 5 9 16 3 2 2 2" xfId="57338"/>
    <cellStyle name="Обычный 5 9 16 3 2 3" xfId="57339"/>
    <cellStyle name="Обычный 5 9 16 3 3" xfId="27473"/>
    <cellStyle name="Обычный 5 9 16 3 3 2" xfId="57340"/>
    <cellStyle name="Обычный 5 9 16 3 4" xfId="57341"/>
    <cellStyle name="Обычный 5 9 16 4" xfId="27474"/>
    <cellStyle name="Обычный 5 9 16 4 2" xfId="27475"/>
    <cellStyle name="Обычный 5 9 16 4 2 2" xfId="27476"/>
    <cellStyle name="Обычный 5 9 16 4 2 2 2" xfId="57342"/>
    <cellStyle name="Обычный 5 9 16 4 2 3" xfId="57343"/>
    <cellStyle name="Обычный 5 9 16 4 3" xfId="27477"/>
    <cellStyle name="Обычный 5 9 16 4 3 2" xfId="57344"/>
    <cellStyle name="Обычный 5 9 16 4 4" xfId="57345"/>
    <cellStyle name="Обычный 5 9 16 5" xfId="27478"/>
    <cellStyle name="Обычный 5 9 16 5 2" xfId="27479"/>
    <cellStyle name="Обычный 5 9 16 5 2 2" xfId="57346"/>
    <cellStyle name="Обычный 5 9 16 5 3" xfId="57347"/>
    <cellStyle name="Обычный 5 9 16 6" xfId="27480"/>
    <cellStyle name="Обычный 5 9 16 6 2" xfId="57348"/>
    <cellStyle name="Обычный 5 9 16 7" xfId="27481"/>
    <cellStyle name="Обычный 5 9 16 7 2" xfId="57349"/>
    <cellStyle name="Обычный 5 9 16 8" xfId="57350"/>
    <cellStyle name="Обычный 5 9 17" xfId="27482"/>
    <cellStyle name="Обычный 5 9 17 2" xfId="27483"/>
    <cellStyle name="Обычный 5 9 17 2 2" xfId="27484"/>
    <cellStyle name="Обычный 5 9 17 2 2 2" xfId="27485"/>
    <cellStyle name="Обычный 5 9 17 2 2 2 2" xfId="57351"/>
    <cellStyle name="Обычный 5 9 17 2 2 3" xfId="57352"/>
    <cellStyle name="Обычный 5 9 17 2 3" xfId="27486"/>
    <cellStyle name="Обычный 5 9 17 2 3 2" xfId="57353"/>
    <cellStyle name="Обычный 5 9 17 2 4" xfId="57354"/>
    <cellStyle name="Обычный 5 9 17 3" xfId="27487"/>
    <cellStyle name="Обычный 5 9 17 3 2" xfId="27488"/>
    <cellStyle name="Обычный 5 9 17 3 2 2" xfId="27489"/>
    <cellStyle name="Обычный 5 9 17 3 2 2 2" xfId="57355"/>
    <cellStyle name="Обычный 5 9 17 3 2 3" xfId="57356"/>
    <cellStyle name="Обычный 5 9 17 3 3" xfId="27490"/>
    <cellStyle name="Обычный 5 9 17 3 3 2" xfId="57357"/>
    <cellStyle name="Обычный 5 9 17 3 4" xfId="57358"/>
    <cellStyle name="Обычный 5 9 17 4" xfId="27491"/>
    <cellStyle name="Обычный 5 9 17 4 2" xfId="27492"/>
    <cellStyle name="Обычный 5 9 17 4 2 2" xfId="27493"/>
    <cellStyle name="Обычный 5 9 17 4 2 2 2" xfId="57359"/>
    <cellStyle name="Обычный 5 9 17 4 2 3" xfId="57360"/>
    <cellStyle name="Обычный 5 9 17 4 3" xfId="27494"/>
    <cellStyle name="Обычный 5 9 17 4 3 2" xfId="57361"/>
    <cellStyle name="Обычный 5 9 17 4 4" xfId="57362"/>
    <cellStyle name="Обычный 5 9 17 5" xfId="27495"/>
    <cellStyle name="Обычный 5 9 17 5 2" xfId="27496"/>
    <cellStyle name="Обычный 5 9 17 5 2 2" xfId="57363"/>
    <cellStyle name="Обычный 5 9 17 5 3" xfId="57364"/>
    <cellStyle name="Обычный 5 9 17 6" xfId="27497"/>
    <cellStyle name="Обычный 5 9 17 6 2" xfId="57365"/>
    <cellStyle name="Обычный 5 9 17 7" xfId="27498"/>
    <cellStyle name="Обычный 5 9 17 7 2" xfId="57366"/>
    <cellStyle name="Обычный 5 9 17 8" xfId="57367"/>
    <cellStyle name="Обычный 5 9 18" xfId="27499"/>
    <cellStyle name="Обычный 5 9 18 2" xfId="27500"/>
    <cellStyle name="Обычный 5 9 18 2 2" xfId="27501"/>
    <cellStyle name="Обычный 5 9 18 2 2 2" xfId="27502"/>
    <cellStyle name="Обычный 5 9 18 2 2 2 2" xfId="57368"/>
    <cellStyle name="Обычный 5 9 18 2 2 3" xfId="57369"/>
    <cellStyle name="Обычный 5 9 18 2 3" xfId="27503"/>
    <cellStyle name="Обычный 5 9 18 2 3 2" xfId="57370"/>
    <cellStyle name="Обычный 5 9 18 2 4" xfId="57371"/>
    <cellStyle name="Обычный 5 9 18 3" xfId="27504"/>
    <cellStyle name="Обычный 5 9 18 3 2" xfId="27505"/>
    <cellStyle name="Обычный 5 9 18 3 2 2" xfId="27506"/>
    <cellStyle name="Обычный 5 9 18 3 2 2 2" xfId="57372"/>
    <cellStyle name="Обычный 5 9 18 3 2 3" xfId="57373"/>
    <cellStyle name="Обычный 5 9 18 3 3" xfId="27507"/>
    <cellStyle name="Обычный 5 9 18 3 3 2" xfId="57374"/>
    <cellStyle name="Обычный 5 9 18 3 4" xfId="57375"/>
    <cellStyle name="Обычный 5 9 18 4" xfId="27508"/>
    <cellStyle name="Обычный 5 9 18 4 2" xfId="27509"/>
    <cellStyle name="Обычный 5 9 18 4 2 2" xfId="27510"/>
    <cellStyle name="Обычный 5 9 18 4 2 2 2" xfId="57376"/>
    <cellStyle name="Обычный 5 9 18 4 2 3" xfId="57377"/>
    <cellStyle name="Обычный 5 9 18 4 3" xfId="27511"/>
    <cellStyle name="Обычный 5 9 18 4 3 2" xfId="57378"/>
    <cellStyle name="Обычный 5 9 18 4 4" xfId="57379"/>
    <cellStyle name="Обычный 5 9 18 5" xfId="27512"/>
    <cellStyle name="Обычный 5 9 18 5 2" xfId="27513"/>
    <cellStyle name="Обычный 5 9 18 5 2 2" xfId="57380"/>
    <cellStyle name="Обычный 5 9 18 5 3" xfId="57381"/>
    <cellStyle name="Обычный 5 9 18 6" xfId="27514"/>
    <cellStyle name="Обычный 5 9 18 6 2" xfId="57382"/>
    <cellStyle name="Обычный 5 9 18 7" xfId="27515"/>
    <cellStyle name="Обычный 5 9 18 7 2" xfId="57383"/>
    <cellStyle name="Обычный 5 9 18 8" xfId="57384"/>
    <cellStyle name="Обычный 5 9 19" xfId="27516"/>
    <cellStyle name="Обычный 5 9 19 2" xfId="27517"/>
    <cellStyle name="Обычный 5 9 19 2 2" xfId="27518"/>
    <cellStyle name="Обычный 5 9 19 2 2 2" xfId="27519"/>
    <cellStyle name="Обычный 5 9 19 2 2 2 2" xfId="57385"/>
    <cellStyle name="Обычный 5 9 19 2 2 3" xfId="57386"/>
    <cellStyle name="Обычный 5 9 19 2 3" xfId="27520"/>
    <cellStyle name="Обычный 5 9 19 2 3 2" xfId="57387"/>
    <cellStyle name="Обычный 5 9 19 2 4" xfId="57388"/>
    <cellStyle name="Обычный 5 9 19 3" xfId="27521"/>
    <cellStyle name="Обычный 5 9 19 3 2" xfId="27522"/>
    <cellStyle name="Обычный 5 9 19 3 2 2" xfId="27523"/>
    <cellStyle name="Обычный 5 9 19 3 2 2 2" xfId="57389"/>
    <cellStyle name="Обычный 5 9 19 3 2 3" xfId="57390"/>
    <cellStyle name="Обычный 5 9 19 3 3" xfId="27524"/>
    <cellStyle name="Обычный 5 9 19 3 3 2" xfId="57391"/>
    <cellStyle name="Обычный 5 9 19 3 4" xfId="57392"/>
    <cellStyle name="Обычный 5 9 19 4" xfId="27525"/>
    <cellStyle name="Обычный 5 9 19 4 2" xfId="27526"/>
    <cellStyle name="Обычный 5 9 19 4 2 2" xfId="27527"/>
    <cellStyle name="Обычный 5 9 19 4 2 2 2" xfId="57393"/>
    <cellStyle name="Обычный 5 9 19 4 2 3" xfId="57394"/>
    <cellStyle name="Обычный 5 9 19 4 3" xfId="27528"/>
    <cellStyle name="Обычный 5 9 19 4 3 2" xfId="57395"/>
    <cellStyle name="Обычный 5 9 19 4 4" xfId="57396"/>
    <cellStyle name="Обычный 5 9 19 5" xfId="27529"/>
    <cellStyle name="Обычный 5 9 19 5 2" xfId="27530"/>
    <cellStyle name="Обычный 5 9 19 5 2 2" xfId="57397"/>
    <cellStyle name="Обычный 5 9 19 5 3" xfId="57398"/>
    <cellStyle name="Обычный 5 9 19 6" xfId="27531"/>
    <cellStyle name="Обычный 5 9 19 6 2" xfId="57399"/>
    <cellStyle name="Обычный 5 9 19 7" xfId="27532"/>
    <cellStyle name="Обычный 5 9 19 7 2" xfId="57400"/>
    <cellStyle name="Обычный 5 9 19 8" xfId="57401"/>
    <cellStyle name="Обычный 5 9 2" xfId="27533"/>
    <cellStyle name="Обычный 5 9 2 2" xfId="27534"/>
    <cellStyle name="Обычный 5 9 2 2 2" xfId="27535"/>
    <cellStyle name="Обычный 5 9 2 2 2 2" xfId="27536"/>
    <cellStyle name="Обычный 5 9 2 2 2 2 2" xfId="57402"/>
    <cellStyle name="Обычный 5 9 2 2 2 3" xfId="57403"/>
    <cellStyle name="Обычный 5 9 2 2 3" xfId="27537"/>
    <cellStyle name="Обычный 5 9 2 2 3 2" xfId="57404"/>
    <cellStyle name="Обычный 5 9 2 2 4" xfId="57405"/>
    <cellStyle name="Обычный 5 9 2 3" xfId="27538"/>
    <cellStyle name="Обычный 5 9 2 3 2" xfId="27539"/>
    <cellStyle name="Обычный 5 9 2 3 2 2" xfId="27540"/>
    <cellStyle name="Обычный 5 9 2 3 2 2 2" xfId="57406"/>
    <cellStyle name="Обычный 5 9 2 3 2 3" xfId="57407"/>
    <cellStyle name="Обычный 5 9 2 3 3" xfId="27541"/>
    <cellStyle name="Обычный 5 9 2 3 3 2" xfId="57408"/>
    <cellStyle name="Обычный 5 9 2 3 4" xfId="57409"/>
    <cellStyle name="Обычный 5 9 2 4" xfId="27542"/>
    <cellStyle name="Обычный 5 9 2 4 2" xfId="27543"/>
    <cellStyle name="Обычный 5 9 2 4 2 2" xfId="27544"/>
    <cellStyle name="Обычный 5 9 2 4 2 2 2" xfId="57410"/>
    <cellStyle name="Обычный 5 9 2 4 2 3" xfId="57411"/>
    <cellStyle name="Обычный 5 9 2 4 3" xfId="27545"/>
    <cellStyle name="Обычный 5 9 2 4 3 2" xfId="57412"/>
    <cellStyle name="Обычный 5 9 2 4 4" xfId="57413"/>
    <cellStyle name="Обычный 5 9 2 5" xfId="27546"/>
    <cellStyle name="Обычный 5 9 2 5 2" xfId="27547"/>
    <cellStyle name="Обычный 5 9 2 5 2 2" xfId="57414"/>
    <cellStyle name="Обычный 5 9 2 5 3" xfId="57415"/>
    <cellStyle name="Обычный 5 9 2 6" xfId="27548"/>
    <cellStyle name="Обычный 5 9 2 6 2" xfId="57416"/>
    <cellStyle name="Обычный 5 9 2 7" xfId="27549"/>
    <cellStyle name="Обычный 5 9 2 7 2" xfId="57417"/>
    <cellStyle name="Обычный 5 9 2 8" xfId="57418"/>
    <cellStyle name="Обычный 5 9 20" xfId="27550"/>
    <cellStyle name="Обычный 5 9 20 2" xfId="27551"/>
    <cellStyle name="Обычный 5 9 20 2 2" xfId="27552"/>
    <cellStyle name="Обычный 5 9 20 2 2 2" xfId="27553"/>
    <cellStyle name="Обычный 5 9 20 2 2 2 2" xfId="57419"/>
    <cellStyle name="Обычный 5 9 20 2 2 3" xfId="57420"/>
    <cellStyle name="Обычный 5 9 20 2 3" xfId="27554"/>
    <cellStyle name="Обычный 5 9 20 2 3 2" xfId="57421"/>
    <cellStyle name="Обычный 5 9 20 2 4" xfId="57422"/>
    <cellStyle name="Обычный 5 9 20 3" xfId="27555"/>
    <cellStyle name="Обычный 5 9 20 3 2" xfId="27556"/>
    <cellStyle name="Обычный 5 9 20 3 2 2" xfId="27557"/>
    <cellStyle name="Обычный 5 9 20 3 2 2 2" xfId="57423"/>
    <cellStyle name="Обычный 5 9 20 3 2 3" xfId="57424"/>
    <cellStyle name="Обычный 5 9 20 3 3" xfId="27558"/>
    <cellStyle name="Обычный 5 9 20 3 3 2" xfId="57425"/>
    <cellStyle name="Обычный 5 9 20 3 4" xfId="57426"/>
    <cellStyle name="Обычный 5 9 20 4" xfId="27559"/>
    <cellStyle name="Обычный 5 9 20 4 2" xfId="27560"/>
    <cellStyle name="Обычный 5 9 20 4 2 2" xfId="27561"/>
    <cellStyle name="Обычный 5 9 20 4 2 2 2" xfId="57427"/>
    <cellStyle name="Обычный 5 9 20 4 2 3" xfId="57428"/>
    <cellStyle name="Обычный 5 9 20 4 3" xfId="27562"/>
    <cellStyle name="Обычный 5 9 20 4 3 2" xfId="57429"/>
    <cellStyle name="Обычный 5 9 20 4 4" xfId="57430"/>
    <cellStyle name="Обычный 5 9 20 5" xfId="27563"/>
    <cellStyle name="Обычный 5 9 20 5 2" xfId="27564"/>
    <cellStyle name="Обычный 5 9 20 5 2 2" xfId="57431"/>
    <cellStyle name="Обычный 5 9 20 5 3" xfId="57432"/>
    <cellStyle name="Обычный 5 9 20 6" xfId="27565"/>
    <cellStyle name="Обычный 5 9 20 6 2" xfId="57433"/>
    <cellStyle name="Обычный 5 9 20 7" xfId="27566"/>
    <cellStyle name="Обычный 5 9 20 7 2" xfId="57434"/>
    <cellStyle name="Обычный 5 9 20 8" xfId="57435"/>
    <cellStyle name="Обычный 5 9 21" xfId="27567"/>
    <cellStyle name="Обычный 5 9 21 2" xfId="27568"/>
    <cellStyle name="Обычный 5 9 21 2 2" xfId="27569"/>
    <cellStyle name="Обычный 5 9 21 2 2 2" xfId="27570"/>
    <cellStyle name="Обычный 5 9 21 2 2 2 2" xfId="57436"/>
    <cellStyle name="Обычный 5 9 21 2 2 3" xfId="57437"/>
    <cellStyle name="Обычный 5 9 21 2 3" xfId="27571"/>
    <cellStyle name="Обычный 5 9 21 2 3 2" xfId="57438"/>
    <cellStyle name="Обычный 5 9 21 2 4" xfId="57439"/>
    <cellStyle name="Обычный 5 9 21 3" xfId="27572"/>
    <cellStyle name="Обычный 5 9 21 3 2" xfId="27573"/>
    <cellStyle name="Обычный 5 9 21 3 2 2" xfId="27574"/>
    <cellStyle name="Обычный 5 9 21 3 2 2 2" xfId="57440"/>
    <cellStyle name="Обычный 5 9 21 3 2 3" xfId="57441"/>
    <cellStyle name="Обычный 5 9 21 3 3" xfId="27575"/>
    <cellStyle name="Обычный 5 9 21 3 3 2" xfId="57442"/>
    <cellStyle name="Обычный 5 9 21 3 4" xfId="57443"/>
    <cellStyle name="Обычный 5 9 21 4" xfId="27576"/>
    <cellStyle name="Обычный 5 9 21 4 2" xfId="27577"/>
    <cellStyle name="Обычный 5 9 21 4 2 2" xfId="27578"/>
    <cellStyle name="Обычный 5 9 21 4 2 2 2" xfId="57444"/>
    <cellStyle name="Обычный 5 9 21 4 2 3" xfId="57445"/>
    <cellStyle name="Обычный 5 9 21 4 3" xfId="27579"/>
    <cellStyle name="Обычный 5 9 21 4 3 2" xfId="57446"/>
    <cellStyle name="Обычный 5 9 21 4 4" xfId="57447"/>
    <cellStyle name="Обычный 5 9 21 5" xfId="27580"/>
    <cellStyle name="Обычный 5 9 21 5 2" xfId="27581"/>
    <cellStyle name="Обычный 5 9 21 5 2 2" xfId="57448"/>
    <cellStyle name="Обычный 5 9 21 5 3" xfId="57449"/>
    <cellStyle name="Обычный 5 9 21 6" xfId="27582"/>
    <cellStyle name="Обычный 5 9 21 6 2" xfId="57450"/>
    <cellStyle name="Обычный 5 9 21 7" xfId="27583"/>
    <cellStyle name="Обычный 5 9 21 7 2" xfId="57451"/>
    <cellStyle name="Обычный 5 9 21 8" xfId="57452"/>
    <cellStyle name="Обычный 5 9 22" xfId="27584"/>
    <cellStyle name="Обычный 5 9 22 2" xfId="27585"/>
    <cellStyle name="Обычный 5 9 22 2 2" xfId="27586"/>
    <cellStyle name="Обычный 5 9 22 2 2 2" xfId="27587"/>
    <cellStyle name="Обычный 5 9 22 2 2 2 2" xfId="57453"/>
    <cellStyle name="Обычный 5 9 22 2 2 3" xfId="57454"/>
    <cellStyle name="Обычный 5 9 22 2 3" xfId="27588"/>
    <cellStyle name="Обычный 5 9 22 2 3 2" xfId="57455"/>
    <cellStyle name="Обычный 5 9 22 2 4" xfId="57456"/>
    <cellStyle name="Обычный 5 9 22 3" xfId="27589"/>
    <cellStyle name="Обычный 5 9 22 3 2" xfId="27590"/>
    <cellStyle name="Обычный 5 9 22 3 2 2" xfId="27591"/>
    <cellStyle name="Обычный 5 9 22 3 2 2 2" xfId="57457"/>
    <cellStyle name="Обычный 5 9 22 3 2 3" xfId="57458"/>
    <cellStyle name="Обычный 5 9 22 3 3" xfId="27592"/>
    <cellStyle name="Обычный 5 9 22 3 3 2" xfId="57459"/>
    <cellStyle name="Обычный 5 9 22 3 4" xfId="57460"/>
    <cellStyle name="Обычный 5 9 22 4" xfId="27593"/>
    <cellStyle name="Обычный 5 9 22 4 2" xfId="27594"/>
    <cellStyle name="Обычный 5 9 22 4 2 2" xfId="27595"/>
    <cellStyle name="Обычный 5 9 22 4 2 2 2" xfId="57461"/>
    <cellStyle name="Обычный 5 9 22 4 2 3" xfId="57462"/>
    <cellStyle name="Обычный 5 9 22 4 3" xfId="27596"/>
    <cellStyle name="Обычный 5 9 22 4 3 2" xfId="57463"/>
    <cellStyle name="Обычный 5 9 22 4 4" xfId="57464"/>
    <cellStyle name="Обычный 5 9 22 5" xfId="27597"/>
    <cellStyle name="Обычный 5 9 22 5 2" xfId="27598"/>
    <cellStyle name="Обычный 5 9 22 5 2 2" xfId="57465"/>
    <cellStyle name="Обычный 5 9 22 5 3" xfId="57466"/>
    <cellStyle name="Обычный 5 9 22 6" xfId="27599"/>
    <cellStyle name="Обычный 5 9 22 6 2" xfId="57467"/>
    <cellStyle name="Обычный 5 9 22 7" xfId="27600"/>
    <cellStyle name="Обычный 5 9 22 7 2" xfId="57468"/>
    <cellStyle name="Обычный 5 9 22 8" xfId="57469"/>
    <cellStyle name="Обычный 5 9 23" xfId="27601"/>
    <cellStyle name="Обычный 5 9 23 2" xfId="27602"/>
    <cellStyle name="Обычный 5 9 23 2 2" xfId="27603"/>
    <cellStyle name="Обычный 5 9 23 2 2 2" xfId="27604"/>
    <cellStyle name="Обычный 5 9 23 2 2 2 2" xfId="57470"/>
    <cellStyle name="Обычный 5 9 23 2 2 3" xfId="57471"/>
    <cellStyle name="Обычный 5 9 23 2 3" xfId="27605"/>
    <cellStyle name="Обычный 5 9 23 2 3 2" xfId="57472"/>
    <cellStyle name="Обычный 5 9 23 2 4" xfId="57473"/>
    <cellStyle name="Обычный 5 9 23 3" xfId="27606"/>
    <cellStyle name="Обычный 5 9 23 3 2" xfId="27607"/>
    <cellStyle name="Обычный 5 9 23 3 2 2" xfId="27608"/>
    <cellStyle name="Обычный 5 9 23 3 2 2 2" xfId="57474"/>
    <cellStyle name="Обычный 5 9 23 3 2 3" xfId="57475"/>
    <cellStyle name="Обычный 5 9 23 3 3" xfId="27609"/>
    <cellStyle name="Обычный 5 9 23 3 3 2" xfId="57476"/>
    <cellStyle name="Обычный 5 9 23 3 4" xfId="57477"/>
    <cellStyle name="Обычный 5 9 23 4" xfId="27610"/>
    <cellStyle name="Обычный 5 9 23 4 2" xfId="27611"/>
    <cellStyle name="Обычный 5 9 23 4 2 2" xfId="27612"/>
    <cellStyle name="Обычный 5 9 23 4 2 2 2" xfId="57478"/>
    <cellStyle name="Обычный 5 9 23 4 2 3" xfId="57479"/>
    <cellStyle name="Обычный 5 9 23 4 3" xfId="27613"/>
    <cellStyle name="Обычный 5 9 23 4 3 2" xfId="57480"/>
    <cellStyle name="Обычный 5 9 23 4 4" xfId="57481"/>
    <cellStyle name="Обычный 5 9 23 5" xfId="27614"/>
    <cellStyle name="Обычный 5 9 23 5 2" xfId="27615"/>
    <cellStyle name="Обычный 5 9 23 5 2 2" xfId="57482"/>
    <cellStyle name="Обычный 5 9 23 5 3" xfId="57483"/>
    <cellStyle name="Обычный 5 9 23 6" xfId="27616"/>
    <cellStyle name="Обычный 5 9 23 6 2" xfId="57484"/>
    <cellStyle name="Обычный 5 9 23 7" xfId="27617"/>
    <cellStyle name="Обычный 5 9 23 7 2" xfId="57485"/>
    <cellStyle name="Обычный 5 9 23 8" xfId="57486"/>
    <cellStyle name="Обычный 5 9 24" xfId="27618"/>
    <cellStyle name="Обычный 5 9 24 2" xfId="27619"/>
    <cellStyle name="Обычный 5 9 24 2 2" xfId="27620"/>
    <cellStyle name="Обычный 5 9 24 2 2 2" xfId="27621"/>
    <cellStyle name="Обычный 5 9 24 2 2 2 2" xfId="57487"/>
    <cellStyle name="Обычный 5 9 24 2 2 3" xfId="57488"/>
    <cellStyle name="Обычный 5 9 24 2 3" xfId="27622"/>
    <cellStyle name="Обычный 5 9 24 2 3 2" xfId="57489"/>
    <cellStyle name="Обычный 5 9 24 2 4" xfId="57490"/>
    <cellStyle name="Обычный 5 9 24 3" xfId="27623"/>
    <cellStyle name="Обычный 5 9 24 3 2" xfId="27624"/>
    <cellStyle name="Обычный 5 9 24 3 2 2" xfId="27625"/>
    <cellStyle name="Обычный 5 9 24 3 2 2 2" xfId="57491"/>
    <cellStyle name="Обычный 5 9 24 3 2 3" xfId="57492"/>
    <cellStyle name="Обычный 5 9 24 3 3" xfId="27626"/>
    <cellStyle name="Обычный 5 9 24 3 3 2" xfId="57493"/>
    <cellStyle name="Обычный 5 9 24 3 4" xfId="57494"/>
    <cellStyle name="Обычный 5 9 24 4" xfId="27627"/>
    <cellStyle name="Обычный 5 9 24 4 2" xfId="27628"/>
    <cellStyle name="Обычный 5 9 24 4 2 2" xfId="27629"/>
    <cellStyle name="Обычный 5 9 24 4 2 2 2" xfId="57495"/>
    <cellStyle name="Обычный 5 9 24 4 2 3" xfId="57496"/>
    <cellStyle name="Обычный 5 9 24 4 3" xfId="27630"/>
    <cellStyle name="Обычный 5 9 24 4 3 2" xfId="57497"/>
    <cellStyle name="Обычный 5 9 24 4 4" xfId="57498"/>
    <cellStyle name="Обычный 5 9 24 5" xfId="27631"/>
    <cellStyle name="Обычный 5 9 24 5 2" xfId="27632"/>
    <cellStyle name="Обычный 5 9 24 5 2 2" xfId="57499"/>
    <cellStyle name="Обычный 5 9 24 5 3" xfId="57500"/>
    <cellStyle name="Обычный 5 9 24 6" xfId="27633"/>
    <cellStyle name="Обычный 5 9 24 6 2" xfId="57501"/>
    <cellStyle name="Обычный 5 9 24 7" xfId="27634"/>
    <cellStyle name="Обычный 5 9 24 7 2" xfId="57502"/>
    <cellStyle name="Обычный 5 9 24 8" xfId="57503"/>
    <cellStyle name="Обычный 5 9 25" xfId="27635"/>
    <cellStyle name="Обычный 5 9 25 2" xfId="27636"/>
    <cellStyle name="Обычный 5 9 25 2 2" xfId="27637"/>
    <cellStyle name="Обычный 5 9 25 2 2 2" xfId="27638"/>
    <cellStyle name="Обычный 5 9 25 2 2 2 2" xfId="57504"/>
    <cellStyle name="Обычный 5 9 25 2 2 3" xfId="57505"/>
    <cellStyle name="Обычный 5 9 25 2 3" xfId="27639"/>
    <cellStyle name="Обычный 5 9 25 2 3 2" xfId="57506"/>
    <cellStyle name="Обычный 5 9 25 2 4" xfId="57507"/>
    <cellStyle name="Обычный 5 9 25 3" xfId="27640"/>
    <cellStyle name="Обычный 5 9 25 3 2" xfId="27641"/>
    <cellStyle name="Обычный 5 9 25 3 2 2" xfId="27642"/>
    <cellStyle name="Обычный 5 9 25 3 2 2 2" xfId="57508"/>
    <cellStyle name="Обычный 5 9 25 3 2 3" xfId="57509"/>
    <cellStyle name="Обычный 5 9 25 3 3" xfId="27643"/>
    <cellStyle name="Обычный 5 9 25 3 3 2" xfId="57510"/>
    <cellStyle name="Обычный 5 9 25 3 4" xfId="57511"/>
    <cellStyle name="Обычный 5 9 25 4" xfId="27644"/>
    <cellStyle name="Обычный 5 9 25 4 2" xfId="27645"/>
    <cellStyle name="Обычный 5 9 25 4 2 2" xfId="27646"/>
    <cellStyle name="Обычный 5 9 25 4 2 2 2" xfId="57512"/>
    <cellStyle name="Обычный 5 9 25 4 2 3" xfId="57513"/>
    <cellStyle name="Обычный 5 9 25 4 3" xfId="27647"/>
    <cellStyle name="Обычный 5 9 25 4 3 2" xfId="57514"/>
    <cellStyle name="Обычный 5 9 25 4 4" xfId="57515"/>
    <cellStyle name="Обычный 5 9 25 5" xfId="27648"/>
    <cellStyle name="Обычный 5 9 25 5 2" xfId="27649"/>
    <cellStyle name="Обычный 5 9 25 5 2 2" xfId="57516"/>
    <cellStyle name="Обычный 5 9 25 5 3" xfId="57517"/>
    <cellStyle name="Обычный 5 9 25 6" xfId="27650"/>
    <cellStyle name="Обычный 5 9 25 6 2" xfId="57518"/>
    <cellStyle name="Обычный 5 9 25 7" xfId="27651"/>
    <cellStyle name="Обычный 5 9 25 7 2" xfId="57519"/>
    <cellStyle name="Обычный 5 9 25 8" xfId="57520"/>
    <cellStyle name="Обычный 5 9 26" xfId="27652"/>
    <cellStyle name="Обычный 5 9 26 2" xfId="27653"/>
    <cellStyle name="Обычный 5 9 26 2 2" xfId="27654"/>
    <cellStyle name="Обычный 5 9 26 2 2 2" xfId="27655"/>
    <cellStyle name="Обычный 5 9 26 2 2 2 2" xfId="57521"/>
    <cellStyle name="Обычный 5 9 26 2 2 3" xfId="57522"/>
    <cellStyle name="Обычный 5 9 26 2 3" xfId="27656"/>
    <cellStyle name="Обычный 5 9 26 2 3 2" xfId="57523"/>
    <cellStyle name="Обычный 5 9 26 2 4" xfId="57524"/>
    <cellStyle name="Обычный 5 9 26 3" xfId="27657"/>
    <cellStyle name="Обычный 5 9 26 3 2" xfId="27658"/>
    <cellStyle name="Обычный 5 9 26 3 2 2" xfId="27659"/>
    <cellStyle name="Обычный 5 9 26 3 2 2 2" xfId="57525"/>
    <cellStyle name="Обычный 5 9 26 3 2 3" xfId="57526"/>
    <cellStyle name="Обычный 5 9 26 3 3" xfId="27660"/>
    <cellStyle name="Обычный 5 9 26 3 3 2" xfId="57527"/>
    <cellStyle name="Обычный 5 9 26 3 4" xfId="57528"/>
    <cellStyle name="Обычный 5 9 26 4" xfId="27661"/>
    <cellStyle name="Обычный 5 9 26 4 2" xfId="27662"/>
    <cellStyle name="Обычный 5 9 26 4 2 2" xfId="27663"/>
    <cellStyle name="Обычный 5 9 26 4 2 2 2" xfId="57529"/>
    <cellStyle name="Обычный 5 9 26 4 2 3" xfId="57530"/>
    <cellStyle name="Обычный 5 9 26 4 3" xfId="27664"/>
    <cellStyle name="Обычный 5 9 26 4 3 2" xfId="57531"/>
    <cellStyle name="Обычный 5 9 26 4 4" xfId="57532"/>
    <cellStyle name="Обычный 5 9 26 5" xfId="27665"/>
    <cellStyle name="Обычный 5 9 26 5 2" xfId="27666"/>
    <cellStyle name="Обычный 5 9 26 5 2 2" xfId="57533"/>
    <cellStyle name="Обычный 5 9 26 5 3" xfId="57534"/>
    <cellStyle name="Обычный 5 9 26 6" xfId="27667"/>
    <cellStyle name="Обычный 5 9 26 6 2" xfId="57535"/>
    <cellStyle name="Обычный 5 9 26 7" xfId="27668"/>
    <cellStyle name="Обычный 5 9 26 7 2" xfId="57536"/>
    <cellStyle name="Обычный 5 9 26 8" xfId="57537"/>
    <cellStyle name="Обычный 5 9 27" xfId="27669"/>
    <cellStyle name="Обычный 5 9 27 2" xfId="27670"/>
    <cellStyle name="Обычный 5 9 27 2 2" xfId="27671"/>
    <cellStyle name="Обычный 5 9 27 2 2 2" xfId="27672"/>
    <cellStyle name="Обычный 5 9 27 2 2 2 2" xfId="57538"/>
    <cellStyle name="Обычный 5 9 27 2 2 3" xfId="57539"/>
    <cellStyle name="Обычный 5 9 27 2 3" xfId="27673"/>
    <cellStyle name="Обычный 5 9 27 2 3 2" xfId="57540"/>
    <cellStyle name="Обычный 5 9 27 2 4" xfId="57541"/>
    <cellStyle name="Обычный 5 9 27 3" xfId="27674"/>
    <cellStyle name="Обычный 5 9 27 3 2" xfId="27675"/>
    <cellStyle name="Обычный 5 9 27 3 2 2" xfId="27676"/>
    <cellStyle name="Обычный 5 9 27 3 2 2 2" xfId="57542"/>
    <cellStyle name="Обычный 5 9 27 3 2 3" xfId="57543"/>
    <cellStyle name="Обычный 5 9 27 3 3" xfId="27677"/>
    <cellStyle name="Обычный 5 9 27 3 3 2" xfId="57544"/>
    <cellStyle name="Обычный 5 9 27 3 4" xfId="57545"/>
    <cellStyle name="Обычный 5 9 27 4" xfId="27678"/>
    <cellStyle name="Обычный 5 9 27 4 2" xfId="27679"/>
    <cellStyle name="Обычный 5 9 27 4 2 2" xfId="27680"/>
    <cellStyle name="Обычный 5 9 27 4 2 2 2" xfId="57546"/>
    <cellStyle name="Обычный 5 9 27 4 2 3" xfId="57547"/>
    <cellStyle name="Обычный 5 9 27 4 3" xfId="27681"/>
    <cellStyle name="Обычный 5 9 27 4 3 2" xfId="57548"/>
    <cellStyle name="Обычный 5 9 27 4 4" xfId="57549"/>
    <cellStyle name="Обычный 5 9 27 5" xfId="27682"/>
    <cellStyle name="Обычный 5 9 27 5 2" xfId="27683"/>
    <cellStyle name="Обычный 5 9 27 5 2 2" xfId="57550"/>
    <cellStyle name="Обычный 5 9 27 5 3" xfId="57551"/>
    <cellStyle name="Обычный 5 9 27 6" xfId="27684"/>
    <cellStyle name="Обычный 5 9 27 6 2" xfId="57552"/>
    <cellStyle name="Обычный 5 9 27 7" xfId="27685"/>
    <cellStyle name="Обычный 5 9 27 7 2" xfId="57553"/>
    <cellStyle name="Обычный 5 9 27 8" xfId="57554"/>
    <cellStyle name="Обычный 5 9 28" xfId="27686"/>
    <cellStyle name="Обычный 5 9 28 2" xfId="27687"/>
    <cellStyle name="Обычный 5 9 28 2 2" xfId="27688"/>
    <cellStyle name="Обычный 5 9 28 2 2 2" xfId="27689"/>
    <cellStyle name="Обычный 5 9 28 2 2 2 2" xfId="57555"/>
    <cellStyle name="Обычный 5 9 28 2 2 3" xfId="57556"/>
    <cellStyle name="Обычный 5 9 28 2 3" xfId="27690"/>
    <cellStyle name="Обычный 5 9 28 2 3 2" xfId="57557"/>
    <cellStyle name="Обычный 5 9 28 2 4" xfId="57558"/>
    <cellStyle name="Обычный 5 9 28 3" xfId="27691"/>
    <cellStyle name="Обычный 5 9 28 3 2" xfId="27692"/>
    <cellStyle name="Обычный 5 9 28 3 2 2" xfId="27693"/>
    <cellStyle name="Обычный 5 9 28 3 2 2 2" xfId="57559"/>
    <cellStyle name="Обычный 5 9 28 3 2 3" xfId="57560"/>
    <cellStyle name="Обычный 5 9 28 3 3" xfId="27694"/>
    <cellStyle name="Обычный 5 9 28 3 3 2" xfId="57561"/>
    <cellStyle name="Обычный 5 9 28 3 4" xfId="57562"/>
    <cellStyle name="Обычный 5 9 28 4" xfId="27695"/>
    <cellStyle name="Обычный 5 9 28 4 2" xfId="27696"/>
    <cellStyle name="Обычный 5 9 28 4 2 2" xfId="27697"/>
    <cellStyle name="Обычный 5 9 28 4 2 2 2" xfId="57563"/>
    <cellStyle name="Обычный 5 9 28 4 2 3" xfId="57564"/>
    <cellStyle name="Обычный 5 9 28 4 3" xfId="27698"/>
    <cellStyle name="Обычный 5 9 28 4 3 2" xfId="57565"/>
    <cellStyle name="Обычный 5 9 28 4 4" xfId="57566"/>
    <cellStyle name="Обычный 5 9 28 5" xfId="27699"/>
    <cellStyle name="Обычный 5 9 28 5 2" xfId="27700"/>
    <cellStyle name="Обычный 5 9 28 5 2 2" xfId="57567"/>
    <cellStyle name="Обычный 5 9 28 5 3" xfId="57568"/>
    <cellStyle name="Обычный 5 9 28 6" xfId="27701"/>
    <cellStyle name="Обычный 5 9 28 6 2" xfId="57569"/>
    <cellStyle name="Обычный 5 9 28 7" xfId="27702"/>
    <cellStyle name="Обычный 5 9 28 7 2" xfId="57570"/>
    <cellStyle name="Обычный 5 9 28 8" xfId="57571"/>
    <cellStyle name="Обычный 5 9 29" xfId="27703"/>
    <cellStyle name="Обычный 5 9 29 2" xfId="27704"/>
    <cellStyle name="Обычный 5 9 29 2 2" xfId="27705"/>
    <cellStyle name="Обычный 5 9 29 2 2 2" xfId="27706"/>
    <cellStyle name="Обычный 5 9 29 2 2 2 2" xfId="57572"/>
    <cellStyle name="Обычный 5 9 29 2 2 3" xfId="57573"/>
    <cellStyle name="Обычный 5 9 29 2 3" xfId="27707"/>
    <cellStyle name="Обычный 5 9 29 2 3 2" xfId="57574"/>
    <cellStyle name="Обычный 5 9 29 2 4" xfId="57575"/>
    <cellStyle name="Обычный 5 9 29 3" xfId="27708"/>
    <cellStyle name="Обычный 5 9 29 3 2" xfId="27709"/>
    <cellStyle name="Обычный 5 9 29 3 2 2" xfId="27710"/>
    <cellStyle name="Обычный 5 9 29 3 2 2 2" xfId="57576"/>
    <cellStyle name="Обычный 5 9 29 3 2 3" xfId="57577"/>
    <cellStyle name="Обычный 5 9 29 3 3" xfId="27711"/>
    <cellStyle name="Обычный 5 9 29 3 3 2" xfId="57578"/>
    <cellStyle name="Обычный 5 9 29 3 4" xfId="57579"/>
    <cellStyle name="Обычный 5 9 29 4" xfId="27712"/>
    <cellStyle name="Обычный 5 9 29 4 2" xfId="27713"/>
    <cellStyle name="Обычный 5 9 29 4 2 2" xfId="27714"/>
    <cellStyle name="Обычный 5 9 29 4 2 2 2" xfId="57580"/>
    <cellStyle name="Обычный 5 9 29 4 2 3" xfId="57581"/>
    <cellStyle name="Обычный 5 9 29 4 3" xfId="27715"/>
    <cellStyle name="Обычный 5 9 29 4 3 2" xfId="57582"/>
    <cellStyle name="Обычный 5 9 29 4 4" xfId="57583"/>
    <cellStyle name="Обычный 5 9 29 5" xfId="27716"/>
    <cellStyle name="Обычный 5 9 29 5 2" xfId="27717"/>
    <cellStyle name="Обычный 5 9 29 5 2 2" xfId="57584"/>
    <cellStyle name="Обычный 5 9 29 5 3" xfId="57585"/>
    <cellStyle name="Обычный 5 9 29 6" xfId="27718"/>
    <cellStyle name="Обычный 5 9 29 6 2" xfId="57586"/>
    <cellStyle name="Обычный 5 9 29 7" xfId="27719"/>
    <cellStyle name="Обычный 5 9 29 7 2" xfId="57587"/>
    <cellStyle name="Обычный 5 9 29 8" xfId="57588"/>
    <cellStyle name="Обычный 5 9 3" xfId="27720"/>
    <cellStyle name="Обычный 5 9 3 2" xfId="27721"/>
    <cellStyle name="Обычный 5 9 3 2 2" xfId="27722"/>
    <cellStyle name="Обычный 5 9 3 2 2 2" xfId="27723"/>
    <cellStyle name="Обычный 5 9 3 2 2 2 2" xfId="57589"/>
    <cellStyle name="Обычный 5 9 3 2 2 3" xfId="57590"/>
    <cellStyle name="Обычный 5 9 3 2 3" xfId="27724"/>
    <cellStyle name="Обычный 5 9 3 2 3 2" xfId="57591"/>
    <cellStyle name="Обычный 5 9 3 2 4" xfId="57592"/>
    <cellStyle name="Обычный 5 9 3 3" xfId="27725"/>
    <cellStyle name="Обычный 5 9 3 3 2" xfId="27726"/>
    <cellStyle name="Обычный 5 9 3 3 2 2" xfId="27727"/>
    <cellStyle name="Обычный 5 9 3 3 2 2 2" xfId="57593"/>
    <cellStyle name="Обычный 5 9 3 3 2 3" xfId="57594"/>
    <cellStyle name="Обычный 5 9 3 3 3" xfId="27728"/>
    <cellStyle name="Обычный 5 9 3 3 3 2" xfId="57595"/>
    <cellStyle name="Обычный 5 9 3 3 4" xfId="57596"/>
    <cellStyle name="Обычный 5 9 3 4" xfId="27729"/>
    <cellStyle name="Обычный 5 9 3 4 2" xfId="27730"/>
    <cellStyle name="Обычный 5 9 3 4 2 2" xfId="27731"/>
    <cellStyle name="Обычный 5 9 3 4 2 2 2" xfId="57597"/>
    <cellStyle name="Обычный 5 9 3 4 2 3" xfId="57598"/>
    <cellStyle name="Обычный 5 9 3 4 3" xfId="27732"/>
    <cellStyle name="Обычный 5 9 3 4 3 2" xfId="57599"/>
    <cellStyle name="Обычный 5 9 3 4 4" xfId="57600"/>
    <cellStyle name="Обычный 5 9 3 5" xfId="27733"/>
    <cellStyle name="Обычный 5 9 3 5 2" xfId="27734"/>
    <cellStyle name="Обычный 5 9 3 5 2 2" xfId="57601"/>
    <cellStyle name="Обычный 5 9 3 5 3" xfId="57602"/>
    <cellStyle name="Обычный 5 9 3 6" xfId="27735"/>
    <cellStyle name="Обычный 5 9 3 6 2" xfId="57603"/>
    <cellStyle name="Обычный 5 9 3 7" xfId="27736"/>
    <cellStyle name="Обычный 5 9 3 7 2" xfId="57604"/>
    <cellStyle name="Обычный 5 9 3 8" xfId="57605"/>
    <cellStyle name="Обычный 5 9 30" xfId="27737"/>
    <cellStyle name="Обычный 5 9 30 2" xfId="27738"/>
    <cellStyle name="Обычный 5 9 30 2 2" xfId="27739"/>
    <cellStyle name="Обычный 5 9 30 2 2 2" xfId="57606"/>
    <cellStyle name="Обычный 5 9 30 2 3" xfId="57607"/>
    <cellStyle name="Обычный 5 9 30 3" xfId="27740"/>
    <cellStyle name="Обычный 5 9 30 3 2" xfId="57608"/>
    <cellStyle name="Обычный 5 9 30 4" xfId="57609"/>
    <cellStyle name="Обычный 5 9 31" xfId="27741"/>
    <cellStyle name="Обычный 5 9 31 2" xfId="27742"/>
    <cellStyle name="Обычный 5 9 31 2 2" xfId="27743"/>
    <cellStyle name="Обычный 5 9 31 2 2 2" xfId="57610"/>
    <cellStyle name="Обычный 5 9 31 2 3" xfId="57611"/>
    <cellStyle name="Обычный 5 9 31 3" xfId="27744"/>
    <cellStyle name="Обычный 5 9 31 3 2" xfId="57612"/>
    <cellStyle name="Обычный 5 9 31 4" xfId="57613"/>
    <cellStyle name="Обычный 5 9 32" xfId="27745"/>
    <cellStyle name="Обычный 5 9 32 2" xfId="27746"/>
    <cellStyle name="Обычный 5 9 32 2 2" xfId="27747"/>
    <cellStyle name="Обычный 5 9 32 2 2 2" xfId="57614"/>
    <cellStyle name="Обычный 5 9 32 2 3" xfId="57615"/>
    <cellStyle name="Обычный 5 9 32 3" xfId="27748"/>
    <cellStyle name="Обычный 5 9 32 3 2" xfId="57616"/>
    <cellStyle name="Обычный 5 9 32 4" xfId="57617"/>
    <cellStyle name="Обычный 5 9 33" xfId="27749"/>
    <cellStyle name="Обычный 5 9 33 2" xfId="27750"/>
    <cellStyle name="Обычный 5 9 33 2 2" xfId="57618"/>
    <cellStyle name="Обычный 5 9 33 3" xfId="57619"/>
    <cellStyle name="Обычный 5 9 34" xfId="27751"/>
    <cellStyle name="Обычный 5 9 34 2" xfId="57620"/>
    <cellStyle name="Обычный 5 9 35" xfId="27752"/>
    <cellStyle name="Обычный 5 9 35 2" xfId="57621"/>
    <cellStyle name="Обычный 5 9 36" xfId="57622"/>
    <cellStyle name="Обычный 5 9 4" xfId="27753"/>
    <cellStyle name="Обычный 5 9 4 2" xfId="27754"/>
    <cellStyle name="Обычный 5 9 4 2 2" xfId="27755"/>
    <cellStyle name="Обычный 5 9 4 2 2 2" xfId="27756"/>
    <cellStyle name="Обычный 5 9 4 2 2 2 2" xfId="57623"/>
    <cellStyle name="Обычный 5 9 4 2 2 3" xfId="57624"/>
    <cellStyle name="Обычный 5 9 4 2 3" xfId="27757"/>
    <cellStyle name="Обычный 5 9 4 2 3 2" xfId="57625"/>
    <cellStyle name="Обычный 5 9 4 2 4" xfId="57626"/>
    <cellStyle name="Обычный 5 9 4 3" xfId="27758"/>
    <cellStyle name="Обычный 5 9 4 3 2" xfId="27759"/>
    <cellStyle name="Обычный 5 9 4 3 2 2" xfId="27760"/>
    <cellStyle name="Обычный 5 9 4 3 2 2 2" xfId="57627"/>
    <cellStyle name="Обычный 5 9 4 3 2 3" xfId="57628"/>
    <cellStyle name="Обычный 5 9 4 3 3" xfId="27761"/>
    <cellStyle name="Обычный 5 9 4 3 3 2" xfId="57629"/>
    <cellStyle name="Обычный 5 9 4 3 4" xfId="57630"/>
    <cellStyle name="Обычный 5 9 4 4" xfId="27762"/>
    <cellStyle name="Обычный 5 9 4 4 2" xfId="27763"/>
    <cellStyle name="Обычный 5 9 4 4 2 2" xfId="27764"/>
    <cellStyle name="Обычный 5 9 4 4 2 2 2" xfId="57631"/>
    <cellStyle name="Обычный 5 9 4 4 2 3" xfId="57632"/>
    <cellStyle name="Обычный 5 9 4 4 3" xfId="27765"/>
    <cellStyle name="Обычный 5 9 4 4 3 2" xfId="57633"/>
    <cellStyle name="Обычный 5 9 4 4 4" xfId="57634"/>
    <cellStyle name="Обычный 5 9 4 5" xfId="27766"/>
    <cellStyle name="Обычный 5 9 4 5 2" xfId="27767"/>
    <cellStyle name="Обычный 5 9 4 5 2 2" xfId="57635"/>
    <cellStyle name="Обычный 5 9 4 5 3" xfId="57636"/>
    <cellStyle name="Обычный 5 9 4 6" xfId="27768"/>
    <cellStyle name="Обычный 5 9 4 6 2" xfId="57637"/>
    <cellStyle name="Обычный 5 9 4 7" xfId="27769"/>
    <cellStyle name="Обычный 5 9 4 7 2" xfId="57638"/>
    <cellStyle name="Обычный 5 9 4 8" xfId="57639"/>
    <cellStyle name="Обычный 5 9 5" xfId="27770"/>
    <cellStyle name="Обычный 5 9 5 2" xfId="27771"/>
    <cellStyle name="Обычный 5 9 5 2 2" xfId="27772"/>
    <cellStyle name="Обычный 5 9 5 2 2 2" xfId="27773"/>
    <cellStyle name="Обычный 5 9 5 2 2 2 2" xfId="57640"/>
    <cellStyle name="Обычный 5 9 5 2 2 3" xfId="57641"/>
    <cellStyle name="Обычный 5 9 5 2 3" xfId="27774"/>
    <cellStyle name="Обычный 5 9 5 2 3 2" xfId="57642"/>
    <cellStyle name="Обычный 5 9 5 2 4" xfId="57643"/>
    <cellStyle name="Обычный 5 9 5 3" xfId="27775"/>
    <cellStyle name="Обычный 5 9 5 3 2" xfId="27776"/>
    <cellStyle name="Обычный 5 9 5 3 2 2" xfId="27777"/>
    <cellStyle name="Обычный 5 9 5 3 2 2 2" xfId="57644"/>
    <cellStyle name="Обычный 5 9 5 3 2 3" xfId="57645"/>
    <cellStyle name="Обычный 5 9 5 3 3" xfId="27778"/>
    <cellStyle name="Обычный 5 9 5 3 3 2" xfId="57646"/>
    <cellStyle name="Обычный 5 9 5 3 4" xfId="57647"/>
    <cellStyle name="Обычный 5 9 5 4" xfId="27779"/>
    <cellStyle name="Обычный 5 9 5 4 2" xfId="27780"/>
    <cellStyle name="Обычный 5 9 5 4 2 2" xfId="27781"/>
    <cellStyle name="Обычный 5 9 5 4 2 2 2" xfId="57648"/>
    <cellStyle name="Обычный 5 9 5 4 2 3" xfId="57649"/>
    <cellStyle name="Обычный 5 9 5 4 3" xfId="27782"/>
    <cellStyle name="Обычный 5 9 5 4 3 2" xfId="57650"/>
    <cellStyle name="Обычный 5 9 5 4 4" xfId="57651"/>
    <cellStyle name="Обычный 5 9 5 5" xfId="27783"/>
    <cellStyle name="Обычный 5 9 5 5 2" xfId="27784"/>
    <cellStyle name="Обычный 5 9 5 5 2 2" xfId="57652"/>
    <cellStyle name="Обычный 5 9 5 5 3" xfId="57653"/>
    <cellStyle name="Обычный 5 9 5 6" xfId="27785"/>
    <cellStyle name="Обычный 5 9 5 6 2" xfId="57654"/>
    <cellStyle name="Обычный 5 9 5 7" xfId="27786"/>
    <cellStyle name="Обычный 5 9 5 7 2" xfId="57655"/>
    <cellStyle name="Обычный 5 9 5 8" xfId="57656"/>
    <cellStyle name="Обычный 5 9 6" xfId="27787"/>
    <cellStyle name="Обычный 5 9 6 2" xfId="27788"/>
    <cellStyle name="Обычный 5 9 6 2 2" xfId="27789"/>
    <cellStyle name="Обычный 5 9 6 2 2 2" xfId="27790"/>
    <cellStyle name="Обычный 5 9 6 2 2 2 2" xfId="57657"/>
    <cellStyle name="Обычный 5 9 6 2 2 3" xfId="57658"/>
    <cellStyle name="Обычный 5 9 6 2 3" xfId="27791"/>
    <cellStyle name="Обычный 5 9 6 2 3 2" xfId="57659"/>
    <cellStyle name="Обычный 5 9 6 2 4" xfId="57660"/>
    <cellStyle name="Обычный 5 9 6 3" xfId="27792"/>
    <cellStyle name="Обычный 5 9 6 3 2" xfId="27793"/>
    <cellStyle name="Обычный 5 9 6 3 2 2" xfId="27794"/>
    <cellStyle name="Обычный 5 9 6 3 2 2 2" xfId="57661"/>
    <cellStyle name="Обычный 5 9 6 3 2 3" xfId="57662"/>
    <cellStyle name="Обычный 5 9 6 3 3" xfId="27795"/>
    <cellStyle name="Обычный 5 9 6 3 3 2" xfId="57663"/>
    <cellStyle name="Обычный 5 9 6 3 4" xfId="57664"/>
    <cellStyle name="Обычный 5 9 6 4" xfId="27796"/>
    <cellStyle name="Обычный 5 9 6 4 2" xfId="27797"/>
    <cellStyle name="Обычный 5 9 6 4 2 2" xfId="27798"/>
    <cellStyle name="Обычный 5 9 6 4 2 2 2" xfId="57665"/>
    <cellStyle name="Обычный 5 9 6 4 2 3" xfId="57666"/>
    <cellStyle name="Обычный 5 9 6 4 3" xfId="27799"/>
    <cellStyle name="Обычный 5 9 6 4 3 2" xfId="57667"/>
    <cellStyle name="Обычный 5 9 6 4 4" xfId="57668"/>
    <cellStyle name="Обычный 5 9 6 5" xfId="27800"/>
    <cellStyle name="Обычный 5 9 6 5 2" xfId="27801"/>
    <cellStyle name="Обычный 5 9 6 5 2 2" xfId="57669"/>
    <cellStyle name="Обычный 5 9 6 5 3" xfId="57670"/>
    <cellStyle name="Обычный 5 9 6 6" xfId="27802"/>
    <cellStyle name="Обычный 5 9 6 6 2" xfId="57671"/>
    <cellStyle name="Обычный 5 9 6 7" xfId="27803"/>
    <cellStyle name="Обычный 5 9 6 7 2" xfId="57672"/>
    <cellStyle name="Обычный 5 9 6 8" xfId="57673"/>
    <cellStyle name="Обычный 5 9 7" xfId="27804"/>
    <cellStyle name="Обычный 5 9 7 2" xfId="27805"/>
    <cellStyle name="Обычный 5 9 7 2 2" xfId="27806"/>
    <cellStyle name="Обычный 5 9 7 2 2 2" xfId="27807"/>
    <cellStyle name="Обычный 5 9 7 2 2 2 2" xfId="57674"/>
    <cellStyle name="Обычный 5 9 7 2 2 3" xfId="57675"/>
    <cellStyle name="Обычный 5 9 7 2 3" xfId="27808"/>
    <cellStyle name="Обычный 5 9 7 2 3 2" xfId="57676"/>
    <cellStyle name="Обычный 5 9 7 2 4" xfId="57677"/>
    <cellStyle name="Обычный 5 9 7 3" xfId="27809"/>
    <cellStyle name="Обычный 5 9 7 3 2" xfId="27810"/>
    <cellStyle name="Обычный 5 9 7 3 2 2" xfId="27811"/>
    <cellStyle name="Обычный 5 9 7 3 2 2 2" xfId="57678"/>
    <cellStyle name="Обычный 5 9 7 3 2 3" xfId="57679"/>
    <cellStyle name="Обычный 5 9 7 3 3" xfId="27812"/>
    <cellStyle name="Обычный 5 9 7 3 3 2" xfId="57680"/>
    <cellStyle name="Обычный 5 9 7 3 4" xfId="57681"/>
    <cellStyle name="Обычный 5 9 7 4" xfId="27813"/>
    <cellStyle name="Обычный 5 9 7 4 2" xfId="27814"/>
    <cellStyle name="Обычный 5 9 7 4 2 2" xfId="27815"/>
    <cellStyle name="Обычный 5 9 7 4 2 2 2" xfId="57682"/>
    <cellStyle name="Обычный 5 9 7 4 2 3" xfId="57683"/>
    <cellStyle name="Обычный 5 9 7 4 3" xfId="27816"/>
    <cellStyle name="Обычный 5 9 7 4 3 2" xfId="57684"/>
    <cellStyle name="Обычный 5 9 7 4 4" xfId="57685"/>
    <cellStyle name="Обычный 5 9 7 5" xfId="27817"/>
    <cellStyle name="Обычный 5 9 7 5 2" xfId="27818"/>
    <cellStyle name="Обычный 5 9 7 5 2 2" xfId="57686"/>
    <cellStyle name="Обычный 5 9 7 5 3" xfId="57687"/>
    <cellStyle name="Обычный 5 9 7 6" xfId="27819"/>
    <cellStyle name="Обычный 5 9 7 6 2" xfId="57688"/>
    <cellStyle name="Обычный 5 9 7 7" xfId="27820"/>
    <cellStyle name="Обычный 5 9 7 7 2" xfId="57689"/>
    <cellStyle name="Обычный 5 9 7 8" xfId="57690"/>
    <cellStyle name="Обычный 5 9 8" xfId="27821"/>
    <cellStyle name="Обычный 5 9 8 2" xfId="27822"/>
    <cellStyle name="Обычный 5 9 8 2 2" xfId="27823"/>
    <cellStyle name="Обычный 5 9 8 2 2 2" xfId="27824"/>
    <cellStyle name="Обычный 5 9 8 2 2 2 2" xfId="57691"/>
    <cellStyle name="Обычный 5 9 8 2 2 3" xfId="57692"/>
    <cellStyle name="Обычный 5 9 8 2 3" xfId="27825"/>
    <cellStyle name="Обычный 5 9 8 2 3 2" xfId="57693"/>
    <cellStyle name="Обычный 5 9 8 2 4" xfId="57694"/>
    <cellStyle name="Обычный 5 9 8 3" xfId="27826"/>
    <cellStyle name="Обычный 5 9 8 3 2" xfId="27827"/>
    <cellStyle name="Обычный 5 9 8 3 2 2" xfId="27828"/>
    <cellStyle name="Обычный 5 9 8 3 2 2 2" xfId="57695"/>
    <cellStyle name="Обычный 5 9 8 3 2 3" xfId="57696"/>
    <cellStyle name="Обычный 5 9 8 3 3" xfId="27829"/>
    <cellStyle name="Обычный 5 9 8 3 3 2" xfId="57697"/>
    <cellStyle name="Обычный 5 9 8 3 4" xfId="57698"/>
    <cellStyle name="Обычный 5 9 8 4" xfId="27830"/>
    <cellStyle name="Обычный 5 9 8 4 2" xfId="27831"/>
    <cellStyle name="Обычный 5 9 8 4 2 2" xfId="27832"/>
    <cellStyle name="Обычный 5 9 8 4 2 2 2" xfId="57699"/>
    <cellStyle name="Обычный 5 9 8 4 2 3" xfId="57700"/>
    <cellStyle name="Обычный 5 9 8 4 3" xfId="27833"/>
    <cellStyle name="Обычный 5 9 8 4 3 2" xfId="57701"/>
    <cellStyle name="Обычный 5 9 8 4 4" xfId="57702"/>
    <cellStyle name="Обычный 5 9 8 5" xfId="27834"/>
    <cellStyle name="Обычный 5 9 8 5 2" xfId="27835"/>
    <cellStyle name="Обычный 5 9 8 5 2 2" xfId="57703"/>
    <cellStyle name="Обычный 5 9 8 5 3" xfId="57704"/>
    <cellStyle name="Обычный 5 9 8 6" xfId="27836"/>
    <cellStyle name="Обычный 5 9 8 6 2" xfId="57705"/>
    <cellStyle name="Обычный 5 9 8 7" xfId="27837"/>
    <cellStyle name="Обычный 5 9 8 7 2" xfId="57706"/>
    <cellStyle name="Обычный 5 9 8 8" xfId="57707"/>
    <cellStyle name="Обычный 5 9 9" xfId="27838"/>
    <cellStyle name="Обычный 5 9 9 2" xfId="27839"/>
    <cellStyle name="Обычный 5 9 9 2 2" xfId="27840"/>
    <cellStyle name="Обычный 5 9 9 2 2 2" xfId="27841"/>
    <cellStyle name="Обычный 5 9 9 2 2 2 2" xfId="57708"/>
    <cellStyle name="Обычный 5 9 9 2 2 3" xfId="57709"/>
    <cellStyle name="Обычный 5 9 9 2 3" xfId="27842"/>
    <cellStyle name="Обычный 5 9 9 2 3 2" xfId="57710"/>
    <cellStyle name="Обычный 5 9 9 2 4" xfId="57711"/>
    <cellStyle name="Обычный 5 9 9 3" xfId="27843"/>
    <cellStyle name="Обычный 5 9 9 3 2" xfId="27844"/>
    <cellStyle name="Обычный 5 9 9 3 2 2" xfId="27845"/>
    <cellStyle name="Обычный 5 9 9 3 2 2 2" xfId="57712"/>
    <cellStyle name="Обычный 5 9 9 3 2 3" xfId="57713"/>
    <cellStyle name="Обычный 5 9 9 3 3" xfId="27846"/>
    <cellStyle name="Обычный 5 9 9 3 3 2" xfId="57714"/>
    <cellStyle name="Обычный 5 9 9 3 4" xfId="57715"/>
    <cellStyle name="Обычный 5 9 9 4" xfId="27847"/>
    <cellStyle name="Обычный 5 9 9 4 2" xfId="27848"/>
    <cellStyle name="Обычный 5 9 9 4 2 2" xfId="27849"/>
    <cellStyle name="Обычный 5 9 9 4 2 2 2" xfId="57716"/>
    <cellStyle name="Обычный 5 9 9 4 2 3" xfId="57717"/>
    <cellStyle name="Обычный 5 9 9 4 3" xfId="27850"/>
    <cellStyle name="Обычный 5 9 9 4 3 2" xfId="57718"/>
    <cellStyle name="Обычный 5 9 9 4 4" xfId="57719"/>
    <cellStyle name="Обычный 5 9 9 5" xfId="27851"/>
    <cellStyle name="Обычный 5 9 9 5 2" xfId="27852"/>
    <cellStyle name="Обычный 5 9 9 5 2 2" xfId="57720"/>
    <cellStyle name="Обычный 5 9 9 5 3" xfId="57721"/>
    <cellStyle name="Обычный 5 9 9 6" xfId="27853"/>
    <cellStyle name="Обычный 5 9 9 6 2" xfId="57722"/>
    <cellStyle name="Обычный 5 9 9 7" xfId="27854"/>
    <cellStyle name="Обычный 5 9 9 7 2" xfId="57723"/>
    <cellStyle name="Обычный 5 9 9 8" xfId="57724"/>
    <cellStyle name="Обычный 5 90" xfId="27855"/>
    <cellStyle name="Обычный 5 90 2" xfId="27856"/>
    <cellStyle name="Обычный 5 90 2 2" xfId="27857"/>
    <cellStyle name="Обычный 5 90 2 2 2" xfId="57725"/>
    <cellStyle name="Обычный 5 90 2 3" xfId="57726"/>
    <cellStyle name="Обычный 5 90 3" xfId="27858"/>
    <cellStyle name="Обычный 5 90 3 2" xfId="57727"/>
    <cellStyle name="Обычный 5 90 4" xfId="57728"/>
    <cellStyle name="Обычный 5 91" xfId="27859"/>
    <cellStyle name="Обычный 5 91 2" xfId="27860"/>
    <cellStyle name="Обычный 5 91 2 2" xfId="27861"/>
    <cellStyle name="Обычный 5 91 2 2 2" xfId="57729"/>
    <cellStyle name="Обычный 5 91 2 3" xfId="57730"/>
    <cellStyle name="Обычный 5 91 3" xfId="27862"/>
    <cellStyle name="Обычный 5 91 3 2" xfId="57731"/>
    <cellStyle name="Обычный 5 91 4" xfId="57732"/>
    <cellStyle name="Обычный 5 92" xfId="27863"/>
    <cellStyle name="Обычный 5 92 2" xfId="27864"/>
    <cellStyle name="Обычный 5 92 2 2" xfId="27865"/>
    <cellStyle name="Обычный 5 92 2 2 2" xfId="57733"/>
    <cellStyle name="Обычный 5 92 2 3" xfId="57734"/>
    <cellStyle name="Обычный 5 92 3" xfId="27866"/>
    <cellStyle name="Обычный 5 92 3 2" xfId="57735"/>
    <cellStyle name="Обычный 5 92 4" xfId="57736"/>
    <cellStyle name="Обычный 5 93" xfId="27867"/>
    <cellStyle name="Обычный 5 93 2" xfId="27868"/>
    <cellStyle name="Обычный 5 93 2 2" xfId="27869"/>
    <cellStyle name="Обычный 5 93 2 2 2" xfId="57737"/>
    <cellStyle name="Обычный 5 93 2 3" xfId="57738"/>
    <cellStyle name="Обычный 5 93 3" xfId="27870"/>
    <cellStyle name="Обычный 5 93 3 2" xfId="57739"/>
    <cellStyle name="Обычный 5 93 4" xfId="57740"/>
    <cellStyle name="Обычный 5 94" xfId="27871"/>
    <cellStyle name="Обычный 5 94 2" xfId="27872"/>
    <cellStyle name="Обычный 5 94 2 2" xfId="27873"/>
    <cellStyle name="Обычный 5 94 2 2 2" xfId="57741"/>
    <cellStyle name="Обычный 5 94 2 3" xfId="57742"/>
    <cellStyle name="Обычный 5 94 3" xfId="27874"/>
    <cellStyle name="Обычный 5 94 3 2" xfId="57743"/>
    <cellStyle name="Обычный 5 94 4" xfId="57744"/>
    <cellStyle name="Обычный 5 95" xfId="27875"/>
    <cellStyle name="Обычный 5 95 2" xfId="27876"/>
    <cellStyle name="Обычный 5 95 2 2" xfId="27877"/>
    <cellStyle name="Обычный 5 95 2 2 2" xfId="57745"/>
    <cellStyle name="Обычный 5 95 2 3" xfId="57746"/>
    <cellStyle name="Обычный 5 95 3" xfId="27878"/>
    <cellStyle name="Обычный 5 95 3 2" xfId="57747"/>
    <cellStyle name="Обычный 5 95 4" xfId="57748"/>
    <cellStyle name="Обычный 5 96" xfId="27879"/>
    <cellStyle name="Обычный 5 96 2" xfId="27880"/>
    <cellStyle name="Обычный 5 96 2 2" xfId="27881"/>
    <cellStyle name="Обычный 5 96 2 2 2" xfId="57749"/>
    <cellStyle name="Обычный 5 96 2 3" xfId="57750"/>
    <cellStyle name="Обычный 5 96 3" xfId="27882"/>
    <cellStyle name="Обычный 5 96 3 2" xfId="57751"/>
    <cellStyle name="Обычный 5 96 4" xfId="57752"/>
    <cellStyle name="Обычный 5 97" xfId="27883"/>
    <cellStyle name="Обычный 5 97 2" xfId="27884"/>
    <cellStyle name="Обычный 5 97 2 2" xfId="27885"/>
    <cellStyle name="Обычный 5 97 2 2 2" xfId="57753"/>
    <cellStyle name="Обычный 5 97 2 3" xfId="57754"/>
    <cellStyle name="Обычный 5 97 3" xfId="27886"/>
    <cellStyle name="Обычный 5 97 3 2" xfId="57755"/>
    <cellStyle name="Обычный 5 97 4" xfId="57756"/>
    <cellStyle name="Обычный 5 98" xfId="27887"/>
    <cellStyle name="Обычный 5 98 2" xfId="27888"/>
    <cellStyle name="Обычный 5 98 2 2" xfId="27889"/>
    <cellStyle name="Обычный 5 98 2 2 2" xfId="57757"/>
    <cellStyle name="Обычный 5 98 2 3" xfId="57758"/>
    <cellStyle name="Обычный 5 98 3" xfId="27890"/>
    <cellStyle name="Обычный 5 98 3 2" xfId="57759"/>
    <cellStyle name="Обычный 5 98 4" xfId="57760"/>
    <cellStyle name="Обычный 5 99" xfId="27891"/>
    <cellStyle name="Обычный 5 99 2" xfId="27892"/>
    <cellStyle name="Обычный 5 99 2 2" xfId="27893"/>
    <cellStyle name="Обычный 5 99 2 2 2" xfId="57761"/>
    <cellStyle name="Обычный 5 99 2 3" xfId="57762"/>
    <cellStyle name="Обычный 5 99 3" xfId="27894"/>
    <cellStyle name="Обычный 5 99 3 2" xfId="57763"/>
    <cellStyle name="Обычный 5 99 4" xfId="57764"/>
    <cellStyle name="Обычный 5_СВЕРТКА" xfId="59126"/>
    <cellStyle name="Обычный 50" xfId="27895"/>
    <cellStyle name="Обычный 50 2" xfId="27896"/>
    <cellStyle name="Обычный 50 2 2" xfId="27897"/>
    <cellStyle name="Обычный 50 2 2 2" xfId="27898"/>
    <cellStyle name="Обычный 50 2 2 2 2" xfId="57765"/>
    <cellStyle name="Обычный 50 2 2 3" xfId="57766"/>
    <cellStyle name="Обычный 50 2 3" xfId="27899"/>
    <cellStyle name="Обычный 50 2 3 2" xfId="57767"/>
    <cellStyle name="Обычный 50 2 4" xfId="57768"/>
    <cellStyle name="Обычный 50 3" xfId="27900"/>
    <cellStyle name="Обычный 50 3 2" xfId="27901"/>
    <cellStyle name="Обычный 50 3 2 2" xfId="27902"/>
    <cellStyle name="Обычный 50 3 2 2 2" xfId="57769"/>
    <cellStyle name="Обычный 50 3 2 3" xfId="57770"/>
    <cellStyle name="Обычный 50 3 3" xfId="27903"/>
    <cellStyle name="Обычный 50 3 3 2" xfId="57771"/>
    <cellStyle name="Обычный 50 3 4" xfId="57772"/>
    <cellStyle name="Обычный 50 4" xfId="27904"/>
    <cellStyle name="Обычный 50 4 2" xfId="27905"/>
    <cellStyle name="Обычный 50 4 2 2" xfId="27906"/>
    <cellStyle name="Обычный 50 4 2 2 2" xfId="57773"/>
    <cellStyle name="Обычный 50 4 2 3" xfId="57774"/>
    <cellStyle name="Обычный 50 4 3" xfId="27907"/>
    <cellStyle name="Обычный 50 4 3 2" xfId="57775"/>
    <cellStyle name="Обычный 50 4 4" xfId="57776"/>
    <cellStyle name="Обычный 50 5" xfId="27908"/>
    <cellStyle name="Обычный 50 5 2" xfId="27909"/>
    <cellStyle name="Обычный 50 5 2 2" xfId="57777"/>
    <cellStyle name="Обычный 50 5 3" xfId="57778"/>
    <cellStyle name="Обычный 50 6" xfId="27910"/>
    <cellStyle name="Обычный 50 6 2" xfId="57779"/>
    <cellStyle name="Обычный 50 7" xfId="27911"/>
    <cellStyle name="Обычный 50 7 2" xfId="57780"/>
    <cellStyle name="Обычный 50 8" xfId="57781"/>
    <cellStyle name="Обычный 51" xfId="27912"/>
    <cellStyle name="Обычный 51 2" xfId="27913"/>
    <cellStyle name="Обычный 51 2 2" xfId="27914"/>
    <cellStyle name="Обычный 51 2 2 2" xfId="27915"/>
    <cellStyle name="Обычный 51 2 2 2 2" xfId="57782"/>
    <cellStyle name="Обычный 51 2 2 3" xfId="57783"/>
    <cellStyle name="Обычный 51 2 3" xfId="27916"/>
    <cellStyle name="Обычный 51 2 3 2" xfId="57784"/>
    <cellStyle name="Обычный 51 2 4" xfId="57785"/>
    <cellStyle name="Обычный 51 3" xfId="27917"/>
    <cellStyle name="Обычный 51 3 2" xfId="27918"/>
    <cellStyle name="Обычный 51 3 2 2" xfId="27919"/>
    <cellStyle name="Обычный 51 3 2 2 2" xfId="57786"/>
    <cellStyle name="Обычный 51 3 2 3" xfId="57787"/>
    <cellStyle name="Обычный 51 3 3" xfId="27920"/>
    <cellStyle name="Обычный 51 3 3 2" xfId="57788"/>
    <cellStyle name="Обычный 51 3 4" xfId="57789"/>
    <cellStyle name="Обычный 51 4" xfId="27921"/>
    <cellStyle name="Обычный 51 4 2" xfId="27922"/>
    <cellStyle name="Обычный 51 4 2 2" xfId="27923"/>
    <cellStyle name="Обычный 51 4 2 2 2" xfId="57790"/>
    <cellStyle name="Обычный 51 4 2 3" xfId="57791"/>
    <cellStyle name="Обычный 51 4 3" xfId="27924"/>
    <cellStyle name="Обычный 51 4 3 2" xfId="57792"/>
    <cellStyle name="Обычный 51 4 4" xfId="57793"/>
    <cellStyle name="Обычный 51 5" xfId="27925"/>
    <cellStyle name="Обычный 51 5 2" xfId="27926"/>
    <cellStyle name="Обычный 51 5 2 2" xfId="57794"/>
    <cellStyle name="Обычный 51 5 3" xfId="57795"/>
    <cellStyle name="Обычный 51 6" xfId="27927"/>
    <cellStyle name="Обычный 51 6 2" xfId="57796"/>
    <cellStyle name="Обычный 51 7" xfId="27928"/>
    <cellStyle name="Обычный 51 7 2" xfId="57797"/>
    <cellStyle name="Обычный 51 8" xfId="57798"/>
    <cellStyle name="Обычный 52" xfId="27929"/>
    <cellStyle name="Обычный 52 2" xfId="27930"/>
    <cellStyle name="Обычный 52 2 2" xfId="27931"/>
    <cellStyle name="Обычный 52 2 2 2" xfId="27932"/>
    <cellStyle name="Обычный 52 2 2 2 2" xfId="57799"/>
    <cellStyle name="Обычный 52 2 2 3" xfId="57800"/>
    <cellStyle name="Обычный 52 2 3" xfId="27933"/>
    <cellStyle name="Обычный 52 2 3 2" xfId="57801"/>
    <cellStyle name="Обычный 52 2 4" xfId="57802"/>
    <cellStyle name="Обычный 52 3" xfId="27934"/>
    <cellStyle name="Обычный 52 3 2" xfId="27935"/>
    <cellStyle name="Обычный 52 3 2 2" xfId="27936"/>
    <cellStyle name="Обычный 52 3 2 2 2" xfId="57803"/>
    <cellStyle name="Обычный 52 3 2 3" xfId="57804"/>
    <cellStyle name="Обычный 52 3 3" xfId="27937"/>
    <cellStyle name="Обычный 52 3 3 2" xfId="57805"/>
    <cellStyle name="Обычный 52 3 4" xfId="57806"/>
    <cellStyle name="Обычный 52 4" xfId="27938"/>
    <cellStyle name="Обычный 52 4 2" xfId="27939"/>
    <cellStyle name="Обычный 52 4 2 2" xfId="27940"/>
    <cellStyle name="Обычный 52 4 2 2 2" xfId="57807"/>
    <cellStyle name="Обычный 52 4 2 3" xfId="57808"/>
    <cellStyle name="Обычный 52 4 3" xfId="27941"/>
    <cellStyle name="Обычный 52 4 3 2" xfId="57809"/>
    <cellStyle name="Обычный 52 4 4" xfId="57810"/>
    <cellStyle name="Обычный 52 5" xfId="27942"/>
    <cellStyle name="Обычный 52 5 2" xfId="27943"/>
    <cellStyle name="Обычный 52 5 2 2" xfId="57811"/>
    <cellStyle name="Обычный 52 5 3" xfId="57812"/>
    <cellStyle name="Обычный 52 6" xfId="27944"/>
    <cellStyle name="Обычный 52 6 2" xfId="57813"/>
    <cellStyle name="Обычный 52 7" xfId="27945"/>
    <cellStyle name="Обычный 52 7 2" xfId="57814"/>
    <cellStyle name="Обычный 52 8" xfId="27946"/>
    <cellStyle name="Обычный 52 8 2" xfId="57815"/>
    <cellStyle name="Обычный 52 9" xfId="57816"/>
    <cellStyle name="Обычный 53" xfId="27947"/>
    <cellStyle name="Обычный 53 2" xfId="27948"/>
    <cellStyle name="Обычный 53 2 2" xfId="27949"/>
    <cellStyle name="Обычный 53 2 2 2" xfId="27950"/>
    <cellStyle name="Обычный 53 2 2 2 2" xfId="57817"/>
    <cellStyle name="Обычный 53 2 2 3" xfId="57818"/>
    <cellStyle name="Обычный 53 2 3" xfId="27951"/>
    <cellStyle name="Обычный 53 2 3 2" xfId="57819"/>
    <cellStyle name="Обычный 53 2 4" xfId="57820"/>
    <cellStyle name="Обычный 53 3" xfId="27952"/>
    <cellStyle name="Обычный 53 3 2" xfId="27953"/>
    <cellStyle name="Обычный 53 3 2 2" xfId="27954"/>
    <cellStyle name="Обычный 53 3 2 2 2" xfId="57821"/>
    <cellStyle name="Обычный 53 3 2 3" xfId="57822"/>
    <cellStyle name="Обычный 53 3 3" xfId="27955"/>
    <cellStyle name="Обычный 53 3 3 2" xfId="57823"/>
    <cellStyle name="Обычный 53 3 4" xfId="57824"/>
    <cellStyle name="Обычный 53 4" xfId="27956"/>
    <cellStyle name="Обычный 53 4 2" xfId="27957"/>
    <cellStyle name="Обычный 53 4 2 2" xfId="27958"/>
    <cellStyle name="Обычный 53 4 2 2 2" xfId="57825"/>
    <cellStyle name="Обычный 53 4 2 3" xfId="57826"/>
    <cellStyle name="Обычный 53 4 3" xfId="27959"/>
    <cellStyle name="Обычный 53 4 3 2" xfId="57827"/>
    <cellStyle name="Обычный 53 4 4" xfId="57828"/>
    <cellStyle name="Обычный 53 5" xfId="27960"/>
    <cellStyle name="Обычный 53 5 2" xfId="27961"/>
    <cellStyle name="Обычный 53 5 2 2" xfId="57829"/>
    <cellStyle name="Обычный 53 5 3" xfId="57830"/>
    <cellStyle name="Обычный 53 6" xfId="27962"/>
    <cellStyle name="Обычный 53 6 2" xfId="57831"/>
    <cellStyle name="Обычный 53 7" xfId="27963"/>
    <cellStyle name="Обычный 53 7 2" xfId="57832"/>
    <cellStyle name="Обычный 53 8" xfId="57833"/>
    <cellStyle name="Обычный 54" xfId="27964"/>
    <cellStyle name="Обычный 54 2" xfId="27965"/>
    <cellStyle name="Обычный 54 2 2" xfId="27966"/>
    <cellStyle name="Обычный 54 2 2 2" xfId="27967"/>
    <cellStyle name="Обычный 54 2 2 2 2" xfId="57834"/>
    <cellStyle name="Обычный 54 2 2 3" xfId="57835"/>
    <cellStyle name="Обычный 54 2 3" xfId="27968"/>
    <cellStyle name="Обычный 54 2 3 2" xfId="57836"/>
    <cellStyle name="Обычный 54 2 4" xfId="57837"/>
    <cellStyle name="Обычный 54 3" xfId="27969"/>
    <cellStyle name="Обычный 54 3 2" xfId="27970"/>
    <cellStyle name="Обычный 54 3 2 2" xfId="27971"/>
    <cellStyle name="Обычный 54 3 2 2 2" xfId="57838"/>
    <cellStyle name="Обычный 54 3 2 3" xfId="57839"/>
    <cellStyle name="Обычный 54 3 3" xfId="27972"/>
    <cellStyle name="Обычный 54 3 3 2" xfId="57840"/>
    <cellStyle name="Обычный 54 3 4" xfId="57841"/>
    <cellStyle name="Обычный 54 4" xfId="27973"/>
    <cellStyle name="Обычный 54 4 2" xfId="27974"/>
    <cellStyle name="Обычный 54 4 2 2" xfId="27975"/>
    <cellStyle name="Обычный 54 4 2 2 2" xfId="57842"/>
    <cellStyle name="Обычный 54 4 2 3" xfId="57843"/>
    <cellStyle name="Обычный 54 4 3" xfId="27976"/>
    <cellStyle name="Обычный 54 4 3 2" xfId="57844"/>
    <cellStyle name="Обычный 54 4 4" xfId="57845"/>
    <cellStyle name="Обычный 54 5" xfId="27977"/>
    <cellStyle name="Обычный 54 5 2" xfId="27978"/>
    <cellStyle name="Обычный 54 5 2 2" xfId="57846"/>
    <cellStyle name="Обычный 54 5 3" xfId="57847"/>
    <cellStyle name="Обычный 54 6" xfId="27979"/>
    <cellStyle name="Обычный 54 6 2" xfId="57848"/>
    <cellStyle name="Обычный 54 7" xfId="27980"/>
    <cellStyle name="Обычный 54 7 2" xfId="57849"/>
    <cellStyle name="Обычный 54 8" xfId="57850"/>
    <cellStyle name="Обычный 55" xfId="27981"/>
    <cellStyle name="Обычный 55 2" xfId="27982"/>
    <cellStyle name="Обычный 55 2 2" xfId="27983"/>
    <cellStyle name="Обычный 55 2 2 2" xfId="27984"/>
    <cellStyle name="Обычный 55 2 2 2 2" xfId="57851"/>
    <cellStyle name="Обычный 55 2 2 3" xfId="57852"/>
    <cellStyle name="Обычный 55 2 3" xfId="27985"/>
    <cellStyle name="Обычный 55 2 3 2" xfId="57853"/>
    <cellStyle name="Обычный 55 2 4" xfId="57854"/>
    <cellStyle name="Обычный 55 3" xfId="27986"/>
    <cellStyle name="Обычный 55 3 2" xfId="27987"/>
    <cellStyle name="Обычный 55 3 2 2" xfId="27988"/>
    <cellStyle name="Обычный 55 3 2 2 2" xfId="57855"/>
    <cellStyle name="Обычный 55 3 2 3" xfId="57856"/>
    <cellStyle name="Обычный 55 3 3" xfId="27989"/>
    <cellStyle name="Обычный 55 3 3 2" xfId="57857"/>
    <cellStyle name="Обычный 55 3 4" xfId="57858"/>
    <cellStyle name="Обычный 55 4" xfId="27990"/>
    <cellStyle name="Обычный 55 4 2" xfId="27991"/>
    <cellStyle name="Обычный 55 4 2 2" xfId="27992"/>
    <cellStyle name="Обычный 55 4 2 2 2" xfId="57859"/>
    <cellStyle name="Обычный 55 4 2 3" xfId="57860"/>
    <cellStyle name="Обычный 55 4 3" xfId="27993"/>
    <cellStyle name="Обычный 55 4 3 2" xfId="57861"/>
    <cellStyle name="Обычный 55 4 4" xfId="57862"/>
    <cellStyle name="Обычный 55 5" xfId="27994"/>
    <cellStyle name="Обычный 55 5 2" xfId="27995"/>
    <cellStyle name="Обычный 55 5 2 2" xfId="57863"/>
    <cellStyle name="Обычный 55 5 3" xfId="57864"/>
    <cellStyle name="Обычный 55 6" xfId="27996"/>
    <cellStyle name="Обычный 55 6 2" xfId="57865"/>
    <cellStyle name="Обычный 55 7" xfId="27997"/>
    <cellStyle name="Обычный 55 7 2" xfId="57866"/>
    <cellStyle name="Обычный 55 8" xfId="57867"/>
    <cellStyle name="Обычный 56" xfId="27998"/>
    <cellStyle name="Обычный 56 2" xfId="27999"/>
    <cellStyle name="Обычный 56 2 2" xfId="28000"/>
    <cellStyle name="Обычный 56 2 2 2" xfId="28001"/>
    <cellStyle name="Обычный 56 2 2 2 2" xfId="57868"/>
    <cellStyle name="Обычный 56 2 2 3" xfId="57869"/>
    <cellStyle name="Обычный 56 2 3" xfId="28002"/>
    <cellStyle name="Обычный 56 2 3 2" xfId="57870"/>
    <cellStyle name="Обычный 56 2 4" xfId="57871"/>
    <cellStyle name="Обычный 56 3" xfId="28003"/>
    <cellStyle name="Обычный 56 3 2" xfId="28004"/>
    <cellStyle name="Обычный 56 3 2 2" xfId="28005"/>
    <cellStyle name="Обычный 56 3 2 2 2" xfId="57872"/>
    <cellStyle name="Обычный 56 3 2 3" xfId="57873"/>
    <cellStyle name="Обычный 56 3 3" xfId="28006"/>
    <cellStyle name="Обычный 56 3 3 2" xfId="57874"/>
    <cellStyle name="Обычный 56 3 4" xfId="57875"/>
    <cellStyle name="Обычный 56 4" xfId="28007"/>
    <cellStyle name="Обычный 56 4 2" xfId="28008"/>
    <cellStyle name="Обычный 56 4 2 2" xfId="28009"/>
    <cellStyle name="Обычный 56 4 2 2 2" xfId="57876"/>
    <cellStyle name="Обычный 56 4 2 3" xfId="57877"/>
    <cellStyle name="Обычный 56 4 3" xfId="28010"/>
    <cellStyle name="Обычный 56 4 3 2" xfId="57878"/>
    <cellStyle name="Обычный 56 4 4" xfId="57879"/>
    <cellStyle name="Обычный 56 5" xfId="28011"/>
    <cellStyle name="Обычный 56 5 2" xfId="28012"/>
    <cellStyle name="Обычный 56 5 2 2" xfId="57880"/>
    <cellStyle name="Обычный 56 5 3" xfId="57881"/>
    <cellStyle name="Обычный 56 6" xfId="28013"/>
    <cellStyle name="Обычный 56 6 2" xfId="57882"/>
    <cellStyle name="Обычный 56 7" xfId="28014"/>
    <cellStyle name="Обычный 56 7 2" xfId="57883"/>
    <cellStyle name="Обычный 56 8" xfId="57884"/>
    <cellStyle name="Обычный 57" xfId="28015"/>
    <cellStyle name="Обычный 57 2" xfId="28016"/>
    <cellStyle name="Обычный 57 2 2" xfId="28017"/>
    <cellStyle name="Обычный 57 2 2 2" xfId="28018"/>
    <cellStyle name="Обычный 57 2 2 2 2" xfId="57885"/>
    <cellStyle name="Обычный 57 2 2 3" xfId="57886"/>
    <cellStyle name="Обычный 57 2 3" xfId="28019"/>
    <cellStyle name="Обычный 57 2 3 2" xfId="57887"/>
    <cellStyle name="Обычный 57 2 4" xfId="57888"/>
    <cellStyle name="Обычный 57 3" xfId="28020"/>
    <cellStyle name="Обычный 57 3 2" xfId="28021"/>
    <cellStyle name="Обычный 57 3 2 2" xfId="28022"/>
    <cellStyle name="Обычный 57 3 2 2 2" xfId="57889"/>
    <cellStyle name="Обычный 57 3 2 3" xfId="57890"/>
    <cellStyle name="Обычный 57 3 3" xfId="28023"/>
    <cellStyle name="Обычный 57 3 3 2" xfId="57891"/>
    <cellStyle name="Обычный 57 3 4" xfId="57892"/>
    <cellStyle name="Обычный 57 4" xfId="28024"/>
    <cellStyle name="Обычный 57 4 2" xfId="28025"/>
    <cellStyle name="Обычный 57 4 2 2" xfId="28026"/>
    <cellStyle name="Обычный 57 4 2 2 2" xfId="57893"/>
    <cellStyle name="Обычный 57 4 2 3" xfId="57894"/>
    <cellStyle name="Обычный 57 4 3" xfId="28027"/>
    <cellStyle name="Обычный 57 4 3 2" xfId="57895"/>
    <cellStyle name="Обычный 57 4 4" xfId="57896"/>
    <cellStyle name="Обычный 57 5" xfId="28028"/>
    <cellStyle name="Обычный 57 5 2" xfId="28029"/>
    <cellStyle name="Обычный 57 5 2 2" xfId="57897"/>
    <cellStyle name="Обычный 57 5 3" xfId="57898"/>
    <cellStyle name="Обычный 57 6" xfId="28030"/>
    <cellStyle name="Обычный 57 6 2" xfId="57899"/>
    <cellStyle name="Обычный 57 7" xfId="28031"/>
    <cellStyle name="Обычный 57 7 2" xfId="57900"/>
    <cellStyle name="Обычный 57 8" xfId="57901"/>
    <cellStyle name="Обычный 58" xfId="28032"/>
    <cellStyle name="Обычный 58 2" xfId="28033"/>
    <cellStyle name="Обычный 58 2 2" xfId="28034"/>
    <cellStyle name="Обычный 58 2 2 2" xfId="28035"/>
    <cellStyle name="Обычный 58 2 2 2 2" xfId="57902"/>
    <cellStyle name="Обычный 58 2 2 3" xfId="57903"/>
    <cellStyle name="Обычный 58 2 3" xfId="28036"/>
    <cellStyle name="Обычный 58 2 3 2" xfId="57904"/>
    <cellStyle name="Обычный 58 2 4" xfId="57905"/>
    <cellStyle name="Обычный 58 3" xfId="28037"/>
    <cellStyle name="Обычный 58 3 2" xfId="28038"/>
    <cellStyle name="Обычный 58 3 2 2" xfId="28039"/>
    <cellStyle name="Обычный 58 3 2 2 2" xfId="57906"/>
    <cellStyle name="Обычный 58 3 2 3" xfId="57907"/>
    <cellStyle name="Обычный 58 3 3" xfId="28040"/>
    <cellStyle name="Обычный 58 3 3 2" xfId="57908"/>
    <cellStyle name="Обычный 58 3 4" xfId="57909"/>
    <cellStyle name="Обычный 58 4" xfId="28041"/>
    <cellStyle name="Обычный 58 4 2" xfId="28042"/>
    <cellStyle name="Обычный 58 4 2 2" xfId="28043"/>
    <cellStyle name="Обычный 58 4 2 2 2" xfId="57910"/>
    <cellStyle name="Обычный 58 4 2 3" xfId="57911"/>
    <cellStyle name="Обычный 58 4 3" xfId="28044"/>
    <cellStyle name="Обычный 58 4 3 2" xfId="57912"/>
    <cellStyle name="Обычный 58 4 4" xfId="57913"/>
    <cellStyle name="Обычный 58 5" xfId="28045"/>
    <cellStyle name="Обычный 58 5 2" xfId="28046"/>
    <cellStyle name="Обычный 58 5 2 2" xfId="57914"/>
    <cellStyle name="Обычный 58 5 3" xfId="57915"/>
    <cellStyle name="Обычный 58 6" xfId="28047"/>
    <cellStyle name="Обычный 58 6 2" xfId="57916"/>
    <cellStyle name="Обычный 58 7" xfId="28048"/>
    <cellStyle name="Обычный 58 7 2" xfId="57917"/>
    <cellStyle name="Обычный 58 8" xfId="57918"/>
    <cellStyle name="Обычный 59" xfId="28049"/>
    <cellStyle name="Обычный 59 2" xfId="28050"/>
    <cellStyle name="Обычный 59 2 2" xfId="28051"/>
    <cellStyle name="Обычный 59 2 2 2" xfId="28052"/>
    <cellStyle name="Обычный 59 2 2 2 2" xfId="57919"/>
    <cellStyle name="Обычный 59 2 2 3" xfId="57920"/>
    <cellStyle name="Обычный 59 2 3" xfId="28053"/>
    <cellStyle name="Обычный 59 2 3 2" xfId="57921"/>
    <cellStyle name="Обычный 59 2 4" xfId="57922"/>
    <cellStyle name="Обычный 59 3" xfId="28054"/>
    <cellStyle name="Обычный 59 3 2" xfId="28055"/>
    <cellStyle name="Обычный 59 3 2 2" xfId="28056"/>
    <cellStyle name="Обычный 59 3 2 2 2" xfId="57923"/>
    <cellStyle name="Обычный 59 3 2 3" xfId="57924"/>
    <cellStyle name="Обычный 59 3 3" xfId="28057"/>
    <cellStyle name="Обычный 59 3 3 2" xfId="57925"/>
    <cellStyle name="Обычный 59 3 4" xfId="57926"/>
    <cellStyle name="Обычный 59 4" xfId="28058"/>
    <cellStyle name="Обычный 59 4 2" xfId="28059"/>
    <cellStyle name="Обычный 59 4 2 2" xfId="28060"/>
    <cellStyle name="Обычный 59 4 2 2 2" xfId="57927"/>
    <cellStyle name="Обычный 59 4 2 3" xfId="57928"/>
    <cellStyle name="Обычный 59 4 3" xfId="28061"/>
    <cellStyle name="Обычный 59 4 3 2" xfId="57929"/>
    <cellStyle name="Обычный 59 4 4" xfId="57930"/>
    <cellStyle name="Обычный 59 5" xfId="28062"/>
    <cellStyle name="Обычный 59 5 2" xfId="28063"/>
    <cellStyle name="Обычный 59 5 2 2" xfId="57931"/>
    <cellStyle name="Обычный 59 5 3" xfId="57932"/>
    <cellStyle name="Обычный 59 6" xfId="28064"/>
    <cellStyle name="Обычный 59 6 2" xfId="57933"/>
    <cellStyle name="Обычный 59 7" xfId="28065"/>
    <cellStyle name="Обычный 59 7 2" xfId="57934"/>
    <cellStyle name="Обычный 59 8" xfId="57935"/>
    <cellStyle name="Обычный 6" xfId="19"/>
    <cellStyle name="Обычный 6 2" xfId="20"/>
    <cellStyle name="Обычный 6 2 2" xfId="28066"/>
    <cellStyle name="Обычный 6 2 3" xfId="28067"/>
    <cellStyle name="Обычный 6 3" xfId="33"/>
    <cellStyle name="Обычный 6 3 2" xfId="28068"/>
    <cellStyle name="Обычный 6 3 2 2" xfId="57936"/>
    <cellStyle name="Обычный 6 3 3" xfId="57937"/>
    <cellStyle name="Обычный 6 3 4" xfId="59127"/>
    <cellStyle name="Обычный 6 4" xfId="28069"/>
    <cellStyle name="Обычный 6 4 2" xfId="57938"/>
    <cellStyle name="Обычный 6 5" xfId="28070"/>
    <cellStyle name="Обычный 6 5 2" xfId="57939"/>
    <cellStyle name="Обычный 6 6" xfId="28071"/>
    <cellStyle name="Обычный 6 6 2" xfId="57940"/>
    <cellStyle name="Обычный 6 7" xfId="57941"/>
    <cellStyle name="Обычный 6 8" xfId="59128"/>
    <cellStyle name="Обычный 60" xfId="28072"/>
    <cellStyle name="Обычный 60 2" xfId="28073"/>
    <cellStyle name="Обычный 60 2 2" xfId="28074"/>
    <cellStyle name="Обычный 60 2 2 2" xfId="28075"/>
    <cellStyle name="Обычный 60 2 2 2 2" xfId="57942"/>
    <cellStyle name="Обычный 60 2 2 3" xfId="57943"/>
    <cellStyle name="Обычный 60 2 3" xfId="28076"/>
    <cellStyle name="Обычный 60 2 3 2" xfId="57944"/>
    <cellStyle name="Обычный 60 2 4" xfId="57945"/>
    <cellStyle name="Обычный 60 3" xfId="28077"/>
    <cellStyle name="Обычный 60 3 2" xfId="28078"/>
    <cellStyle name="Обычный 60 3 2 2" xfId="28079"/>
    <cellStyle name="Обычный 60 3 2 2 2" xfId="57946"/>
    <cellStyle name="Обычный 60 3 2 3" xfId="57947"/>
    <cellStyle name="Обычный 60 3 3" xfId="28080"/>
    <cellStyle name="Обычный 60 3 3 2" xfId="57948"/>
    <cellStyle name="Обычный 60 3 4" xfId="57949"/>
    <cellStyle name="Обычный 60 4" xfId="28081"/>
    <cellStyle name="Обычный 60 4 2" xfId="28082"/>
    <cellStyle name="Обычный 60 4 2 2" xfId="28083"/>
    <cellStyle name="Обычный 60 4 2 2 2" xfId="57950"/>
    <cellStyle name="Обычный 60 4 2 3" xfId="57951"/>
    <cellStyle name="Обычный 60 4 3" xfId="28084"/>
    <cellStyle name="Обычный 60 4 3 2" xfId="57952"/>
    <cellStyle name="Обычный 60 4 4" xfId="57953"/>
    <cellStyle name="Обычный 60 5" xfId="28085"/>
    <cellStyle name="Обычный 60 5 2" xfId="28086"/>
    <cellStyle name="Обычный 60 5 2 2" xfId="57954"/>
    <cellStyle name="Обычный 60 5 3" xfId="57955"/>
    <cellStyle name="Обычный 60 6" xfId="28087"/>
    <cellStyle name="Обычный 60 6 2" xfId="57956"/>
    <cellStyle name="Обычный 60 7" xfId="28088"/>
    <cellStyle name="Обычный 60 7 2" xfId="57957"/>
    <cellStyle name="Обычный 60 8" xfId="57958"/>
    <cellStyle name="Обычный 61" xfId="28089"/>
    <cellStyle name="Обычный 61 2" xfId="28090"/>
    <cellStyle name="Обычный 61 2 2" xfId="28091"/>
    <cellStyle name="Обычный 61 2 2 2" xfId="28092"/>
    <cellStyle name="Обычный 61 2 2 2 2" xfId="57959"/>
    <cellStyle name="Обычный 61 2 2 3" xfId="57960"/>
    <cellStyle name="Обычный 61 2 3" xfId="28093"/>
    <cellStyle name="Обычный 61 2 3 2" xfId="57961"/>
    <cellStyle name="Обычный 61 2 4" xfId="57962"/>
    <cellStyle name="Обычный 61 3" xfId="28094"/>
    <cellStyle name="Обычный 61 3 2" xfId="28095"/>
    <cellStyle name="Обычный 61 3 2 2" xfId="28096"/>
    <cellStyle name="Обычный 61 3 2 2 2" xfId="57963"/>
    <cellStyle name="Обычный 61 3 2 3" xfId="57964"/>
    <cellStyle name="Обычный 61 3 3" xfId="28097"/>
    <cellStyle name="Обычный 61 3 3 2" xfId="57965"/>
    <cellStyle name="Обычный 61 3 4" xfId="57966"/>
    <cellStyle name="Обычный 61 4" xfId="28098"/>
    <cellStyle name="Обычный 61 4 2" xfId="28099"/>
    <cellStyle name="Обычный 61 4 2 2" xfId="28100"/>
    <cellStyle name="Обычный 61 4 2 2 2" xfId="57967"/>
    <cellStyle name="Обычный 61 4 2 3" xfId="57968"/>
    <cellStyle name="Обычный 61 4 3" xfId="28101"/>
    <cellStyle name="Обычный 61 4 3 2" xfId="57969"/>
    <cellStyle name="Обычный 61 4 4" xfId="57970"/>
    <cellStyle name="Обычный 61 5" xfId="28102"/>
    <cellStyle name="Обычный 61 5 2" xfId="28103"/>
    <cellStyle name="Обычный 61 5 2 2" xfId="57971"/>
    <cellStyle name="Обычный 61 5 3" xfId="57972"/>
    <cellStyle name="Обычный 61 6" xfId="28104"/>
    <cellStyle name="Обычный 61 6 2" xfId="57973"/>
    <cellStyle name="Обычный 61 7" xfId="28105"/>
    <cellStyle name="Обычный 61 7 2" xfId="57974"/>
    <cellStyle name="Обычный 61 8" xfId="57975"/>
    <cellStyle name="Обычный 62" xfId="28106"/>
    <cellStyle name="Обычный 62 2" xfId="28107"/>
    <cellStyle name="Обычный 62 2 2" xfId="28108"/>
    <cellStyle name="Обычный 62 2 2 2" xfId="28109"/>
    <cellStyle name="Обычный 62 2 2 2 2" xfId="57976"/>
    <cellStyle name="Обычный 62 2 2 3" xfId="57977"/>
    <cellStyle name="Обычный 62 2 3" xfId="28110"/>
    <cellStyle name="Обычный 62 2 3 2" xfId="57978"/>
    <cellStyle name="Обычный 62 2 4" xfId="57979"/>
    <cellStyle name="Обычный 62 3" xfId="28111"/>
    <cellStyle name="Обычный 62 3 2" xfId="28112"/>
    <cellStyle name="Обычный 62 3 2 2" xfId="28113"/>
    <cellStyle name="Обычный 62 3 2 2 2" xfId="57980"/>
    <cellStyle name="Обычный 62 3 2 3" xfId="57981"/>
    <cellStyle name="Обычный 62 3 3" xfId="28114"/>
    <cellStyle name="Обычный 62 3 3 2" xfId="57982"/>
    <cellStyle name="Обычный 62 3 4" xfId="57983"/>
    <cellStyle name="Обычный 62 4" xfId="28115"/>
    <cellStyle name="Обычный 62 4 2" xfId="28116"/>
    <cellStyle name="Обычный 62 4 2 2" xfId="28117"/>
    <cellStyle name="Обычный 62 4 2 2 2" xfId="57984"/>
    <cellStyle name="Обычный 62 4 2 3" xfId="57985"/>
    <cellStyle name="Обычный 62 4 3" xfId="28118"/>
    <cellStyle name="Обычный 62 4 3 2" xfId="57986"/>
    <cellStyle name="Обычный 62 4 4" xfId="57987"/>
    <cellStyle name="Обычный 62 5" xfId="28119"/>
    <cellStyle name="Обычный 62 5 2" xfId="28120"/>
    <cellStyle name="Обычный 62 5 2 2" xfId="57988"/>
    <cellStyle name="Обычный 62 5 3" xfId="57989"/>
    <cellStyle name="Обычный 62 6" xfId="28121"/>
    <cellStyle name="Обычный 62 6 2" xfId="57990"/>
    <cellStyle name="Обычный 62 7" xfId="28122"/>
    <cellStyle name="Обычный 62 7 2" xfId="57991"/>
    <cellStyle name="Обычный 62 8" xfId="57992"/>
    <cellStyle name="Обычный 63" xfId="28123"/>
    <cellStyle name="Обычный 63 2" xfId="28124"/>
    <cellStyle name="Обычный 63 2 2" xfId="28125"/>
    <cellStyle name="Обычный 63 2 2 2" xfId="28126"/>
    <cellStyle name="Обычный 63 2 2 2 2" xfId="57993"/>
    <cellStyle name="Обычный 63 2 2 3" xfId="57994"/>
    <cellStyle name="Обычный 63 2 3" xfId="28127"/>
    <cellStyle name="Обычный 63 2 3 2" xfId="57995"/>
    <cellStyle name="Обычный 63 2 4" xfId="57996"/>
    <cellStyle name="Обычный 63 3" xfId="28128"/>
    <cellStyle name="Обычный 63 3 2" xfId="28129"/>
    <cellStyle name="Обычный 63 3 2 2" xfId="28130"/>
    <cellStyle name="Обычный 63 3 2 2 2" xfId="57997"/>
    <cellStyle name="Обычный 63 3 2 3" xfId="57998"/>
    <cellStyle name="Обычный 63 3 3" xfId="28131"/>
    <cellStyle name="Обычный 63 3 3 2" xfId="57999"/>
    <cellStyle name="Обычный 63 3 4" xfId="58000"/>
    <cellStyle name="Обычный 63 4" xfId="28132"/>
    <cellStyle name="Обычный 63 4 2" xfId="28133"/>
    <cellStyle name="Обычный 63 4 2 2" xfId="28134"/>
    <cellStyle name="Обычный 63 4 2 2 2" xfId="58001"/>
    <cellStyle name="Обычный 63 4 2 3" xfId="58002"/>
    <cellStyle name="Обычный 63 4 3" xfId="28135"/>
    <cellStyle name="Обычный 63 4 3 2" xfId="58003"/>
    <cellStyle name="Обычный 63 4 4" xfId="58004"/>
    <cellStyle name="Обычный 63 5" xfId="28136"/>
    <cellStyle name="Обычный 63 5 2" xfId="28137"/>
    <cellStyle name="Обычный 63 5 2 2" xfId="58005"/>
    <cellStyle name="Обычный 63 5 3" xfId="58006"/>
    <cellStyle name="Обычный 63 6" xfId="28138"/>
    <cellStyle name="Обычный 63 6 2" xfId="58007"/>
    <cellStyle name="Обычный 63 7" xfId="28139"/>
    <cellStyle name="Обычный 63 7 2" xfId="58008"/>
    <cellStyle name="Обычный 63 8" xfId="58009"/>
    <cellStyle name="Обычный 64" xfId="28140"/>
    <cellStyle name="Обычный 64 2" xfId="28141"/>
    <cellStyle name="Обычный 64 2 2" xfId="28142"/>
    <cellStyle name="Обычный 64 2 2 2" xfId="28143"/>
    <cellStyle name="Обычный 64 2 2 2 2" xfId="58010"/>
    <cellStyle name="Обычный 64 2 2 3" xfId="58011"/>
    <cellStyle name="Обычный 64 2 3" xfId="28144"/>
    <cellStyle name="Обычный 64 2 3 2" xfId="58012"/>
    <cellStyle name="Обычный 64 2 4" xfId="58013"/>
    <cellStyle name="Обычный 64 3" xfId="28145"/>
    <cellStyle name="Обычный 64 3 2" xfId="28146"/>
    <cellStyle name="Обычный 64 3 2 2" xfId="28147"/>
    <cellStyle name="Обычный 64 3 2 2 2" xfId="58014"/>
    <cellStyle name="Обычный 64 3 2 3" xfId="58015"/>
    <cellStyle name="Обычный 64 3 3" xfId="28148"/>
    <cellStyle name="Обычный 64 3 3 2" xfId="58016"/>
    <cellStyle name="Обычный 64 3 4" xfId="58017"/>
    <cellStyle name="Обычный 64 4" xfId="28149"/>
    <cellStyle name="Обычный 64 4 2" xfId="28150"/>
    <cellStyle name="Обычный 64 4 2 2" xfId="28151"/>
    <cellStyle name="Обычный 64 4 2 2 2" xfId="58018"/>
    <cellStyle name="Обычный 64 4 2 3" xfId="58019"/>
    <cellStyle name="Обычный 64 4 3" xfId="28152"/>
    <cellStyle name="Обычный 64 4 3 2" xfId="58020"/>
    <cellStyle name="Обычный 64 4 4" xfId="58021"/>
    <cellStyle name="Обычный 64 5" xfId="28153"/>
    <cellStyle name="Обычный 64 5 2" xfId="28154"/>
    <cellStyle name="Обычный 64 5 2 2" xfId="58022"/>
    <cellStyle name="Обычный 64 5 3" xfId="58023"/>
    <cellStyle name="Обычный 64 6" xfId="28155"/>
    <cellStyle name="Обычный 64 6 2" xfId="58024"/>
    <cellStyle name="Обычный 64 7" xfId="28156"/>
    <cellStyle name="Обычный 64 7 2" xfId="58025"/>
    <cellStyle name="Обычный 64 8" xfId="58026"/>
    <cellStyle name="Обычный 65" xfId="28157"/>
    <cellStyle name="Обычный 65 2" xfId="28158"/>
    <cellStyle name="Обычный 65 2 2" xfId="28159"/>
    <cellStyle name="Обычный 65 2 2 2" xfId="28160"/>
    <cellStyle name="Обычный 65 2 2 2 2" xfId="58027"/>
    <cellStyle name="Обычный 65 2 2 3" xfId="58028"/>
    <cellStyle name="Обычный 65 2 3" xfId="28161"/>
    <cellStyle name="Обычный 65 2 3 2" xfId="58029"/>
    <cellStyle name="Обычный 65 2 4" xfId="58030"/>
    <cellStyle name="Обычный 65 3" xfId="28162"/>
    <cellStyle name="Обычный 65 3 2" xfId="28163"/>
    <cellStyle name="Обычный 65 3 2 2" xfId="28164"/>
    <cellStyle name="Обычный 65 3 2 2 2" xfId="58031"/>
    <cellStyle name="Обычный 65 3 2 3" xfId="58032"/>
    <cellStyle name="Обычный 65 3 3" xfId="28165"/>
    <cellStyle name="Обычный 65 3 3 2" xfId="58033"/>
    <cellStyle name="Обычный 65 3 4" xfId="58034"/>
    <cellStyle name="Обычный 65 4" xfId="28166"/>
    <cellStyle name="Обычный 65 4 2" xfId="28167"/>
    <cellStyle name="Обычный 65 4 2 2" xfId="28168"/>
    <cellStyle name="Обычный 65 4 2 2 2" xfId="58035"/>
    <cellStyle name="Обычный 65 4 2 3" xfId="58036"/>
    <cellStyle name="Обычный 65 4 3" xfId="28169"/>
    <cellStyle name="Обычный 65 4 3 2" xfId="58037"/>
    <cellStyle name="Обычный 65 4 4" xfId="58038"/>
    <cellStyle name="Обычный 65 5" xfId="28170"/>
    <cellStyle name="Обычный 65 5 2" xfId="28171"/>
    <cellStyle name="Обычный 65 5 2 2" xfId="58039"/>
    <cellStyle name="Обычный 65 5 3" xfId="58040"/>
    <cellStyle name="Обычный 65 6" xfId="28172"/>
    <cellStyle name="Обычный 65 6 2" xfId="58041"/>
    <cellStyle name="Обычный 65 7" xfId="28173"/>
    <cellStyle name="Обычный 65 7 2" xfId="58042"/>
    <cellStyle name="Обычный 65 8" xfId="58043"/>
    <cellStyle name="Обычный 66" xfId="28174"/>
    <cellStyle name="Обычный 66 2" xfId="28175"/>
    <cellStyle name="Обычный 66 2 2" xfId="28176"/>
    <cellStyle name="Обычный 66 2 2 2" xfId="28177"/>
    <cellStyle name="Обычный 66 2 2 2 2" xfId="58044"/>
    <cellStyle name="Обычный 66 2 2 3" xfId="58045"/>
    <cellStyle name="Обычный 66 2 3" xfId="28178"/>
    <cellStyle name="Обычный 66 2 3 2" xfId="58046"/>
    <cellStyle name="Обычный 66 2 4" xfId="58047"/>
    <cellStyle name="Обычный 66 3" xfId="28179"/>
    <cellStyle name="Обычный 66 3 2" xfId="28180"/>
    <cellStyle name="Обычный 66 3 2 2" xfId="28181"/>
    <cellStyle name="Обычный 66 3 2 2 2" xfId="58048"/>
    <cellStyle name="Обычный 66 3 2 3" xfId="58049"/>
    <cellStyle name="Обычный 66 3 3" xfId="28182"/>
    <cellStyle name="Обычный 66 3 3 2" xfId="58050"/>
    <cellStyle name="Обычный 66 3 4" xfId="58051"/>
    <cellStyle name="Обычный 66 4" xfId="28183"/>
    <cellStyle name="Обычный 66 4 2" xfId="28184"/>
    <cellStyle name="Обычный 66 4 2 2" xfId="28185"/>
    <cellStyle name="Обычный 66 4 2 2 2" xfId="58052"/>
    <cellStyle name="Обычный 66 4 2 3" xfId="58053"/>
    <cellStyle name="Обычный 66 4 3" xfId="28186"/>
    <cellStyle name="Обычный 66 4 3 2" xfId="58054"/>
    <cellStyle name="Обычный 66 4 4" xfId="58055"/>
    <cellStyle name="Обычный 66 5" xfId="28187"/>
    <cellStyle name="Обычный 66 5 2" xfId="28188"/>
    <cellStyle name="Обычный 66 5 2 2" xfId="58056"/>
    <cellStyle name="Обычный 66 5 3" xfId="58057"/>
    <cellStyle name="Обычный 66 6" xfId="28189"/>
    <cellStyle name="Обычный 66 6 2" xfId="58058"/>
    <cellStyle name="Обычный 66 7" xfId="28190"/>
    <cellStyle name="Обычный 66 7 2" xfId="58059"/>
    <cellStyle name="Обычный 66 8" xfId="58060"/>
    <cellStyle name="Обычный 67" xfId="28191"/>
    <cellStyle name="Обычный 67 2" xfId="28192"/>
    <cellStyle name="Обычный 67 2 2" xfId="28193"/>
    <cellStyle name="Обычный 67 2 2 2" xfId="28194"/>
    <cellStyle name="Обычный 67 2 2 2 2" xfId="58061"/>
    <cellStyle name="Обычный 67 2 2 3" xfId="58062"/>
    <cellStyle name="Обычный 67 2 3" xfId="28195"/>
    <cellStyle name="Обычный 67 2 3 2" xfId="58063"/>
    <cellStyle name="Обычный 67 2 4" xfId="58064"/>
    <cellStyle name="Обычный 67 3" xfId="28196"/>
    <cellStyle name="Обычный 67 3 2" xfId="28197"/>
    <cellStyle name="Обычный 67 3 2 2" xfId="28198"/>
    <cellStyle name="Обычный 67 3 2 2 2" xfId="58065"/>
    <cellStyle name="Обычный 67 3 2 3" xfId="58066"/>
    <cellStyle name="Обычный 67 3 3" xfId="28199"/>
    <cellStyle name="Обычный 67 3 3 2" xfId="58067"/>
    <cellStyle name="Обычный 67 3 4" xfId="58068"/>
    <cellStyle name="Обычный 67 4" xfId="28200"/>
    <cellStyle name="Обычный 67 4 2" xfId="28201"/>
    <cellStyle name="Обычный 67 4 2 2" xfId="28202"/>
    <cellStyle name="Обычный 67 4 2 2 2" xfId="58069"/>
    <cellStyle name="Обычный 67 4 2 3" xfId="58070"/>
    <cellStyle name="Обычный 67 4 3" xfId="28203"/>
    <cellStyle name="Обычный 67 4 3 2" xfId="58071"/>
    <cellStyle name="Обычный 67 4 4" xfId="58072"/>
    <cellStyle name="Обычный 67 5" xfId="28204"/>
    <cellStyle name="Обычный 67 5 2" xfId="28205"/>
    <cellStyle name="Обычный 67 5 2 2" xfId="58073"/>
    <cellStyle name="Обычный 67 5 3" xfId="58074"/>
    <cellStyle name="Обычный 67 6" xfId="28206"/>
    <cellStyle name="Обычный 67 6 2" xfId="58075"/>
    <cellStyle name="Обычный 67 7" xfId="28207"/>
    <cellStyle name="Обычный 67 7 2" xfId="58076"/>
    <cellStyle name="Обычный 67 8" xfId="58077"/>
    <cellStyle name="Обычный 68" xfId="28208"/>
    <cellStyle name="Обычный 68 2" xfId="28209"/>
    <cellStyle name="Обычный 68 2 2" xfId="28210"/>
    <cellStyle name="Обычный 68 2 2 2" xfId="28211"/>
    <cellStyle name="Обычный 68 2 2 2 2" xfId="58078"/>
    <cellStyle name="Обычный 68 2 2 3" xfId="58079"/>
    <cellStyle name="Обычный 68 2 3" xfId="28212"/>
    <cellStyle name="Обычный 68 2 3 2" xfId="58080"/>
    <cellStyle name="Обычный 68 2 4" xfId="58081"/>
    <cellStyle name="Обычный 68 3" xfId="28213"/>
    <cellStyle name="Обычный 68 3 2" xfId="28214"/>
    <cellStyle name="Обычный 68 3 2 2" xfId="28215"/>
    <cellStyle name="Обычный 68 3 2 2 2" xfId="58082"/>
    <cellStyle name="Обычный 68 3 2 3" xfId="58083"/>
    <cellStyle name="Обычный 68 3 3" xfId="28216"/>
    <cellStyle name="Обычный 68 3 3 2" xfId="58084"/>
    <cellStyle name="Обычный 68 3 4" xfId="58085"/>
    <cellStyle name="Обычный 68 4" xfId="28217"/>
    <cellStyle name="Обычный 68 4 2" xfId="28218"/>
    <cellStyle name="Обычный 68 4 2 2" xfId="28219"/>
    <cellStyle name="Обычный 68 4 2 2 2" xfId="58086"/>
    <cellStyle name="Обычный 68 4 2 3" xfId="58087"/>
    <cellStyle name="Обычный 68 4 3" xfId="28220"/>
    <cellStyle name="Обычный 68 4 3 2" xfId="58088"/>
    <cellStyle name="Обычный 68 4 4" xfId="58089"/>
    <cellStyle name="Обычный 68 5" xfId="28221"/>
    <cellStyle name="Обычный 68 5 2" xfId="28222"/>
    <cellStyle name="Обычный 68 5 2 2" xfId="58090"/>
    <cellStyle name="Обычный 68 5 3" xfId="58091"/>
    <cellStyle name="Обычный 68 6" xfId="28223"/>
    <cellStyle name="Обычный 68 6 2" xfId="58092"/>
    <cellStyle name="Обычный 68 7" xfId="28224"/>
    <cellStyle name="Обычный 68 7 2" xfId="58093"/>
    <cellStyle name="Обычный 68 8" xfId="58094"/>
    <cellStyle name="Обычный 69" xfId="28225"/>
    <cellStyle name="Обычный 69 2" xfId="28226"/>
    <cellStyle name="Обычный 69 2 2" xfId="28227"/>
    <cellStyle name="Обычный 69 2 2 2" xfId="28228"/>
    <cellStyle name="Обычный 69 2 2 2 2" xfId="58095"/>
    <cellStyle name="Обычный 69 2 2 3" xfId="58096"/>
    <cellStyle name="Обычный 69 2 3" xfId="28229"/>
    <cellStyle name="Обычный 69 2 3 2" xfId="58097"/>
    <cellStyle name="Обычный 69 2 4" xfId="58098"/>
    <cellStyle name="Обычный 69 3" xfId="28230"/>
    <cellStyle name="Обычный 69 3 2" xfId="28231"/>
    <cellStyle name="Обычный 69 3 2 2" xfId="28232"/>
    <cellStyle name="Обычный 69 3 2 2 2" xfId="58099"/>
    <cellStyle name="Обычный 69 3 2 3" xfId="58100"/>
    <cellStyle name="Обычный 69 3 3" xfId="28233"/>
    <cellStyle name="Обычный 69 3 3 2" xfId="58101"/>
    <cellStyle name="Обычный 69 3 4" xfId="58102"/>
    <cellStyle name="Обычный 69 4" xfId="28234"/>
    <cellStyle name="Обычный 69 4 2" xfId="28235"/>
    <cellStyle name="Обычный 69 4 2 2" xfId="28236"/>
    <cellStyle name="Обычный 69 4 2 2 2" xfId="58103"/>
    <cellStyle name="Обычный 69 4 2 3" xfId="58104"/>
    <cellStyle name="Обычный 69 4 3" xfId="28237"/>
    <cellStyle name="Обычный 69 4 3 2" xfId="58105"/>
    <cellStyle name="Обычный 69 4 4" xfId="58106"/>
    <cellStyle name="Обычный 69 5" xfId="28238"/>
    <cellStyle name="Обычный 69 5 2" xfId="28239"/>
    <cellStyle name="Обычный 69 5 2 2" xfId="58107"/>
    <cellStyle name="Обычный 69 5 3" xfId="58108"/>
    <cellStyle name="Обычный 69 6" xfId="28240"/>
    <cellStyle name="Обычный 69 6 2" xfId="58109"/>
    <cellStyle name="Обычный 69 7" xfId="28241"/>
    <cellStyle name="Обычный 69 7 2" xfId="58110"/>
    <cellStyle name="Обычный 69 8" xfId="58111"/>
    <cellStyle name="Обычный 7" xfId="21"/>
    <cellStyle name="Обычный 7 2" xfId="22"/>
    <cellStyle name="Обычный 7 2 2" xfId="28242"/>
    <cellStyle name="Обычный 7 2 3" xfId="28243"/>
    <cellStyle name="Обычный 7 3" xfId="28244"/>
    <cellStyle name="Обычный 7 3 2" xfId="58112"/>
    <cellStyle name="Обычный 7 4" xfId="28245"/>
    <cellStyle name="Обычный 7 5" xfId="59129"/>
    <cellStyle name="Обычный 7_Корректировка 2 квартал ДПН ОМТС Июнь (02 06 09)" xfId="28246"/>
    <cellStyle name="Обычный 70" xfId="28247"/>
    <cellStyle name="Обычный 70 2" xfId="28248"/>
    <cellStyle name="Обычный 70 2 2" xfId="28249"/>
    <cellStyle name="Обычный 70 2 2 2" xfId="28250"/>
    <cellStyle name="Обычный 70 2 2 2 2" xfId="58113"/>
    <cellStyle name="Обычный 70 2 2 3" xfId="58114"/>
    <cellStyle name="Обычный 70 2 3" xfId="28251"/>
    <cellStyle name="Обычный 70 2 3 2" xfId="58115"/>
    <cellStyle name="Обычный 70 2 4" xfId="58116"/>
    <cellStyle name="Обычный 70 3" xfId="28252"/>
    <cellStyle name="Обычный 70 3 2" xfId="28253"/>
    <cellStyle name="Обычный 70 3 2 2" xfId="28254"/>
    <cellStyle name="Обычный 70 3 2 2 2" xfId="58117"/>
    <cellStyle name="Обычный 70 3 2 3" xfId="58118"/>
    <cellStyle name="Обычный 70 3 3" xfId="28255"/>
    <cellStyle name="Обычный 70 3 3 2" xfId="58119"/>
    <cellStyle name="Обычный 70 3 4" xfId="58120"/>
    <cellStyle name="Обычный 70 4" xfId="28256"/>
    <cellStyle name="Обычный 70 4 2" xfId="28257"/>
    <cellStyle name="Обычный 70 4 2 2" xfId="28258"/>
    <cellStyle name="Обычный 70 4 2 2 2" xfId="58121"/>
    <cellStyle name="Обычный 70 4 2 3" xfId="58122"/>
    <cellStyle name="Обычный 70 4 3" xfId="28259"/>
    <cellStyle name="Обычный 70 4 3 2" xfId="58123"/>
    <cellStyle name="Обычный 70 4 4" xfId="58124"/>
    <cellStyle name="Обычный 70 5" xfId="28260"/>
    <cellStyle name="Обычный 70 5 2" xfId="28261"/>
    <cellStyle name="Обычный 70 5 2 2" xfId="58125"/>
    <cellStyle name="Обычный 70 5 3" xfId="58126"/>
    <cellStyle name="Обычный 70 6" xfId="28262"/>
    <cellStyle name="Обычный 70 6 2" xfId="58127"/>
    <cellStyle name="Обычный 70 7" xfId="28263"/>
    <cellStyle name="Обычный 70 7 2" xfId="58128"/>
    <cellStyle name="Обычный 70 8" xfId="58129"/>
    <cellStyle name="Обычный 71" xfId="28264"/>
    <cellStyle name="Обычный 71 2" xfId="28265"/>
    <cellStyle name="Обычный 71 2 2" xfId="28266"/>
    <cellStyle name="Обычный 71 2 2 2" xfId="28267"/>
    <cellStyle name="Обычный 71 2 2 2 2" xfId="58130"/>
    <cellStyle name="Обычный 71 2 2 3" xfId="58131"/>
    <cellStyle name="Обычный 71 2 3" xfId="28268"/>
    <cellStyle name="Обычный 71 2 3 2" xfId="58132"/>
    <cellStyle name="Обычный 71 2 4" xfId="58133"/>
    <cellStyle name="Обычный 71 3" xfId="28269"/>
    <cellStyle name="Обычный 71 3 2" xfId="28270"/>
    <cellStyle name="Обычный 71 3 2 2" xfId="28271"/>
    <cellStyle name="Обычный 71 3 2 2 2" xfId="58134"/>
    <cellStyle name="Обычный 71 3 2 3" xfId="58135"/>
    <cellStyle name="Обычный 71 3 3" xfId="28272"/>
    <cellStyle name="Обычный 71 3 3 2" xfId="58136"/>
    <cellStyle name="Обычный 71 3 4" xfId="58137"/>
    <cellStyle name="Обычный 71 4" xfId="28273"/>
    <cellStyle name="Обычный 71 4 2" xfId="28274"/>
    <cellStyle name="Обычный 71 4 2 2" xfId="28275"/>
    <cellStyle name="Обычный 71 4 2 2 2" xfId="58138"/>
    <cellStyle name="Обычный 71 4 2 3" xfId="58139"/>
    <cellStyle name="Обычный 71 4 3" xfId="28276"/>
    <cellStyle name="Обычный 71 4 3 2" xfId="58140"/>
    <cellStyle name="Обычный 71 4 4" xfId="58141"/>
    <cellStyle name="Обычный 71 5" xfId="28277"/>
    <cellStyle name="Обычный 71 5 2" xfId="28278"/>
    <cellStyle name="Обычный 71 5 2 2" xfId="58142"/>
    <cellStyle name="Обычный 71 5 3" xfId="58143"/>
    <cellStyle name="Обычный 71 6" xfId="28279"/>
    <cellStyle name="Обычный 71 6 2" xfId="58144"/>
    <cellStyle name="Обычный 71 7" xfId="28280"/>
    <cellStyle name="Обычный 71 7 2" xfId="58145"/>
    <cellStyle name="Обычный 71 8" xfId="58146"/>
    <cellStyle name="Обычный 72" xfId="28281"/>
    <cellStyle name="Обычный 72 2" xfId="28282"/>
    <cellStyle name="Обычный 72 2 2" xfId="28283"/>
    <cellStyle name="Обычный 72 2 2 2" xfId="28284"/>
    <cellStyle name="Обычный 72 2 2 2 2" xfId="58147"/>
    <cellStyle name="Обычный 72 2 2 3" xfId="58148"/>
    <cellStyle name="Обычный 72 2 3" xfId="28285"/>
    <cellStyle name="Обычный 72 2 3 2" xfId="58149"/>
    <cellStyle name="Обычный 72 2 4" xfId="58150"/>
    <cellStyle name="Обычный 72 3" xfId="28286"/>
    <cellStyle name="Обычный 72 3 2" xfId="28287"/>
    <cellStyle name="Обычный 72 3 2 2" xfId="28288"/>
    <cellStyle name="Обычный 72 3 2 2 2" xfId="58151"/>
    <cellStyle name="Обычный 72 3 2 3" xfId="58152"/>
    <cellStyle name="Обычный 72 3 3" xfId="28289"/>
    <cellStyle name="Обычный 72 3 3 2" xfId="58153"/>
    <cellStyle name="Обычный 72 3 4" xfId="58154"/>
    <cellStyle name="Обычный 72 4" xfId="28290"/>
    <cellStyle name="Обычный 72 4 2" xfId="28291"/>
    <cellStyle name="Обычный 72 4 2 2" xfId="28292"/>
    <cellStyle name="Обычный 72 4 2 2 2" xfId="58155"/>
    <cellStyle name="Обычный 72 4 2 3" xfId="58156"/>
    <cellStyle name="Обычный 72 4 3" xfId="28293"/>
    <cellStyle name="Обычный 72 4 3 2" xfId="58157"/>
    <cellStyle name="Обычный 72 4 4" xfId="58158"/>
    <cellStyle name="Обычный 72 5" xfId="28294"/>
    <cellStyle name="Обычный 72 5 2" xfId="28295"/>
    <cellStyle name="Обычный 72 5 2 2" xfId="58159"/>
    <cellStyle name="Обычный 72 5 3" xfId="58160"/>
    <cellStyle name="Обычный 72 6" xfId="28296"/>
    <cellStyle name="Обычный 72 6 2" xfId="58161"/>
    <cellStyle name="Обычный 72 7" xfId="28297"/>
    <cellStyle name="Обычный 72 7 2" xfId="58162"/>
    <cellStyle name="Обычный 72 8" xfId="58163"/>
    <cellStyle name="Обычный 73" xfId="28298"/>
    <cellStyle name="Обычный 73 2" xfId="28299"/>
    <cellStyle name="Обычный 73 2 2" xfId="28300"/>
    <cellStyle name="Обычный 73 2 2 2" xfId="28301"/>
    <cellStyle name="Обычный 73 2 2 2 2" xfId="58164"/>
    <cellStyle name="Обычный 73 2 2 3" xfId="58165"/>
    <cellStyle name="Обычный 73 2 3" xfId="28302"/>
    <cellStyle name="Обычный 73 2 3 2" xfId="58166"/>
    <cellStyle name="Обычный 73 2 4" xfId="58167"/>
    <cellStyle name="Обычный 73 3" xfId="28303"/>
    <cellStyle name="Обычный 73 3 2" xfId="28304"/>
    <cellStyle name="Обычный 73 3 2 2" xfId="28305"/>
    <cellStyle name="Обычный 73 3 2 2 2" xfId="58168"/>
    <cellStyle name="Обычный 73 3 2 3" xfId="58169"/>
    <cellStyle name="Обычный 73 3 3" xfId="28306"/>
    <cellStyle name="Обычный 73 3 3 2" xfId="58170"/>
    <cellStyle name="Обычный 73 3 4" xfId="58171"/>
    <cellStyle name="Обычный 73 4" xfId="28307"/>
    <cellStyle name="Обычный 73 4 2" xfId="28308"/>
    <cellStyle name="Обычный 73 4 2 2" xfId="28309"/>
    <cellStyle name="Обычный 73 4 2 2 2" xfId="58172"/>
    <cellStyle name="Обычный 73 4 2 3" xfId="58173"/>
    <cellStyle name="Обычный 73 4 3" xfId="28310"/>
    <cellStyle name="Обычный 73 4 3 2" xfId="58174"/>
    <cellStyle name="Обычный 73 4 4" xfId="58175"/>
    <cellStyle name="Обычный 73 5" xfId="28311"/>
    <cellStyle name="Обычный 73 5 2" xfId="28312"/>
    <cellStyle name="Обычный 73 5 2 2" xfId="58176"/>
    <cellStyle name="Обычный 73 5 3" xfId="58177"/>
    <cellStyle name="Обычный 73 6" xfId="28313"/>
    <cellStyle name="Обычный 73 6 2" xfId="58178"/>
    <cellStyle name="Обычный 73 7" xfId="28314"/>
    <cellStyle name="Обычный 73 7 2" xfId="58179"/>
    <cellStyle name="Обычный 73 8" xfId="58180"/>
    <cellStyle name="Обычный 74" xfId="28315"/>
    <cellStyle name="Обычный 74 2" xfId="28316"/>
    <cellStyle name="Обычный 74 2 2" xfId="28317"/>
    <cellStyle name="Обычный 74 2 2 2" xfId="28318"/>
    <cellStyle name="Обычный 74 2 2 2 2" xfId="58181"/>
    <cellStyle name="Обычный 74 2 2 3" xfId="58182"/>
    <cellStyle name="Обычный 74 2 3" xfId="28319"/>
    <cellStyle name="Обычный 74 2 3 2" xfId="58183"/>
    <cellStyle name="Обычный 74 2 4" xfId="58184"/>
    <cellStyle name="Обычный 74 3" xfId="28320"/>
    <cellStyle name="Обычный 74 3 2" xfId="28321"/>
    <cellStyle name="Обычный 74 3 2 2" xfId="28322"/>
    <cellStyle name="Обычный 74 3 2 2 2" xfId="58185"/>
    <cellStyle name="Обычный 74 3 2 3" xfId="58186"/>
    <cellStyle name="Обычный 74 3 3" xfId="28323"/>
    <cellStyle name="Обычный 74 3 3 2" xfId="58187"/>
    <cellStyle name="Обычный 74 3 4" xfId="58188"/>
    <cellStyle name="Обычный 74 4" xfId="28324"/>
    <cellStyle name="Обычный 74 4 2" xfId="28325"/>
    <cellStyle name="Обычный 74 4 2 2" xfId="28326"/>
    <cellStyle name="Обычный 74 4 2 2 2" xfId="58189"/>
    <cellStyle name="Обычный 74 4 2 3" xfId="58190"/>
    <cellStyle name="Обычный 74 4 3" xfId="28327"/>
    <cellStyle name="Обычный 74 4 3 2" xfId="58191"/>
    <cellStyle name="Обычный 74 4 4" xfId="58192"/>
    <cellStyle name="Обычный 74 5" xfId="28328"/>
    <cellStyle name="Обычный 74 5 2" xfId="28329"/>
    <cellStyle name="Обычный 74 5 2 2" xfId="58193"/>
    <cellStyle name="Обычный 74 5 3" xfId="58194"/>
    <cellStyle name="Обычный 74 6" xfId="28330"/>
    <cellStyle name="Обычный 74 6 2" xfId="58195"/>
    <cellStyle name="Обычный 74 7" xfId="28331"/>
    <cellStyle name="Обычный 74 7 2" xfId="58196"/>
    <cellStyle name="Обычный 74 8" xfId="58197"/>
    <cellStyle name="Обычный 75" xfId="28332"/>
    <cellStyle name="Обычный 75 2" xfId="28333"/>
    <cellStyle name="Обычный 75 2 2" xfId="28334"/>
    <cellStyle name="Обычный 75 2 2 2" xfId="28335"/>
    <cellStyle name="Обычный 75 2 2 2 2" xfId="58198"/>
    <cellStyle name="Обычный 75 2 2 3" xfId="58199"/>
    <cellStyle name="Обычный 75 2 3" xfId="28336"/>
    <cellStyle name="Обычный 75 2 3 2" xfId="58200"/>
    <cellStyle name="Обычный 75 2 4" xfId="58201"/>
    <cellStyle name="Обычный 75 3" xfId="28337"/>
    <cellStyle name="Обычный 75 3 2" xfId="28338"/>
    <cellStyle name="Обычный 75 3 2 2" xfId="28339"/>
    <cellStyle name="Обычный 75 3 2 2 2" xfId="58202"/>
    <cellStyle name="Обычный 75 3 2 3" xfId="58203"/>
    <cellStyle name="Обычный 75 3 3" xfId="28340"/>
    <cellStyle name="Обычный 75 3 3 2" xfId="58204"/>
    <cellStyle name="Обычный 75 3 4" xfId="58205"/>
    <cellStyle name="Обычный 75 4" xfId="28341"/>
    <cellStyle name="Обычный 75 4 2" xfId="28342"/>
    <cellStyle name="Обычный 75 4 2 2" xfId="28343"/>
    <cellStyle name="Обычный 75 4 2 2 2" xfId="58206"/>
    <cellStyle name="Обычный 75 4 2 3" xfId="58207"/>
    <cellStyle name="Обычный 75 4 3" xfId="28344"/>
    <cellStyle name="Обычный 75 4 3 2" xfId="58208"/>
    <cellStyle name="Обычный 75 4 4" xfId="58209"/>
    <cellStyle name="Обычный 75 5" xfId="28345"/>
    <cellStyle name="Обычный 75 5 2" xfId="28346"/>
    <cellStyle name="Обычный 75 5 2 2" xfId="58210"/>
    <cellStyle name="Обычный 75 5 3" xfId="58211"/>
    <cellStyle name="Обычный 75 6" xfId="28347"/>
    <cellStyle name="Обычный 75 6 2" xfId="58212"/>
    <cellStyle name="Обычный 75 7" xfId="28348"/>
    <cellStyle name="Обычный 75 7 2" xfId="58213"/>
    <cellStyle name="Обычный 75 8" xfId="58214"/>
    <cellStyle name="Обычный 76" xfId="28349"/>
    <cellStyle name="Обычный 76 2" xfId="28350"/>
    <cellStyle name="Обычный 76 2 2" xfId="28351"/>
    <cellStyle name="Обычный 76 2 2 2" xfId="28352"/>
    <cellStyle name="Обычный 76 2 2 2 2" xfId="58215"/>
    <cellStyle name="Обычный 76 2 2 3" xfId="58216"/>
    <cellStyle name="Обычный 76 2 3" xfId="28353"/>
    <cellStyle name="Обычный 76 2 3 2" xfId="58217"/>
    <cellStyle name="Обычный 76 2 4" xfId="58218"/>
    <cellStyle name="Обычный 76 3" xfId="28354"/>
    <cellStyle name="Обычный 76 3 2" xfId="28355"/>
    <cellStyle name="Обычный 76 3 2 2" xfId="28356"/>
    <cellStyle name="Обычный 76 3 2 2 2" xfId="58219"/>
    <cellStyle name="Обычный 76 3 2 3" xfId="58220"/>
    <cellStyle name="Обычный 76 3 3" xfId="28357"/>
    <cellStyle name="Обычный 76 3 3 2" xfId="58221"/>
    <cellStyle name="Обычный 76 3 4" xfId="58222"/>
    <cellStyle name="Обычный 76 4" xfId="28358"/>
    <cellStyle name="Обычный 76 4 2" xfId="28359"/>
    <cellStyle name="Обычный 76 4 2 2" xfId="28360"/>
    <cellStyle name="Обычный 76 4 2 2 2" xfId="58223"/>
    <cellStyle name="Обычный 76 4 2 3" xfId="58224"/>
    <cellStyle name="Обычный 76 4 3" xfId="28361"/>
    <cellStyle name="Обычный 76 4 3 2" xfId="58225"/>
    <cellStyle name="Обычный 76 4 4" xfId="58226"/>
    <cellStyle name="Обычный 76 5" xfId="28362"/>
    <cellStyle name="Обычный 76 5 2" xfId="28363"/>
    <cellStyle name="Обычный 76 5 2 2" xfId="58227"/>
    <cellStyle name="Обычный 76 5 3" xfId="58228"/>
    <cellStyle name="Обычный 76 6" xfId="28364"/>
    <cellStyle name="Обычный 76 6 2" xfId="58229"/>
    <cellStyle name="Обычный 76 7" xfId="28365"/>
    <cellStyle name="Обычный 76 7 2" xfId="58230"/>
    <cellStyle name="Обычный 76 8" xfId="58231"/>
    <cellStyle name="Обычный 77" xfId="28366"/>
    <cellStyle name="Обычный 77 2" xfId="28367"/>
    <cellStyle name="Обычный 77 2 2" xfId="28368"/>
    <cellStyle name="Обычный 77 2 2 2" xfId="28369"/>
    <cellStyle name="Обычный 77 2 2 2 2" xfId="58232"/>
    <cellStyle name="Обычный 77 2 2 3" xfId="58233"/>
    <cellStyle name="Обычный 77 2 3" xfId="28370"/>
    <cellStyle name="Обычный 77 2 3 2" xfId="58234"/>
    <cellStyle name="Обычный 77 2 4" xfId="58235"/>
    <cellStyle name="Обычный 77 3" xfId="28371"/>
    <cellStyle name="Обычный 77 3 2" xfId="28372"/>
    <cellStyle name="Обычный 77 3 2 2" xfId="28373"/>
    <cellStyle name="Обычный 77 3 2 2 2" xfId="58236"/>
    <cellStyle name="Обычный 77 3 2 3" xfId="58237"/>
    <cellStyle name="Обычный 77 3 3" xfId="28374"/>
    <cellStyle name="Обычный 77 3 3 2" xfId="58238"/>
    <cellStyle name="Обычный 77 3 4" xfId="58239"/>
    <cellStyle name="Обычный 77 4" xfId="28375"/>
    <cellStyle name="Обычный 77 4 2" xfId="28376"/>
    <cellStyle name="Обычный 77 4 2 2" xfId="28377"/>
    <cellStyle name="Обычный 77 4 2 2 2" xfId="58240"/>
    <cellStyle name="Обычный 77 4 2 3" xfId="58241"/>
    <cellStyle name="Обычный 77 4 3" xfId="28378"/>
    <cellStyle name="Обычный 77 4 3 2" xfId="58242"/>
    <cellStyle name="Обычный 77 4 4" xfId="58243"/>
    <cellStyle name="Обычный 77 5" xfId="28379"/>
    <cellStyle name="Обычный 77 5 2" xfId="28380"/>
    <cellStyle name="Обычный 77 5 2 2" xfId="58244"/>
    <cellStyle name="Обычный 77 5 3" xfId="58245"/>
    <cellStyle name="Обычный 77 6" xfId="28381"/>
    <cellStyle name="Обычный 77 6 2" xfId="58246"/>
    <cellStyle name="Обычный 77 7" xfId="28382"/>
    <cellStyle name="Обычный 77 7 2" xfId="58247"/>
    <cellStyle name="Обычный 77 8" xfId="58248"/>
    <cellStyle name="Обычный 78" xfId="28383"/>
    <cellStyle name="Обычный 78 2" xfId="28384"/>
    <cellStyle name="Обычный 78 2 2" xfId="28385"/>
    <cellStyle name="Обычный 78 2 2 2" xfId="28386"/>
    <cellStyle name="Обычный 78 2 2 2 2" xfId="58249"/>
    <cellStyle name="Обычный 78 2 2 3" xfId="58250"/>
    <cellStyle name="Обычный 78 2 3" xfId="28387"/>
    <cellStyle name="Обычный 78 2 3 2" xfId="58251"/>
    <cellStyle name="Обычный 78 2 4" xfId="58252"/>
    <cellStyle name="Обычный 78 3" xfId="28388"/>
    <cellStyle name="Обычный 78 3 2" xfId="28389"/>
    <cellStyle name="Обычный 78 3 2 2" xfId="28390"/>
    <cellStyle name="Обычный 78 3 2 2 2" xfId="58253"/>
    <cellStyle name="Обычный 78 3 2 3" xfId="58254"/>
    <cellStyle name="Обычный 78 3 3" xfId="28391"/>
    <cellStyle name="Обычный 78 3 3 2" xfId="58255"/>
    <cellStyle name="Обычный 78 3 4" xfId="58256"/>
    <cellStyle name="Обычный 78 4" xfId="28392"/>
    <cellStyle name="Обычный 78 4 2" xfId="28393"/>
    <cellStyle name="Обычный 78 4 2 2" xfId="28394"/>
    <cellStyle name="Обычный 78 4 2 2 2" xfId="58257"/>
    <cellStyle name="Обычный 78 4 2 3" xfId="58258"/>
    <cellStyle name="Обычный 78 4 3" xfId="28395"/>
    <cellStyle name="Обычный 78 4 3 2" xfId="58259"/>
    <cellStyle name="Обычный 78 4 4" xfId="58260"/>
    <cellStyle name="Обычный 78 5" xfId="28396"/>
    <cellStyle name="Обычный 78 5 2" xfId="28397"/>
    <cellStyle name="Обычный 78 5 2 2" xfId="58261"/>
    <cellStyle name="Обычный 78 5 3" xfId="58262"/>
    <cellStyle name="Обычный 78 6" xfId="28398"/>
    <cellStyle name="Обычный 78 6 2" xfId="58263"/>
    <cellStyle name="Обычный 78 7" xfId="28399"/>
    <cellStyle name="Обычный 78 7 2" xfId="58264"/>
    <cellStyle name="Обычный 78 8" xfId="58265"/>
    <cellStyle name="Обычный 79" xfId="28400"/>
    <cellStyle name="Обычный 79 2" xfId="28401"/>
    <cellStyle name="Обычный 79 2 2" xfId="28402"/>
    <cellStyle name="Обычный 79 2 2 2" xfId="28403"/>
    <cellStyle name="Обычный 79 2 2 2 2" xfId="58266"/>
    <cellStyle name="Обычный 79 2 2 3" xfId="58267"/>
    <cellStyle name="Обычный 79 2 3" xfId="28404"/>
    <cellStyle name="Обычный 79 2 3 2" xfId="58268"/>
    <cellStyle name="Обычный 79 2 4" xfId="58269"/>
    <cellStyle name="Обычный 79 3" xfId="28405"/>
    <cellStyle name="Обычный 79 3 2" xfId="28406"/>
    <cellStyle name="Обычный 79 3 2 2" xfId="28407"/>
    <cellStyle name="Обычный 79 3 2 2 2" xfId="58270"/>
    <cellStyle name="Обычный 79 3 2 3" xfId="58271"/>
    <cellStyle name="Обычный 79 3 3" xfId="28408"/>
    <cellStyle name="Обычный 79 3 3 2" xfId="58272"/>
    <cellStyle name="Обычный 79 3 4" xfId="58273"/>
    <cellStyle name="Обычный 79 4" xfId="28409"/>
    <cellStyle name="Обычный 79 4 2" xfId="28410"/>
    <cellStyle name="Обычный 79 4 2 2" xfId="28411"/>
    <cellStyle name="Обычный 79 4 2 2 2" xfId="58274"/>
    <cellStyle name="Обычный 79 4 2 3" xfId="58275"/>
    <cellStyle name="Обычный 79 4 3" xfId="28412"/>
    <cellStyle name="Обычный 79 4 3 2" xfId="58276"/>
    <cellStyle name="Обычный 79 4 4" xfId="58277"/>
    <cellStyle name="Обычный 79 5" xfId="28413"/>
    <cellStyle name="Обычный 79 5 2" xfId="28414"/>
    <cellStyle name="Обычный 79 5 2 2" xfId="58278"/>
    <cellStyle name="Обычный 79 5 3" xfId="58279"/>
    <cellStyle name="Обычный 79 6" xfId="28415"/>
    <cellStyle name="Обычный 79 6 2" xfId="58280"/>
    <cellStyle name="Обычный 79 7" xfId="28416"/>
    <cellStyle name="Обычный 79 7 2" xfId="58281"/>
    <cellStyle name="Обычный 79 8" xfId="58282"/>
    <cellStyle name="Обычный 8" xfId="23"/>
    <cellStyle name="Обычный 8 2" xfId="28417"/>
    <cellStyle name="Обычный 8 2 2" xfId="58283"/>
    <cellStyle name="Обычный 8 3" xfId="28418"/>
    <cellStyle name="Обычный 8 3 2" xfId="58284"/>
    <cellStyle name="Обычный 8 4" xfId="28419"/>
    <cellStyle name="Обычный 8 4 2" xfId="58285"/>
    <cellStyle name="Обычный 8 5" xfId="28420"/>
    <cellStyle name="Обычный 8 6" xfId="28421"/>
    <cellStyle name="Обычный 8 7" xfId="59130"/>
    <cellStyle name="Обычный 80" xfId="28422"/>
    <cellStyle name="Обычный 80 2" xfId="28423"/>
    <cellStyle name="Обычный 80 2 2" xfId="28424"/>
    <cellStyle name="Обычный 80 2 2 2" xfId="28425"/>
    <cellStyle name="Обычный 80 2 2 2 2" xfId="58286"/>
    <cellStyle name="Обычный 80 2 2 3" xfId="58287"/>
    <cellStyle name="Обычный 80 2 3" xfId="28426"/>
    <cellStyle name="Обычный 80 2 3 2" xfId="58288"/>
    <cellStyle name="Обычный 80 2 4" xfId="58289"/>
    <cellStyle name="Обычный 80 3" xfId="28427"/>
    <cellStyle name="Обычный 80 3 2" xfId="28428"/>
    <cellStyle name="Обычный 80 3 2 2" xfId="28429"/>
    <cellStyle name="Обычный 80 3 2 2 2" xfId="58290"/>
    <cellStyle name="Обычный 80 3 2 3" xfId="58291"/>
    <cellStyle name="Обычный 80 3 3" xfId="28430"/>
    <cellStyle name="Обычный 80 3 3 2" xfId="58292"/>
    <cellStyle name="Обычный 80 3 4" xfId="58293"/>
    <cellStyle name="Обычный 80 4" xfId="28431"/>
    <cellStyle name="Обычный 80 4 2" xfId="28432"/>
    <cellStyle name="Обычный 80 4 2 2" xfId="28433"/>
    <cellStyle name="Обычный 80 4 2 2 2" xfId="58294"/>
    <cellStyle name="Обычный 80 4 2 3" xfId="58295"/>
    <cellStyle name="Обычный 80 4 3" xfId="28434"/>
    <cellStyle name="Обычный 80 4 3 2" xfId="58296"/>
    <cellStyle name="Обычный 80 4 4" xfId="58297"/>
    <cellStyle name="Обычный 80 5" xfId="28435"/>
    <cellStyle name="Обычный 80 5 2" xfId="28436"/>
    <cellStyle name="Обычный 80 5 2 2" xfId="58298"/>
    <cellStyle name="Обычный 80 5 3" xfId="58299"/>
    <cellStyle name="Обычный 80 6" xfId="28437"/>
    <cellStyle name="Обычный 80 6 2" xfId="58300"/>
    <cellStyle name="Обычный 80 7" xfId="28438"/>
    <cellStyle name="Обычный 80 7 2" xfId="58301"/>
    <cellStyle name="Обычный 80 8" xfId="58302"/>
    <cellStyle name="Обычный 81" xfId="28439"/>
    <cellStyle name="Обычный 81 2" xfId="28440"/>
    <cellStyle name="Обычный 81 2 2" xfId="28441"/>
    <cellStyle name="Обычный 81 2 2 2" xfId="28442"/>
    <cellStyle name="Обычный 81 2 2 2 2" xfId="58303"/>
    <cellStyle name="Обычный 81 2 2 3" xfId="58304"/>
    <cellStyle name="Обычный 81 2 3" xfId="28443"/>
    <cellStyle name="Обычный 81 2 3 2" xfId="58305"/>
    <cellStyle name="Обычный 81 2 4" xfId="58306"/>
    <cellStyle name="Обычный 81 3" xfId="28444"/>
    <cellStyle name="Обычный 81 3 2" xfId="28445"/>
    <cellStyle name="Обычный 81 3 2 2" xfId="28446"/>
    <cellStyle name="Обычный 81 3 2 2 2" xfId="58307"/>
    <cellStyle name="Обычный 81 3 2 3" xfId="58308"/>
    <cellStyle name="Обычный 81 3 3" xfId="28447"/>
    <cellStyle name="Обычный 81 3 3 2" xfId="58309"/>
    <cellStyle name="Обычный 81 3 4" xfId="58310"/>
    <cellStyle name="Обычный 81 4" xfId="28448"/>
    <cellStyle name="Обычный 81 4 2" xfId="28449"/>
    <cellStyle name="Обычный 81 4 2 2" xfId="28450"/>
    <cellStyle name="Обычный 81 4 2 2 2" xfId="58311"/>
    <cellStyle name="Обычный 81 4 2 3" xfId="58312"/>
    <cellStyle name="Обычный 81 4 3" xfId="28451"/>
    <cellStyle name="Обычный 81 4 3 2" xfId="58313"/>
    <cellStyle name="Обычный 81 4 4" xfId="58314"/>
    <cellStyle name="Обычный 81 5" xfId="28452"/>
    <cellStyle name="Обычный 81 5 2" xfId="28453"/>
    <cellStyle name="Обычный 81 5 2 2" xfId="58315"/>
    <cellStyle name="Обычный 81 5 3" xfId="58316"/>
    <cellStyle name="Обычный 81 6" xfId="28454"/>
    <cellStyle name="Обычный 81 6 2" xfId="58317"/>
    <cellStyle name="Обычный 81 7" xfId="28455"/>
    <cellStyle name="Обычный 81 7 2" xfId="58318"/>
    <cellStyle name="Обычный 81 8" xfId="58319"/>
    <cellStyle name="Обычный 82" xfId="28456"/>
    <cellStyle name="Обычный 82 2" xfId="28457"/>
    <cellStyle name="Обычный 82 2 2" xfId="28458"/>
    <cellStyle name="Обычный 82 2 2 2" xfId="28459"/>
    <cellStyle name="Обычный 82 2 2 2 2" xfId="58320"/>
    <cellStyle name="Обычный 82 2 2 3" xfId="58321"/>
    <cellStyle name="Обычный 82 2 3" xfId="28460"/>
    <cellStyle name="Обычный 82 2 3 2" xfId="58322"/>
    <cellStyle name="Обычный 82 2 4" xfId="58323"/>
    <cellStyle name="Обычный 82 3" xfId="28461"/>
    <cellStyle name="Обычный 82 3 2" xfId="28462"/>
    <cellStyle name="Обычный 82 3 2 2" xfId="28463"/>
    <cellStyle name="Обычный 82 3 2 2 2" xfId="58324"/>
    <cellStyle name="Обычный 82 3 2 3" xfId="58325"/>
    <cellStyle name="Обычный 82 3 3" xfId="28464"/>
    <cellStyle name="Обычный 82 3 3 2" xfId="58326"/>
    <cellStyle name="Обычный 82 3 4" xfId="58327"/>
    <cellStyle name="Обычный 82 4" xfId="28465"/>
    <cellStyle name="Обычный 82 4 2" xfId="28466"/>
    <cellStyle name="Обычный 82 4 2 2" xfId="28467"/>
    <cellStyle name="Обычный 82 4 2 2 2" xfId="58328"/>
    <cellStyle name="Обычный 82 4 2 3" xfId="58329"/>
    <cellStyle name="Обычный 82 4 3" xfId="28468"/>
    <cellStyle name="Обычный 82 4 3 2" xfId="58330"/>
    <cellStyle name="Обычный 82 4 4" xfId="58331"/>
    <cellStyle name="Обычный 82 5" xfId="28469"/>
    <cellStyle name="Обычный 82 5 2" xfId="28470"/>
    <cellStyle name="Обычный 82 5 2 2" xfId="58332"/>
    <cellStyle name="Обычный 82 5 3" xfId="58333"/>
    <cellStyle name="Обычный 82 6" xfId="28471"/>
    <cellStyle name="Обычный 82 6 2" xfId="58334"/>
    <cellStyle name="Обычный 82 7" xfId="28472"/>
    <cellStyle name="Обычный 82 7 2" xfId="58335"/>
    <cellStyle name="Обычный 82 8" xfId="58336"/>
    <cellStyle name="Обычный 83" xfId="28473"/>
    <cellStyle name="Обычный 83 2" xfId="28474"/>
    <cellStyle name="Обычный 83 2 2" xfId="28475"/>
    <cellStyle name="Обычный 83 2 2 2" xfId="28476"/>
    <cellStyle name="Обычный 83 2 2 2 2" xfId="58337"/>
    <cellStyle name="Обычный 83 2 2 3" xfId="58338"/>
    <cellStyle name="Обычный 83 2 3" xfId="28477"/>
    <cellStyle name="Обычный 83 2 3 2" xfId="58339"/>
    <cellStyle name="Обычный 83 2 4" xfId="58340"/>
    <cellStyle name="Обычный 83 3" xfId="28478"/>
    <cellStyle name="Обычный 83 3 2" xfId="28479"/>
    <cellStyle name="Обычный 83 3 2 2" xfId="28480"/>
    <cellStyle name="Обычный 83 3 2 2 2" xfId="58341"/>
    <cellStyle name="Обычный 83 3 2 3" xfId="58342"/>
    <cellStyle name="Обычный 83 3 3" xfId="28481"/>
    <cellStyle name="Обычный 83 3 3 2" xfId="58343"/>
    <cellStyle name="Обычный 83 3 4" xfId="58344"/>
    <cellStyle name="Обычный 83 4" xfId="28482"/>
    <cellStyle name="Обычный 83 4 2" xfId="28483"/>
    <cellStyle name="Обычный 83 4 2 2" xfId="28484"/>
    <cellStyle name="Обычный 83 4 2 2 2" xfId="58345"/>
    <cellStyle name="Обычный 83 4 2 3" xfId="58346"/>
    <cellStyle name="Обычный 83 4 3" xfId="28485"/>
    <cellStyle name="Обычный 83 4 3 2" xfId="58347"/>
    <cellStyle name="Обычный 83 4 4" xfId="58348"/>
    <cellStyle name="Обычный 83 5" xfId="28486"/>
    <cellStyle name="Обычный 83 5 2" xfId="28487"/>
    <cellStyle name="Обычный 83 5 2 2" xfId="58349"/>
    <cellStyle name="Обычный 83 5 3" xfId="58350"/>
    <cellStyle name="Обычный 83 6" xfId="28488"/>
    <cellStyle name="Обычный 83 6 2" xfId="58351"/>
    <cellStyle name="Обычный 83 7" xfId="28489"/>
    <cellStyle name="Обычный 83 7 2" xfId="58352"/>
    <cellStyle name="Обычный 83 8" xfId="58353"/>
    <cellStyle name="Обычный 84" xfId="28490"/>
    <cellStyle name="Обычный 84 2" xfId="28491"/>
    <cellStyle name="Обычный 84 2 2" xfId="28492"/>
    <cellStyle name="Обычный 84 2 2 2" xfId="28493"/>
    <cellStyle name="Обычный 84 2 2 2 2" xfId="58354"/>
    <cellStyle name="Обычный 84 2 2 3" xfId="58355"/>
    <cellStyle name="Обычный 84 2 3" xfId="28494"/>
    <cellStyle name="Обычный 84 2 3 2" xfId="58356"/>
    <cellStyle name="Обычный 84 2 4" xfId="58357"/>
    <cellStyle name="Обычный 84 3" xfId="28495"/>
    <cellStyle name="Обычный 84 3 2" xfId="28496"/>
    <cellStyle name="Обычный 84 3 2 2" xfId="28497"/>
    <cellStyle name="Обычный 84 3 2 2 2" xfId="58358"/>
    <cellStyle name="Обычный 84 3 2 3" xfId="58359"/>
    <cellStyle name="Обычный 84 3 3" xfId="28498"/>
    <cellStyle name="Обычный 84 3 3 2" xfId="58360"/>
    <cellStyle name="Обычный 84 3 4" xfId="58361"/>
    <cellStyle name="Обычный 84 4" xfId="28499"/>
    <cellStyle name="Обычный 84 4 2" xfId="28500"/>
    <cellStyle name="Обычный 84 4 2 2" xfId="28501"/>
    <cellStyle name="Обычный 84 4 2 2 2" xfId="58362"/>
    <cellStyle name="Обычный 84 4 2 3" xfId="58363"/>
    <cellStyle name="Обычный 84 4 3" xfId="28502"/>
    <cellStyle name="Обычный 84 4 3 2" xfId="58364"/>
    <cellStyle name="Обычный 84 4 4" xfId="58365"/>
    <cellStyle name="Обычный 84 5" xfId="28503"/>
    <cellStyle name="Обычный 84 5 2" xfId="28504"/>
    <cellStyle name="Обычный 84 5 2 2" xfId="58366"/>
    <cellStyle name="Обычный 84 5 3" xfId="58367"/>
    <cellStyle name="Обычный 84 6" xfId="28505"/>
    <cellStyle name="Обычный 84 6 2" xfId="58368"/>
    <cellStyle name="Обычный 84 7" xfId="28506"/>
    <cellStyle name="Обычный 84 7 2" xfId="58369"/>
    <cellStyle name="Обычный 84 8" xfId="58370"/>
    <cellStyle name="Обычный 85" xfId="28507"/>
    <cellStyle name="Обычный 85 2" xfId="28508"/>
    <cellStyle name="Обычный 85 2 2" xfId="28509"/>
    <cellStyle name="Обычный 85 2 2 2" xfId="28510"/>
    <cellStyle name="Обычный 85 2 2 2 2" xfId="58371"/>
    <cellStyle name="Обычный 85 2 2 3" xfId="58372"/>
    <cellStyle name="Обычный 85 2 3" xfId="28511"/>
    <cellStyle name="Обычный 85 2 3 2" xfId="58373"/>
    <cellStyle name="Обычный 85 2 4" xfId="58374"/>
    <cellStyle name="Обычный 85 3" xfId="28512"/>
    <cellStyle name="Обычный 85 3 2" xfId="28513"/>
    <cellStyle name="Обычный 85 3 2 2" xfId="28514"/>
    <cellStyle name="Обычный 85 3 2 2 2" xfId="58375"/>
    <cellStyle name="Обычный 85 3 2 3" xfId="58376"/>
    <cellStyle name="Обычный 85 3 3" xfId="28515"/>
    <cellStyle name="Обычный 85 3 3 2" xfId="58377"/>
    <cellStyle name="Обычный 85 3 4" xfId="58378"/>
    <cellStyle name="Обычный 85 4" xfId="28516"/>
    <cellStyle name="Обычный 85 4 2" xfId="28517"/>
    <cellStyle name="Обычный 85 4 2 2" xfId="28518"/>
    <cellStyle name="Обычный 85 4 2 2 2" xfId="58379"/>
    <cellStyle name="Обычный 85 4 2 3" xfId="58380"/>
    <cellStyle name="Обычный 85 4 3" xfId="28519"/>
    <cellStyle name="Обычный 85 4 3 2" xfId="58381"/>
    <cellStyle name="Обычный 85 4 4" xfId="58382"/>
    <cellStyle name="Обычный 85 5" xfId="28520"/>
    <cellStyle name="Обычный 85 5 2" xfId="28521"/>
    <cellStyle name="Обычный 85 5 2 2" xfId="58383"/>
    <cellStyle name="Обычный 85 5 3" xfId="58384"/>
    <cellStyle name="Обычный 85 6" xfId="28522"/>
    <cellStyle name="Обычный 85 6 2" xfId="58385"/>
    <cellStyle name="Обычный 85 7" xfId="28523"/>
    <cellStyle name="Обычный 85 7 2" xfId="58386"/>
    <cellStyle name="Обычный 85 8" xfId="58387"/>
    <cellStyle name="Обычный 86" xfId="28524"/>
    <cellStyle name="Обычный 86 2" xfId="28525"/>
    <cellStyle name="Обычный 86 2 2" xfId="28526"/>
    <cellStyle name="Обычный 86 2 2 2" xfId="28527"/>
    <cellStyle name="Обычный 86 2 2 2 2" xfId="58388"/>
    <cellStyle name="Обычный 86 2 2 3" xfId="58389"/>
    <cellStyle name="Обычный 86 2 3" xfId="28528"/>
    <cellStyle name="Обычный 86 2 3 2" xfId="58390"/>
    <cellStyle name="Обычный 86 2 4" xfId="58391"/>
    <cellStyle name="Обычный 86 3" xfId="28529"/>
    <cellStyle name="Обычный 86 3 2" xfId="28530"/>
    <cellStyle name="Обычный 86 3 2 2" xfId="28531"/>
    <cellStyle name="Обычный 86 3 2 2 2" xfId="58392"/>
    <cellStyle name="Обычный 86 3 2 3" xfId="58393"/>
    <cellStyle name="Обычный 86 3 3" xfId="28532"/>
    <cellStyle name="Обычный 86 3 3 2" xfId="58394"/>
    <cellStyle name="Обычный 86 3 4" xfId="58395"/>
    <cellStyle name="Обычный 86 4" xfId="28533"/>
    <cellStyle name="Обычный 86 4 2" xfId="28534"/>
    <cellStyle name="Обычный 86 4 2 2" xfId="28535"/>
    <cellStyle name="Обычный 86 4 2 2 2" xfId="58396"/>
    <cellStyle name="Обычный 86 4 2 3" xfId="58397"/>
    <cellStyle name="Обычный 86 4 3" xfId="28536"/>
    <cellStyle name="Обычный 86 4 3 2" xfId="58398"/>
    <cellStyle name="Обычный 86 4 4" xfId="58399"/>
    <cellStyle name="Обычный 86 5" xfId="28537"/>
    <cellStyle name="Обычный 86 5 2" xfId="28538"/>
    <cellStyle name="Обычный 86 5 2 2" xfId="58400"/>
    <cellStyle name="Обычный 86 5 3" xfId="58401"/>
    <cellStyle name="Обычный 86 6" xfId="28539"/>
    <cellStyle name="Обычный 86 6 2" xfId="58402"/>
    <cellStyle name="Обычный 86 7" xfId="28540"/>
    <cellStyle name="Обычный 86 7 2" xfId="58403"/>
    <cellStyle name="Обычный 86 8" xfId="58404"/>
    <cellStyle name="Обычный 87" xfId="28541"/>
    <cellStyle name="Обычный 87 2" xfId="28542"/>
    <cellStyle name="Обычный 87 2 2" xfId="28543"/>
    <cellStyle name="Обычный 87 2 2 2" xfId="28544"/>
    <cellStyle name="Обычный 87 2 2 2 2" xfId="58405"/>
    <cellStyle name="Обычный 87 2 2 3" xfId="58406"/>
    <cellStyle name="Обычный 87 2 3" xfId="28545"/>
    <cellStyle name="Обычный 87 2 3 2" xfId="58407"/>
    <cellStyle name="Обычный 87 2 4" xfId="58408"/>
    <cellStyle name="Обычный 87 3" xfId="28546"/>
    <cellStyle name="Обычный 87 3 2" xfId="28547"/>
    <cellStyle name="Обычный 87 3 2 2" xfId="28548"/>
    <cellStyle name="Обычный 87 3 2 2 2" xfId="58409"/>
    <cellStyle name="Обычный 87 3 2 3" xfId="58410"/>
    <cellStyle name="Обычный 87 3 3" xfId="28549"/>
    <cellStyle name="Обычный 87 3 3 2" xfId="58411"/>
    <cellStyle name="Обычный 87 3 4" xfId="58412"/>
    <cellStyle name="Обычный 87 4" xfId="28550"/>
    <cellStyle name="Обычный 87 4 2" xfId="28551"/>
    <cellStyle name="Обычный 87 4 2 2" xfId="28552"/>
    <cellStyle name="Обычный 87 4 2 2 2" xfId="58413"/>
    <cellStyle name="Обычный 87 4 2 3" xfId="58414"/>
    <cellStyle name="Обычный 87 4 3" xfId="28553"/>
    <cellStyle name="Обычный 87 4 3 2" xfId="58415"/>
    <cellStyle name="Обычный 87 4 4" xfId="58416"/>
    <cellStyle name="Обычный 87 5" xfId="28554"/>
    <cellStyle name="Обычный 87 5 2" xfId="28555"/>
    <cellStyle name="Обычный 87 5 2 2" xfId="58417"/>
    <cellStyle name="Обычный 87 5 3" xfId="58418"/>
    <cellStyle name="Обычный 87 6" xfId="28556"/>
    <cellStyle name="Обычный 87 6 2" xfId="58419"/>
    <cellStyle name="Обычный 87 7" xfId="28557"/>
    <cellStyle name="Обычный 87 7 2" xfId="58420"/>
    <cellStyle name="Обычный 87 8" xfId="58421"/>
    <cellStyle name="Обычный 88" xfId="28558"/>
    <cellStyle name="Обычный 88 2" xfId="28559"/>
    <cellStyle name="Обычный 88 2 2" xfId="28560"/>
    <cellStyle name="Обычный 88 2 2 2" xfId="28561"/>
    <cellStyle name="Обычный 88 2 2 2 2" xfId="58422"/>
    <cellStyle name="Обычный 88 2 2 3" xfId="58423"/>
    <cellStyle name="Обычный 88 2 3" xfId="28562"/>
    <cellStyle name="Обычный 88 2 3 2" xfId="58424"/>
    <cellStyle name="Обычный 88 2 4" xfId="58425"/>
    <cellStyle name="Обычный 88 3" xfId="28563"/>
    <cellStyle name="Обычный 88 3 2" xfId="28564"/>
    <cellStyle name="Обычный 88 3 2 2" xfId="28565"/>
    <cellStyle name="Обычный 88 3 2 2 2" xfId="58426"/>
    <cellStyle name="Обычный 88 3 2 3" xfId="58427"/>
    <cellStyle name="Обычный 88 3 3" xfId="28566"/>
    <cellStyle name="Обычный 88 3 3 2" xfId="58428"/>
    <cellStyle name="Обычный 88 3 4" xfId="58429"/>
    <cellStyle name="Обычный 88 4" xfId="28567"/>
    <cellStyle name="Обычный 88 4 2" xfId="28568"/>
    <cellStyle name="Обычный 88 4 2 2" xfId="28569"/>
    <cellStyle name="Обычный 88 4 2 2 2" xfId="58430"/>
    <cellStyle name="Обычный 88 4 2 3" xfId="58431"/>
    <cellStyle name="Обычный 88 4 3" xfId="28570"/>
    <cellStyle name="Обычный 88 4 3 2" xfId="58432"/>
    <cellStyle name="Обычный 88 4 4" xfId="58433"/>
    <cellStyle name="Обычный 88 5" xfId="28571"/>
    <cellStyle name="Обычный 88 5 2" xfId="28572"/>
    <cellStyle name="Обычный 88 5 2 2" xfId="58434"/>
    <cellStyle name="Обычный 88 5 3" xfId="58435"/>
    <cellStyle name="Обычный 88 6" xfId="28573"/>
    <cellStyle name="Обычный 88 6 2" xfId="58436"/>
    <cellStyle name="Обычный 88 7" xfId="28574"/>
    <cellStyle name="Обычный 88 7 2" xfId="58437"/>
    <cellStyle name="Обычный 88 8" xfId="58438"/>
    <cellStyle name="Обычный 89" xfId="28575"/>
    <cellStyle name="Обычный 89 2" xfId="28576"/>
    <cellStyle name="Обычный 89 2 2" xfId="28577"/>
    <cellStyle name="Обычный 89 2 2 2" xfId="28578"/>
    <cellStyle name="Обычный 89 2 2 2 2" xfId="58439"/>
    <cellStyle name="Обычный 89 2 2 3" xfId="58440"/>
    <cellStyle name="Обычный 89 2 3" xfId="28579"/>
    <cellStyle name="Обычный 89 2 3 2" xfId="58441"/>
    <cellStyle name="Обычный 89 2 4" xfId="58442"/>
    <cellStyle name="Обычный 89 3" xfId="28580"/>
    <cellStyle name="Обычный 89 3 2" xfId="28581"/>
    <cellStyle name="Обычный 89 3 2 2" xfId="28582"/>
    <cellStyle name="Обычный 89 3 2 2 2" xfId="58443"/>
    <cellStyle name="Обычный 89 3 2 3" xfId="58444"/>
    <cellStyle name="Обычный 89 3 3" xfId="28583"/>
    <cellStyle name="Обычный 89 3 3 2" xfId="58445"/>
    <cellStyle name="Обычный 89 3 4" xfId="58446"/>
    <cellStyle name="Обычный 89 4" xfId="28584"/>
    <cellStyle name="Обычный 89 4 2" xfId="28585"/>
    <cellStyle name="Обычный 89 4 2 2" xfId="28586"/>
    <cellStyle name="Обычный 89 4 2 2 2" xfId="58447"/>
    <cellStyle name="Обычный 89 4 2 3" xfId="58448"/>
    <cellStyle name="Обычный 89 4 3" xfId="28587"/>
    <cellStyle name="Обычный 89 4 3 2" xfId="58449"/>
    <cellStyle name="Обычный 89 4 4" xfId="58450"/>
    <cellStyle name="Обычный 89 5" xfId="28588"/>
    <cellStyle name="Обычный 89 5 2" xfId="28589"/>
    <cellStyle name="Обычный 89 5 2 2" xfId="58451"/>
    <cellStyle name="Обычный 89 5 3" xfId="58452"/>
    <cellStyle name="Обычный 89 6" xfId="28590"/>
    <cellStyle name="Обычный 89 6 2" xfId="58453"/>
    <cellStyle name="Обычный 89 7" xfId="28591"/>
    <cellStyle name="Обычный 89 7 2" xfId="58454"/>
    <cellStyle name="Обычный 89 8" xfId="58455"/>
    <cellStyle name="Обычный 9" xfId="24"/>
    <cellStyle name="Обычный 9 2" xfId="28592"/>
    <cellStyle name="Обычный 9 2 2" xfId="58456"/>
    <cellStyle name="Обычный 9 3" xfId="28593"/>
    <cellStyle name="Обычный 9 3 2" xfId="58457"/>
    <cellStyle name="Обычный 9 4" xfId="28594"/>
    <cellStyle name="Обычный 9 5" xfId="59131"/>
    <cellStyle name="Обычный 9_Корректировка 2 квартал ДПН ОМТС Июнь (02 06 09)" xfId="28595"/>
    <cellStyle name="Обычный 90" xfId="28596"/>
    <cellStyle name="Обычный 90 2" xfId="28597"/>
    <cellStyle name="Обычный 90 2 2" xfId="28598"/>
    <cellStyle name="Обычный 90 2 2 2" xfId="28599"/>
    <cellStyle name="Обычный 90 2 2 2 2" xfId="58458"/>
    <cellStyle name="Обычный 90 2 2 3" xfId="58459"/>
    <cellStyle name="Обычный 90 2 3" xfId="28600"/>
    <cellStyle name="Обычный 90 2 3 2" xfId="58460"/>
    <cellStyle name="Обычный 90 2 4" xfId="58461"/>
    <cellStyle name="Обычный 90 3" xfId="28601"/>
    <cellStyle name="Обычный 90 3 2" xfId="28602"/>
    <cellStyle name="Обычный 90 3 2 2" xfId="28603"/>
    <cellStyle name="Обычный 90 3 2 2 2" xfId="58462"/>
    <cellStyle name="Обычный 90 3 2 3" xfId="58463"/>
    <cellStyle name="Обычный 90 3 3" xfId="28604"/>
    <cellStyle name="Обычный 90 3 3 2" xfId="58464"/>
    <cellStyle name="Обычный 90 3 4" xfId="58465"/>
    <cellStyle name="Обычный 90 4" xfId="28605"/>
    <cellStyle name="Обычный 90 4 2" xfId="28606"/>
    <cellStyle name="Обычный 90 4 2 2" xfId="28607"/>
    <cellStyle name="Обычный 90 4 2 2 2" xfId="58466"/>
    <cellStyle name="Обычный 90 4 2 3" xfId="58467"/>
    <cellStyle name="Обычный 90 4 3" xfId="28608"/>
    <cellStyle name="Обычный 90 4 3 2" xfId="58468"/>
    <cellStyle name="Обычный 90 4 4" xfId="58469"/>
    <cellStyle name="Обычный 90 5" xfId="28609"/>
    <cellStyle name="Обычный 90 5 2" xfId="28610"/>
    <cellStyle name="Обычный 90 5 2 2" xfId="58470"/>
    <cellStyle name="Обычный 90 5 3" xfId="58471"/>
    <cellStyle name="Обычный 90 6" xfId="28611"/>
    <cellStyle name="Обычный 90 6 2" xfId="58472"/>
    <cellStyle name="Обычный 90 7" xfId="28612"/>
    <cellStyle name="Обычный 90 7 2" xfId="58473"/>
    <cellStyle name="Обычный 90 8" xfId="58474"/>
    <cellStyle name="Обычный 91" xfId="28613"/>
    <cellStyle name="Обычный 91 2" xfId="28614"/>
    <cellStyle name="Обычный 91 2 2" xfId="28615"/>
    <cellStyle name="Обычный 91 2 2 2" xfId="28616"/>
    <cellStyle name="Обычный 91 2 2 2 2" xfId="58475"/>
    <cellStyle name="Обычный 91 2 2 3" xfId="58476"/>
    <cellStyle name="Обычный 91 2 3" xfId="28617"/>
    <cellStyle name="Обычный 91 2 3 2" xfId="58477"/>
    <cellStyle name="Обычный 91 2 4" xfId="58478"/>
    <cellStyle name="Обычный 91 3" xfId="28618"/>
    <cellStyle name="Обычный 91 3 2" xfId="28619"/>
    <cellStyle name="Обычный 91 3 2 2" xfId="28620"/>
    <cellStyle name="Обычный 91 3 2 2 2" xfId="58479"/>
    <cellStyle name="Обычный 91 3 2 3" xfId="58480"/>
    <cellStyle name="Обычный 91 3 3" xfId="28621"/>
    <cellStyle name="Обычный 91 3 3 2" xfId="58481"/>
    <cellStyle name="Обычный 91 3 4" xfId="58482"/>
    <cellStyle name="Обычный 91 4" xfId="28622"/>
    <cellStyle name="Обычный 91 4 2" xfId="28623"/>
    <cellStyle name="Обычный 91 4 2 2" xfId="28624"/>
    <cellStyle name="Обычный 91 4 2 2 2" xfId="58483"/>
    <cellStyle name="Обычный 91 4 2 3" xfId="58484"/>
    <cellStyle name="Обычный 91 4 3" xfId="28625"/>
    <cellStyle name="Обычный 91 4 3 2" xfId="58485"/>
    <cellStyle name="Обычный 91 4 4" xfId="58486"/>
    <cellStyle name="Обычный 91 5" xfId="28626"/>
    <cellStyle name="Обычный 91 5 2" xfId="28627"/>
    <cellStyle name="Обычный 91 5 2 2" xfId="58487"/>
    <cellStyle name="Обычный 91 5 3" xfId="58488"/>
    <cellStyle name="Обычный 91 6" xfId="28628"/>
    <cellStyle name="Обычный 91 6 2" xfId="58489"/>
    <cellStyle name="Обычный 91 7" xfId="28629"/>
    <cellStyle name="Обычный 91 7 2" xfId="58490"/>
    <cellStyle name="Обычный 91 8" xfId="58491"/>
    <cellStyle name="Обычный 92" xfId="28630"/>
    <cellStyle name="Обычный 92 2" xfId="28631"/>
    <cellStyle name="Обычный 92 2 2" xfId="28632"/>
    <cellStyle name="Обычный 92 2 2 2" xfId="28633"/>
    <cellStyle name="Обычный 92 2 2 2 2" xfId="58492"/>
    <cellStyle name="Обычный 92 2 2 3" xfId="58493"/>
    <cellStyle name="Обычный 92 2 3" xfId="28634"/>
    <cellStyle name="Обычный 92 2 3 2" xfId="58494"/>
    <cellStyle name="Обычный 92 2 4" xfId="58495"/>
    <cellStyle name="Обычный 92 3" xfId="28635"/>
    <cellStyle name="Обычный 92 3 2" xfId="28636"/>
    <cellStyle name="Обычный 92 3 2 2" xfId="28637"/>
    <cellStyle name="Обычный 92 3 2 2 2" xfId="58496"/>
    <cellStyle name="Обычный 92 3 2 3" xfId="58497"/>
    <cellStyle name="Обычный 92 3 3" xfId="28638"/>
    <cellStyle name="Обычный 92 3 3 2" xfId="58498"/>
    <cellStyle name="Обычный 92 3 4" xfId="58499"/>
    <cellStyle name="Обычный 92 4" xfId="28639"/>
    <cellStyle name="Обычный 92 4 2" xfId="28640"/>
    <cellStyle name="Обычный 92 4 2 2" xfId="28641"/>
    <cellStyle name="Обычный 92 4 2 2 2" xfId="58500"/>
    <cellStyle name="Обычный 92 4 2 3" xfId="58501"/>
    <cellStyle name="Обычный 92 4 3" xfId="28642"/>
    <cellStyle name="Обычный 92 4 3 2" xfId="58502"/>
    <cellStyle name="Обычный 92 4 4" xfId="58503"/>
    <cellStyle name="Обычный 92 5" xfId="28643"/>
    <cellStyle name="Обычный 92 5 2" xfId="28644"/>
    <cellStyle name="Обычный 92 5 2 2" xfId="58504"/>
    <cellStyle name="Обычный 92 5 3" xfId="58505"/>
    <cellStyle name="Обычный 92 6" xfId="28645"/>
    <cellStyle name="Обычный 92 6 2" xfId="58506"/>
    <cellStyle name="Обычный 92 7" xfId="28646"/>
    <cellStyle name="Обычный 92 7 2" xfId="58507"/>
    <cellStyle name="Обычный 92 8" xfId="58508"/>
    <cellStyle name="Обычный 93" xfId="28647"/>
    <cellStyle name="Обычный 93 2" xfId="28648"/>
    <cellStyle name="Обычный 93 2 2" xfId="28649"/>
    <cellStyle name="Обычный 93 2 2 2" xfId="28650"/>
    <cellStyle name="Обычный 93 2 2 2 2" xfId="58509"/>
    <cellStyle name="Обычный 93 2 2 3" xfId="58510"/>
    <cellStyle name="Обычный 93 2 3" xfId="28651"/>
    <cellStyle name="Обычный 93 2 3 2" xfId="58511"/>
    <cellStyle name="Обычный 93 2 4" xfId="58512"/>
    <cellStyle name="Обычный 93 3" xfId="28652"/>
    <cellStyle name="Обычный 93 3 2" xfId="28653"/>
    <cellStyle name="Обычный 93 3 2 2" xfId="28654"/>
    <cellStyle name="Обычный 93 3 2 2 2" xfId="58513"/>
    <cellStyle name="Обычный 93 3 2 3" xfId="58514"/>
    <cellStyle name="Обычный 93 3 3" xfId="28655"/>
    <cellStyle name="Обычный 93 3 3 2" xfId="58515"/>
    <cellStyle name="Обычный 93 3 4" xfId="58516"/>
    <cellStyle name="Обычный 93 4" xfId="28656"/>
    <cellStyle name="Обычный 93 4 2" xfId="28657"/>
    <cellStyle name="Обычный 93 4 2 2" xfId="28658"/>
    <cellStyle name="Обычный 93 4 2 2 2" xfId="58517"/>
    <cellStyle name="Обычный 93 4 2 3" xfId="58518"/>
    <cellStyle name="Обычный 93 4 3" xfId="28659"/>
    <cellStyle name="Обычный 93 4 3 2" xfId="58519"/>
    <cellStyle name="Обычный 93 4 4" xfId="58520"/>
    <cellStyle name="Обычный 93 5" xfId="28660"/>
    <cellStyle name="Обычный 93 5 2" xfId="28661"/>
    <cellStyle name="Обычный 93 5 2 2" xfId="58521"/>
    <cellStyle name="Обычный 93 5 3" xfId="58522"/>
    <cellStyle name="Обычный 93 6" xfId="28662"/>
    <cellStyle name="Обычный 93 6 2" xfId="58523"/>
    <cellStyle name="Обычный 93 7" xfId="28663"/>
    <cellStyle name="Обычный 93 7 2" xfId="58524"/>
    <cellStyle name="Обычный 93 8" xfId="58525"/>
    <cellStyle name="Обычный 94" xfId="28664"/>
    <cellStyle name="Обычный 94 2" xfId="28665"/>
    <cellStyle name="Обычный 94 2 2" xfId="28666"/>
    <cellStyle name="Обычный 94 2 2 2" xfId="28667"/>
    <cellStyle name="Обычный 94 2 2 2 2" xfId="58526"/>
    <cellStyle name="Обычный 94 2 2 3" xfId="58527"/>
    <cellStyle name="Обычный 94 2 3" xfId="28668"/>
    <cellStyle name="Обычный 94 2 3 2" xfId="58528"/>
    <cellStyle name="Обычный 94 2 4" xfId="58529"/>
    <cellStyle name="Обычный 94 3" xfId="28669"/>
    <cellStyle name="Обычный 94 3 2" xfId="28670"/>
    <cellStyle name="Обычный 94 3 2 2" xfId="28671"/>
    <cellStyle name="Обычный 94 3 2 2 2" xfId="58530"/>
    <cellStyle name="Обычный 94 3 2 3" xfId="58531"/>
    <cellStyle name="Обычный 94 3 3" xfId="28672"/>
    <cellStyle name="Обычный 94 3 3 2" xfId="58532"/>
    <cellStyle name="Обычный 94 3 4" xfId="58533"/>
    <cellStyle name="Обычный 94 4" xfId="28673"/>
    <cellStyle name="Обычный 94 4 2" xfId="28674"/>
    <cellStyle name="Обычный 94 4 2 2" xfId="28675"/>
    <cellStyle name="Обычный 94 4 2 2 2" xfId="58534"/>
    <cellStyle name="Обычный 94 4 2 3" xfId="58535"/>
    <cellStyle name="Обычный 94 4 3" xfId="28676"/>
    <cellStyle name="Обычный 94 4 3 2" xfId="58536"/>
    <cellStyle name="Обычный 94 4 4" xfId="58537"/>
    <cellStyle name="Обычный 94 5" xfId="28677"/>
    <cellStyle name="Обычный 94 5 2" xfId="28678"/>
    <cellStyle name="Обычный 94 5 2 2" xfId="58538"/>
    <cellStyle name="Обычный 94 5 3" xfId="58539"/>
    <cellStyle name="Обычный 94 6" xfId="28679"/>
    <cellStyle name="Обычный 94 6 2" xfId="58540"/>
    <cellStyle name="Обычный 94 7" xfId="28680"/>
    <cellStyle name="Обычный 94 7 2" xfId="58541"/>
    <cellStyle name="Обычный 94 8" xfId="58542"/>
    <cellStyle name="Обычный 95" xfId="28681"/>
    <cellStyle name="Обычный 95 2" xfId="28682"/>
    <cellStyle name="Обычный 95 2 2" xfId="28683"/>
    <cellStyle name="Обычный 95 2 2 2" xfId="28684"/>
    <cellStyle name="Обычный 95 2 2 2 2" xfId="58543"/>
    <cellStyle name="Обычный 95 2 2 3" xfId="58544"/>
    <cellStyle name="Обычный 95 2 3" xfId="28685"/>
    <cellStyle name="Обычный 95 2 3 2" xfId="58545"/>
    <cellStyle name="Обычный 95 2 4" xfId="58546"/>
    <cellStyle name="Обычный 95 3" xfId="28686"/>
    <cellStyle name="Обычный 95 3 2" xfId="28687"/>
    <cellStyle name="Обычный 95 3 2 2" xfId="28688"/>
    <cellStyle name="Обычный 95 3 2 2 2" xfId="58547"/>
    <cellStyle name="Обычный 95 3 2 3" xfId="58548"/>
    <cellStyle name="Обычный 95 3 3" xfId="28689"/>
    <cellStyle name="Обычный 95 3 3 2" xfId="58549"/>
    <cellStyle name="Обычный 95 3 4" xfId="58550"/>
    <cellStyle name="Обычный 95 4" xfId="28690"/>
    <cellStyle name="Обычный 95 4 2" xfId="28691"/>
    <cellStyle name="Обычный 95 4 2 2" xfId="28692"/>
    <cellStyle name="Обычный 95 4 2 2 2" xfId="58551"/>
    <cellStyle name="Обычный 95 4 2 3" xfId="58552"/>
    <cellStyle name="Обычный 95 4 3" xfId="28693"/>
    <cellStyle name="Обычный 95 4 3 2" xfId="58553"/>
    <cellStyle name="Обычный 95 4 4" xfId="58554"/>
    <cellStyle name="Обычный 95 5" xfId="28694"/>
    <cellStyle name="Обычный 95 5 2" xfId="28695"/>
    <cellStyle name="Обычный 95 5 2 2" xfId="58555"/>
    <cellStyle name="Обычный 95 5 3" xfId="58556"/>
    <cellStyle name="Обычный 95 6" xfId="28696"/>
    <cellStyle name="Обычный 95 6 2" xfId="58557"/>
    <cellStyle name="Обычный 95 7" xfId="28697"/>
    <cellStyle name="Обычный 95 7 2" xfId="58558"/>
    <cellStyle name="Обычный 95 8" xfId="58559"/>
    <cellStyle name="Обычный 96" xfId="28698"/>
    <cellStyle name="Обычный 96 2" xfId="28699"/>
    <cellStyle name="Обычный 96 2 2" xfId="28700"/>
    <cellStyle name="Обычный 96 2 2 2" xfId="28701"/>
    <cellStyle name="Обычный 96 2 2 2 2" xfId="58560"/>
    <cellStyle name="Обычный 96 2 2 3" xfId="58561"/>
    <cellStyle name="Обычный 96 2 3" xfId="28702"/>
    <cellStyle name="Обычный 96 2 3 2" xfId="58562"/>
    <cellStyle name="Обычный 96 2 4" xfId="58563"/>
    <cellStyle name="Обычный 96 3" xfId="28703"/>
    <cellStyle name="Обычный 96 3 2" xfId="28704"/>
    <cellStyle name="Обычный 96 3 2 2" xfId="28705"/>
    <cellStyle name="Обычный 96 3 2 2 2" xfId="58564"/>
    <cellStyle name="Обычный 96 3 2 3" xfId="58565"/>
    <cellStyle name="Обычный 96 3 3" xfId="28706"/>
    <cellStyle name="Обычный 96 3 3 2" xfId="58566"/>
    <cellStyle name="Обычный 96 3 4" xfId="58567"/>
    <cellStyle name="Обычный 96 4" xfId="28707"/>
    <cellStyle name="Обычный 96 4 2" xfId="28708"/>
    <cellStyle name="Обычный 96 4 2 2" xfId="28709"/>
    <cellStyle name="Обычный 96 4 2 2 2" xfId="58568"/>
    <cellStyle name="Обычный 96 4 2 3" xfId="58569"/>
    <cellStyle name="Обычный 96 4 3" xfId="28710"/>
    <cellStyle name="Обычный 96 4 3 2" xfId="58570"/>
    <cellStyle name="Обычный 96 4 4" xfId="58571"/>
    <cellStyle name="Обычный 96 5" xfId="28711"/>
    <cellStyle name="Обычный 96 5 2" xfId="28712"/>
    <cellStyle name="Обычный 96 5 2 2" xfId="58572"/>
    <cellStyle name="Обычный 96 5 3" xfId="58573"/>
    <cellStyle name="Обычный 96 6" xfId="28713"/>
    <cellStyle name="Обычный 96 6 2" xfId="58574"/>
    <cellStyle name="Обычный 96 7" xfId="28714"/>
    <cellStyle name="Обычный 96 7 2" xfId="58575"/>
    <cellStyle name="Обычный 96 8" xfId="58576"/>
    <cellStyle name="Обычный 97" xfId="28715"/>
    <cellStyle name="Обычный 97 2" xfId="28716"/>
    <cellStyle name="Обычный 97 2 2" xfId="28717"/>
    <cellStyle name="Обычный 97 2 2 2" xfId="28718"/>
    <cellStyle name="Обычный 97 2 2 2 2" xfId="58577"/>
    <cellStyle name="Обычный 97 2 2 3" xfId="58578"/>
    <cellStyle name="Обычный 97 2 3" xfId="28719"/>
    <cellStyle name="Обычный 97 2 3 2" xfId="58579"/>
    <cellStyle name="Обычный 97 2 4" xfId="58580"/>
    <cellStyle name="Обычный 97 3" xfId="28720"/>
    <cellStyle name="Обычный 97 3 2" xfId="28721"/>
    <cellStyle name="Обычный 97 3 2 2" xfId="28722"/>
    <cellStyle name="Обычный 97 3 2 2 2" xfId="58581"/>
    <cellStyle name="Обычный 97 3 2 3" xfId="58582"/>
    <cellStyle name="Обычный 97 3 3" xfId="28723"/>
    <cellStyle name="Обычный 97 3 3 2" xfId="58583"/>
    <cellStyle name="Обычный 97 3 4" xfId="58584"/>
    <cellStyle name="Обычный 97 4" xfId="28724"/>
    <cellStyle name="Обычный 97 4 2" xfId="28725"/>
    <cellStyle name="Обычный 97 4 2 2" xfId="28726"/>
    <cellStyle name="Обычный 97 4 2 2 2" xfId="58585"/>
    <cellStyle name="Обычный 97 4 2 3" xfId="58586"/>
    <cellStyle name="Обычный 97 4 3" xfId="28727"/>
    <cellStyle name="Обычный 97 4 3 2" xfId="58587"/>
    <cellStyle name="Обычный 97 4 4" xfId="58588"/>
    <cellStyle name="Обычный 97 5" xfId="28728"/>
    <cellStyle name="Обычный 97 5 2" xfId="28729"/>
    <cellStyle name="Обычный 97 5 2 2" xfId="58589"/>
    <cellStyle name="Обычный 97 5 3" xfId="58590"/>
    <cellStyle name="Обычный 97 6" xfId="28730"/>
    <cellStyle name="Обычный 97 6 2" xfId="58591"/>
    <cellStyle name="Обычный 97 7" xfId="28731"/>
    <cellStyle name="Обычный 97 7 2" xfId="58592"/>
    <cellStyle name="Обычный 97 8" xfId="58593"/>
    <cellStyle name="Обычный 98" xfId="28732"/>
    <cellStyle name="Обычный 98 2" xfId="28733"/>
    <cellStyle name="Обычный 98 2 2" xfId="28734"/>
    <cellStyle name="Обычный 98 2 2 2" xfId="28735"/>
    <cellStyle name="Обычный 98 2 2 2 2" xfId="58594"/>
    <cellStyle name="Обычный 98 2 2 3" xfId="58595"/>
    <cellStyle name="Обычный 98 2 3" xfId="28736"/>
    <cellStyle name="Обычный 98 2 3 2" xfId="58596"/>
    <cellStyle name="Обычный 98 2 4" xfId="58597"/>
    <cellStyle name="Обычный 98 3" xfId="28737"/>
    <cellStyle name="Обычный 98 3 2" xfId="28738"/>
    <cellStyle name="Обычный 98 3 2 2" xfId="28739"/>
    <cellStyle name="Обычный 98 3 2 2 2" xfId="58598"/>
    <cellStyle name="Обычный 98 3 2 3" xfId="58599"/>
    <cellStyle name="Обычный 98 3 3" xfId="28740"/>
    <cellStyle name="Обычный 98 3 3 2" xfId="58600"/>
    <cellStyle name="Обычный 98 3 4" xfId="58601"/>
    <cellStyle name="Обычный 98 4" xfId="28741"/>
    <cellStyle name="Обычный 98 4 2" xfId="28742"/>
    <cellStyle name="Обычный 98 4 2 2" xfId="28743"/>
    <cellStyle name="Обычный 98 4 2 2 2" xfId="58602"/>
    <cellStyle name="Обычный 98 4 2 3" xfId="58603"/>
    <cellStyle name="Обычный 98 4 3" xfId="28744"/>
    <cellStyle name="Обычный 98 4 3 2" xfId="58604"/>
    <cellStyle name="Обычный 98 4 4" xfId="58605"/>
    <cellStyle name="Обычный 98 5" xfId="28745"/>
    <cellStyle name="Обычный 98 5 2" xfId="28746"/>
    <cellStyle name="Обычный 98 5 2 2" xfId="58606"/>
    <cellStyle name="Обычный 98 5 3" xfId="58607"/>
    <cellStyle name="Обычный 98 6" xfId="28747"/>
    <cellStyle name="Обычный 98 6 2" xfId="58608"/>
    <cellStyle name="Обычный 98 7" xfId="28748"/>
    <cellStyle name="Обычный 98 7 2" xfId="58609"/>
    <cellStyle name="Обычный 98 8" xfId="58610"/>
    <cellStyle name="Обычный 99" xfId="28749"/>
    <cellStyle name="Обычный 99 2" xfId="28750"/>
    <cellStyle name="Обычный 99 2 2" xfId="28751"/>
    <cellStyle name="Обычный 99 2 2 2" xfId="28752"/>
    <cellStyle name="Обычный 99 2 2 2 2" xfId="58611"/>
    <cellStyle name="Обычный 99 2 2 3" xfId="58612"/>
    <cellStyle name="Обычный 99 2 3" xfId="28753"/>
    <cellStyle name="Обычный 99 2 3 2" xfId="58613"/>
    <cellStyle name="Обычный 99 2 4" xfId="58614"/>
    <cellStyle name="Обычный 99 3" xfId="28754"/>
    <cellStyle name="Обычный 99 3 2" xfId="28755"/>
    <cellStyle name="Обычный 99 3 2 2" xfId="28756"/>
    <cellStyle name="Обычный 99 3 2 2 2" xfId="58615"/>
    <cellStyle name="Обычный 99 3 2 3" xfId="58616"/>
    <cellStyle name="Обычный 99 3 3" xfId="28757"/>
    <cellStyle name="Обычный 99 3 3 2" xfId="58617"/>
    <cellStyle name="Обычный 99 3 4" xfId="58618"/>
    <cellStyle name="Обычный 99 4" xfId="28758"/>
    <cellStyle name="Обычный 99 4 2" xfId="28759"/>
    <cellStyle name="Обычный 99 4 2 2" xfId="28760"/>
    <cellStyle name="Обычный 99 4 2 2 2" xfId="58619"/>
    <cellStyle name="Обычный 99 4 2 3" xfId="58620"/>
    <cellStyle name="Обычный 99 4 3" xfId="28761"/>
    <cellStyle name="Обычный 99 4 3 2" xfId="58621"/>
    <cellStyle name="Обычный 99 4 4" xfId="58622"/>
    <cellStyle name="Обычный 99 5" xfId="28762"/>
    <cellStyle name="Обычный 99 5 2" xfId="28763"/>
    <cellStyle name="Обычный 99 5 2 2" xfId="58623"/>
    <cellStyle name="Обычный 99 5 3" xfId="58624"/>
    <cellStyle name="Обычный 99 6" xfId="28764"/>
    <cellStyle name="Обычный 99 6 2" xfId="58625"/>
    <cellStyle name="Обычный 99 7" xfId="28765"/>
    <cellStyle name="Обычный 99 7 2" xfId="58626"/>
    <cellStyle name="Обычный 99 8" xfId="58627"/>
    <cellStyle name="Обычный_BPnov (1)" xfId="60338"/>
    <cellStyle name="Обычный_Данные АС ФЭУ" xfId="60336"/>
    <cellStyle name="Обычный_Исполнительный аппарат МРСК Центра и Приволжья" xfId="59049"/>
    <cellStyle name="Обычный_Исполнительный аппарат МРСК Центра и Приволжья 2" xfId="60337"/>
    <cellStyle name="Обычный_Лист1" xfId="60334"/>
    <cellStyle name="Обычный_Лист1 2" xfId="60335"/>
    <cellStyle name="Плохой 2" xfId="28766"/>
    <cellStyle name="Плохой 2 10" xfId="28767"/>
    <cellStyle name="Плохой 2 10 2" xfId="58628"/>
    <cellStyle name="Плохой 2 11" xfId="28768"/>
    <cellStyle name="Плохой 2 11 2" xfId="58629"/>
    <cellStyle name="Плохой 2 12" xfId="28769"/>
    <cellStyle name="Плохой 2 12 2" xfId="58630"/>
    <cellStyle name="Плохой 2 13" xfId="28770"/>
    <cellStyle name="Плохой 2 13 2" xfId="58631"/>
    <cellStyle name="Плохой 2 14" xfId="28771"/>
    <cellStyle name="Плохой 2 14 2" xfId="58632"/>
    <cellStyle name="Плохой 2 15" xfId="28772"/>
    <cellStyle name="Плохой 2 15 2" xfId="58633"/>
    <cellStyle name="Плохой 2 16" xfId="28773"/>
    <cellStyle name="Плохой 2 16 2" xfId="58634"/>
    <cellStyle name="Плохой 2 17" xfId="28774"/>
    <cellStyle name="Плохой 2 17 2" xfId="58635"/>
    <cellStyle name="Плохой 2 18" xfId="28775"/>
    <cellStyle name="Плохой 2 18 2" xfId="58636"/>
    <cellStyle name="Плохой 2 19" xfId="28776"/>
    <cellStyle name="Плохой 2 19 2" xfId="58637"/>
    <cellStyle name="Плохой 2 2" xfId="28777"/>
    <cellStyle name="Плохой 2 2 2" xfId="58638"/>
    <cellStyle name="Плохой 2 20" xfId="28778"/>
    <cellStyle name="Плохой 2 20 2" xfId="58639"/>
    <cellStyle name="Плохой 2 21" xfId="28779"/>
    <cellStyle name="Плохой 2 21 2" xfId="58640"/>
    <cellStyle name="Плохой 2 22" xfId="28780"/>
    <cellStyle name="Плохой 2 22 2" xfId="58641"/>
    <cellStyle name="Плохой 2 23" xfId="28781"/>
    <cellStyle name="Плохой 2 23 2" xfId="58642"/>
    <cellStyle name="Плохой 2 24" xfId="58643"/>
    <cellStyle name="Плохой 2 3" xfId="28782"/>
    <cellStyle name="Плохой 2 3 2" xfId="58644"/>
    <cellStyle name="Плохой 2 4" xfId="28783"/>
    <cellStyle name="Плохой 2 4 2" xfId="58645"/>
    <cellStyle name="Плохой 2 5" xfId="28784"/>
    <cellStyle name="Плохой 2 5 2" xfId="58646"/>
    <cellStyle name="Плохой 2 6" xfId="28785"/>
    <cellStyle name="Плохой 2 6 2" xfId="58647"/>
    <cellStyle name="Плохой 2 7" xfId="28786"/>
    <cellStyle name="Плохой 2 7 2" xfId="58648"/>
    <cellStyle name="Плохой 2 8" xfId="28787"/>
    <cellStyle name="Плохой 2 8 2" xfId="58649"/>
    <cellStyle name="Плохой 2 9" xfId="28788"/>
    <cellStyle name="Плохой 2 9 2" xfId="58650"/>
    <cellStyle name="Плохой 3" xfId="28789"/>
    <cellStyle name="Плохой 3 10" xfId="28790"/>
    <cellStyle name="Плохой 3 10 2" xfId="58651"/>
    <cellStyle name="Плохой 3 11" xfId="28791"/>
    <cellStyle name="Плохой 3 11 2" xfId="58652"/>
    <cellStyle name="Плохой 3 12" xfId="28792"/>
    <cellStyle name="Плохой 3 12 2" xfId="58653"/>
    <cellStyle name="Плохой 3 13" xfId="28793"/>
    <cellStyle name="Плохой 3 13 2" xfId="58654"/>
    <cellStyle name="Плохой 3 14" xfId="28794"/>
    <cellStyle name="Плохой 3 14 2" xfId="58655"/>
    <cellStyle name="Плохой 3 15" xfId="28795"/>
    <cellStyle name="Плохой 3 15 2" xfId="58656"/>
    <cellStyle name="Плохой 3 16" xfId="28796"/>
    <cellStyle name="Плохой 3 16 2" xfId="58657"/>
    <cellStyle name="Плохой 3 17" xfId="28797"/>
    <cellStyle name="Плохой 3 17 2" xfId="58658"/>
    <cellStyle name="Плохой 3 18" xfId="28798"/>
    <cellStyle name="Плохой 3 18 2" xfId="58659"/>
    <cellStyle name="Плохой 3 19" xfId="28799"/>
    <cellStyle name="Плохой 3 19 2" xfId="58660"/>
    <cellStyle name="Плохой 3 2" xfId="28800"/>
    <cellStyle name="Плохой 3 2 2" xfId="58661"/>
    <cellStyle name="Плохой 3 20" xfId="28801"/>
    <cellStyle name="Плохой 3 20 2" xfId="58662"/>
    <cellStyle name="Плохой 3 21" xfId="28802"/>
    <cellStyle name="Плохой 3 21 2" xfId="58663"/>
    <cellStyle name="Плохой 3 22" xfId="28803"/>
    <cellStyle name="Плохой 3 22 2" xfId="58664"/>
    <cellStyle name="Плохой 3 23" xfId="28804"/>
    <cellStyle name="Плохой 3 23 2" xfId="58665"/>
    <cellStyle name="Плохой 3 24" xfId="58666"/>
    <cellStyle name="Плохой 3 3" xfId="28805"/>
    <cellStyle name="Плохой 3 3 2" xfId="58667"/>
    <cellStyle name="Плохой 3 4" xfId="28806"/>
    <cellStyle name="Плохой 3 4 2" xfId="58668"/>
    <cellStyle name="Плохой 3 5" xfId="28807"/>
    <cellStyle name="Плохой 3 5 2" xfId="58669"/>
    <cellStyle name="Плохой 3 6" xfId="28808"/>
    <cellStyle name="Плохой 3 6 2" xfId="58670"/>
    <cellStyle name="Плохой 3 7" xfId="28809"/>
    <cellStyle name="Плохой 3 7 2" xfId="58671"/>
    <cellStyle name="Плохой 3 8" xfId="28810"/>
    <cellStyle name="Плохой 3 8 2" xfId="58672"/>
    <cellStyle name="Плохой 3 9" xfId="28811"/>
    <cellStyle name="Плохой 3 9 2" xfId="58673"/>
    <cellStyle name="Плохой 4" xfId="28812"/>
    <cellStyle name="Плохой 4 2" xfId="58674"/>
    <cellStyle name="Плохой 5" xfId="28813"/>
    <cellStyle name="Плохой 5 2" xfId="58675"/>
    <cellStyle name="Плохой 6" xfId="28814"/>
    <cellStyle name="Плохой 6 2" xfId="58676"/>
    <cellStyle name="Плохой 7" xfId="28815"/>
    <cellStyle name="Поле ввода" xfId="28816"/>
    <cellStyle name="Пояснение 2" xfId="28817"/>
    <cellStyle name="Пояснение 2 10" xfId="28818"/>
    <cellStyle name="Пояснение 2 10 2" xfId="58677"/>
    <cellStyle name="Пояснение 2 11" xfId="28819"/>
    <cellStyle name="Пояснение 2 11 2" xfId="58678"/>
    <cellStyle name="Пояснение 2 12" xfId="28820"/>
    <cellStyle name="Пояснение 2 12 2" xfId="58679"/>
    <cellStyle name="Пояснение 2 13" xfId="28821"/>
    <cellStyle name="Пояснение 2 13 2" xfId="58680"/>
    <cellStyle name="Пояснение 2 14" xfId="28822"/>
    <cellStyle name="Пояснение 2 14 2" xfId="58681"/>
    <cellStyle name="Пояснение 2 15" xfId="28823"/>
    <cellStyle name="Пояснение 2 15 2" xfId="58682"/>
    <cellStyle name="Пояснение 2 16" xfId="28824"/>
    <cellStyle name="Пояснение 2 16 2" xfId="58683"/>
    <cellStyle name="Пояснение 2 17" xfId="28825"/>
    <cellStyle name="Пояснение 2 17 2" xfId="58684"/>
    <cellStyle name="Пояснение 2 18" xfId="28826"/>
    <cellStyle name="Пояснение 2 18 2" xfId="58685"/>
    <cellStyle name="Пояснение 2 19" xfId="28827"/>
    <cellStyle name="Пояснение 2 19 2" xfId="58686"/>
    <cellStyle name="Пояснение 2 2" xfId="28828"/>
    <cellStyle name="Пояснение 2 2 2" xfId="58687"/>
    <cellStyle name="Пояснение 2 20" xfId="28829"/>
    <cellStyle name="Пояснение 2 20 2" xfId="58688"/>
    <cellStyle name="Пояснение 2 21" xfId="28830"/>
    <cellStyle name="Пояснение 2 21 2" xfId="58689"/>
    <cellStyle name="Пояснение 2 22" xfId="28831"/>
    <cellStyle name="Пояснение 2 22 2" xfId="58690"/>
    <cellStyle name="Пояснение 2 23" xfId="28832"/>
    <cellStyle name="Пояснение 2 23 2" xfId="58691"/>
    <cellStyle name="Пояснение 2 24" xfId="58692"/>
    <cellStyle name="Пояснение 2 3" xfId="28833"/>
    <cellStyle name="Пояснение 2 3 2" xfId="58693"/>
    <cellStyle name="Пояснение 2 4" xfId="28834"/>
    <cellStyle name="Пояснение 2 4 2" xfId="58694"/>
    <cellStyle name="Пояснение 2 5" xfId="28835"/>
    <cellStyle name="Пояснение 2 5 2" xfId="58695"/>
    <cellStyle name="Пояснение 2 6" xfId="28836"/>
    <cellStyle name="Пояснение 2 6 2" xfId="58696"/>
    <cellStyle name="Пояснение 2 7" xfId="28837"/>
    <cellStyle name="Пояснение 2 7 2" xfId="58697"/>
    <cellStyle name="Пояснение 2 8" xfId="28838"/>
    <cellStyle name="Пояснение 2 8 2" xfId="58698"/>
    <cellStyle name="Пояснение 2 9" xfId="28839"/>
    <cellStyle name="Пояснение 2 9 2" xfId="58699"/>
    <cellStyle name="Пояснение 3" xfId="28840"/>
    <cellStyle name="Пояснение 3 10" xfId="28841"/>
    <cellStyle name="Пояснение 3 10 2" xfId="58700"/>
    <cellStyle name="Пояснение 3 11" xfId="28842"/>
    <cellStyle name="Пояснение 3 11 2" xfId="58701"/>
    <cellStyle name="Пояснение 3 12" xfId="28843"/>
    <cellStyle name="Пояснение 3 12 2" xfId="58702"/>
    <cellStyle name="Пояснение 3 13" xfId="28844"/>
    <cellStyle name="Пояснение 3 13 2" xfId="58703"/>
    <cellStyle name="Пояснение 3 14" xfId="28845"/>
    <cellStyle name="Пояснение 3 14 2" xfId="58704"/>
    <cellStyle name="Пояснение 3 15" xfId="28846"/>
    <cellStyle name="Пояснение 3 15 2" xfId="58705"/>
    <cellStyle name="Пояснение 3 16" xfId="28847"/>
    <cellStyle name="Пояснение 3 16 2" xfId="58706"/>
    <cellStyle name="Пояснение 3 17" xfId="28848"/>
    <cellStyle name="Пояснение 3 17 2" xfId="58707"/>
    <cellStyle name="Пояснение 3 18" xfId="28849"/>
    <cellStyle name="Пояснение 3 18 2" xfId="58708"/>
    <cellStyle name="Пояснение 3 19" xfId="28850"/>
    <cellStyle name="Пояснение 3 19 2" xfId="58709"/>
    <cellStyle name="Пояснение 3 2" xfId="28851"/>
    <cellStyle name="Пояснение 3 2 2" xfId="58710"/>
    <cellStyle name="Пояснение 3 20" xfId="28852"/>
    <cellStyle name="Пояснение 3 20 2" xfId="58711"/>
    <cellStyle name="Пояснение 3 21" xfId="28853"/>
    <cellStyle name="Пояснение 3 21 2" xfId="58712"/>
    <cellStyle name="Пояснение 3 22" xfId="28854"/>
    <cellStyle name="Пояснение 3 22 2" xfId="58713"/>
    <cellStyle name="Пояснение 3 23" xfId="28855"/>
    <cellStyle name="Пояснение 3 23 2" xfId="58714"/>
    <cellStyle name="Пояснение 3 24" xfId="58715"/>
    <cellStyle name="Пояснение 3 3" xfId="28856"/>
    <cellStyle name="Пояснение 3 3 2" xfId="58716"/>
    <cellStyle name="Пояснение 3 4" xfId="28857"/>
    <cellStyle name="Пояснение 3 4 2" xfId="58717"/>
    <cellStyle name="Пояснение 3 5" xfId="28858"/>
    <cellStyle name="Пояснение 3 5 2" xfId="58718"/>
    <cellStyle name="Пояснение 3 6" xfId="28859"/>
    <cellStyle name="Пояснение 3 6 2" xfId="58719"/>
    <cellStyle name="Пояснение 3 7" xfId="28860"/>
    <cellStyle name="Пояснение 3 7 2" xfId="58720"/>
    <cellStyle name="Пояснение 3 8" xfId="28861"/>
    <cellStyle name="Пояснение 3 8 2" xfId="58721"/>
    <cellStyle name="Пояснение 3 9" xfId="28862"/>
    <cellStyle name="Пояснение 3 9 2" xfId="58722"/>
    <cellStyle name="Пояснение 4" xfId="28863"/>
    <cellStyle name="Пояснение 4 2" xfId="58723"/>
    <cellStyle name="Пояснение 5" xfId="28864"/>
    <cellStyle name="Пояснение 5 2" xfId="58724"/>
    <cellStyle name="Пояснение 6" xfId="28865"/>
    <cellStyle name="Пояснение 6 2" xfId="58725"/>
    <cellStyle name="Пояснение 7" xfId="28866"/>
    <cellStyle name="Примечание 2" xfId="28867"/>
    <cellStyle name="Примечание 2 10" xfId="28868"/>
    <cellStyle name="Примечание 2 10 2" xfId="58726"/>
    <cellStyle name="Примечание 2 11" xfId="28869"/>
    <cellStyle name="Примечание 2 11 2" xfId="58727"/>
    <cellStyle name="Примечание 2 12" xfId="28870"/>
    <cellStyle name="Примечание 2 12 2" xfId="58728"/>
    <cellStyle name="Примечание 2 13" xfId="28871"/>
    <cellStyle name="Примечание 2 13 2" xfId="58729"/>
    <cellStyle name="Примечание 2 14" xfId="28872"/>
    <cellStyle name="Примечание 2 14 2" xfId="58730"/>
    <cellStyle name="Примечание 2 15" xfId="28873"/>
    <cellStyle name="Примечание 2 15 2" xfId="58731"/>
    <cellStyle name="Примечание 2 16" xfId="28874"/>
    <cellStyle name="Примечание 2 16 2" xfId="58732"/>
    <cellStyle name="Примечание 2 17" xfId="28875"/>
    <cellStyle name="Примечание 2 17 2" xfId="58733"/>
    <cellStyle name="Примечание 2 18" xfId="28876"/>
    <cellStyle name="Примечание 2 18 2" xfId="58734"/>
    <cellStyle name="Примечание 2 19" xfId="28877"/>
    <cellStyle name="Примечание 2 19 2" xfId="58735"/>
    <cellStyle name="Примечание 2 2" xfId="28878"/>
    <cellStyle name="Примечание 2 2 10" xfId="28879"/>
    <cellStyle name="Примечание 2 2 10 2" xfId="58736"/>
    <cellStyle name="Примечание 2 2 11" xfId="28880"/>
    <cellStyle name="Примечание 2 2 11 2" xfId="58737"/>
    <cellStyle name="Примечание 2 2 12" xfId="28881"/>
    <cellStyle name="Примечание 2 2 12 2" xfId="58738"/>
    <cellStyle name="Примечание 2 2 13" xfId="28882"/>
    <cellStyle name="Примечание 2 2 13 2" xfId="58739"/>
    <cellStyle name="Примечание 2 2 14" xfId="28883"/>
    <cellStyle name="Примечание 2 2 14 2" xfId="58740"/>
    <cellStyle name="Примечание 2 2 15" xfId="28884"/>
    <cellStyle name="Примечание 2 2 15 2" xfId="58741"/>
    <cellStyle name="Примечание 2 2 16" xfId="28885"/>
    <cellStyle name="Примечание 2 2 16 2" xfId="58742"/>
    <cellStyle name="Примечание 2 2 17" xfId="28886"/>
    <cellStyle name="Примечание 2 2 17 2" xfId="58743"/>
    <cellStyle name="Примечание 2 2 18" xfId="28887"/>
    <cellStyle name="Примечание 2 2 18 2" xfId="58744"/>
    <cellStyle name="Примечание 2 2 19" xfId="28888"/>
    <cellStyle name="Примечание 2 2 19 2" xfId="58745"/>
    <cellStyle name="Примечание 2 2 2" xfId="28889"/>
    <cellStyle name="Примечание 2 2 2 2" xfId="58746"/>
    <cellStyle name="Примечание 2 2 20" xfId="28890"/>
    <cellStyle name="Примечание 2 2 20 2" xfId="58747"/>
    <cellStyle name="Примечание 2 2 21" xfId="28891"/>
    <cellStyle name="Примечание 2 2 21 2" xfId="58748"/>
    <cellStyle name="Примечание 2 2 22" xfId="28892"/>
    <cellStyle name="Примечание 2 2 22 2" xfId="58749"/>
    <cellStyle name="Примечание 2 2 23" xfId="28893"/>
    <cellStyle name="Примечание 2 2 23 2" xfId="58750"/>
    <cellStyle name="Примечание 2 2 24" xfId="58751"/>
    <cellStyle name="Примечание 2 2 3" xfId="28894"/>
    <cellStyle name="Примечание 2 2 3 2" xfId="58752"/>
    <cellStyle name="Примечание 2 2 4" xfId="28895"/>
    <cellStyle name="Примечание 2 2 4 2" xfId="58753"/>
    <cellStyle name="Примечание 2 2 5" xfId="28896"/>
    <cellStyle name="Примечание 2 2 5 2" xfId="58754"/>
    <cellStyle name="Примечание 2 2 6" xfId="28897"/>
    <cellStyle name="Примечание 2 2 6 2" xfId="58755"/>
    <cellStyle name="Примечание 2 2 7" xfId="28898"/>
    <cellStyle name="Примечание 2 2 7 2" xfId="58756"/>
    <cellStyle name="Примечание 2 2 8" xfId="28899"/>
    <cellStyle name="Примечание 2 2 8 2" xfId="58757"/>
    <cellStyle name="Примечание 2 2 9" xfId="28900"/>
    <cellStyle name="Примечание 2 2 9 2" xfId="58758"/>
    <cellStyle name="Примечание 2 20" xfId="28901"/>
    <cellStyle name="Примечание 2 20 2" xfId="58759"/>
    <cellStyle name="Примечание 2 21" xfId="28902"/>
    <cellStyle name="Примечание 2 21 2" xfId="58760"/>
    <cellStyle name="Примечание 2 22" xfId="28903"/>
    <cellStyle name="Примечание 2 22 2" xfId="58761"/>
    <cellStyle name="Примечание 2 23" xfId="28904"/>
    <cellStyle name="Примечание 2 23 2" xfId="58762"/>
    <cellStyle name="Примечание 2 24" xfId="28905"/>
    <cellStyle name="Примечание 2 24 2" xfId="58763"/>
    <cellStyle name="Примечание 2 25" xfId="58764"/>
    <cellStyle name="Примечание 2 3" xfId="28906"/>
    <cellStyle name="Примечание 2 3 2" xfId="58765"/>
    <cellStyle name="Примечание 2 4" xfId="28907"/>
    <cellStyle name="Примечание 2 4 2" xfId="58766"/>
    <cellStyle name="Примечание 2 5" xfId="28908"/>
    <cellStyle name="Примечание 2 5 2" xfId="58767"/>
    <cellStyle name="Примечание 2 6" xfId="28909"/>
    <cellStyle name="Примечание 2 6 2" xfId="58768"/>
    <cellStyle name="Примечание 2 7" xfId="28910"/>
    <cellStyle name="Примечание 2 7 2" xfId="58769"/>
    <cellStyle name="Примечание 2 8" xfId="28911"/>
    <cellStyle name="Примечание 2 8 2" xfId="58770"/>
    <cellStyle name="Примечание 2 9" xfId="28912"/>
    <cellStyle name="Примечание 2 9 2" xfId="58771"/>
    <cellStyle name="Примечание 3" xfId="28913"/>
    <cellStyle name="Примечание 3 10" xfId="28914"/>
    <cellStyle name="Примечание 3 10 2" xfId="58772"/>
    <cellStyle name="Примечание 3 11" xfId="28915"/>
    <cellStyle name="Примечание 3 11 2" xfId="58773"/>
    <cellStyle name="Примечание 3 12" xfId="28916"/>
    <cellStyle name="Примечание 3 12 2" xfId="58774"/>
    <cellStyle name="Примечание 3 13" xfId="28917"/>
    <cellStyle name="Примечание 3 13 2" xfId="58775"/>
    <cellStyle name="Примечание 3 14" xfId="28918"/>
    <cellStyle name="Примечание 3 14 2" xfId="58776"/>
    <cellStyle name="Примечание 3 15" xfId="28919"/>
    <cellStyle name="Примечание 3 15 2" xfId="58777"/>
    <cellStyle name="Примечание 3 16" xfId="28920"/>
    <cellStyle name="Примечание 3 16 2" xfId="58778"/>
    <cellStyle name="Примечание 3 17" xfId="28921"/>
    <cellStyle name="Примечание 3 17 2" xfId="58779"/>
    <cellStyle name="Примечание 3 18" xfId="28922"/>
    <cellStyle name="Примечание 3 18 2" xfId="58780"/>
    <cellStyle name="Примечание 3 19" xfId="28923"/>
    <cellStyle name="Примечание 3 19 2" xfId="58781"/>
    <cellStyle name="Примечание 3 2" xfId="28924"/>
    <cellStyle name="Примечание 3 2 2" xfId="58782"/>
    <cellStyle name="Примечание 3 20" xfId="28925"/>
    <cellStyle name="Примечание 3 20 2" xfId="58783"/>
    <cellStyle name="Примечание 3 21" xfId="28926"/>
    <cellStyle name="Примечание 3 21 2" xfId="58784"/>
    <cellStyle name="Примечание 3 22" xfId="28927"/>
    <cellStyle name="Примечание 3 22 2" xfId="58785"/>
    <cellStyle name="Примечание 3 23" xfId="28928"/>
    <cellStyle name="Примечание 3 23 2" xfId="58786"/>
    <cellStyle name="Примечание 3 24" xfId="28929"/>
    <cellStyle name="Примечание 3 24 2" xfId="58787"/>
    <cellStyle name="Примечание 3 25" xfId="58788"/>
    <cellStyle name="Примечание 3 3" xfId="28930"/>
    <cellStyle name="Примечание 3 3 2" xfId="58789"/>
    <cellStyle name="Примечание 3 4" xfId="28931"/>
    <cellStyle name="Примечание 3 4 2" xfId="58790"/>
    <cellStyle name="Примечание 3 5" xfId="28932"/>
    <cellStyle name="Примечание 3 5 2" xfId="58791"/>
    <cellStyle name="Примечание 3 6" xfId="28933"/>
    <cellStyle name="Примечание 3 6 2" xfId="58792"/>
    <cellStyle name="Примечание 3 7" xfId="28934"/>
    <cellStyle name="Примечание 3 7 2" xfId="58793"/>
    <cellStyle name="Примечание 3 8" xfId="28935"/>
    <cellStyle name="Примечание 3 8 2" xfId="58794"/>
    <cellStyle name="Примечание 3 9" xfId="28936"/>
    <cellStyle name="Примечание 3 9 2" xfId="58795"/>
    <cellStyle name="Примечание 4" xfId="28937"/>
    <cellStyle name="Примечание 4 10" xfId="28938"/>
    <cellStyle name="Примечание 4 10 2" xfId="58796"/>
    <cellStyle name="Примечание 4 11" xfId="28939"/>
    <cellStyle name="Примечание 4 11 2" xfId="58797"/>
    <cellStyle name="Примечание 4 12" xfId="28940"/>
    <cellStyle name="Примечание 4 12 2" xfId="58798"/>
    <cellStyle name="Примечание 4 13" xfId="28941"/>
    <cellStyle name="Примечание 4 13 2" xfId="58799"/>
    <cellStyle name="Примечание 4 14" xfId="28942"/>
    <cellStyle name="Примечание 4 14 2" xfId="58800"/>
    <cellStyle name="Примечание 4 15" xfId="28943"/>
    <cellStyle name="Примечание 4 15 2" xfId="58801"/>
    <cellStyle name="Примечание 4 16" xfId="28944"/>
    <cellStyle name="Примечание 4 16 2" xfId="58802"/>
    <cellStyle name="Примечание 4 17" xfId="28945"/>
    <cellStyle name="Примечание 4 17 2" xfId="58803"/>
    <cellStyle name="Примечание 4 18" xfId="28946"/>
    <cellStyle name="Примечание 4 18 2" xfId="58804"/>
    <cellStyle name="Примечание 4 19" xfId="28947"/>
    <cellStyle name="Примечание 4 19 2" xfId="58805"/>
    <cellStyle name="Примечание 4 2" xfId="28948"/>
    <cellStyle name="Примечание 4 2 2" xfId="58806"/>
    <cellStyle name="Примечание 4 20" xfId="28949"/>
    <cellStyle name="Примечание 4 20 2" xfId="58807"/>
    <cellStyle name="Примечание 4 21" xfId="28950"/>
    <cellStyle name="Примечание 4 21 2" xfId="58808"/>
    <cellStyle name="Примечание 4 22" xfId="28951"/>
    <cellStyle name="Примечание 4 22 2" xfId="58809"/>
    <cellStyle name="Примечание 4 23" xfId="28952"/>
    <cellStyle name="Примечание 4 23 2" xfId="58810"/>
    <cellStyle name="Примечание 4 24" xfId="28953"/>
    <cellStyle name="Примечание 4 24 2" xfId="58811"/>
    <cellStyle name="Примечание 4 25" xfId="58812"/>
    <cellStyle name="Примечание 4 3" xfId="28954"/>
    <cellStyle name="Примечание 4 3 2" xfId="58813"/>
    <cellStyle name="Примечание 4 4" xfId="28955"/>
    <cellStyle name="Примечание 4 4 2" xfId="58814"/>
    <cellStyle name="Примечание 4 5" xfId="28956"/>
    <cellStyle name="Примечание 4 5 2" xfId="58815"/>
    <cellStyle name="Примечание 4 6" xfId="28957"/>
    <cellStyle name="Примечание 4 6 2" xfId="58816"/>
    <cellStyle name="Примечание 4 7" xfId="28958"/>
    <cellStyle name="Примечание 4 7 2" xfId="58817"/>
    <cellStyle name="Примечание 4 8" xfId="28959"/>
    <cellStyle name="Примечание 4 8 2" xfId="58818"/>
    <cellStyle name="Примечание 4 9" xfId="28960"/>
    <cellStyle name="Примечание 4 9 2" xfId="58819"/>
    <cellStyle name="Примечание 5" xfId="28961"/>
    <cellStyle name="Примечание 5 10" xfId="28962"/>
    <cellStyle name="Примечание 5 10 2" xfId="58820"/>
    <cellStyle name="Примечание 5 11" xfId="28963"/>
    <cellStyle name="Примечание 5 11 2" xfId="58821"/>
    <cellStyle name="Примечание 5 12" xfId="28964"/>
    <cellStyle name="Примечание 5 12 2" xfId="58822"/>
    <cellStyle name="Примечание 5 13" xfId="28965"/>
    <cellStyle name="Примечание 5 13 2" xfId="58823"/>
    <cellStyle name="Примечание 5 14" xfId="28966"/>
    <cellStyle name="Примечание 5 14 2" xfId="58824"/>
    <cellStyle name="Примечание 5 15" xfId="28967"/>
    <cellStyle name="Примечание 5 15 2" xfId="58825"/>
    <cellStyle name="Примечание 5 16" xfId="28968"/>
    <cellStyle name="Примечание 5 16 2" xfId="58826"/>
    <cellStyle name="Примечание 5 17" xfId="28969"/>
    <cellStyle name="Примечание 5 17 2" xfId="58827"/>
    <cellStyle name="Примечание 5 18" xfId="28970"/>
    <cellStyle name="Примечание 5 18 2" xfId="58828"/>
    <cellStyle name="Примечание 5 19" xfId="28971"/>
    <cellStyle name="Примечание 5 19 2" xfId="58829"/>
    <cellStyle name="Примечание 5 2" xfId="28972"/>
    <cellStyle name="Примечание 5 2 2" xfId="58830"/>
    <cellStyle name="Примечание 5 20" xfId="28973"/>
    <cellStyle name="Примечание 5 20 2" xfId="58831"/>
    <cellStyle name="Примечание 5 21" xfId="28974"/>
    <cellStyle name="Примечание 5 21 2" xfId="58832"/>
    <cellStyle name="Примечание 5 22" xfId="28975"/>
    <cellStyle name="Примечание 5 22 2" xfId="58833"/>
    <cellStyle name="Примечание 5 23" xfId="28976"/>
    <cellStyle name="Примечание 5 23 2" xfId="58834"/>
    <cellStyle name="Примечание 5 24" xfId="28977"/>
    <cellStyle name="Примечание 5 24 2" xfId="58835"/>
    <cellStyle name="Примечание 5 25" xfId="58836"/>
    <cellStyle name="Примечание 5 3" xfId="28978"/>
    <cellStyle name="Примечание 5 3 2" xfId="58837"/>
    <cellStyle name="Примечание 5 4" xfId="28979"/>
    <cellStyle name="Примечание 5 4 2" xfId="58838"/>
    <cellStyle name="Примечание 5 5" xfId="28980"/>
    <cellStyle name="Примечание 5 5 2" xfId="58839"/>
    <cellStyle name="Примечание 5 6" xfId="28981"/>
    <cellStyle name="Примечание 5 6 2" xfId="58840"/>
    <cellStyle name="Примечание 5 7" xfId="28982"/>
    <cellStyle name="Примечание 5 7 2" xfId="58841"/>
    <cellStyle name="Примечание 5 8" xfId="28983"/>
    <cellStyle name="Примечание 5 8 2" xfId="58842"/>
    <cellStyle name="Примечание 5 9" xfId="28984"/>
    <cellStyle name="Примечание 5 9 2" xfId="58843"/>
    <cellStyle name="Примечание 6" xfId="28985"/>
    <cellStyle name="Примечание 6 10" xfId="28986"/>
    <cellStyle name="Примечание 6 10 2" xfId="58844"/>
    <cellStyle name="Примечание 6 11" xfId="28987"/>
    <cellStyle name="Примечание 6 11 2" xfId="58845"/>
    <cellStyle name="Примечание 6 12" xfId="28988"/>
    <cellStyle name="Примечание 6 12 2" xfId="58846"/>
    <cellStyle name="Примечание 6 13" xfId="28989"/>
    <cellStyle name="Примечание 6 13 2" xfId="58847"/>
    <cellStyle name="Примечание 6 14" xfId="28990"/>
    <cellStyle name="Примечание 6 14 2" xfId="58848"/>
    <cellStyle name="Примечание 6 15" xfId="28991"/>
    <cellStyle name="Примечание 6 15 2" xfId="58849"/>
    <cellStyle name="Примечание 6 16" xfId="28992"/>
    <cellStyle name="Примечание 6 16 2" xfId="58850"/>
    <cellStyle name="Примечание 6 17" xfId="28993"/>
    <cellStyle name="Примечание 6 17 2" xfId="58851"/>
    <cellStyle name="Примечание 6 18" xfId="28994"/>
    <cellStyle name="Примечание 6 18 2" xfId="58852"/>
    <cellStyle name="Примечание 6 19" xfId="28995"/>
    <cellStyle name="Примечание 6 19 2" xfId="58853"/>
    <cellStyle name="Примечание 6 2" xfId="28996"/>
    <cellStyle name="Примечание 6 2 2" xfId="58854"/>
    <cellStyle name="Примечание 6 20" xfId="28997"/>
    <cellStyle name="Примечание 6 20 2" xfId="58855"/>
    <cellStyle name="Примечание 6 21" xfId="28998"/>
    <cellStyle name="Примечание 6 21 2" xfId="58856"/>
    <cellStyle name="Примечание 6 22" xfId="28999"/>
    <cellStyle name="Примечание 6 22 2" xfId="58857"/>
    <cellStyle name="Примечание 6 23" xfId="29000"/>
    <cellStyle name="Примечание 6 23 2" xfId="58858"/>
    <cellStyle name="Примечание 6 24" xfId="58859"/>
    <cellStyle name="Примечание 6 3" xfId="29001"/>
    <cellStyle name="Примечание 6 3 2" xfId="58860"/>
    <cellStyle name="Примечание 6 4" xfId="29002"/>
    <cellStyle name="Примечание 6 4 2" xfId="58861"/>
    <cellStyle name="Примечание 6 5" xfId="29003"/>
    <cellStyle name="Примечание 6 5 2" xfId="58862"/>
    <cellStyle name="Примечание 6 6" xfId="29004"/>
    <cellStyle name="Примечание 6 6 2" xfId="58863"/>
    <cellStyle name="Примечание 6 7" xfId="29005"/>
    <cellStyle name="Примечание 6 7 2" xfId="58864"/>
    <cellStyle name="Примечание 6 8" xfId="29006"/>
    <cellStyle name="Примечание 6 8 2" xfId="58865"/>
    <cellStyle name="Примечание 6 9" xfId="29007"/>
    <cellStyle name="Примечание 6 9 2" xfId="58866"/>
    <cellStyle name="Примечание 7" xfId="29008"/>
    <cellStyle name="Примечание 7 2" xfId="58867"/>
    <cellStyle name="Примечание 8" xfId="29009"/>
    <cellStyle name="Примечание 8 2" xfId="58868"/>
    <cellStyle name="Процентный 10" xfId="29010"/>
    <cellStyle name="Процентный 10 2" xfId="29011"/>
    <cellStyle name="Процентный 11" xfId="29012"/>
    <cellStyle name="Процентный 11 2" xfId="59132"/>
    <cellStyle name="Процентный 12" xfId="29013"/>
    <cellStyle name="Процентный 12 2" xfId="59133"/>
    <cellStyle name="Процентный 13" xfId="29014"/>
    <cellStyle name="Процентный 13 2" xfId="59134"/>
    <cellStyle name="Процентный 14" xfId="29015"/>
    <cellStyle name="Процентный 14 2" xfId="59135"/>
    <cellStyle name="Процентный 15" xfId="29016"/>
    <cellStyle name="Процентный 15 2" xfId="59136"/>
    <cellStyle name="Процентный 16" xfId="29017"/>
    <cellStyle name="Процентный 16 2" xfId="59137"/>
    <cellStyle name="Процентный 17" xfId="59138"/>
    <cellStyle name="Процентный 2" xfId="29018"/>
    <cellStyle name="Процентный 2 2" xfId="29019"/>
    <cellStyle name="Процентный 2 2 2" xfId="59139"/>
    <cellStyle name="Процентный 2 2 3" xfId="59140"/>
    <cellStyle name="Процентный 2 3" xfId="29020"/>
    <cellStyle name="Процентный 2 3 2" xfId="59141"/>
    <cellStyle name="Процентный 2 4" xfId="29021"/>
    <cellStyle name="Процентный 2 4 2" xfId="59142"/>
    <cellStyle name="Процентный 2 5" xfId="59143"/>
    <cellStyle name="Процентный 2 6" xfId="59144"/>
    <cellStyle name="Процентный 3" xfId="29022"/>
    <cellStyle name="Процентный 3 2" xfId="29023"/>
    <cellStyle name="Процентный 3 3" xfId="29024"/>
    <cellStyle name="Процентный 3 4" xfId="29025"/>
    <cellStyle name="Процентный 3 5" xfId="29026"/>
    <cellStyle name="Процентный 3 6" xfId="29027"/>
    <cellStyle name="Процентный 3 6 2" xfId="59145"/>
    <cellStyle name="Процентный 3 7" xfId="59146"/>
    <cellStyle name="Процентный 3 8" xfId="59147"/>
    <cellStyle name="Процентный 4" xfId="29028"/>
    <cellStyle name="Процентный 4 2" xfId="29029"/>
    <cellStyle name="Процентный 4 2 2" xfId="29030"/>
    <cellStyle name="Процентный 4 3" xfId="29031"/>
    <cellStyle name="Процентный 4 3 2" xfId="29032"/>
    <cellStyle name="Процентный 4 4" xfId="29033"/>
    <cellStyle name="Процентный 4 4 2" xfId="29034"/>
    <cellStyle name="Процентный 4 5" xfId="29035"/>
    <cellStyle name="Процентный 4 6" xfId="59148"/>
    <cellStyle name="Процентный 5" xfId="29036"/>
    <cellStyle name="Процентный 5 2" xfId="59149"/>
    <cellStyle name="Процентный 5 2 2" xfId="59150"/>
    <cellStyle name="Процентный 5 3" xfId="59151"/>
    <cellStyle name="Процентный 6" xfId="29037"/>
    <cellStyle name="Процентный 6 2" xfId="29038"/>
    <cellStyle name="Процентный 7" xfId="29039"/>
    <cellStyle name="Процентный 7 2" xfId="29040"/>
    <cellStyle name="Процентный 8" xfId="29041"/>
    <cellStyle name="Процентный 8 2" xfId="29042"/>
    <cellStyle name="Процентный 9" xfId="29043"/>
    <cellStyle name="Процентный 9 2" xfId="29044"/>
    <cellStyle name="Связанная ячейка 2" xfId="29045"/>
    <cellStyle name="Связанная ячейка 2 10" xfId="29046"/>
    <cellStyle name="Связанная ячейка 2 10 2" xfId="58869"/>
    <cellStyle name="Связанная ячейка 2 11" xfId="29047"/>
    <cellStyle name="Связанная ячейка 2 11 2" xfId="58870"/>
    <cellStyle name="Связанная ячейка 2 12" xfId="29048"/>
    <cellStyle name="Связанная ячейка 2 12 2" xfId="58871"/>
    <cellStyle name="Связанная ячейка 2 13" xfId="29049"/>
    <cellStyle name="Связанная ячейка 2 13 2" xfId="58872"/>
    <cellStyle name="Связанная ячейка 2 14" xfId="29050"/>
    <cellStyle name="Связанная ячейка 2 14 2" xfId="58873"/>
    <cellStyle name="Связанная ячейка 2 15" xfId="29051"/>
    <cellStyle name="Связанная ячейка 2 15 2" xfId="58874"/>
    <cellStyle name="Связанная ячейка 2 16" xfId="29052"/>
    <cellStyle name="Связанная ячейка 2 16 2" xfId="58875"/>
    <cellStyle name="Связанная ячейка 2 17" xfId="29053"/>
    <cellStyle name="Связанная ячейка 2 17 2" xfId="58876"/>
    <cellStyle name="Связанная ячейка 2 18" xfId="29054"/>
    <cellStyle name="Связанная ячейка 2 18 2" xfId="58877"/>
    <cellStyle name="Связанная ячейка 2 19" xfId="29055"/>
    <cellStyle name="Связанная ячейка 2 19 2" xfId="58878"/>
    <cellStyle name="Связанная ячейка 2 2" xfId="29056"/>
    <cellStyle name="Связанная ячейка 2 2 2" xfId="58879"/>
    <cellStyle name="Связанная ячейка 2 20" xfId="29057"/>
    <cellStyle name="Связанная ячейка 2 20 2" xfId="58880"/>
    <cellStyle name="Связанная ячейка 2 21" xfId="29058"/>
    <cellStyle name="Связанная ячейка 2 21 2" xfId="58881"/>
    <cellStyle name="Связанная ячейка 2 22" xfId="29059"/>
    <cellStyle name="Связанная ячейка 2 22 2" xfId="58882"/>
    <cellStyle name="Связанная ячейка 2 23" xfId="29060"/>
    <cellStyle name="Связанная ячейка 2 23 2" xfId="58883"/>
    <cellStyle name="Связанная ячейка 2 24" xfId="58884"/>
    <cellStyle name="Связанная ячейка 2 3" xfId="29061"/>
    <cellStyle name="Связанная ячейка 2 3 2" xfId="58885"/>
    <cellStyle name="Связанная ячейка 2 4" xfId="29062"/>
    <cellStyle name="Связанная ячейка 2 4 2" xfId="58886"/>
    <cellStyle name="Связанная ячейка 2 5" xfId="29063"/>
    <cellStyle name="Связанная ячейка 2 5 2" xfId="58887"/>
    <cellStyle name="Связанная ячейка 2 6" xfId="29064"/>
    <cellStyle name="Связанная ячейка 2 6 2" xfId="58888"/>
    <cellStyle name="Связанная ячейка 2 7" xfId="29065"/>
    <cellStyle name="Связанная ячейка 2 7 2" xfId="58889"/>
    <cellStyle name="Связанная ячейка 2 8" xfId="29066"/>
    <cellStyle name="Связанная ячейка 2 8 2" xfId="58890"/>
    <cellStyle name="Связанная ячейка 2 9" xfId="29067"/>
    <cellStyle name="Связанная ячейка 2 9 2" xfId="58891"/>
    <cellStyle name="Связанная ячейка 3" xfId="29068"/>
    <cellStyle name="Связанная ячейка 3 10" xfId="29069"/>
    <cellStyle name="Связанная ячейка 3 10 2" xfId="58892"/>
    <cellStyle name="Связанная ячейка 3 11" xfId="29070"/>
    <cellStyle name="Связанная ячейка 3 11 2" xfId="58893"/>
    <cellStyle name="Связанная ячейка 3 12" xfId="29071"/>
    <cellStyle name="Связанная ячейка 3 12 2" xfId="58894"/>
    <cellStyle name="Связанная ячейка 3 13" xfId="29072"/>
    <cellStyle name="Связанная ячейка 3 13 2" xfId="58895"/>
    <cellStyle name="Связанная ячейка 3 14" xfId="29073"/>
    <cellStyle name="Связанная ячейка 3 14 2" xfId="58896"/>
    <cellStyle name="Связанная ячейка 3 15" xfId="29074"/>
    <cellStyle name="Связанная ячейка 3 15 2" xfId="58897"/>
    <cellStyle name="Связанная ячейка 3 16" xfId="29075"/>
    <cellStyle name="Связанная ячейка 3 16 2" xfId="58898"/>
    <cellStyle name="Связанная ячейка 3 17" xfId="29076"/>
    <cellStyle name="Связанная ячейка 3 17 2" xfId="58899"/>
    <cellStyle name="Связанная ячейка 3 18" xfId="29077"/>
    <cellStyle name="Связанная ячейка 3 18 2" xfId="58900"/>
    <cellStyle name="Связанная ячейка 3 19" xfId="29078"/>
    <cellStyle name="Связанная ячейка 3 19 2" xfId="58901"/>
    <cellStyle name="Связанная ячейка 3 2" xfId="29079"/>
    <cellStyle name="Связанная ячейка 3 2 2" xfId="58902"/>
    <cellStyle name="Связанная ячейка 3 20" xfId="29080"/>
    <cellStyle name="Связанная ячейка 3 20 2" xfId="58903"/>
    <cellStyle name="Связанная ячейка 3 21" xfId="29081"/>
    <cellStyle name="Связанная ячейка 3 21 2" xfId="58904"/>
    <cellStyle name="Связанная ячейка 3 22" xfId="29082"/>
    <cellStyle name="Связанная ячейка 3 22 2" xfId="58905"/>
    <cellStyle name="Связанная ячейка 3 23" xfId="29083"/>
    <cellStyle name="Связанная ячейка 3 23 2" xfId="58906"/>
    <cellStyle name="Связанная ячейка 3 24" xfId="58907"/>
    <cellStyle name="Связанная ячейка 3 3" xfId="29084"/>
    <cellStyle name="Связанная ячейка 3 3 2" xfId="58908"/>
    <cellStyle name="Связанная ячейка 3 4" xfId="29085"/>
    <cellStyle name="Связанная ячейка 3 4 2" xfId="58909"/>
    <cellStyle name="Связанная ячейка 3 5" xfId="29086"/>
    <cellStyle name="Связанная ячейка 3 5 2" xfId="58910"/>
    <cellStyle name="Связанная ячейка 3 6" xfId="29087"/>
    <cellStyle name="Связанная ячейка 3 6 2" xfId="58911"/>
    <cellStyle name="Связанная ячейка 3 7" xfId="29088"/>
    <cellStyle name="Связанная ячейка 3 7 2" xfId="58912"/>
    <cellStyle name="Связанная ячейка 3 8" xfId="29089"/>
    <cellStyle name="Связанная ячейка 3 8 2" xfId="58913"/>
    <cellStyle name="Связанная ячейка 3 9" xfId="29090"/>
    <cellStyle name="Связанная ячейка 3 9 2" xfId="58914"/>
    <cellStyle name="Связанная ячейка 4" xfId="29091"/>
    <cellStyle name="Связанная ячейка 4 2" xfId="58915"/>
    <cellStyle name="Связанная ячейка 5" xfId="29092"/>
    <cellStyle name="Связанная ячейка 5 2" xfId="58916"/>
    <cellStyle name="Связанная ячейка 6" xfId="29093"/>
    <cellStyle name="Связанная ячейка 6 2" xfId="58917"/>
    <cellStyle name="Связанная ячейка 7" xfId="29094"/>
    <cellStyle name="Стиль 1" xfId="25"/>
    <cellStyle name="Стиль 1 10" xfId="26"/>
    <cellStyle name="Стиль 1 10 2" xfId="29095"/>
    <cellStyle name="Стиль 1 10 3" xfId="29096"/>
    <cellStyle name="Стиль 1 11" xfId="29097"/>
    <cellStyle name="Стиль 1 12" xfId="29098"/>
    <cellStyle name="Стиль 1 13" xfId="29099"/>
    <cellStyle name="Стиль 1 14" xfId="29100"/>
    <cellStyle name="Стиль 1 15" xfId="29101"/>
    <cellStyle name="Стиль 1 16" xfId="29102"/>
    <cellStyle name="Стиль 1 17" xfId="29103"/>
    <cellStyle name="Стиль 1 18" xfId="29104"/>
    <cellStyle name="Стиль 1 19" xfId="29105"/>
    <cellStyle name="Стиль 1 2" xfId="29106"/>
    <cellStyle name="Стиль 1 2 10" xfId="29107"/>
    <cellStyle name="Стиль 1 2 11" xfId="29108"/>
    <cellStyle name="Стиль 1 2 12" xfId="29109"/>
    <cellStyle name="Стиль 1 2 13" xfId="29110"/>
    <cellStyle name="Стиль 1 2 14" xfId="29111"/>
    <cellStyle name="Стиль 1 2 15" xfId="29112"/>
    <cellStyle name="Стиль 1 2 16" xfId="29113"/>
    <cellStyle name="Стиль 1 2 16 2" xfId="58918"/>
    <cellStyle name="Стиль 1 2 17" xfId="59152"/>
    <cellStyle name="Стиль 1 2 18" xfId="60328"/>
    <cellStyle name="Стиль 1 2 2" xfId="29114"/>
    <cellStyle name="Стиль 1 2 2 2" xfId="29115"/>
    <cellStyle name="Стиль 1 2 2 2 2" xfId="58919"/>
    <cellStyle name="Стиль 1 2 2 3" xfId="29116"/>
    <cellStyle name="Стиль 1 2 2 3 2" xfId="58920"/>
    <cellStyle name="Стиль 1 2 2 4" xfId="29117"/>
    <cellStyle name="Стиль 1 2 2 4 2" xfId="58921"/>
    <cellStyle name="Стиль 1 2 2 5" xfId="29118"/>
    <cellStyle name="Стиль 1 2 2 5 2" xfId="58922"/>
    <cellStyle name="Стиль 1 2 2 6" xfId="29119"/>
    <cellStyle name="Стиль 1 2 2 6 2" xfId="58923"/>
    <cellStyle name="Стиль 1 2 3" xfId="29120"/>
    <cellStyle name="Стиль 1 2 3 2" xfId="29121"/>
    <cellStyle name="Стиль 1 2 3 2 2" xfId="58924"/>
    <cellStyle name="Стиль 1 2 4" xfId="29122"/>
    <cellStyle name="Стиль 1 2 4 2" xfId="29123"/>
    <cellStyle name="Стиль 1 2 4 2 2" xfId="58925"/>
    <cellStyle name="Стиль 1 2 5" xfId="29124"/>
    <cellStyle name="Стиль 1 2 5 2" xfId="29125"/>
    <cellStyle name="Стиль 1 2 5 2 2" xfId="58926"/>
    <cellStyle name="Стиль 1 2 6" xfId="29126"/>
    <cellStyle name="Стиль 1 2 7" xfId="29127"/>
    <cellStyle name="Стиль 1 2 8" xfId="29128"/>
    <cellStyle name="Стиль 1 2 9" xfId="29129"/>
    <cellStyle name="Стиль 1 20" xfId="29130"/>
    <cellStyle name="Стиль 1 21" xfId="29131"/>
    <cellStyle name="Стиль 1 22" xfId="29132"/>
    <cellStyle name="Стиль 1 23" xfId="29133"/>
    <cellStyle name="Стиль 1 24" xfId="29134"/>
    <cellStyle name="Стиль 1 25" xfId="29135"/>
    <cellStyle name="Стиль 1 26" xfId="29136"/>
    <cellStyle name="Стиль 1 27" xfId="29137"/>
    <cellStyle name="Стиль 1 28" xfId="29138"/>
    <cellStyle name="Стиль 1 29" xfId="29139"/>
    <cellStyle name="Стиль 1 3" xfId="29140"/>
    <cellStyle name="Стиль 1 3 2" xfId="29141"/>
    <cellStyle name="Стиль 1 3 2 2" xfId="58927"/>
    <cellStyle name="Стиль 1 30" xfId="29142"/>
    <cellStyle name="Стиль 1 31" xfId="29143"/>
    <cellStyle name="Стиль 1 32" xfId="29144"/>
    <cellStyle name="Стиль 1 33" xfId="29145"/>
    <cellStyle name="Стиль 1 34" xfId="29146"/>
    <cellStyle name="Стиль 1 35" xfId="29147"/>
    <cellStyle name="Стиль 1 36" xfId="29148"/>
    <cellStyle name="Стиль 1 37" xfId="29149"/>
    <cellStyle name="Стиль 1 38" xfId="29150"/>
    <cellStyle name="Стиль 1 39" xfId="29151"/>
    <cellStyle name="Стиль 1 4" xfId="29152"/>
    <cellStyle name="Стиль 1 4 2" xfId="29153"/>
    <cellStyle name="Стиль 1 4 2 2" xfId="58928"/>
    <cellStyle name="Стиль 1 40" xfId="29154"/>
    <cellStyle name="Стиль 1 41" xfId="29155"/>
    <cellStyle name="Стиль 1 42" xfId="29156"/>
    <cellStyle name="Стиль 1 43" xfId="29157"/>
    <cellStyle name="Стиль 1 44" xfId="29158"/>
    <cellStyle name="Стиль 1 45" xfId="29159"/>
    <cellStyle name="Стиль 1 46" xfId="29160"/>
    <cellStyle name="Стиль 1 47" xfId="29161"/>
    <cellStyle name="Стиль 1 48" xfId="29162"/>
    <cellStyle name="Стиль 1 49" xfId="29163"/>
    <cellStyle name="Стиль 1 5" xfId="29164"/>
    <cellStyle name="Стиль 1 5 2" xfId="29165"/>
    <cellStyle name="Стиль 1 5 2 2" xfId="58929"/>
    <cellStyle name="Стиль 1 50" xfId="29166"/>
    <cellStyle name="Стиль 1 51" xfId="29167"/>
    <cellStyle name="Стиль 1 52" xfId="29168"/>
    <cellStyle name="Стиль 1 53" xfId="29169"/>
    <cellStyle name="Стиль 1 54" xfId="29170"/>
    <cellStyle name="Стиль 1 55" xfId="29171"/>
    <cellStyle name="Стиль 1 55 2" xfId="58930"/>
    <cellStyle name="Стиль 1 56" xfId="29172"/>
    <cellStyle name="Стиль 1 57" xfId="59153"/>
    <cellStyle name="Стиль 1 58" xfId="60329"/>
    <cellStyle name="Стиль 1 6" xfId="29173"/>
    <cellStyle name="Стиль 1 7" xfId="29174"/>
    <cellStyle name="Стиль 1 8" xfId="29175"/>
    <cellStyle name="Стиль 1 9" xfId="29176"/>
    <cellStyle name="Текст предупреждения 2" xfId="29177"/>
    <cellStyle name="Текст предупреждения 2 10" xfId="29178"/>
    <cellStyle name="Текст предупреждения 2 10 2" xfId="58931"/>
    <cellStyle name="Текст предупреждения 2 11" xfId="29179"/>
    <cellStyle name="Текст предупреждения 2 11 2" xfId="58932"/>
    <cellStyle name="Текст предупреждения 2 12" xfId="29180"/>
    <cellStyle name="Текст предупреждения 2 12 2" xfId="58933"/>
    <cellStyle name="Текст предупреждения 2 13" xfId="29181"/>
    <cellStyle name="Текст предупреждения 2 13 2" xfId="58934"/>
    <cellStyle name="Текст предупреждения 2 14" xfId="29182"/>
    <cellStyle name="Текст предупреждения 2 14 2" xfId="58935"/>
    <cellStyle name="Текст предупреждения 2 15" xfId="29183"/>
    <cellStyle name="Текст предупреждения 2 15 2" xfId="58936"/>
    <cellStyle name="Текст предупреждения 2 16" xfId="29184"/>
    <cellStyle name="Текст предупреждения 2 16 2" xfId="58937"/>
    <cellStyle name="Текст предупреждения 2 17" xfId="29185"/>
    <cellStyle name="Текст предупреждения 2 17 2" xfId="58938"/>
    <cellStyle name="Текст предупреждения 2 18" xfId="29186"/>
    <cellStyle name="Текст предупреждения 2 18 2" xfId="58939"/>
    <cellStyle name="Текст предупреждения 2 19" xfId="29187"/>
    <cellStyle name="Текст предупреждения 2 19 2" xfId="58940"/>
    <cellStyle name="Текст предупреждения 2 2" xfId="29188"/>
    <cellStyle name="Текст предупреждения 2 2 2" xfId="58941"/>
    <cellStyle name="Текст предупреждения 2 20" xfId="29189"/>
    <cellStyle name="Текст предупреждения 2 20 2" xfId="58942"/>
    <cellStyle name="Текст предупреждения 2 21" xfId="29190"/>
    <cellStyle name="Текст предупреждения 2 21 2" xfId="58943"/>
    <cellStyle name="Текст предупреждения 2 22" xfId="29191"/>
    <cellStyle name="Текст предупреждения 2 22 2" xfId="58944"/>
    <cellStyle name="Текст предупреждения 2 23" xfId="29192"/>
    <cellStyle name="Текст предупреждения 2 23 2" xfId="58945"/>
    <cellStyle name="Текст предупреждения 2 24" xfId="58946"/>
    <cellStyle name="Текст предупреждения 2 3" xfId="29193"/>
    <cellStyle name="Текст предупреждения 2 3 2" xfId="58947"/>
    <cellStyle name="Текст предупреждения 2 4" xfId="29194"/>
    <cellStyle name="Текст предупреждения 2 4 2" xfId="58948"/>
    <cellStyle name="Текст предупреждения 2 5" xfId="29195"/>
    <cellStyle name="Текст предупреждения 2 5 2" xfId="58949"/>
    <cellStyle name="Текст предупреждения 2 6" xfId="29196"/>
    <cellStyle name="Текст предупреждения 2 6 2" xfId="58950"/>
    <cellStyle name="Текст предупреждения 2 7" xfId="29197"/>
    <cellStyle name="Текст предупреждения 2 7 2" xfId="58951"/>
    <cellStyle name="Текст предупреждения 2 8" xfId="29198"/>
    <cellStyle name="Текст предупреждения 2 8 2" xfId="58952"/>
    <cellStyle name="Текст предупреждения 2 9" xfId="29199"/>
    <cellStyle name="Текст предупреждения 2 9 2" xfId="58953"/>
    <cellStyle name="Текст предупреждения 3" xfId="29200"/>
    <cellStyle name="Текст предупреждения 3 10" xfId="29201"/>
    <cellStyle name="Текст предупреждения 3 10 2" xfId="58954"/>
    <cellStyle name="Текст предупреждения 3 11" xfId="29202"/>
    <cellStyle name="Текст предупреждения 3 11 2" xfId="58955"/>
    <cellStyle name="Текст предупреждения 3 12" xfId="29203"/>
    <cellStyle name="Текст предупреждения 3 12 2" xfId="58956"/>
    <cellStyle name="Текст предупреждения 3 13" xfId="29204"/>
    <cellStyle name="Текст предупреждения 3 13 2" xfId="58957"/>
    <cellStyle name="Текст предупреждения 3 14" xfId="29205"/>
    <cellStyle name="Текст предупреждения 3 14 2" xfId="58958"/>
    <cellStyle name="Текст предупреждения 3 15" xfId="29206"/>
    <cellStyle name="Текст предупреждения 3 15 2" xfId="58959"/>
    <cellStyle name="Текст предупреждения 3 16" xfId="29207"/>
    <cellStyle name="Текст предупреждения 3 16 2" xfId="58960"/>
    <cellStyle name="Текст предупреждения 3 17" xfId="29208"/>
    <cellStyle name="Текст предупреждения 3 17 2" xfId="58961"/>
    <cellStyle name="Текст предупреждения 3 18" xfId="29209"/>
    <cellStyle name="Текст предупреждения 3 18 2" xfId="58962"/>
    <cellStyle name="Текст предупреждения 3 19" xfId="29210"/>
    <cellStyle name="Текст предупреждения 3 19 2" xfId="58963"/>
    <cellStyle name="Текст предупреждения 3 2" xfId="29211"/>
    <cellStyle name="Текст предупреждения 3 2 2" xfId="58964"/>
    <cellStyle name="Текст предупреждения 3 20" xfId="29212"/>
    <cellStyle name="Текст предупреждения 3 20 2" xfId="58965"/>
    <cellStyle name="Текст предупреждения 3 21" xfId="29213"/>
    <cellStyle name="Текст предупреждения 3 21 2" xfId="58966"/>
    <cellStyle name="Текст предупреждения 3 22" xfId="29214"/>
    <cellStyle name="Текст предупреждения 3 22 2" xfId="58967"/>
    <cellStyle name="Текст предупреждения 3 23" xfId="29215"/>
    <cellStyle name="Текст предупреждения 3 23 2" xfId="58968"/>
    <cellStyle name="Текст предупреждения 3 24" xfId="58969"/>
    <cellStyle name="Текст предупреждения 3 3" xfId="29216"/>
    <cellStyle name="Текст предупреждения 3 3 2" xfId="58970"/>
    <cellStyle name="Текст предупреждения 3 4" xfId="29217"/>
    <cellStyle name="Текст предупреждения 3 4 2" xfId="58971"/>
    <cellStyle name="Текст предупреждения 3 5" xfId="29218"/>
    <cellStyle name="Текст предупреждения 3 5 2" xfId="58972"/>
    <cellStyle name="Текст предупреждения 3 6" xfId="29219"/>
    <cellStyle name="Текст предупреждения 3 6 2" xfId="58973"/>
    <cellStyle name="Текст предупреждения 3 7" xfId="29220"/>
    <cellStyle name="Текст предупреждения 3 7 2" xfId="58974"/>
    <cellStyle name="Текст предупреждения 3 8" xfId="29221"/>
    <cellStyle name="Текст предупреждения 3 8 2" xfId="58975"/>
    <cellStyle name="Текст предупреждения 3 9" xfId="29222"/>
    <cellStyle name="Текст предупреждения 3 9 2" xfId="58976"/>
    <cellStyle name="Текст предупреждения 4" xfId="29223"/>
    <cellStyle name="Текст предупреждения 4 2" xfId="58977"/>
    <cellStyle name="Текст предупреждения 5" xfId="29224"/>
    <cellStyle name="Текст предупреждения 5 2" xfId="58978"/>
    <cellStyle name="Текст предупреждения 6" xfId="29225"/>
    <cellStyle name="Текст предупреждения 6 2" xfId="58979"/>
    <cellStyle name="Текст предупреждения 7" xfId="29226"/>
    <cellStyle name="Текстовый" xfId="29227"/>
    <cellStyle name="Тысячи [0]_22гк" xfId="29228"/>
    <cellStyle name="Тысячи_22гк" xfId="29229"/>
    <cellStyle name="Финансовый" xfId="60332" builtinId="3"/>
    <cellStyle name="Финансовый [0] 2" xfId="29230"/>
    <cellStyle name="Финансовый [0] 2 2" xfId="29231"/>
    <cellStyle name="Финансовый [0] 2 2 2" xfId="59154"/>
    <cellStyle name="Финансовый [0] 2 3" xfId="59155"/>
    <cellStyle name="Финансовый 10" xfId="29232"/>
    <cellStyle name="Финансовый 10 2" xfId="59156"/>
    <cellStyle name="Финансовый 11" xfId="29233"/>
    <cellStyle name="Финансовый 11 2" xfId="59157"/>
    <cellStyle name="Финансовый 11 29 9" xfId="29234"/>
    <cellStyle name="Финансовый 11 29 9 10" xfId="29235"/>
    <cellStyle name="Финансовый 11 29 9 10 10" xfId="29236"/>
    <cellStyle name="Финансовый 11 29 9 10 10 2" xfId="59158"/>
    <cellStyle name="Финансовый 11 29 9 10 11" xfId="29237"/>
    <cellStyle name="Финансовый 11 29 9 10 11 2" xfId="59159"/>
    <cellStyle name="Финансовый 11 29 9 10 12" xfId="29238"/>
    <cellStyle name="Финансовый 11 29 9 10 12 2" xfId="59160"/>
    <cellStyle name="Финансовый 11 29 9 10 13" xfId="29239"/>
    <cellStyle name="Финансовый 11 29 9 10 13 2" xfId="59161"/>
    <cellStyle name="Финансовый 11 29 9 10 14" xfId="29240"/>
    <cellStyle name="Финансовый 11 29 9 10 14 2" xfId="59162"/>
    <cellStyle name="Финансовый 11 29 9 10 15" xfId="29241"/>
    <cellStyle name="Финансовый 11 29 9 10 15 2" xfId="59163"/>
    <cellStyle name="Финансовый 11 29 9 10 16" xfId="29242"/>
    <cellStyle name="Финансовый 11 29 9 10 16 2" xfId="59164"/>
    <cellStyle name="Финансовый 11 29 9 10 17" xfId="29243"/>
    <cellStyle name="Финансовый 11 29 9 10 17 2" xfId="59165"/>
    <cellStyle name="Финансовый 11 29 9 10 18" xfId="29244"/>
    <cellStyle name="Финансовый 11 29 9 10 18 2" xfId="59166"/>
    <cellStyle name="Финансовый 11 29 9 10 19" xfId="29245"/>
    <cellStyle name="Финансовый 11 29 9 10 19 2" xfId="59167"/>
    <cellStyle name="Финансовый 11 29 9 10 2" xfId="29246"/>
    <cellStyle name="Финансовый 11 29 9 10 2 2" xfId="59168"/>
    <cellStyle name="Финансовый 11 29 9 10 20" xfId="29247"/>
    <cellStyle name="Финансовый 11 29 9 10 20 2" xfId="59169"/>
    <cellStyle name="Финансовый 11 29 9 10 21" xfId="29248"/>
    <cellStyle name="Финансовый 11 29 9 10 21 2" xfId="59170"/>
    <cellStyle name="Финансовый 11 29 9 10 22" xfId="29249"/>
    <cellStyle name="Финансовый 11 29 9 10 22 2" xfId="59171"/>
    <cellStyle name="Финансовый 11 29 9 10 23" xfId="29250"/>
    <cellStyle name="Финансовый 11 29 9 10 23 2" xfId="59172"/>
    <cellStyle name="Финансовый 11 29 9 10 24" xfId="59173"/>
    <cellStyle name="Финансовый 11 29 9 10 3" xfId="29251"/>
    <cellStyle name="Финансовый 11 29 9 10 3 2" xfId="59174"/>
    <cellStyle name="Финансовый 11 29 9 10 4" xfId="29252"/>
    <cellStyle name="Финансовый 11 29 9 10 4 2" xfId="59175"/>
    <cellStyle name="Финансовый 11 29 9 10 5" xfId="29253"/>
    <cellStyle name="Финансовый 11 29 9 10 5 2" xfId="59176"/>
    <cellStyle name="Финансовый 11 29 9 10 6" xfId="29254"/>
    <cellStyle name="Финансовый 11 29 9 10 6 2" xfId="59177"/>
    <cellStyle name="Финансовый 11 29 9 10 7" xfId="29255"/>
    <cellStyle name="Финансовый 11 29 9 10 7 2" xfId="59178"/>
    <cellStyle name="Финансовый 11 29 9 10 8" xfId="29256"/>
    <cellStyle name="Финансовый 11 29 9 10 8 2" xfId="59179"/>
    <cellStyle name="Финансовый 11 29 9 10 9" xfId="29257"/>
    <cellStyle name="Финансовый 11 29 9 10 9 2" xfId="59180"/>
    <cellStyle name="Финансовый 11 29 9 11" xfId="29258"/>
    <cellStyle name="Финансовый 11 29 9 11 10" xfId="29259"/>
    <cellStyle name="Финансовый 11 29 9 11 10 2" xfId="59181"/>
    <cellStyle name="Финансовый 11 29 9 11 11" xfId="29260"/>
    <cellStyle name="Финансовый 11 29 9 11 11 2" xfId="59182"/>
    <cellStyle name="Финансовый 11 29 9 11 12" xfId="29261"/>
    <cellStyle name="Финансовый 11 29 9 11 12 2" xfId="59183"/>
    <cellStyle name="Финансовый 11 29 9 11 13" xfId="29262"/>
    <cellStyle name="Финансовый 11 29 9 11 13 2" xfId="59184"/>
    <cellStyle name="Финансовый 11 29 9 11 14" xfId="29263"/>
    <cellStyle name="Финансовый 11 29 9 11 14 2" xfId="59185"/>
    <cellStyle name="Финансовый 11 29 9 11 15" xfId="29264"/>
    <cellStyle name="Финансовый 11 29 9 11 15 2" xfId="59186"/>
    <cellStyle name="Финансовый 11 29 9 11 16" xfId="29265"/>
    <cellStyle name="Финансовый 11 29 9 11 16 2" xfId="59187"/>
    <cellStyle name="Финансовый 11 29 9 11 17" xfId="29266"/>
    <cellStyle name="Финансовый 11 29 9 11 17 2" xfId="59188"/>
    <cellStyle name="Финансовый 11 29 9 11 18" xfId="29267"/>
    <cellStyle name="Финансовый 11 29 9 11 18 2" xfId="59189"/>
    <cellStyle name="Финансовый 11 29 9 11 19" xfId="59190"/>
    <cellStyle name="Финансовый 11 29 9 11 2" xfId="29268"/>
    <cellStyle name="Финансовый 11 29 9 11 2 2" xfId="59191"/>
    <cellStyle name="Финансовый 11 29 9 11 3" xfId="29269"/>
    <cellStyle name="Финансовый 11 29 9 11 3 2" xfId="59192"/>
    <cellStyle name="Финансовый 11 29 9 11 4" xfId="29270"/>
    <cellStyle name="Финансовый 11 29 9 11 4 2" xfId="59193"/>
    <cellStyle name="Финансовый 11 29 9 11 5" xfId="29271"/>
    <cellStyle name="Финансовый 11 29 9 11 5 2" xfId="59194"/>
    <cellStyle name="Финансовый 11 29 9 11 6" xfId="29272"/>
    <cellStyle name="Финансовый 11 29 9 11 6 2" xfId="59195"/>
    <cellStyle name="Финансовый 11 29 9 11 7" xfId="29273"/>
    <cellStyle name="Финансовый 11 29 9 11 7 2" xfId="59196"/>
    <cellStyle name="Финансовый 11 29 9 11 8" xfId="29274"/>
    <cellStyle name="Финансовый 11 29 9 11 8 2" xfId="59197"/>
    <cellStyle name="Финансовый 11 29 9 11 9" xfId="29275"/>
    <cellStyle name="Финансовый 11 29 9 11 9 2" xfId="59198"/>
    <cellStyle name="Финансовый 11 29 9 12" xfId="29276"/>
    <cellStyle name="Финансовый 11 29 9 12 10" xfId="29277"/>
    <cellStyle name="Финансовый 11 29 9 12 10 2" xfId="59199"/>
    <cellStyle name="Финансовый 11 29 9 12 11" xfId="29278"/>
    <cellStyle name="Финансовый 11 29 9 12 11 2" xfId="59200"/>
    <cellStyle name="Финансовый 11 29 9 12 12" xfId="29279"/>
    <cellStyle name="Финансовый 11 29 9 12 12 2" xfId="59201"/>
    <cellStyle name="Финансовый 11 29 9 12 13" xfId="29280"/>
    <cellStyle name="Финансовый 11 29 9 12 13 2" xfId="59202"/>
    <cellStyle name="Финансовый 11 29 9 12 14" xfId="29281"/>
    <cellStyle name="Финансовый 11 29 9 12 14 2" xfId="59203"/>
    <cellStyle name="Финансовый 11 29 9 12 15" xfId="29282"/>
    <cellStyle name="Финансовый 11 29 9 12 15 2" xfId="59204"/>
    <cellStyle name="Финансовый 11 29 9 12 16" xfId="29283"/>
    <cellStyle name="Финансовый 11 29 9 12 16 2" xfId="59205"/>
    <cellStyle name="Финансовый 11 29 9 12 17" xfId="29284"/>
    <cellStyle name="Финансовый 11 29 9 12 17 2" xfId="59206"/>
    <cellStyle name="Финансовый 11 29 9 12 18" xfId="29285"/>
    <cellStyle name="Финансовый 11 29 9 12 18 2" xfId="59207"/>
    <cellStyle name="Финансовый 11 29 9 12 19" xfId="59208"/>
    <cellStyle name="Финансовый 11 29 9 12 2" xfId="29286"/>
    <cellStyle name="Финансовый 11 29 9 12 2 2" xfId="59209"/>
    <cellStyle name="Финансовый 11 29 9 12 3" xfId="29287"/>
    <cellStyle name="Финансовый 11 29 9 12 3 2" xfId="59210"/>
    <cellStyle name="Финансовый 11 29 9 12 4" xfId="29288"/>
    <cellStyle name="Финансовый 11 29 9 12 4 2" xfId="59211"/>
    <cellStyle name="Финансовый 11 29 9 12 5" xfId="29289"/>
    <cellStyle name="Финансовый 11 29 9 12 5 2" xfId="59212"/>
    <cellStyle name="Финансовый 11 29 9 12 6" xfId="29290"/>
    <cellStyle name="Финансовый 11 29 9 12 6 2" xfId="59213"/>
    <cellStyle name="Финансовый 11 29 9 12 7" xfId="29291"/>
    <cellStyle name="Финансовый 11 29 9 12 7 2" xfId="59214"/>
    <cellStyle name="Финансовый 11 29 9 12 8" xfId="29292"/>
    <cellStyle name="Финансовый 11 29 9 12 8 2" xfId="59215"/>
    <cellStyle name="Финансовый 11 29 9 12 9" xfId="29293"/>
    <cellStyle name="Финансовый 11 29 9 12 9 2" xfId="59216"/>
    <cellStyle name="Финансовый 11 29 9 13" xfId="29294"/>
    <cellStyle name="Финансовый 11 29 9 13 10" xfId="29295"/>
    <cellStyle name="Финансовый 11 29 9 13 10 2" xfId="59217"/>
    <cellStyle name="Финансовый 11 29 9 13 11" xfId="29296"/>
    <cellStyle name="Финансовый 11 29 9 13 11 2" xfId="59218"/>
    <cellStyle name="Финансовый 11 29 9 13 12" xfId="29297"/>
    <cellStyle name="Финансовый 11 29 9 13 12 2" xfId="59219"/>
    <cellStyle name="Финансовый 11 29 9 13 13" xfId="29298"/>
    <cellStyle name="Финансовый 11 29 9 13 13 2" xfId="59220"/>
    <cellStyle name="Финансовый 11 29 9 13 14" xfId="29299"/>
    <cellStyle name="Финансовый 11 29 9 13 14 2" xfId="59221"/>
    <cellStyle name="Финансовый 11 29 9 13 15" xfId="29300"/>
    <cellStyle name="Финансовый 11 29 9 13 15 2" xfId="59222"/>
    <cellStyle name="Финансовый 11 29 9 13 16" xfId="29301"/>
    <cellStyle name="Финансовый 11 29 9 13 16 2" xfId="59223"/>
    <cellStyle name="Финансовый 11 29 9 13 17" xfId="29302"/>
    <cellStyle name="Финансовый 11 29 9 13 17 2" xfId="59224"/>
    <cellStyle name="Финансовый 11 29 9 13 18" xfId="29303"/>
    <cellStyle name="Финансовый 11 29 9 13 18 2" xfId="59225"/>
    <cellStyle name="Финансовый 11 29 9 13 19" xfId="59226"/>
    <cellStyle name="Финансовый 11 29 9 13 2" xfId="29304"/>
    <cellStyle name="Финансовый 11 29 9 13 2 2" xfId="59227"/>
    <cellStyle name="Финансовый 11 29 9 13 3" xfId="29305"/>
    <cellStyle name="Финансовый 11 29 9 13 3 2" xfId="59228"/>
    <cellStyle name="Финансовый 11 29 9 13 4" xfId="29306"/>
    <cellStyle name="Финансовый 11 29 9 13 4 2" xfId="59229"/>
    <cellStyle name="Финансовый 11 29 9 13 5" xfId="29307"/>
    <cellStyle name="Финансовый 11 29 9 13 5 2" xfId="59230"/>
    <cellStyle name="Финансовый 11 29 9 13 6" xfId="29308"/>
    <cellStyle name="Финансовый 11 29 9 13 6 2" xfId="59231"/>
    <cellStyle name="Финансовый 11 29 9 13 7" xfId="29309"/>
    <cellStyle name="Финансовый 11 29 9 13 7 2" xfId="59232"/>
    <cellStyle name="Финансовый 11 29 9 13 8" xfId="29310"/>
    <cellStyle name="Финансовый 11 29 9 13 8 2" xfId="59233"/>
    <cellStyle name="Финансовый 11 29 9 13 9" xfId="29311"/>
    <cellStyle name="Финансовый 11 29 9 13 9 2" xfId="59234"/>
    <cellStyle name="Финансовый 11 29 9 14" xfId="29312"/>
    <cellStyle name="Финансовый 11 29 9 14 2" xfId="59235"/>
    <cellStyle name="Финансовый 11 29 9 15" xfId="29313"/>
    <cellStyle name="Финансовый 11 29 9 15 2" xfId="59236"/>
    <cellStyle name="Финансовый 11 29 9 16" xfId="29314"/>
    <cellStyle name="Финансовый 11 29 9 16 2" xfId="59237"/>
    <cellStyle name="Финансовый 11 29 9 17" xfId="29315"/>
    <cellStyle name="Финансовый 11 29 9 17 2" xfId="59238"/>
    <cellStyle name="Финансовый 11 29 9 18" xfId="29316"/>
    <cellStyle name="Финансовый 11 29 9 18 2" xfId="59239"/>
    <cellStyle name="Финансовый 11 29 9 19" xfId="29317"/>
    <cellStyle name="Финансовый 11 29 9 19 2" xfId="59240"/>
    <cellStyle name="Финансовый 11 29 9 2" xfId="29318"/>
    <cellStyle name="Финансовый 11 29 9 2 2" xfId="29319"/>
    <cellStyle name="Финансовый 11 29 9 2 2 2" xfId="59241"/>
    <cellStyle name="Финансовый 11 29 9 2 3" xfId="59242"/>
    <cellStyle name="Финансовый 11 29 9 20" xfId="29320"/>
    <cellStyle name="Финансовый 11 29 9 20 2" xfId="59243"/>
    <cellStyle name="Финансовый 11 29 9 21" xfId="29321"/>
    <cellStyle name="Финансовый 11 29 9 21 2" xfId="59244"/>
    <cellStyle name="Финансовый 11 29 9 22" xfId="29322"/>
    <cellStyle name="Финансовый 11 29 9 22 2" xfId="59245"/>
    <cellStyle name="Финансовый 11 29 9 23" xfId="29323"/>
    <cellStyle name="Финансовый 11 29 9 23 2" xfId="59246"/>
    <cellStyle name="Финансовый 11 29 9 24" xfId="29324"/>
    <cellStyle name="Финансовый 11 29 9 24 2" xfId="59247"/>
    <cellStyle name="Финансовый 11 29 9 25" xfId="29325"/>
    <cellStyle name="Финансовый 11 29 9 25 2" xfId="59248"/>
    <cellStyle name="Финансовый 11 29 9 26" xfId="29326"/>
    <cellStyle name="Финансовый 11 29 9 26 2" xfId="59249"/>
    <cellStyle name="Финансовый 11 29 9 27" xfId="29327"/>
    <cellStyle name="Финансовый 11 29 9 27 2" xfId="59250"/>
    <cellStyle name="Финансовый 11 29 9 28" xfId="29328"/>
    <cellStyle name="Финансовый 11 29 9 28 2" xfId="59251"/>
    <cellStyle name="Финансовый 11 29 9 29" xfId="29329"/>
    <cellStyle name="Финансовый 11 29 9 29 2" xfId="59252"/>
    <cellStyle name="Финансовый 11 29 9 3" xfId="29330"/>
    <cellStyle name="Финансовый 11 29 9 3 2" xfId="59253"/>
    <cellStyle name="Финансовый 11 29 9 30" xfId="29331"/>
    <cellStyle name="Финансовый 11 29 9 30 2" xfId="59254"/>
    <cellStyle name="Финансовый 11 29 9 31" xfId="29332"/>
    <cellStyle name="Финансовый 11 29 9 31 2" xfId="59255"/>
    <cellStyle name="Финансовый 11 29 9 32" xfId="29333"/>
    <cellStyle name="Финансовый 11 29 9 32 2" xfId="59256"/>
    <cellStyle name="Финансовый 11 29 9 33" xfId="59257"/>
    <cellStyle name="Финансовый 11 29 9 4" xfId="29334"/>
    <cellStyle name="Финансовый 11 29 9 4 2" xfId="59258"/>
    <cellStyle name="Финансовый 11 29 9 5" xfId="29335"/>
    <cellStyle name="Финансовый 11 29 9 5 2" xfId="59259"/>
    <cellStyle name="Финансовый 11 29 9 6" xfId="29336"/>
    <cellStyle name="Финансовый 11 29 9 6 2" xfId="59260"/>
    <cellStyle name="Финансовый 11 29 9 7" xfId="29337"/>
    <cellStyle name="Финансовый 11 29 9 7 2" xfId="59261"/>
    <cellStyle name="Финансовый 11 29 9 8" xfId="29338"/>
    <cellStyle name="Финансовый 11 29 9 8 2" xfId="59262"/>
    <cellStyle name="Финансовый 11 29 9 9" xfId="29339"/>
    <cellStyle name="Финансовый 11 29 9 9 10" xfId="29340"/>
    <cellStyle name="Финансовый 11 29 9 9 10 2" xfId="59263"/>
    <cellStyle name="Финансовый 11 29 9 9 11" xfId="29341"/>
    <cellStyle name="Финансовый 11 29 9 9 11 2" xfId="59264"/>
    <cellStyle name="Финансовый 11 29 9 9 12" xfId="29342"/>
    <cellStyle name="Финансовый 11 29 9 9 12 2" xfId="59265"/>
    <cellStyle name="Финансовый 11 29 9 9 13" xfId="29343"/>
    <cellStyle name="Финансовый 11 29 9 9 13 2" xfId="59266"/>
    <cellStyle name="Финансовый 11 29 9 9 14" xfId="29344"/>
    <cellStyle name="Финансовый 11 29 9 9 14 2" xfId="59267"/>
    <cellStyle name="Финансовый 11 29 9 9 15" xfId="29345"/>
    <cellStyle name="Финансовый 11 29 9 9 15 2" xfId="59268"/>
    <cellStyle name="Финансовый 11 29 9 9 16" xfId="29346"/>
    <cellStyle name="Финансовый 11 29 9 9 16 2" xfId="59269"/>
    <cellStyle name="Финансовый 11 29 9 9 17" xfId="29347"/>
    <cellStyle name="Финансовый 11 29 9 9 17 2" xfId="59270"/>
    <cellStyle name="Финансовый 11 29 9 9 18" xfId="29348"/>
    <cellStyle name="Финансовый 11 29 9 9 18 2" xfId="59271"/>
    <cellStyle name="Финансовый 11 29 9 9 19" xfId="29349"/>
    <cellStyle name="Финансовый 11 29 9 9 19 2" xfId="59272"/>
    <cellStyle name="Финансовый 11 29 9 9 2" xfId="29350"/>
    <cellStyle name="Финансовый 11 29 9 9 2 2" xfId="59273"/>
    <cellStyle name="Финансовый 11 29 9 9 20" xfId="29351"/>
    <cellStyle name="Финансовый 11 29 9 9 20 2" xfId="59274"/>
    <cellStyle name="Финансовый 11 29 9 9 21" xfId="29352"/>
    <cellStyle name="Финансовый 11 29 9 9 21 2" xfId="59275"/>
    <cellStyle name="Финансовый 11 29 9 9 22" xfId="29353"/>
    <cellStyle name="Финансовый 11 29 9 9 22 2" xfId="59276"/>
    <cellStyle name="Финансовый 11 29 9 9 23" xfId="29354"/>
    <cellStyle name="Финансовый 11 29 9 9 23 2" xfId="59277"/>
    <cellStyle name="Финансовый 11 29 9 9 24" xfId="59278"/>
    <cellStyle name="Финансовый 11 29 9 9 3" xfId="29355"/>
    <cellStyle name="Финансовый 11 29 9 9 3 2" xfId="59279"/>
    <cellStyle name="Финансовый 11 29 9 9 4" xfId="29356"/>
    <cellStyle name="Финансовый 11 29 9 9 4 2" xfId="59280"/>
    <cellStyle name="Финансовый 11 29 9 9 5" xfId="29357"/>
    <cellStyle name="Финансовый 11 29 9 9 5 2" xfId="59281"/>
    <cellStyle name="Финансовый 11 29 9 9 6" xfId="29358"/>
    <cellStyle name="Финансовый 11 29 9 9 6 2" xfId="59282"/>
    <cellStyle name="Финансовый 11 29 9 9 7" xfId="29359"/>
    <cellStyle name="Финансовый 11 29 9 9 7 2" xfId="59283"/>
    <cellStyle name="Финансовый 11 29 9 9 8" xfId="29360"/>
    <cellStyle name="Финансовый 11 29 9 9 8 2" xfId="59284"/>
    <cellStyle name="Финансовый 11 29 9 9 9" xfId="29361"/>
    <cellStyle name="Финансовый 11 29 9 9 9 2" xfId="59285"/>
    <cellStyle name="Финансовый 12" xfId="29362"/>
    <cellStyle name="Финансовый 12 2" xfId="59286"/>
    <cellStyle name="Финансовый 13" xfId="29363"/>
    <cellStyle name="Финансовый 13 2" xfId="59287"/>
    <cellStyle name="Финансовый 13 29 9" xfId="29364"/>
    <cellStyle name="Финансовый 13 29 9 10" xfId="29365"/>
    <cellStyle name="Финансовый 13 29 9 10 10" xfId="29366"/>
    <cellStyle name="Финансовый 13 29 9 10 10 2" xfId="59288"/>
    <cellStyle name="Финансовый 13 29 9 10 11" xfId="29367"/>
    <cellStyle name="Финансовый 13 29 9 10 11 2" xfId="59289"/>
    <cellStyle name="Финансовый 13 29 9 10 12" xfId="29368"/>
    <cellStyle name="Финансовый 13 29 9 10 12 2" xfId="59290"/>
    <cellStyle name="Финансовый 13 29 9 10 13" xfId="29369"/>
    <cellStyle name="Финансовый 13 29 9 10 13 2" xfId="59291"/>
    <cellStyle name="Финансовый 13 29 9 10 14" xfId="29370"/>
    <cellStyle name="Финансовый 13 29 9 10 14 2" xfId="59292"/>
    <cellStyle name="Финансовый 13 29 9 10 15" xfId="29371"/>
    <cellStyle name="Финансовый 13 29 9 10 15 2" xfId="59293"/>
    <cellStyle name="Финансовый 13 29 9 10 16" xfId="29372"/>
    <cellStyle name="Финансовый 13 29 9 10 16 2" xfId="59294"/>
    <cellStyle name="Финансовый 13 29 9 10 17" xfId="29373"/>
    <cellStyle name="Финансовый 13 29 9 10 17 2" xfId="59295"/>
    <cellStyle name="Финансовый 13 29 9 10 18" xfId="29374"/>
    <cellStyle name="Финансовый 13 29 9 10 18 2" xfId="59296"/>
    <cellStyle name="Финансовый 13 29 9 10 19" xfId="29375"/>
    <cellStyle name="Финансовый 13 29 9 10 19 2" xfId="59297"/>
    <cellStyle name="Финансовый 13 29 9 10 2" xfId="29376"/>
    <cellStyle name="Финансовый 13 29 9 10 2 2" xfId="59298"/>
    <cellStyle name="Финансовый 13 29 9 10 20" xfId="29377"/>
    <cellStyle name="Финансовый 13 29 9 10 20 2" xfId="59299"/>
    <cellStyle name="Финансовый 13 29 9 10 21" xfId="29378"/>
    <cellStyle name="Финансовый 13 29 9 10 21 2" xfId="59300"/>
    <cellStyle name="Финансовый 13 29 9 10 22" xfId="29379"/>
    <cellStyle name="Финансовый 13 29 9 10 22 2" xfId="59301"/>
    <cellStyle name="Финансовый 13 29 9 10 23" xfId="29380"/>
    <cellStyle name="Финансовый 13 29 9 10 23 2" xfId="59302"/>
    <cellStyle name="Финансовый 13 29 9 10 24" xfId="59303"/>
    <cellStyle name="Финансовый 13 29 9 10 3" xfId="29381"/>
    <cellStyle name="Финансовый 13 29 9 10 3 2" xfId="59304"/>
    <cellStyle name="Финансовый 13 29 9 10 4" xfId="29382"/>
    <cellStyle name="Финансовый 13 29 9 10 4 2" xfId="59305"/>
    <cellStyle name="Финансовый 13 29 9 10 5" xfId="29383"/>
    <cellStyle name="Финансовый 13 29 9 10 5 2" xfId="59306"/>
    <cellStyle name="Финансовый 13 29 9 10 6" xfId="29384"/>
    <cellStyle name="Финансовый 13 29 9 10 6 2" xfId="59307"/>
    <cellStyle name="Финансовый 13 29 9 10 7" xfId="29385"/>
    <cellStyle name="Финансовый 13 29 9 10 7 2" xfId="59308"/>
    <cellStyle name="Финансовый 13 29 9 10 8" xfId="29386"/>
    <cellStyle name="Финансовый 13 29 9 10 8 2" xfId="59309"/>
    <cellStyle name="Финансовый 13 29 9 10 9" xfId="29387"/>
    <cellStyle name="Финансовый 13 29 9 10 9 2" xfId="59310"/>
    <cellStyle name="Финансовый 13 29 9 11" xfId="29388"/>
    <cellStyle name="Финансовый 13 29 9 11 10" xfId="29389"/>
    <cellStyle name="Финансовый 13 29 9 11 10 2" xfId="59311"/>
    <cellStyle name="Финансовый 13 29 9 11 11" xfId="29390"/>
    <cellStyle name="Финансовый 13 29 9 11 11 2" xfId="59312"/>
    <cellStyle name="Финансовый 13 29 9 11 12" xfId="29391"/>
    <cellStyle name="Финансовый 13 29 9 11 12 2" xfId="59313"/>
    <cellStyle name="Финансовый 13 29 9 11 13" xfId="29392"/>
    <cellStyle name="Финансовый 13 29 9 11 13 2" xfId="59314"/>
    <cellStyle name="Финансовый 13 29 9 11 14" xfId="29393"/>
    <cellStyle name="Финансовый 13 29 9 11 14 2" xfId="59315"/>
    <cellStyle name="Финансовый 13 29 9 11 15" xfId="29394"/>
    <cellStyle name="Финансовый 13 29 9 11 15 2" xfId="59316"/>
    <cellStyle name="Финансовый 13 29 9 11 16" xfId="29395"/>
    <cellStyle name="Финансовый 13 29 9 11 16 2" xfId="59317"/>
    <cellStyle name="Финансовый 13 29 9 11 17" xfId="29396"/>
    <cellStyle name="Финансовый 13 29 9 11 17 2" xfId="59318"/>
    <cellStyle name="Финансовый 13 29 9 11 18" xfId="29397"/>
    <cellStyle name="Финансовый 13 29 9 11 18 2" xfId="59319"/>
    <cellStyle name="Финансовый 13 29 9 11 19" xfId="59320"/>
    <cellStyle name="Финансовый 13 29 9 11 2" xfId="29398"/>
    <cellStyle name="Финансовый 13 29 9 11 2 2" xfId="59321"/>
    <cellStyle name="Финансовый 13 29 9 11 3" xfId="29399"/>
    <cellStyle name="Финансовый 13 29 9 11 3 2" xfId="59322"/>
    <cellStyle name="Финансовый 13 29 9 11 4" xfId="29400"/>
    <cellStyle name="Финансовый 13 29 9 11 4 2" xfId="59323"/>
    <cellStyle name="Финансовый 13 29 9 11 5" xfId="29401"/>
    <cellStyle name="Финансовый 13 29 9 11 5 2" xfId="59324"/>
    <cellStyle name="Финансовый 13 29 9 11 6" xfId="29402"/>
    <cellStyle name="Финансовый 13 29 9 11 6 2" xfId="59325"/>
    <cellStyle name="Финансовый 13 29 9 11 7" xfId="29403"/>
    <cellStyle name="Финансовый 13 29 9 11 7 2" xfId="59326"/>
    <cellStyle name="Финансовый 13 29 9 11 8" xfId="29404"/>
    <cellStyle name="Финансовый 13 29 9 11 8 2" xfId="59327"/>
    <cellStyle name="Финансовый 13 29 9 11 9" xfId="29405"/>
    <cellStyle name="Финансовый 13 29 9 11 9 2" xfId="59328"/>
    <cellStyle name="Финансовый 13 29 9 12" xfId="29406"/>
    <cellStyle name="Финансовый 13 29 9 12 10" xfId="29407"/>
    <cellStyle name="Финансовый 13 29 9 12 10 2" xfId="59329"/>
    <cellStyle name="Финансовый 13 29 9 12 11" xfId="29408"/>
    <cellStyle name="Финансовый 13 29 9 12 11 2" xfId="59330"/>
    <cellStyle name="Финансовый 13 29 9 12 12" xfId="29409"/>
    <cellStyle name="Финансовый 13 29 9 12 12 2" xfId="59331"/>
    <cellStyle name="Финансовый 13 29 9 12 13" xfId="29410"/>
    <cellStyle name="Финансовый 13 29 9 12 13 2" xfId="59332"/>
    <cellStyle name="Финансовый 13 29 9 12 14" xfId="29411"/>
    <cellStyle name="Финансовый 13 29 9 12 14 2" xfId="59333"/>
    <cellStyle name="Финансовый 13 29 9 12 15" xfId="29412"/>
    <cellStyle name="Финансовый 13 29 9 12 15 2" xfId="59334"/>
    <cellStyle name="Финансовый 13 29 9 12 16" xfId="29413"/>
    <cellStyle name="Финансовый 13 29 9 12 16 2" xfId="59335"/>
    <cellStyle name="Финансовый 13 29 9 12 17" xfId="29414"/>
    <cellStyle name="Финансовый 13 29 9 12 17 2" xfId="59336"/>
    <cellStyle name="Финансовый 13 29 9 12 18" xfId="29415"/>
    <cellStyle name="Финансовый 13 29 9 12 18 2" xfId="59337"/>
    <cellStyle name="Финансовый 13 29 9 12 19" xfId="59338"/>
    <cellStyle name="Финансовый 13 29 9 12 2" xfId="29416"/>
    <cellStyle name="Финансовый 13 29 9 12 2 2" xfId="59339"/>
    <cellStyle name="Финансовый 13 29 9 12 3" xfId="29417"/>
    <cellStyle name="Финансовый 13 29 9 12 3 2" xfId="59340"/>
    <cellStyle name="Финансовый 13 29 9 12 4" xfId="29418"/>
    <cellStyle name="Финансовый 13 29 9 12 4 2" xfId="59341"/>
    <cellStyle name="Финансовый 13 29 9 12 5" xfId="29419"/>
    <cellStyle name="Финансовый 13 29 9 12 5 2" xfId="59342"/>
    <cellStyle name="Финансовый 13 29 9 12 6" xfId="29420"/>
    <cellStyle name="Финансовый 13 29 9 12 6 2" xfId="59343"/>
    <cellStyle name="Финансовый 13 29 9 12 7" xfId="29421"/>
    <cellStyle name="Финансовый 13 29 9 12 7 2" xfId="59344"/>
    <cellStyle name="Финансовый 13 29 9 12 8" xfId="29422"/>
    <cellStyle name="Финансовый 13 29 9 12 8 2" xfId="59345"/>
    <cellStyle name="Финансовый 13 29 9 12 9" xfId="29423"/>
    <cellStyle name="Финансовый 13 29 9 12 9 2" xfId="59346"/>
    <cellStyle name="Финансовый 13 29 9 13" xfId="29424"/>
    <cellStyle name="Финансовый 13 29 9 13 10" xfId="29425"/>
    <cellStyle name="Финансовый 13 29 9 13 10 2" xfId="59347"/>
    <cellStyle name="Финансовый 13 29 9 13 11" xfId="29426"/>
    <cellStyle name="Финансовый 13 29 9 13 11 2" xfId="59348"/>
    <cellStyle name="Финансовый 13 29 9 13 12" xfId="29427"/>
    <cellStyle name="Финансовый 13 29 9 13 12 2" xfId="59349"/>
    <cellStyle name="Финансовый 13 29 9 13 13" xfId="29428"/>
    <cellStyle name="Финансовый 13 29 9 13 13 2" xfId="59350"/>
    <cellStyle name="Финансовый 13 29 9 13 14" xfId="29429"/>
    <cellStyle name="Финансовый 13 29 9 13 14 2" xfId="59351"/>
    <cellStyle name="Финансовый 13 29 9 13 15" xfId="29430"/>
    <cellStyle name="Финансовый 13 29 9 13 15 2" xfId="59352"/>
    <cellStyle name="Финансовый 13 29 9 13 16" xfId="29431"/>
    <cellStyle name="Финансовый 13 29 9 13 16 2" xfId="59353"/>
    <cellStyle name="Финансовый 13 29 9 13 17" xfId="29432"/>
    <cellStyle name="Финансовый 13 29 9 13 17 2" xfId="59354"/>
    <cellStyle name="Финансовый 13 29 9 13 18" xfId="29433"/>
    <cellStyle name="Финансовый 13 29 9 13 18 2" xfId="59355"/>
    <cellStyle name="Финансовый 13 29 9 13 19" xfId="59356"/>
    <cellStyle name="Финансовый 13 29 9 13 2" xfId="29434"/>
    <cellStyle name="Финансовый 13 29 9 13 2 2" xfId="59357"/>
    <cellStyle name="Финансовый 13 29 9 13 3" xfId="29435"/>
    <cellStyle name="Финансовый 13 29 9 13 3 2" xfId="59358"/>
    <cellStyle name="Финансовый 13 29 9 13 4" xfId="29436"/>
    <cellStyle name="Финансовый 13 29 9 13 4 2" xfId="59359"/>
    <cellStyle name="Финансовый 13 29 9 13 5" xfId="29437"/>
    <cellStyle name="Финансовый 13 29 9 13 5 2" xfId="59360"/>
    <cellStyle name="Финансовый 13 29 9 13 6" xfId="29438"/>
    <cellStyle name="Финансовый 13 29 9 13 6 2" xfId="59361"/>
    <cellStyle name="Финансовый 13 29 9 13 7" xfId="29439"/>
    <cellStyle name="Финансовый 13 29 9 13 7 2" xfId="59362"/>
    <cellStyle name="Финансовый 13 29 9 13 8" xfId="29440"/>
    <cellStyle name="Финансовый 13 29 9 13 8 2" xfId="59363"/>
    <cellStyle name="Финансовый 13 29 9 13 9" xfId="29441"/>
    <cellStyle name="Финансовый 13 29 9 13 9 2" xfId="59364"/>
    <cellStyle name="Финансовый 13 29 9 14" xfId="29442"/>
    <cellStyle name="Финансовый 13 29 9 14 2" xfId="59365"/>
    <cellStyle name="Финансовый 13 29 9 15" xfId="29443"/>
    <cellStyle name="Финансовый 13 29 9 15 2" xfId="59366"/>
    <cellStyle name="Финансовый 13 29 9 16" xfId="29444"/>
    <cellStyle name="Финансовый 13 29 9 16 2" xfId="59367"/>
    <cellStyle name="Финансовый 13 29 9 17" xfId="29445"/>
    <cellStyle name="Финансовый 13 29 9 17 2" xfId="59368"/>
    <cellStyle name="Финансовый 13 29 9 18" xfId="29446"/>
    <cellStyle name="Финансовый 13 29 9 18 2" xfId="59369"/>
    <cellStyle name="Финансовый 13 29 9 19" xfId="29447"/>
    <cellStyle name="Финансовый 13 29 9 19 2" xfId="59370"/>
    <cellStyle name="Финансовый 13 29 9 2" xfId="29448"/>
    <cellStyle name="Финансовый 13 29 9 2 2" xfId="29449"/>
    <cellStyle name="Финансовый 13 29 9 2 2 2" xfId="59371"/>
    <cellStyle name="Финансовый 13 29 9 2 3" xfId="59372"/>
    <cellStyle name="Финансовый 13 29 9 20" xfId="29450"/>
    <cellStyle name="Финансовый 13 29 9 20 2" xfId="59373"/>
    <cellStyle name="Финансовый 13 29 9 21" xfId="29451"/>
    <cellStyle name="Финансовый 13 29 9 21 2" xfId="59374"/>
    <cellStyle name="Финансовый 13 29 9 22" xfId="29452"/>
    <cellStyle name="Финансовый 13 29 9 22 2" xfId="59375"/>
    <cellStyle name="Финансовый 13 29 9 23" xfId="29453"/>
    <cellStyle name="Финансовый 13 29 9 23 2" xfId="59376"/>
    <cellStyle name="Финансовый 13 29 9 24" xfId="29454"/>
    <cellStyle name="Финансовый 13 29 9 24 2" xfId="59377"/>
    <cellStyle name="Финансовый 13 29 9 25" xfId="29455"/>
    <cellStyle name="Финансовый 13 29 9 25 2" xfId="59378"/>
    <cellStyle name="Финансовый 13 29 9 26" xfId="29456"/>
    <cellStyle name="Финансовый 13 29 9 26 2" xfId="59379"/>
    <cellStyle name="Финансовый 13 29 9 27" xfId="29457"/>
    <cellStyle name="Финансовый 13 29 9 27 2" xfId="59380"/>
    <cellStyle name="Финансовый 13 29 9 28" xfId="29458"/>
    <cellStyle name="Финансовый 13 29 9 28 2" xfId="59381"/>
    <cellStyle name="Финансовый 13 29 9 29" xfId="29459"/>
    <cellStyle name="Финансовый 13 29 9 29 2" xfId="59382"/>
    <cellStyle name="Финансовый 13 29 9 3" xfId="29460"/>
    <cellStyle name="Финансовый 13 29 9 3 2" xfId="59383"/>
    <cellStyle name="Финансовый 13 29 9 30" xfId="29461"/>
    <cellStyle name="Финансовый 13 29 9 30 2" xfId="59384"/>
    <cellStyle name="Финансовый 13 29 9 31" xfId="29462"/>
    <cellStyle name="Финансовый 13 29 9 31 2" xfId="59385"/>
    <cellStyle name="Финансовый 13 29 9 32" xfId="29463"/>
    <cellStyle name="Финансовый 13 29 9 32 2" xfId="59386"/>
    <cellStyle name="Финансовый 13 29 9 33" xfId="59387"/>
    <cellStyle name="Финансовый 13 29 9 4" xfId="29464"/>
    <cellStyle name="Финансовый 13 29 9 4 2" xfId="59388"/>
    <cellStyle name="Финансовый 13 29 9 5" xfId="29465"/>
    <cellStyle name="Финансовый 13 29 9 5 2" xfId="59389"/>
    <cellStyle name="Финансовый 13 29 9 6" xfId="29466"/>
    <cellStyle name="Финансовый 13 29 9 6 2" xfId="59390"/>
    <cellStyle name="Финансовый 13 29 9 7" xfId="29467"/>
    <cellStyle name="Финансовый 13 29 9 7 2" xfId="59391"/>
    <cellStyle name="Финансовый 13 29 9 8" xfId="29468"/>
    <cellStyle name="Финансовый 13 29 9 8 2" xfId="59392"/>
    <cellStyle name="Финансовый 13 29 9 9" xfId="29469"/>
    <cellStyle name="Финансовый 13 29 9 9 10" xfId="29470"/>
    <cellStyle name="Финансовый 13 29 9 9 10 2" xfId="59393"/>
    <cellStyle name="Финансовый 13 29 9 9 11" xfId="29471"/>
    <cellStyle name="Финансовый 13 29 9 9 11 2" xfId="59394"/>
    <cellStyle name="Финансовый 13 29 9 9 12" xfId="29472"/>
    <cellStyle name="Финансовый 13 29 9 9 12 2" xfId="59395"/>
    <cellStyle name="Финансовый 13 29 9 9 13" xfId="29473"/>
    <cellStyle name="Финансовый 13 29 9 9 13 2" xfId="59396"/>
    <cellStyle name="Финансовый 13 29 9 9 14" xfId="29474"/>
    <cellStyle name="Финансовый 13 29 9 9 14 2" xfId="59397"/>
    <cellStyle name="Финансовый 13 29 9 9 15" xfId="29475"/>
    <cellStyle name="Финансовый 13 29 9 9 15 2" xfId="59398"/>
    <cellStyle name="Финансовый 13 29 9 9 16" xfId="29476"/>
    <cellStyle name="Финансовый 13 29 9 9 16 2" xfId="59399"/>
    <cellStyle name="Финансовый 13 29 9 9 17" xfId="29477"/>
    <cellStyle name="Финансовый 13 29 9 9 17 2" xfId="59400"/>
    <cellStyle name="Финансовый 13 29 9 9 18" xfId="29478"/>
    <cellStyle name="Финансовый 13 29 9 9 18 2" xfId="59401"/>
    <cellStyle name="Финансовый 13 29 9 9 19" xfId="29479"/>
    <cellStyle name="Финансовый 13 29 9 9 19 2" xfId="59402"/>
    <cellStyle name="Финансовый 13 29 9 9 2" xfId="29480"/>
    <cellStyle name="Финансовый 13 29 9 9 2 2" xfId="59403"/>
    <cellStyle name="Финансовый 13 29 9 9 20" xfId="29481"/>
    <cellStyle name="Финансовый 13 29 9 9 20 2" xfId="59404"/>
    <cellStyle name="Финансовый 13 29 9 9 21" xfId="29482"/>
    <cellStyle name="Финансовый 13 29 9 9 21 2" xfId="59405"/>
    <cellStyle name="Финансовый 13 29 9 9 22" xfId="29483"/>
    <cellStyle name="Финансовый 13 29 9 9 22 2" xfId="59406"/>
    <cellStyle name="Финансовый 13 29 9 9 23" xfId="29484"/>
    <cellStyle name="Финансовый 13 29 9 9 23 2" xfId="59407"/>
    <cellStyle name="Финансовый 13 29 9 9 24" xfId="59408"/>
    <cellStyle name="Финансовый 13 29 9 9 3" xfId="29485"/>
    <cellStyle name="Финансовый 13 29 9 9 3 2" xfId="59409"/>
    <cellStyle name="Финансовый 13 29 9 9 4" xfId="29486"/>
    <cellStyle name="Финансовый 13 29 9 9 4 2" xfId="59410"/>
    <cellStyle name="Финансовый 13 29 9 9 5" xfId="29487"/>
    <cellStyle name="Финансовый 13 29 9 9 5 2" xfId="59411"/>
    <cellStyle name="Финансовый 13 29 9 9 6" xfId="29488"/>
    <cellStyle name="Финансовый 13 29 9 9 6 2" xfId="59412"/>
    <cellStyle name="Финансовый 13 29 9 9 7" xfId="29489"/>
    <cellStyle name="Финансовый 13 29 9 9 7 2" xfId="59413"/>
    <cellStyle name="Финансовый 13 29 9 9 8" xfId="29490"/>
    <cellStyle name="Финансовый 13 29 9 9 8 2" xfId="59414"/>
    <cellStyle name="Финансовый 13 29 9 9 9" xfId="29491"/>
    <cellStyle name="Финансовый 13 29 9 9 9 2" xfId="59415"/>
    <cellStyle name="Финансовый 14" xfId="29492"/>
    <cellStyle name="Финансовый 14 2" xfId="59416"/>
    <cellStyle name="Финансовый 15" xfId="29493"/>
    <cellStyle name="Финансовый 15 10" xfId="29494"/>
    <cellStyle name="Финансовый 15 10 10" xfId="29495"/>
    <cellStyle name="Финансовый 15 10 10 2" xfId="59417"/>
    <cellStyle name="Финансовый 15 10 11" xfId="29496"/>
    <cellStyle name="Финансовый 15 10 11 2" xfId="59418"/>
    <cellStyle name="Финансовый 15 10 12" xfId="29497"/>
    <cellStyle name="Финансовый 15 10 12 2" xfId="59419"/>
    <cellStyle name="Финансовый 15 10 13" xfId="29498"/>
    <cellStyle name="Финансовый 15 10 13 2" xfId="59420"/>
    <cellStyle name="Финансовый 15 10 14" xfId="29499"/>
    <cellStyle name="Финансовый 15 10 14 2" xfId="59421"/>
    <cellStyle name="Финансовый 15 10 15" xfId="29500"/>
    <cellStyle name="Финансовый 15 10 15 2" xfId="59422"/>
    <cellStyle name="Финансовый 15 10 16" xfId="29501"/>
    <cellStyle name="Финансовый 15 10 16 2" xfId="59423"/>
    <cellStyle name="Финансовый 15 10 17" xfId="29502"/>
    <cellStyle name="Финансовый 15 10 17 2" xfId="59424"/>
    <cellStyle name="Финансовый 15 10 18" xfId="29503"/>
    <cellStyle name="Финансовый 15 10 18 2" xfId="59425"/>
    <cellStyle name="Финансовый 15 10 19" xfId="29504"/>
    <cellStyle name="Финансовый 15 10 19 2" xfId="59426"/>
    <cellStyle name="Финансовый 15 10 2" xfId="29505"/>
    <cellStyle name="Финансовый 15 10 2 2" xfId="59427"/>
    <cellStyle name="Финансовый 15 10 20" xfId="29506"/>
    <cellStyle name="Финансовый 15 10 20 2" xfId="59428"/>
    <cellStyle name="Финансовый 15 10 21" xfId="29507"/>
    <cellStyle name="Финансовый 15 10 21 2" xfId="59429"/>
    <cellStyle name="Финансовый 15 10 22" xfId="29508"/>
    <cellStyle name="Финансовый 15 10 22 2" xfId="59430"/>
    <cellStyle name="Финансовый 15 10 23" xfId="29509"/>
    <cellStyle name="Финансовый 15 10 23 2" xfId="59431"/>
    <cellStyle name="Финансовый 15 10 24" xfId="59432"/>
    <cellStyle name="Финансовый 15 10 3" xfId="29510"/>
    <cellStyle name="Финансовый 15 10 3 2" xfId="59433"/>
    <cellStyle name="Финансовый 15 10 4" xfId="29511"/>
    <cellStyle name="Финансовый 15 10 4 2" xfId="59434"/>
    <cellStyle name="Финансовый 15 10 5" xfId="29512"/>
    <cellStyle name="Финансовый 15 10 5 2" xfId="59435"/>
    <cellStyle name="Финансовый 15 10 6" xfId="29513"/>
    <cellStyle name="Финансовый 15 10 6 2" xfId="59436"/>
    <cellStyle name="Финансовый 15 10 7" xfId="29514"/>
    <cellStyle name="Финансовый 15 10 7 2" xfId="59437"/>
    <cellStyle name="Финансовый 15 10 8" xfId="29515"/>
    <cellStyle name="Финансовый 15 10 8 2" xfId="59438"/>
    <cellStyle name="Финансовый 15 10 9" xfId="29516"/>
    <cellStyle name="Финансовый 15 10 9 2" xfId="59439"/>
    <cellStyle name="Финансовый 15 11" xfId="29517"/>
    <cellStyle name="Финансовый 15 11 10" xfId="29518"/>
    <cellStyle name="Финансовый 15 11 10 2" xfId="59440"/>
    <cellStyle name="Финансовый 15 11 11" xfId="29519"/>
    <cellStyle name="Финансовый 15 11 11 2" xfId="59441"/>
    <cellStyle name="Финансовый 15 11 12" xfId="29520"/>
    <cellStyle name="Финансовый 15 11 12 2" xfId="59442"/>
    <cellStyle name="Финансовый 15 11 13" xfId="29521"/>
    <cellStyle name="Финансовый 15 11 13 2" xfId="59443"/>
    <cellStyle name="Финансовый 15 11 14" xfId="29522"/>
    <cellStyle name="Финансовый 15 11 14 2" xfId="59444"/>
    <cellStyle name="Финансовый 15 11 15" xfId="29523"/>
    <cellStyle name="Финансовый 15 11 15 2" xfId="59445"/>
    <cellStyle name="Финансовый 15 11 16" xfId="29524"/>
    <cellStyle name="Финансовый 15 11 16 2" xfId="59446"/>
    <cellStyle name="Финансовый 15 11 17" xfId="29525"/>
    <cellStyle name="Финансовый 15 11 17 2" xfId="59447"/>
    <cellStyle name="Финансовый 15 11 18" xfId="29526"/>
    <cellStyle name="Финансовый 15 11 18 2" xfId="59448"/>
    <cellStyle name="Финансовый 15 11 19" xfId="59449"/>
    <cellStyle name="Финансовый 15 11 2" xfId="29527"/>
    <cellStyle name="Финансовый 15 11 2 2" xfId="59450"/>
    <cellStyle name="Финансовый 15 11 3" xfId="29528"/>
    <cellStyle name="Финансовый 15 11 3 2" xfId="59451"/>
    <cellStyle name="Финансовый 15 11 4" xfId="29529"/>
    <cellStyle name="Финансовый 15 11 4 2" xfId="59452"/>
    <cellStyle name="Финансовый 15 11 5" xfId="29530"/>
    <cellStyle name="Финансовый 15 11 5 2" xfId="59453"/>
    <cellStyle name="Финансовый 15 11 6" xfId="29531"/>
    <cellStyle name="Финансовый 15 11 6 2" xfId="59454"/>
    <cellStyle name="Финансовый 15 11 7" xfId="29532"/>
    <cellStyle name="Финансовый 15 11 7 2" xfId="59455"/>
    <cellStyle name="Финансовый 15 11 8" xfId="29533"/>
    <cellStyle name="Финансовый 15 11 8 2" xfId="59456"/>
    <cellStyle name="Финансовый 15 11 9" xfId="29534"/>
    <cellStyle name="Финансовый 15 11 9 2" xfId="59457"/>
    <cellStyle name="Финансовый 15 12" xfId="29535"/>
    <cellStyle name="Финансовый 15 12 10" xfId="29536"/>
    <cellStyle name="Финансовый 15 12 10 2" xfId="59458"/>
    <cellStyle name="Финансовый 15 12 11" xfId="29537"/>
    <cellStyle name="Финансовый 15 12 11 2" xfId="59459"/>
    <cellStyle name="Финансовый 15 12 12" xfId="29538"/>
    <cellStyle name="Финансовый 15 12 12 2" xfId="59460"/>
    <cellStyle name="Финансовый 15 12 13" xfId="29539"/>
    <cellStyle name="Финансовый 15 12 13 2" xfId="59461"/>
    <cellStyle name="Финансовый 15 12 14" xfId="29540"/>
    <cellStyle name="Финансовый 15 12 14 2" xfId="59462"/>
    <cellStyle name="Финансовый 15 12 15" xfId="29541"/>
    <cellStyle name="Финансовый 15 12 15 2" xfId="59463"/>
    <cellStyle name="Финансовый 15 12 16" xfId="29542"/>
    <cellStyle name="Финансовый 15 12 16 2" xfId="59464"/>
    <cellStyle name="Финансовый 15 12 17" xfId="29543"/>
    <cellStyle name="Финансовый 15 12 17 2" xfId="59465"/>
    <cellStyle name="Финансовый 15 12 18" xfId="29544"/>
    <cellStyle name="Финансовый 15 12 18 2" xfId="59466"/>
    <cellStyle name="Финансовый 15 12 19" xfId="59467"/>
    <cellStyle name="Финансовый 15 12 2" xfId="29545"/>
    <cellStyle name="Финансовый 15 12 2 2" xfId="59468"/>
    <cellStyle name="Финансовый 15 12 3" xfId="29546"/>
    <cellStyle name="Финансовый 15 12 3 2" xfId="59469"/>
    <cellStyle name="Финансовый 15 12 4" xfId="29547"/>
    <cellStyle name="Финансовый 15 12 4 2" xfId="59470"/>
    <cellStyle name="Финансовый 15 12 5" xfId="29548"/>
    <cellStyle name="Финансовый 15 12 5 2" xfId="59471"/>
    <cellStyle name="Финансовый 15 12 6" xfId="29549"/>
    <cellStyle name="Финансовый 15 12 6 2" xfId="59472"/>
    <cellStyle name="Финансовый 15 12 7" xfId="29550"/>
    <cellStyle name="Финансовый 15 12 7 2" xfId="59473"/>
    <cellStyle name="Финансовый 15 12 8" xfId="29551"/>
    <cellStyle name="Финансовый 15 12 8 2" xfId="59474"/>
    <cellStyle name="Финансовый 15 12 9" xfId="29552"/>
    <cellStyle name="Финансовый 15 12 9 2" xfId="59475"/>
    <cellStyle name="Финансовый 15 13" xfId="29553"/>
    <cellStyle name="Финансовый 15 13 10" xfId="29554"/>
    <cellStyle name="Финансовый 15 13 10 2" xfId="59476"/>
    <cellStyle name="Финансовый 15 13 11" xfId="29555"/>
    <cellStyle name="Финансовый 15 13 11 2" xfId="59477"/>
    <cellStyle name="Финансовый 15 13 12" xfId="29556"/>
    <cellStyle name="Финансовый 15 13 12 2" xfId="59478"/>
    <cellStyle name="Финансовый 15 13 13" xfId="29557"/>
    <cellStyle name="Финансовый 15 13 13 2" xfId="59479"/>
    <cellStyle name="Финансовый 15 13 14" xfId="29558"/>
    <cellStyle name="Финансовый 15 13 14 2" xfId="59480"/>
    <cellStyle name="Финансовый 15 13 15" xfId="29559"/>
    <cellStyle name="Финансовый 15 13 15 2" xfId="59481"/>
    <cellStyle name="Финансовый 15 13 16" xfId="29560"/>
    <cellStyle name="Финансовый 15 13 16 2" xfId="59482"/>
    <cellStyle name="Финансовый 15 13 17" xfId="29561"/>
    <cellStyle name="Финансовый 15 13 17 2" xfId="59483"/>
    <cellStyle name="Финансовый 15 13 18" xfId="29562"/>
    <cellStyle name="Финансовый 15 13 18 2" xfId="59484"/>
    <cellStyle name="Финансовый 15 13 19" xfId="59485"/>
    <cellStyle name="Финансовый 15 13 2" xfId="29563"/>
    <cellStyle name="Финансовый 15 13 2 2" xfId="59486"/>
    <cellStyle name="Финансовый 15 13 3" xfId="29564"/>
    <cellStyle name="Финансовый 15 13 3 2" xfId="59487"/>
    <cellStyle name="Финансовый 15 13 4" xfId="29565"/>
    <cellStyle name="Финансовый 15 13 4 2" xfId="59488"/>
    <cellStyle name="Финансовый 15 13 5" xfId="29566"/>
    <cellStyle name="Финансовый 15 13 5 2" xfId="59489"/>
    <cellStyle name="Финансовый 15 13 6" xfId="29567"/>
    <cellStyle name="Финансовый 15 13 6 2" xfId="59490"/>
    <cellStyle name="Финансовый 15 13 7" xfId="29568"/>
    <cellStyle name="Финансовый 15 13 7 2" xfId="59491"/>
    <cellStyle name="Финансовый 15 13 8" xfId="29569"/>
    <cellStyle name="Финансовый 15 13 8 2" xfId="59492"/>
    <cellStyle name="Финансовый 15 13 9" xfId="29570"/>
    <cellStyle name="Финансовый 15 13 9 2" xfId="59493"/>
    <cellStyle name="Финансовый 15 14" xfId="29571"/>
    <cellStyle name="Финансовый 15 14 2" xfId="59494"/>
    <cellStyle name="Финансовый 15 15" xfId="29572"/>
    <cellStyle name="Финансовый 15 15 2" xfId="59495"/>
    <cellStyle name="Финансовый 15 16" xfId="29573"/>
    <cellStyle name="Финансовый 15 16 2" xfId="59496"/>
    <cellStyle name="Финансовый 15 17" xfId="29574"/>
    <cellStyle name="Финансовый 15 17 2" xfId="59497"/>
    <cellStyle name="Финансовый 15 18" xfId="29575"/>
    <cellStyle name="Финансовый 15 18 2" xfId="59498"/>
    <cellStyle name="Финансовый 15 19" xfId="29576"/>
    <cellStyle name="Финансовый 15 19 2" xfId="59499"/>
    <cellStyle name="Финансовый 15 2" xfId="29577"/>
    <cellStyle name="Финансовый 15 2 2" xfId="29578"/>
    <cellStyle name="Финансовый 15 2 2 2" xfId="59500"/>
    <cellStyle name="Финансовый 15 2 3" xfId="59501"/>
    <cellStyle name="Финансовый 15 20" xfId="29579"/>
    <cellStyle name="Финансовый 15 20 2" xfId="59502"/>
    <cellStyle name="Финансовый 15 21" xfId="29580"/>
    <cellStyle name="Финансовый 15 21 2" xfId="59503"/>
    <cellStyle name="Финансовый 15 22" xfId="29581"/>
    <cellStyle name="Финансовый 15 22 2" xfId="59504"/>
    <cellStyle name="Финансовый 15 23" xfId="29582"/>
    <cellStyle name="Финансовый 15 23 2" xfId="59505"/>
    <cellStyle name="Финансовый 15 24" xfId="29583"/>
    <cellStyle name="Финансовый 15 24 2" xfId="59506"/>
    <cellStyle name="Финансовый 15 25" xfId="29584"/>
    <cellStyle name="Финансовый 15 25 2" xfId="59507"/>
    <cellStyle name="Финансовый 15 26" xfId="29585"/>
    <cellStyle name="Финансовый 15 26 2" xfId="59508"/>
    <cellStyle name="Финансовый 15 27" xfId="29586"/>
    <cellStyle name="Финансовый 15 27 2" xfId="59509"/>
    <cellStyle name="Финансовый 15 28" xfId="29587"/>
    <cellStyle name="Финансовый 15 28 2" xfId="59510"/>
    <cellStyle name="Финансовый 15 29" xfId="29588"/>
    <cellStyle name="Финансовый 15 29 2" xfId="59511"/>
    <cellStyle name="Финансовый 15 3" xfId="29589"/>
    <cellStyle name="Финансовый 15 3 2" xfId="59512"/>
    <cellStyle name="Финансовый 15 30" xfId="29590"/>
    <cellStyle name="Финансовый 15 30 2" xfId="59513"/>
    <cellStyle name="Финансовый 15 31" xfId="29591"/>
    <cellStyle name="Финансовый 15 31 2" xfId="59514"/>
    <cellStyle name="Финансовый 15 32" xfId="29592"/>
    <cellStyle name="Финансовый 15 32 2" xfId="59515"/>
    <cellStyle name="Финансовый 15 33" xfId="59516"/>
    <cellStyle name="Финансовый 15 4" xfId="29593"/>
    <cellStyle name="Финансовый 15 4 2" xfId="59517"/>
    <cellStyle name="Финансовый 15 5" xfId="29594"/>
    <cellStyle name="Финансовый 15 5 2" xfId="59518"/>
    <cellStyle name="Финансовый 15 6" xfId="29595"/>
    <cellStyle name="Финансовый 15 6 2" xfId="59519"/>
    <cellStyle name="Финансовый 15 7" xfId="29596"/>
    <cellStyle name="Финансовый 15 7 2" xfId="59520"/>
    <cellStyle name="Финансовый 15 8" xfId="29597"/>
    <cellStyle name="Финансовый 15 8 2" xfId="59521"/>
    <cellStyle name="Финансовый 15 9" xfId="29598"/>
    <cellStyle name="Финансовый 15 9 10" xfId="29599"/>
    <cellStyle name="Финансовый 15 9 10 2" xfId="59522"/>
    <cellStyle name="Финансовый 15 9 11" xfId="29600"/>
    <cellStyle name="Финансовый 15 9 11 2" xfId="59523"/>
    <cellStyle name="Финансовый 15 9 12" xfId="29601"/>
    <cellStyle name="Финансовый 15 9 12 2" xfId="59524"/>
    <cellStyle name="Финансовый 15 9 13" xfId="29602"/>
    <cellStyle name="Финансовый 15 9 13 2" xfId="59525"/>
    <cellStyle name="Финансовый 15 9 14" xfId="29603"/>
    <cellStyle name="Финансовый 15 9 14 2" xfId="59526"/>
    <cellStyle name="Финансовый 15 9 15" xfId="29604"/>
    <cellStyle name="Финансовый 15 9 15 2" xfId="59527"/>
    <cellStyle name="Финансовый 15 9 16" xfId="29605"/>
    <cellStyle name="Финансовый 15 9 16 2" xfId="59528"/>
    <cellStyle name="Финансовый 15 9 17" xfId="29606"/>
    <cellStyle name="Финансовый 15 9 17 2" xfId="59529"/>
    <cellStyle name="Финансовый 15 9 18" xfId="29607"/>
    <cellStyle name="Финансовый 15 9 18 2" xfId="59530"/>
    <cellStyle name="Финансовый 15 9 19" xfId="29608"/>
    <cellStyle name="Финансовый 15 9 19 2" xfId="59531"/>
    <cellStyle name="Финансовый 15 9 2" xfId="29609"/>
    <cellStyle name="Финансовый 15 9 2 2" xfId="59532"/>
    <cellStyle name="Финансовый 15 9 20" xfId="29610"/>
    <cellStyle name="Финансовый 15 9 20 2" xfId="59533"/>
    <cellStyle name="Финансовый 15 9 21" xfId="29611"/>
    <cellStyle name="Финансовый 15 9 21 2" xfId="59534"/>
    <cellStyle name="Финансовый 15 9 22" xfId="29612"/>
    <cellStyle name="Финансовый 15 9 22 2" xfId="59535"/>
    <cellStyle name="Финансовый 15 9 23" xfId="29613"/>
    <cellStyle name="Финансовый 15 9 23 2" xfId="59536"/>
    <cellStyle name="Финансовый 15 9 24" xfId="59537"/>
    <cellStyle name="Финансовый 15 9 3" xfId="29614"/>
    <cellStyle name="Финансовый 15 9 3 2" xfId="59538"/>
    <cellStyle name="Финансовый 15 9 4" xfId="29615"/>
    <cellStyle name="Финансовый 15 9 4 2" xfId="59539"/>
    <cellStyle name="Финансовый 15 9 5" xfId="29616"/>
    <cellStyle name="Финансовый 15 9 5 2" xfId="59540"/>
    <cellStyle name="Финансовый 15 9 6" xfId="29617"/>
    <cellStyle name="Финансовый 15 9 6 2" xfId="59541"/>
    <cellStyle name="Финансовый 15 9 7" xfId="29618"/>
    <cellStyle name="Финансовый 15 9 7 2" xfId="59542"/>
    <cellStyle name="Финансовый 15 9 8" xfId="29619"/>
    <cellStyle name="Финансовый 15 9 8 2" xfId="59543"/>
    <cellStyle name="Финансовый 15 9 9" xfId="29620"/>
    <cellStyle name="Финансовый 15 9 9 2" xfId="59544"/>
    <cellStyle name="Финансовый 16" xfId="29621"/>
    <cellStyle name="Финансовый 16 2" xfId="59545"/>
    <cellStyle name="Финансовый 17" xfId="29622"/>
    <cellStyle name="Финансовый 17 10" xfId="29623"/>
    <cellStyle name="Финансовый 17 10 10" xfId="29624"/>
    <cellStyle name="Финансовый 17 10 10 2" xfId="59546"/>
    <cellStyle name="Финансовый 17 10 11" xfId="29625"/>
    <cellStyle name="Финансовый 17 10 11 2" xfId="59547"/>
    <cellStyle name="Финансовый 17 10 12" xfId="29626"/>
    <cellStyle name="Финансовый 17 10 12 2" xfId="59548"/>
    <cellStyle name="Финансовый 17 10 13" xfId="29627"/>
    <cellStyle name="Финансовый 17 10 13 2" xfId="59549"/>
    <cellStyle name="Финансовый 17 10 14" xfId="29628"/>
    <cellStyle name="Финансовый 17 10 14 2" xfId="59550"/>
    <cellStyle name="Финансовый 17 10 15" xfId="29629"/>
    <cellStyle name="Финансовый 17 10 15 2" xfId="59551"/>
    <cellStyle name="Финансовый 17 10 16" xfId="29630"/>
    <cellStyle name="Финансовый 17 10 16 2" xfId="59552"/>
    <cellStyle name="Финансовый 17 10 17" xfId="29631"/>
    <cellStyle name="Финансовый 17 10 17 2" xfId="59553"/>
    <cellStyle name="Финансовый 17 10 18" xfId="29632"/>
    <cellStyle name="Финансовый 17 10 18 2" xfId="59554"/>
    <cellStyle name="Финансовый 17 10 19" xfId="29633"/>
    <cellStyle name="Финансовый 17 10 19 2" xfId="59555"/>
    <cellStyle name="Финансовый 17 10 2" xfId="29634"/>
    <cellStyle name="Финансовый 17 10 2 2" xfId="59556"/>
    <cellStyle name="Финансовый 17 10 20" xfId="29635"/>
    <cellStyle name="Финансовый 17 10 20 2" xfId="59557"/>
    <cellStyle name="Финансовый 17 10 21" xfId="29636"/>
    <cellStyle name="Финансовый 17 10 21 2" xfId="59558"/>
    <cellStyle name="Финансовый 17 10 22" xfId="29637"/>
    <cellStyle name="Финансовый 17 10 22 2" xfId="59559"/>
    <cellStyle name="Финансовый 17 10 23" xfId="29638"/>
    <cellStyle name="Финансовый 17 10 23 2" xfId="59560"/>
    <cellStyle name="Финансовый 17 10 24" xfId="59561"/>
    <cellStyle name="Финансовый 17 10 3" xfId="29639"/>
    <cellStyle name="Финансовый 17 10 3 2" xfId="59562"/>
    <cellStyle name="Финансовый 17 10 4" xfId="29640"/>
    <cellStyle name="Финансовый 17 10 4 2" xfId="59563"/>
    <cellStyle name="Финансовый 17 10 5" xfId="29641"/>
    <cellStyle name="Финансовый 17 10 5 2" xfId="59564"/>
    <cellStyle name="Финансовый 17 10 6" xfId="29642"/>
    <cellStyle name="Финансовый 17 10 6 2" xfId="59565"/>
    <cellStyle name="Финансовый 17 10 7" xfId="29643"/>
    <cellStyle name="Финансовый 17 10 7 2" xfId="59566"/>
    <cellStyle name="Финансовый 17 10 8" xfId="29644"/>
    <cellStyle name="Финансовый 17 10 8 2" xfId="59567"/>
    <cellStyle name="Финансовый 17 10 9" xfId="29645"/>
    <cellStyle name="Финансовый 17 10 9 2" xfId="59568"/>
    <cellStyle name="Финансовый 17 11" xfId="29646"/>
    <cellStyle name="Финансовый 17 11 10" xfId="29647"/>
    <cellStyle name="Финансовый 17 11 10 2" xfId="59569"/>
    <cellStyle name="Финансовый 17 11 11" xfId="29648"/>
    <cellStyle name="Финансовый 17 11 11 2" xfId="59570"/>
    <cellStyle name="Финансовый 17 11 12" xfId="29649"/>
    <cellStyle name="Финансовый 17 11 12 2" xfId="59571"/>
    <cellStyle name="Финансовый 17 11 13" xfId="29650"/>
    <cellStyle name="Финансовый 17 11 13 2" xfId="59572"/>
    <cellStyle name="Финансовый 17 11 14" xfId="29651"/>
    <cellStyle name="Финансовый 17 11 14 2" xfId="59573"/>
    <cellStyle name="Финансовый 17 11 15" xfId="29652"/>
    <cellStyle name="Финансовый 17 11 15 2" xfId="59574"/>
    <cellStyle name="Финансовый 17 11 16" xfId="29653"/>
    <cellStyle name="Финансовый 17 11 16 2" xfId="59575"/>
    <cellStyle name="Финансовый 17 11 17" xfId="29654"/>
    <cellStyle name="Финансовый 17 11 17 2" xfId="59576"/>
    <cellStyle name="Финансовый 17 11 18" xfId="29655"/>
    <cellStyle name="Финансовый 17 11 18 2" xfId="59577"/>
    <cellStyle name="Финансовый 17 11 19" xfId="59578"/>
    <cellStyle name="Финансовый 17 11 2" xfId="29656"/>
    <cellStyle name="Финансовый 17 11 2 2" xfId="59579"/>
    <cellStyle name="Финансовый 17 11 3" xfId="29657"/>
    <cellStyle name="Финансовый 17 11 3 2" xfId="59580"/>
    <cellStyle name="Финансовый 17 11 4" xfId="29658"/>
    <cellStyle name="Финансовый 17 11 4 2" xfId="59581"/>
    <cellStyle name="Финансовый 17 11 5" xfId="29659"/>
    <cellStyle name="Финансовый 17 11 5 2" xfId="59582"/>
    <cellStyle name="Финансовый 17 11 6" xfId="29660"/>
    <cellStyle name="Финансовый 17 11 6 2" xfId="59583"/>
    <cellStyle name="Финансовый 17 11 7" xfId="29661"/>
    <cellStyle name="Финансовый 17 11 7 2" xfId="59584"/>
    <cellStyle name="Финансовый 17 11 8" xfId="29662"/>
    <cellStyle name="Финансовый 17 11 8 2" xfId="59585"/>
    <cellStyle name="Финансовый 17 11 9" xfId="29663"/>
    <cellStyle name="Финансовый 17 11 9 2" xfId="59586"/>
    <cellStyle name="Финансовый 17 12" xfId="29664"/>
    <cellStyle name="Финансовый 17 12 10" xfId="29665"/>
    <cellStyle name="Финансовый 17 12 10 2" xfId="59587"/>
    <cellStyle name="Финансовый 17 12 11" xfId="29666"/>
    <cellStyle name="Финансовый 17 12 11 2" xfId="59588"/>
    <cellStyle name="Финансовый 17 12 12" xfId="29667"/>
    <cellStyle name="Финансовый 17 12 12 2" xfId="59589"/>
    <cellStyle name="Финансовый 17 12 13" xfId="29668"/>
    <cellStyle name="Финансовый 17 12 13 2" xfId="59590"/>
    <cellStyle name="Финансовый 17 12 14" xfId="29669"/>
    <cellStyle name="Финансовый 17 12 14 2" xfId="59591"/>
    <cellStyle name="Финансовый 17 12 15" xfId="29670"/>
    <cellStyle name="Финансовый 17 12 15 2" xfId="59592"/>
    <cellStyle name="Финансовый 17 12 16" xfId="29671"/>
    <cellStyle name="Финансовый 17 12 16 2" xfId="59593"/>
    <cellStyle name="Финансовый 17 12 17" xfId="29672"/>
    <cellStyle name="Финансовый 17 12 17 2" xfId="59594"/>
    <cellStyle name="Финансовый 17 12 18" xfId="29673"/>
    <cellStyle name="Финансовый 17 12 18 2" xfId="59595"/>
    <cellStyle name="Финансовый 17 12 19" xfId="59596"/>
    <cellStyle name="Финансовый 17 12 2" xfId="29674"/>
    <cellStyle name="Финансовый 17 12 2 2" xfId="59597"/>
    <cellStyle name="Финансовый 17 12 3" xfId="29675"/>
    <cellStyle name="Финансовый 17 12 3 2" xfId="59598"/>
    <cellStyle name="Финансовый 17 12 4" xfId="29676"/>
    <cellStyle name="Финансовый 17 12 4 2" xfId="59599"/>
    <cellStyle name="Финансовый 17 12 5" xfId="29677"/>
    <cellStyle name="Финансовый 17 12 5 2" xfId="59600"/>
    <cellStyle name="Финансовый 17 12 6" xfId="29678"/>
    <cellStyle name="Финансовый 17 12 6 2" xfId="59601"/>
    <cellStyle name="Финансовый 17 12 7" xfId="29679"/>
    <cellStyle name="Финансовый 17 12 7 2" xfId="59602"/>
    <cellStyle name="Финансовый 17 12 8" xfId="29680"/>
    <cellStyle name="Финансовый 17 12 8 2" xfId="59603"/>
    <cellStyle name="Финансовый 17 12 9" xfId="29681"/>
    <cellStyle name="Финансовый 17 12 9 2" xfId="59604"/>
    <cellStyle name="Финансовый 17 13" xfId="29682"/>
    <cellStyle name="Финансовый 17 13 10" xfId="29683"/>
    <cellStyle name="Финансовый 17 13 10 2" xfId="59605"/>
    <cellStyle name="Финансовый 17 13 11" xfId="29684"/>
    <cellStyle name="Финансовый 17 13 11 2" xfId="59606"/>
    <cellStyle name="Финансовый 17 13 12" xfId="29685"/>
    <cellStyle name="Финансовый 17 13 12 2" xfId="59607"/>
    <cellStyle name="Финансовый 17 13 13" xfId="29686"/>
    <cellStyle name="Финансовый 17 13 13 2" xfId="59608"/>
    <cellStyle name="Финансовый 17 13 14" xfId="29687"/>
    <cellStyle name="Финансовый 17 13 14 2" xfId="59609"/>
    <cellStyle name="Финансовый 17 13 15" xfId="29688"/>
    <cellStyle name="Финансовый 17 13 15 2" xfId="59610"/>
    <cellStyle name="Финансовый 17 13 16" xfId="29689"/>
    <cellStyle name="Финансовый 17 13 16 2" xfId="59611"/>
    <cellStyle name="Финансовый 17 13 17" xfId="29690"/>
    <cellStyle name="Финансовый 17 13 17 2" xfId="59612"/>
    <cellStyle name="Финансовый 17 13 18" xfId="29691"/>
    <cellStyle name="Финансовый 17 13 18 2" xfId="59613"/>
    <cellStyle name="Финансовый 17 13 19" xfId="59614"/>
    <cellStyle name="Финансовый 17 13 2" xfId="29692"/>
    <cellStyle name="Финансовый 17 13 2 2" xfId="59615"/>
    <cellStyle name="Финансовый 17 13 3" xfId="29693"/>
    <cellStyle name="Финансовый 17 13 3 2" xfId="59616"/>
    <cellStyle name="Финансовый 17 13 4" xfId="29694"/>
    <cellStyle name="Финансовый 17 13 4 2" xfId="59617"/>
    <cellStyle name="Финансовый 17 13 5" xfId="29695"/>
    <cellStyle name="Финансовый 17 13 5 2" xfId="59618"/>
    <cellStyle name="Финансовый 17 13 6" xfId="29696"/>
    <cellStyle name="Финансовый 17 13 6 2" xfId="59619"/>
    <cellStyle name="Финансовый 17 13 7" xfId="29697"/>
    <cellStyle name="Финансовый 17 13 7 2" xfId="59620"/>
    <cellStyle name="Финансовый 17 13 8" xfId="29698"/>
    <cellStyle name="Финансовый 17 13 8 2" xfId="59621"/>
    <cellStyle name="Финансовый 17 13 9" xfId="29699"/>
    <cellStyle name="Финансовый 17 13 9 2" xfId="59622"/>
    <cellStyle name="Финансовый 17 14" xfId="29700"/>
    <cellStyle name="Финансовый 17 14 2" xfId="59623"/>
    <cellStyle name="Финансовый 17 15" xfId="29701"/>
    <cellStyle name="Финансовый 17 15 2" xfId="59624"/>
    <cellStyle name="Финансовый 17 16" xfId="29702"/>
    <cellStyle name="Финансовый 17 16 2" xfId="59625"/>
    <cellStyle name="Финансовый 17 17" xfId="29703"/>
    <cellStyle name="Финансовый 17 17 2" xfId="59626"/>
    <cellStyle name="Финансовый 17 18" xfId="29704"/>
    <cellStyle name="Финансовый 17 18 2" xfId="59627"/>
    <cellStyle name="Финансовый 17 19" xfId="29705"/>
    <cellStyle name="Финансовый 17 19 2" xfId="59628"/>
    <cellStyle name="Финансовый 17 2" xfId="29706"/>
    <cellStyle name="Финансовый 17 2 2" xfId="29707"/>
    <cellStyle name="Финансовый 17 2 2 2" xfId="59629"/>
    <cellStyle name="Финансовый 17 2 3" xfId="59630"/>
    <cellStyle name="Финансовый 17 20" xfId="29708"/>
    <cellStyle name="Финансовый 17 20 2" xfId="59631"/>
    <cellStyle name="Финансовый 17 21" xfId="29709"/>
    <cellStyle name="Финансовый 17 21 2" xfId="59632"/>
    <cellStyle name="Финансовый 17 22" xfId="29710"/>
    <cellStyle name="Финансовый 17 22 2" xfId="59633"/>
    <cellStyle name="Финансовый 17 23" xfId="29711"/>
    <cellStyle name="Финансовый 17 23 2" xfId="59634"/>
    <cellStyle name="Финансовый 17 24" xfId="29712"/>
    <cellStyle name="Финансовый 17 24 2" xfId="59635"/>
    <cellStyle name="Финансовый 17 25" xfId="29713"/>
    <cellStyle name="Финансовый 17 25 2" xfId="59636"/>
    <cellStyle name="Финансовый 17 26" xfId="29714"/>
    <cellStyle name="Финансовый 17 26 2" xfId="59637"/>
    <cellStyle name="Финансовый 17 27" xfId="29715"/>
    <cellStyle name="Финансовый 17 27 2" xfId="59638"/>
    <cellStyle name="Финансовый 17 28" xfId="29716"/>
    <cellStyle name="Финансовый 17 28 2" xfId="59639"/>
    <cellStyle name="Финансовый 17 29" xfId="29717"/>
    <cellStyle name="Финансовый 17 29 2" xfId="59640"/>
    <cellStyle name="Финансовый 17 3" xfId="29718"/>
    <cellStyle name="Финансовый 17 3 2" xfId="59641"/>
    <cellStyle name="Финансовый 17 30" xfId="29719"/>
    <cellStyle name="Финансовый 17 30 2" xfId="59642"/>
    <cellStyle name="Финансовый 17 31" xfId="29720"/>
    <cellStyle name="Финансовый 17 31 2" xfId="59643"/>
    <cellStyle name="Финансовый 17 32" xfId="29721"/>
    <cellStyle name="Финансовый 17 32 2" xfId="59644"/>
    <cellStyle name="Финансовый 17 33" xfId="59645"/>
    <cellStyle name="Финансовый 17 4" xfId="29722"/>
    <cellStyle name="Финансовый 17 4 2" xfId="59646"/>
    <cellStyle name="Финансовый 17 5" xfId="29723"/>
    <cellStyle name="Финансовый 17 5 2" xfId="59647"/>
    <cellStyle name="Финансовый 17 6" xfId="29724"/>
    <cellStyle name="Финансовый 17 6 2" xfId="59648"/>
    <cellStyle name="Финансовый 17 7" xfId="29725"/>
    <cellStyle name="Финансовый 17 7 2" xfId="59649"/>
    <cellStyle name="Финансовый 17 8" xfId="29726"/>
    <cellStyle name="Финансовый 17 8 2" xfId="59650"/>
    <cellStyle name="Финансовый 17 9" xfId="29727"/>
    <cellStyle name="Финансовый 17 9 10" xfId="29728"/>
    <cellStyle name="Финансовый 17 9 10 2" xfId="59651"/>
    <cellStyle name="Финансовый 17 9 11" xfId="29729"/>
    <cellStyle name="Финансовый 17 9 11 2" xfId="59652"/>
    <cellStyle name="Финансовый 17 9 12" xfId="29730"/>
    <cellStyle name="Финансовый 17 9 12 2" xfId="59653"/>
    <cellStyle name="Финансовый 17 9 13" xfId="29731"/>
    <cellStyle name="Финансовый 17 9 13 2" xfId="59654"/>
    <cellStyle name="Финансовый 17 9 14" xfId="29732"/>
    <cellStyle name="Финансовый 17 9 14 2" xfId="59655"/>
    <cellStyle name="Финансовый 17 9 15" xfId="29733"/>
    <cellStyle name="Финансовый 17 9 15 2" xfId="59656"/>
    <cellStyle name="Финансовый 17 9 16" xfId="29734"/>
    <cellStyle name="Финансовый 17 9 16 2" xfId="59657"/>
    <cellStyle name="Финансовый 17 9 17" xfId="29735"/>
    <cellStyle name="Финансовый 17 9 17 2" xfId="59658"/>
    <cellStyle name="Финансовый 17 9 18" xfId="29736"/>
    <cellStyle name="Финансовый 17 9 18 2" xfId="59659"/>
    <cellStyle name="Финансовый 17 9 19" xfId="29737"/>
    <cellStyle name="Финансовый 17 9 19 2" xfId="59660"/>
    <cellStyle name="Финансовый 17 9 2" xfId="29738"/>
    <cellStyle name="Финансовый 17 9 2 2" xfId="59661"/>
    <cellStyle name="Финансовый 17 9 20" xfId="29739"/>
    <cellStyle name="Финансовый 17 9 20 2" xfId="59662"/>
    <cellStyle name="Финансовый 17 9 21" xfId="29740"/>
    <cellStyle name="Финансовый 17 9 21 2" xfId="59663"/>
    <cellStyle name="Финансовый 17 9 22" xfId="29741"/>
    <cellStyle name="Финансовый 17 9 22 2" xfId="59664"/>
    <cellStyle name="Финансовый 17 9 23" xfId="29742"/>
    <cellStyle name="Финансовый 17 9 23 2" xfId="59665"/>
    <cellStyle name="Финансовый 17 9 24" xfId="59666"/>
    <cellStyle name="Финансовый 17 9 3" xfId="29743"/>
    <cellStyle name="Финансовый 17 9 3 2" xfId="59667"/>
    <cellStyle name="Финансовый 17 9 4" xfId="29744"/>
    <cellStyle name="Финансовый 17 9 4 2" xfId="59668"/>
    <cellStyle name="Финансовый 17 9 5" xfId="29745"/>
    <cellStyle name="Финансовый 17 9 5 2" xfId="59669"/>
    <cellStyle name="Финансовый 17 9 6" xfId="29746"/>
    <cellStyle name="Финансовый 17 9 6 2" xfId="59670"/>
    <cellStyle name="Финансовый 17 9 7" xfId="29747"/>
    <cellStyle name="Финансовый 17 9 7 2" xfId="59671"/>
    <cellStyle name="Финансовый 17 9 8" xfId="29748"/>
    <cellStyle name="Финансовый 17 9 8 2" xfId="59672"/>
    <cellStyle name="Финансовый 17 9 9" xfId="29749"/>
    <cellStyle name="Финансовый 17 9 9 2" xfId="59673"/>
    <cellStyle name="Финансовый 18" xfId="29750"/>
    <cellStyle name="Финансовый 18 2" xfId="59674"/>
    <cellStyle name="Финансовый 19" xfId="29751"/>
    <cellStyle name="Финансовый 19 2" xfId="59675"/>
    <cellStyle name="Финансовый 2" xfId="27"/>
    <cellStyle name="Финансовый 2 10" xfId="29752"/>
    <cellStyle name="Финансовый 2 11" xfId="29753"/>
    <cellStyle name="Финансовый 2 12" xfId="29754"/>
    <cellStyle name="Финансовый 2 13" xfId="29755"/>
    <cellStyle name="Финансовый 2 14" xfId="29756"/>
    <cellStyle name="Финансовый 2 14 2" xfId="59676"/>
    <cellStyle name="Финансовый 2 15" xfId="29757"/>
    <cellStyle name="Финансовый 2 15 2" xfId="59677"/>
    <cellStyle name="Финансовый 2 16" xfId="29758"/>
    <cellStyle name="Финансовый 2 16 2" xfId="59678"/>
    <cellStyle name="Финансовый 2 17" xfId="29759"/>
    <cellStyle name="Финансовый 2 17 2" xfId="59679"/>
    <cellStyle name="Финансовый 2 18" xfId="29760"/>
    <cellStyle name="Финансовый 2 18 2" xfId="59680"/>
    <cellStyle name="Финансовый 2 19" xfId="29761"/>
    <cellStyle name="Финансовый 2 19 2" xfId="59681"/>
    <cellStyle name="Финансовый 2 2" xfId="28"/>
    <cellStyle name="Финансовый 2 2 10" xfId="29762"/>
    <cellStyle name="Финансовый 2 2 11" xfId="29763"/>
    <cellStyle name="Финансовый 2 2 12" xfId="29764"/>
    <cellStyle name="Финансовый 2 2 13" xfId="29765"/>
    <cellStyle name="Финансовый 2 2 14" xfId="29766"/>
    <cellStyle name="Финансовый 2 2 15" xfId="29767"/>
    <cellStyle name="Финансовый 2 2 16" xfId="29768"/>
    <cellStyle name="Финансовый 2 2 17" xfId="29769"/>
    <cellStyle name="Финансовый 2 2 18" xfId="29770"/>
    <cellStyle name="Финансовый 2 2 19" xfId="29771"/>
    <cellStyle name="Финансовый 2 2 2" xfId="29772"/>
    <cellStyle name="Финансовый 2 2 2 2" xfId="60330"/>
    <cellStyle name="Финансовый 2 2 20" xfId="29773"/>
    <cellStyle name="Финансовый 2 2 21" xfId="29774"/>
    <cellStyle name="Финансовый 2 2 22" xfId="29775"/>
    <cellStyle name="Финансовый 2 2 23" xfId="29776"/>
    <cellStyle name="Финансовый 2 2 24" xfId="59030"/>
    <cellStyle name="Финансовый 2 2 3" xfId="29777"/>
    <cellStyle name="Финансовый 2 2 4" xfId="29778"/>
    <cellStyle name="Финансовый 2 2 5" xfId="29779"/>
    <cellStyle name="Финансовый 2 2 6" xfId="29780"/>
    <cellStyle name="Финансовый 2 2 7" xfId="29781"/>
    <cellStyle name="Финансовый 2 2 8" xfId="29782"/>
    <cellStyle name="Финансовый 2 2 9" xfId="29783"/>
    <cellStyle name="Финансовый 2 20" xfId="29784"/>
    <cellStyle name="Финансовый 2 20 2" xfId="59682"/>
    <cellStyle name="Финансовый 2 21" xfId="29785"/>
    <cellStyle name="Финансовый 2 21 2" xfId="59683"/>
    <cellStyle name="Финансовый 2 22" xfId="29786"/>
    <cellStyle name="Финансовый 2 22 2" xfId="59684"/>
    <cellStyle name="Финансовый 2 23" xfId="29787"/>
    <cellStyle name="Финансовый 2 23 2" xfId="59685"/>
    <cellStyle name="Финансовый 2 24" xfId="29788"/>
    <cellStyle name="Финансовый 2 24 2" xfId="59686"/>
    <cellStyle name="Финансовый 2 25" xfId="29789"/>
    <cellStyle name="Финансовый 2 25 2" xfId="59687"/>
    <cellStyle name="Финансовый 2 26" xfId="29790"/>
    <cellStyle name="Финансовый 2 26 2" xfId="59688"/>
    <cellStyle name="Финансовый 2 27" xfId="29791"/>
    <cellStyle name="Финансовый 2 27 2" xfId="59689"/>
    <cellStyle name="Финансовый 2 28" xfId="29792"/>
    <cellStyle name="Финансовый 2 28 2" xfId="59690"/>
    <cellStyle name="Финансовый 2 29" xfId="29793"/>
    <cellStyle name="Финансовый 2 29 2" xfId="59691"/>
    <cellStyle name="Финансовый 2 3" xfId="29794"/>
    <cellStyle name="Финансовый 2 3 10" xfId="29795"/>
    <cellStyle name="Финансовый 2 3 11" xfId="29796"/>
    <cellStyle name="Финансовый 2 3 12" xfId="29797"/>
    <cellStyle name="Финансовый 2 3 13" xfId="29798"/>
    <cellStyle name="Финансовый 2 3 14" xfId="29799"/>
    <cellStyle name="Финансовый 2 3 15" xfId="29800"/>
    <cellStyle name="Финансовый 2 3 16" xfId="29801"/>
    <cellStyle name="Финансовый 2 3 17" xfId="29802"/>
    <cellStyle name="Финансовый 2 3 18" xfId="29803"/>
    <cellStyle name="Финансовый 2 3 2" xfId="29804"/>
    <cellStyle name="Финансовый 2 3 3" xfId="29805"/>
    <cellStyle name="Финансовый 2 3 4" xfId="29806"/>
    <cellStyle name="Финансовый 2 3 5" xfId="29807"/>
    <cellStyle name="Финансовый 2 3 6" xfId="29808"/>
    <cellStyle name="Финансовый 2 3 7" xfId="29809"/>
    <cellStyle name="Финансовый 2 3 8" xfId="29810"/>
    <cellStyle name="Финансовый 2 3 9" xfId="29811"/>
    <cellStyle name="Финансовый 2 30" xfId="29812"/>
    <cellStyle name="Финансовый 2 31" xfId="29813"/>
    <cellStyle name="Финансовый 2 32" xfId="29814"/>
    <cellStyle name="Финансовый 2 33" xfId="29815"/>
    <cellStyle name="Финансовый 2 33 2" xfId="59692"/>
    <cellStyle name="Финансовый 2 34" xfId="29816"/>
    <cellStyle name="Финансовый 2 34 2" xfId="59693"/>
    <cellStyle name="Финансовый 2 35" xfId="29817"/>
    <cellStyle name="Финансовый 2 35 2" xfId="59694"/>
    <cellStyle name="Финансовый 2 36" xfId="29818"/>
    <cellStyle name="Финансовый 2 36 2" xfId="59695"/>
    <cellStyle name="Финансовый 2 37" xfId="29819"/>
    <cellStyle name="Финансовый 2 37 2" xfId="59696"/>
    <cellStyle name="Финансовый 2 38" xfId="29820"/>
    <cellStyle name="Финансовый 2 39" xfId="29821"/>
    <cellStyle name="Финансовый 2 4" xfId="29822"/>
    <cellStyle name="Финансовый 2 4 10" xfId="29823"/>
    <cellStyle name="Финансовый 2 4 11" xfId="29824"/>
    <cellStyle name="Финансовый 2 4 12" xfId="29825"/>
    <cellStyle name="Финансовый 2 4 13" xfId="29826"/>
    <cellStyle name="Финансовый 2 4 14" xfId="29827"/>
    <cellStyle name="Финансовый 2 4 15" xfId="29828"/>
    <cellStyle name="Финансовый 2 4 16" xfId="29829"/>
    <cellStyle name="Финансовый 2 4 17" xfId="29830"/>
    <cellStyle name="Финансовый 2 4 18" xfId="29831"/>
    <cellStyle name="Финансовый 2 4 2" xfId="29832"/>
    <cellStyle name="Финансовый 2 4 3" xfId="29833"/>
    <cellStyle name="Финансовый 2 4 4" xfId="29834"/>
    <cellStyle name="Финансовый 2 4 5" xfId="29835"/>
    <cellStyle name="Финансовый 2 4 6" xfId="29836"/>
    <cellStyle name="Финансовый 2 4 7" xfId="29837"/>
    <cellStyle name="Финансовый 2 4 8" xfId="29838"/>
    <cellStyle name="Финансовый 2 4 9" xfId="29839"/>
    <cellStyle name="Финансовый 2 40" xfId="59697"/>
    <cellStyle name="Финансовый 2 41" xfId="60331"/>
    <cellStyle name="Финансовый 2 5" xfId="29840"/>
    <cellStyle name="Финансовый 2 5 10" xfId="29841"/>
    <cellStyle name="Финансовый 2 5 11" xfId="29842"/>
    <cellStyle name="Финансовый 2 5 12" xfId="29843"/>
    <cellStyle name="Финансовый 2 5 13" xfId="29844"/>
    <cellStyle name="Финансовый 2 5 14" xfId="29845"/>
    <cellStyle name="Финансовый 2 5 15" xfId="29846"/>
    <cellStyle name="Финансовый 2 5 16" xfId="29847"/>
    <cellStyle name="Финансовый 2 5 17" xfId="29848"/>
    <cellStyle name="Финансовый 2 5 18" xfId="29849"/>
    <cellStyle name="Финансовый 2 5 2" xfId="29850"/>
    <cellStyle name="Финансовый 2 5 3" xfId="29851"/>
    <cellStyle name="Финансовый 2 5 4" xfId="29852"/>
    <cellStyle name="Финансовый 2 5 5" xfId="29853"/>
    <cellStyle name="Финансовый 2 5 6" xfId="29854"/>
    <cellStyle name="Финансовый 2 5 7" xfId="29855"/>
    <cellStyle name="Финансовый 2 5 8" xfId="29856"/>
    <cellStyle name="Финансовый 2 5 9" xfId="29857"/>
    <cellStyle name="Финансовый 2 6" xfId="29858"/>
    <cellStyle name="Финансовый 2 6 10" xfId="29859"/>
    <cellStyle name="Финансовый 2 6 11" xfId="29860"/>
    <cellStyle name="Финансовый 2 6 12" xfId="29861"/>
    <cellStyle name="Финансовый 2 6 13" xfId="29862"/>
    <cellStyle name="Финансовый 2 6 14" xfId="29863"/>
    <cellStyle name="Финансовый 2 6 15" xfId="29864"/>
    <cellStyle name="Финансовый 2 6 16" xfId="29865"/>
    <cellStyle name="Финансовый 2 6 17" xfId="29866"/>
    <cellStyle name="Финансовый 2 6 18" xfId="29867"/>
    <cellStyle name="Финансовый 2 6 2" xfId="29868"/>
    <cellStyle name="Финансовый 2 6 3" xfId="29869"/>
    <cellStyle name="Финансовый 2 6 4" xfId="29870"/>
    <cellStyle name="Финансовый 2 6 5" xfId="29871"/>
    <cellStyle name="Финансовый 2 6 6" xfId="29872"/>
    <cellStyle name="Финансовый 2 6 7" xfId="29873"/>
    <cellStyle name="Финансовый 2 6 8" xfId="29874"/>
    <cellStyle name="Финансовый 2 6 9" xfId="29875"/>
    <cellStyle name="Финансовый 2 7" xfId="29876"/>
    <cellStyle name="Финансовый 2 7 10" xfId="29877"/>
    <cellStyle name="Финансовый 2 7 11" xfId="29878"/>
    <cellStyle name="Финансовый 2 7 12" xfId="29879"/>
    <cellStyle name="Финансовый 2 7 13" xfId="29880"/>
    <cellStyle name="Финансовый 2 7 14" xfId="29881"/>
    <cellStyle name="Финансовый 2 7 15" xfId="29882"/>
    <cellStyle name="Финансовый 2 7 16" xfId="29883"/>
    <cellStyle name="Финансовый 2 7 17" xfId="29884"/>
    <cellStyle name="Финансовый 2 7 18" xfId="29885"/>
    <cellStyle name="Финансовый 2 7 19" xfId="59698"/>
    <cellStyle name="Финансовый 2 7 2" xfId="29886"/>
    <cellStyle name="Финансовый 2 7 3" xfId="29887"/>
    <cellStyle name="Финансовый 2 7 4" xfId="29888"/>
    <cellStyle name="Финансовый 2 7 5" xfId="29889"/>
    <cellStyle name="Финансовый 2 7 6" xfId="29890"/>
    <cellStyle name="Финансовый 2 7 7" xfId="29891"/>
    <cellStyle name="Финансовый 2 7 8" xfId="29892"/>
    <cellStyle name="Финансовый 2 7 9" xfId="29893"/>
    <cellStyle name="Финансовый 2 8" xfId="29894"/>
    <cellStyle name="Финансовый 2 9" xfId="29895"/>
    <cellStyle name="Финансовый 20" xfId="29896"/>
    <cellStyle name="Финансовый 20 2" xfId="59699"/>
    <cellStyle name="Финансовый 21" xfId="29897"/>
    <cellStyle name="Финансовый 21 2" xfId="59700"/>
    <cellStyle name="Финансовый 22" xfId="29898"/>
    <cellStyle name="Финансовый 22 2" xfId="59701"/>
    <cellStyle name="Финансовый 23" xfId="29899"/>
    <cellStyle name="Финансовый 23 2" xfId="59702"/>
    <cellStyle name="Финансовый 24" xfId="29900"/>
    <cellStyle name="Финансовый 24 2" xfId="59703"/>
    <cellStyle name="Финансовый 25" xfId="29901"/>
    <cellStyle name="Финансовый 25 2" xfId="59704"/>
    <cellStyle name="Финансовый 26" xfId="29902"/>
    <cellStyle name="Финансовый 26 2" xfId="59705"/>
    <cellStyle name="Финансовый 27" xfId="29903"/>
    <cellStyle name="Финансовый 27 2" xfId="59706"/>
    <cellStyle name="Финансовый 28" xfId="29904"/>
    <cellStyle name="Финансовый 28 2" xfId="59707"/>
    <cellStyle name="Финансовый 29" xfId="29905"/>
    <cellStyle name="Финансовый 29 2" xfId="59708"/>
    <cellStyle name="Финансовый 3" xfId="29906"/>
    <cellStyle name="Финансовый 3 2" xfId="29907"/>
    <cellStyle name="Финансовый 3 2 2" xfId="29908"/>
    <cellStyle name="Финансовый 3 2 2 2" xfId="59709"/>
    <cellStyle name="Финансовый 3 2 3" xfId="59710"/>
    <cellStyle name="Финансовый 3 3" xfId="29909"/>
    <cellStyle name="Финансовый 3 3 2" xfId="59711"/>
    <cellStyle name="Финансовый 3 4" xfId="29910"/>
    <cellStyle name="Финансовый 3 4 2" xfId="59712"/>
    <cellStyle name="Финансовый 3 5" xfId="29911"/>
    <cellStyle name="Финансовый 3 5 2" xfId="59713"/>
    <cellStyle name="Финансовый 3 6" xfId="29912"/>
    <cellStyle name="Финансовый 3 6 2" xfId="59714"/>
    <cellStyle name="Финансовый 3 7" xfId="29913"/>
    <cellStyle name="Финансовый 3 7 2" xfId="59715"/>
    <cellStyle name="Финансовый 3 8" xfId="59716"/>
    <cellStyle name="Финансовый 3 9" xfId="59717"/>
    <cellStyle name="Финансовый 30" xfId="29914"/>
    <cellStyle name="Финансовый 30 2" xfId="59718"/>
    <cellStyle name="Финансовый 31" xfId="29915"/>
    <cellStyle name="Финансовый 31 2" xfId="29916"/>
    <cellStyle name="Финансовый 32" xfId="29917"/>
    <cellStyle name="Финансовый 32 2" xfId="29918"/>
    <cellStyle name="Финансовый 33" xfId="29919"/>
    <cellStyle name="Финансовый 33 2" xfId="29920"/>
    <cellStyle name="Финансовый 34" xfId="29921"/>
    <cellStyle name="Финансовый 34 2" xfId="29922"/>
    <cellStyle name="Финансовый 35" xfId="29923"/>
    <cellStyle name="Финансовый 35 2" xfId="29924"/>
    <cellStyle name="Финансовый 36" xfId="29925"/>
    <cellStyle name="Финансовый 36 2" xfId="29926"/>
    <cellStyle name="Финансовый 37" xfId="29927"/>
    <cellStyle name="Финансовый 37 2" xfId="29928"/>
    <cellStyle name="Финансовый 38" xfId="29929"/>
    <cellStyle name="Финансовый 39" xfId="29930"/>
    <cellStyle name="Финансовый 4" xfId="29931"/>
    <cellStyle name="Финансовый 4 10" xfId="29932"/>
    <cellStyle name="Финансовый 4 10 2" xfId="59719"/>
    <cellStyle name="Финансовый 4 11" xfId="29933"/>
    <cellStyle name="Финансовый 4 11 2" xfId="59720"/>
    <cellStyle name="Финансовый 4 12" xfId="29934"/>
    <cellStyle name="Финансовый 4 12 2" xfId="59721"/>
    <cellStyle name="Финансовый 4 13" xfId="29935"/>
    <cellStyle name="Финансовый 4 13 2" xfId="59722"/>
    <cellStyle name="Финансовый 4 14" xfId="29936"/>
    <cellStyle name="Финансовый 4 14 2" xfId="59723"/>
    <cellStyle name="Финансовый 4 15" xfId="29937"/>
    <cellStyle name="Финансовый 4 15 2" xfId="59724"/>
    <cellStyle name="Финансовый 4 16" xfId="29938"/>
    <cellStyle name="Финансовый 4 16 2" xfId="59725"/>
    <cellStyle name="Финансовый 4 17" xfId="29939"/>
    <cellStyle name="Финансовый 4 17 2" xfId="59726"/>
    <cellStyle name="Финансовый 4 18" xfId="29940"/>
    <cellStyle name="Финансовый 4 18 2" xfId="59727"/>
    <cellStyle name="Финансовый 4 19" xfId="29941"/>
    <cellStyle name="Финансовый 4 19 2" xfId="59728"/>
    <cellStyle name="Финансовый 4 2" xfId="29942"/>
    <cellStyle name="Финансовый 4 2 2" xfId="59729"/>
    <cellStyle name="Финансовый 4 20" xfId="29943"/>
    <cellStyle name="Финансовый 4 20 2" xfId="59730"/>
    <cellStyle name="Финансовый 4 21" xfId="29944"/>
    <cellStyle name="Финансовый 4 21 2" xfId="59731"/>
    <cellStyle name="Финансовый 4 22" xfId="29945"/>
    <cellStyle name="Финансовый 4 22 2" xfId="59732"/>
    <cellStyle name="Финансовый 4 23" xfId="29946"/>
    <cellStyle name="Финансовый 4 23 2" xfId="59733"/>
    <cellStyle name="Финансовый 4 24" xfId="29947"/>
    <cellStyle name="Финансовый 4 24 2" xfId="59734"/>
    <cellStyle name="Финансовый 4 25" xfId="59735"/>
    <cellStyle name="Финансовый 4 26" xfId="59736"/>
    <cellStyle name="Финансовый 4 3" xfId="29948"/>
    <cellStyle name="Финансовый 4 3 2" xfId="59737"/>
    <cellStyle name="Финансовый 4 4" xfId="29949"/>
    <cellStyle name="Финансовый 4 4 2" xfId="59738"/>
    <cellStyle name="Финансовый 4 5" xfId="29950"/>
    <cellStyle name="Финансовый 4 5 2" xfId="59739"/>
    <cellStyle name="Финансовый 4 6" xfId="29951"/>
    <cellStyle name="Финансовый 4 6 2" xfId="59740"/>
    <cellStyle name="Финансовый 4 7" xfId="29952"/>
    <cellStyle name="Финансовый 4 7 2" xfId="59741"/>
    <cellStyle name="Финансовый 4 8" xfId="29953"/>
    <cellStyle name="Финансовый 4 8 2" xfId="59742"/>
    <cellStyle name="Финансовый 4 9" xfId="29954"/>
    <cellStyle name="Финансовый 4 9 2" xfId="59743"/>
    <cellStyle name="Финансовый 40" xfId="29955"/>
    <cellStyle name="Финансовый 41" xfId="29956"/>
    <cellStyle name="Финансовый 42" xfId="29957"/>
    <cellStyle name="Финансовый 43" xfId="59744"/>
    <cellStyle name="Финансовый 44" xfId="59745"/>
    <cellStyle name="Финансовый 45" xfId="59746"/>
    <cellStyle name="Финансовый 46" xfId="59747"/>
    <cellStyle name="Финансовый 47" xfId="59748"/>
    <cellStyle name="Финансовый 48" xfId="59749"/>
    <cellStyle name="Финансовый 49" xfId="59750"/>
    <cellStyle name="Финансовый 5" xfId="29958"/>
    <cellStyle name="Финансовый 5 10" xfId="29959"/>
    <cellStyle name="Финансовый 5 10 10" xfId="29960"/>
    <cellStyle name="Финансовый 5 10 10 2" xfId="59751"/>
    <cellStyle name="Финансовый 5 10 11" xfId="29961"/>
    <cellStyle name="Финансовый 5 10 11 2" xfId="59752"/>
    <cellStyle name="Финансовый 5 10 12" xfId="29962"/>
    <cellStyle name="Финансовый 5 10 12 2" xfId="59753"/>
    <cellStyle name="Финансовый 5 10 13" xfId="29963"/>
    <cellStyle name="Финансовый 5 10 13 2" xfId="59754"/>
    <cellStyle name="Финансовый 5 10 14" xfId="29964"/>
    <cellStyle name="Финансовый 5 10 14 2" xfId="59755"/>
    <cellStyle name="Финансовый 5 10 15" xfId="29965"/>
    <cellStyle name="Финансовый 5 10 15 2" xfId="59756"/>
    <cellStyle name="Финансовый 5 10 16" xfId="29966"/>
    <cellStyle name="Финансовый 5 10 16 2" xfId="59757"/>
    <cellStyle name="Финансовый 5 10 17" xfId="29967"/>
    <cellStyle name="Финансовый 5 10 17 2" xfId="59758"/>
    <cellStyle name="Финансовый 5 10 18" xfId="29968"/>
    <cellStyle name="Финансовый 5 10 18 2" xfId="59759"/>
    <cellStyle name="Финансовый 5 10 19" xfId="29969"/>
    <cellStyle name="Финансовый 5 10 19 2" xfId="59760"/>
    <cellStyle name="Финансовый 5 10 2" xfId="29970"/>
    <cellStyle name="Финансовый 5 10 2 2" xfId="59761"/>
    <cellStyle name="Финансовый 5 10 20" xfId="29971"/>
    <cellStyle name="Финансовый 5 10 20 2" xfId="59762"/>
    <cellStyle name="Финансовый 5 10 21" xfId="29972"/>
    <cellStyle name="Финансовый 5 10 21 2" xfId="59763"/>
    <cellStyle name="Финансовый 5 10 22" xfId="29973"/>
    <cellStyle name="Финансовый 5 10 22 2" xfId="59764"/>
    <cellStyle name="Финансовый 5 10 23" xfId="29974"/>
    <cellStyle name="Финансовый 5 10 23 2" xfId="59765"/>
    <cellStyle name="Финансовый 5 10 24" xfId="59766"/>
    <cellStyle name="Финансовый 5 10 3" xfId="29975"/>
    <cellStyle name="Финансовый 5 10 3 2" xfId="59767"/>
    <cellStyle name="Финансовый 5 10 4" xfId="29976"/>
    <cellStyle name="Финансовый 5 10 4 2" xfId="59768"/>
    <cellStyle name="Финансовый 5 10 5" xfId="29977"/>
    <cellStyle name="Финансовый 5 10 5 2" xfId="59769"/>
    <cellStyle name="Финансовый 5 10 6" xfId="29978"/>
    <cellStyle name="Финансовый 5 10 6 2" xfId="59770"/>
    <cellStyle name="Финансовый 5 10 7" xfId="29979"/>
    <cellStyle name="Финансовый 5 10 7 2" xfId="59771"/>
    <cellStyle name="Финансовый 5 10 8" xfId="29980"/>
    <cellStyle name="Финансовый 5 10 8 2" xfId="59772"/>
    <cellStyle name="Финансовый 5 10 9" xfId="29981"/>
    <cellStyle name="Финансовый 5 10 9 2" xfId="59773"/>
    <cellStyle name="Финансовый 5 11" xfId="29982"/>
    <cellStyle name="Финансовый 5 11 10" xfId="29983"/>
    <cellStyle name="Финансовый 5 11 10 2" xfId="59774"/>
    <cellStyle name="Финансовый 5 11 11" xfId="29984"/>
    <cellStyle name="Финансовый 5 11 11 2" xfId="59775"/>
    <cellStyle name="Финансовый 5 11 12" xfId="29985"/>
    <cellStyle name="Финансовый 5 11 12 2" xfId="59776"/>
    <cellStyle name="Финансовый 5 11 13" xfId="29986"/>
    <cellStyle name="Финансовый 5 11 13 2" xfId="59777"/>
    <cellStyle name="Финансовый 5 11 14" xfId="29987"/>
    <cellStyle name="Финансовый 5 11 14 2" xfId="59778"/>
    <cellStyle name="Финансовый 5 11 15" xfId="29988"/>
    <cellStyle name="Финансовый 5 11 15 2" xfId="59779"/>
    <cellStyle name="Финансовый 5 11 16" xfId="29989"/>
    <cellStyle name="Финансовый 5 11 16 2" xfId="59780"/>
    <cellStyle name="Финансовый 5 11 17" xfId="29990"/>
    <cellStyle name="Финансовый 5 11 17 2" xfId="59781"/>
    <cellStyle name="Финансовый 5 11 18" xfId="29991"/>
    <cellStyle name="Финансовый 5 11 18 2" xfId="59782"/>
    <cellStyle name="Финансовый 5 11 19" xfId="59783"/>
    <cellStyle name="Финансовый 5 11 2" xfId="29992"/>
    <cellStyle name="Финансовый 5 11 2 2" xfId="59784"/>
    <cellStyle name="Финансовый 5 11 3" xfId="29993"/>
    <cellStyle name="Финансовый 5 11 3 2" xfId="59785"/>
    <cellStyle name="Финансовый 5 11 4" xfId="29994"/>
    <cellStyle name="Финансовый 5 11 4 2" xfId="59786"/>
    <cellStyle name="Финансовый 5 11 5" xfId="29995"/>
    <cellStyle name="Финансовый 5 11 5 2" xfId="59787"/>
    <cellStyle name="Финансовый 5 11 6" xfId="29996"/>
    <cellStyle name="Финансовый 5 11 6 2" xfId="59788"/>
    <cellStyle name="Финансовый 5 11 7" xfId="29997"/>
    <cellStyle name="Финансовый 5 11 7 2" xfId="59789"/>
    <cellStyle name="Финансовый 5 11 8" xfId="29998"/>
    <cellStyle name="Финансовый 5 11 8 2" xfId="59790"/>
    <cellStyle name="Финансовый 5 11 9" xfId="29999"/>
    <cellStyle name="Финансовый 5 11 9 2" xfId="59791"/>
    <cellStyle name="Финансовый 5 12" xfId="30000"/>
    <cellStyle name="Финансовый 5 12 10" xfId="30001"/>
    <cellStyle name="Финансовый 5 12 10 2" xfId="59792"/>
    <cellStyle name="Финансовый 5 12 11" xfId="30002"/>
    <cellStyle name="Финансовый 5 12 11 2" xfId="59793"/>
    <cellStyle name="Финансовый 5 12 12" xfId="30003"/>
    <cellStyle name="Финансовый 5 12 12 2" xfId="59794"/>
    <cellStyle name="Финансовый 5 12 13" xfId="30004"/>
    <cellStyle name="Финансовый 5 12 13 2" xfId="59795"/>
    <cellStyle name="Финансовый 5 12 14" xfId="30005"/>
    <cellStyle name="Финансовый 5 12 14 2" xfId="59796"/>
    <cellStyle name="Финансовый 5 12 15" xfId="30006"/>
    <cellStyle name="Финансовый 5 12 15 2" xfId="59797"/>
    <cellStyle name="Финансовый 5 12 16" xfId="30007"/>
    <cellStyle name="Финансовый 5 12 16 2" xfId="59798"/>
    <cellStyle name="Финансовый 5 12 17" xfId="30008"/>
    <cellStyle name="Финансовый 5 12 17 2" xfId="59799"/>
    <cellStyle name="Финансовый 5 12 18" xfId="30009"/>
    <cellStyle name="Финансовый 5 12 18 2" xfId="59800"/>
    <cellStyle name="Финансовый 5 12 19" xfId="59801"/>
    <cellStyle name="Финансовый 5 12 2" xfId="30010"/>
    <cellStyle name="Финансовый 5 12 2 2" xfId="59802"/>
    <cellStyle name="Финансовый 5 12 3" xfId="30011"/>
    <cellStyle name="Финансовый 5 12 3 2" xfId="59803"/>
    <cellStyle name="Финансовый 5 12 4" xfId="30012"/>
    <cellStyle name="Финансовый 5 12 4 2" xfId="59804"/>
    <cellStyle name="Финансовый 5 12 5" xfId="30013"/>
    <cellStyle name="Финансовый 5 12 5 2" xfId="59805"/>
    <cellStyle name="Финансовый 5 12 6" xfId="30014"/>
    <cellStyle name="Финансовый 5 12 6 2" xfId="59806"/>
    <cellStyle name="Финансовый 5 12 7" xfId="30015"/>
    <cellStyle name="Финансовый 5 12 7 2" xfId="59807"/>
    <cellStyle name="Финансовый 5 12 8" xfId="30016"/>
    <cellStyle name="Финансовый 5 12 8 2" xfId="59808"/>
    <cellStyle name="Финансовый 5 12 9" xfId="30017"/>
    <cellStyle name="Финансовый 5 12 9 2" xfId="59809"/>
    <cellStyle name="Финансовый 5 13" xfId="30018"/>
    <cellStyle name="Финансовый 5 13 10" xfId="30019"/>
    <cellStyle name="Финансовый 5 13 10 2" xfId="59810"/>
    <cellStyle name="Финансовый 5 13 11" xfId="30020"/>
    <cellStyle name="Финансовый 5 13 11 2" xfId="59811"/>
    <cellStyle name="Финансовый 5 13 12" xfId="30021"/>
    <cellStyle name="Финансовый 5 13 12 2" xfId="59812"/>
    <cellStyle name="Финансовый 5 13 13" xfId="30022"/>
    <cellStyle name="Финансовый 5 13 13 2" xfId="59813"/>
    <cellStyle name="Финансовый 5 13 14" xfId="30023"/>
    <cellStyle name="Финансовый 5 13 14 2" xfId="59814"/>
    <cellStyle name="Финансовый 5 13 15" xfId="30024"/>
    <cellStyle name="Финансовый 5 13 15 2" xfId="59815"/>
    <cellStyle name="Финансовый 5 13 16" xfId="30025"/>
    <cellStyle name="Финансовый 5 13 16 2" xfId="59816"/>
    <cellStyle name="Финансовый 5 13 17" xfId="30026"/>
    <cellStyle name="Финансовый 5 13 17 2" xfId="59817"/>
    <cellStyle name="Финансовый 5 13 18" xfId="30027"/>
    <cellStyle name="Финансовый 5 13 18 2" xfId="59818"/>
    <cellStyle name="Финансовый 5 13 19" xfId="59819"/>
    <cellStyle name="Финансовый 5 13 2" xfId="30028"/>
    <cellStyle name="Финансовый 5 13 2 2" xfId="59820"/>
    <cellStyle name="Финансовый 5 13 3" xfId="30029"/>
    <cellStyle name="Финансовый 5 13 3 2" xfId="59821"/>
    <cellStyle name="Финансовый 5 13 4" xfId="30030"/>
    <cellStyle name="Финансовый 5 13 4 2" xfId="59822"/>
    <cellStyle name="Финансовый 5 13 5" xfId="30031"/>
    <cellStyle name="Финансовый 5 13 5 2" xfId="59823"/>
    <cellStyle name="Финансовый 5 13 6" xfId="30032"/>
    <cellStyle name="Финансовый 5 13 6 2" xfId="59824"/>
    <cellStyle name="Финансовый 5 13 7" xfId="30033"/>
    <cellStyle name="Финансовый 5 13 7 2" xfId="59825"/>
    <cellStyle name="Финансовый 5 13 8" xfId="30034"/>
    <cellStyle name="Финансовый 5 13 8 2" xfId="59826"/>
    <cellStyle name="Финансовый 5 13 9" xfId="30035"/>
    <cellStyle name="Финансовый 5 13 9 2" xfId="59827"/>
    <cellStyle name="Финансовый 5 14" xfId="30036"/>
    <cellStyle name="Финансовый 5 14 2" xfId="59828"/>
    <cellStyle name="Финансовый 5 15" xfId="30037"/>
    <cellStyle name="Финансовый 5 15 2" xfId="59829"/>
    <cellStyle name="Финансовый 5 16" xfId="30038"/>
    <cellStyle name="Финансовый 5 16 2" xfId="59830"/>
    <cellStyle name="Финансовый 5 17" xfId="30039"/>
    <cellStyle name="Финансовый 5 17 2" xfId="59831"/>
    <cellStyle name="Финансовый 5 18" xfId="30040"/>
    <cellStyle name="Финансовый 5 18 2" xfId="59832"/>
    <cellStyle name="Финансовый 5 19" xfId="30041"/>
    <cellStyle name="Финансовый 5 19 2" xfId="59833"/>
    <cellStyle name="Финансовый 5 2" xfId="30042"/>
    <cellStyle name="Финансовый 5 2 2" xfId="30043"/>
    <cellStyle name="Финансовый 5 2 2 10" xfId="30044"/>
    <cellStyle name="Финансовый 5 2 2 10 2" xfId="59834"/>
    <cellStyle name="Финансовый 5 2 2 11" xfId="30045"/>
    <cellStyle name="Финансовый 5 2 2 11 2" xfId="59835"/>
    <cellStyle name="Финансовый 5 2 2 12" xfId="30046"/>
    <cellStyle name="Финансовый 5 2 2 12 2" xfId="59836"/>
    <cellStyle name="Финансовый 5 2 2 13" xfId="30047"/>
    <cellStyle name="Финансовый 5 2 2 13 2" xfId="59837"/>
    <cellStyle name="Финансовый 5 2 2 14" xfId="30048"/>
    <cellStyle name="Финансовый 5 2 2 14 2" xfId="59838"/>
    <cellStyle name="Финансовый 5 2 2 15" xfId="30049"/>
    <cellStyle name="Финансовый 5 2 2 15 2" xfId="59839"/>
    <cellStyle name="Финансовый 5 2 2 16" xfId="30050"/>
    <cellStyle name="Финансовый 5 2 2 16 2" xfId="59840"/>
    <cellStyle name="Финансовый 5 2 2 17" xfId="30051"/>
    <cellStyle name="Финансовый 5 2 2 17 2" xfId="59841"/>
    <cellStyle name="Финансовый 5 2 2 18" xfId="30052"/>
    <cellStyle name="Финансовый 5 2 2 18 2" xfId="59842"/>
    <cellStyle name="Финансовый 5 2 2 19" xfId="30053"/>
    <cellStyle name="Финансовый 5 2 2 19 2" xfId="59843"/>
    <cellStyle name="Финансовый 5 2 2 2" xfId="30054"/>
    <cellStyle name="Финансовый 5 2 2 2 2" xfId="59844"/>
    <cellStyle name="Финансовый 5 2 2 20" xfId="30055"/>
    <cellStyle name="Финансовый 5 2 2 20 2" xfId="59845"/>
    <cellStyle name="Финансовый 5 2 2 21" xfId="30056"/>
    <cellStyle name="Финансовый 5 2 2 21 2" xfId="59846"/>
    <cellStyle name="Финансовый 5 2 2 22" xfId="30057"/>
    <cellStyle name="Финансовый 5 2 2 22 2" xfId="59847"/>
    <cellStyle name="Финансовый 5 2 2 23" xfId="30058"/>
    <cellStyle name="Финансовый 5 2 2 23 2" xfId="59848"/>
    <cellStyle name="Финансовый 5 2 2 24" xfId="59849"/>
    <cellStyle name="Финансовый 5 2 2 3" xfId="30059"/>
    <cellStyle name="Финансовый 5 2 2 3 2" xfId="59850"/>
    <cellStyle name="Финансовый 5 2 2 4" xfId="30060"/>
    <cellStyle name="Финансовый 5 2 2 4 2" xfId="59851"/>
    <cellStyle name="Финансовый 5 2 2 5" xfId="30061"/>
    <cellStyle name="Финансовый 5 2 2 5 2" xfId="59852"/>
    <cellStyle name="Финансовый 5 2 2 6" xfId="30062"/>
    <cellStyle name="Финансовый 5 2 2 6 2" xfId="59853"/>
    <cellStyle name="Финансовый 5 2 2 7" xfId="30063"/>
    <cellStyle name="Финансовый 5 2 2 7 2" xfId="59854"/>
    <cellStyle name="Финансовый 5 2 2 8" xfId="30064"/>
    <cellStyle name="Финансовый 5 2 2 8 2" xfId="59855"/>
    <cellStyle name="Финансовый 5 2 2 9" xfId="30065"/>
    <cellStyle name="Финансовый 5 2 2 9 2" xfId="59856"/>
    <cellStyle name="Финансовый 5 2 3" xfId="30066"/>
    <cellStyle name="Финансовый 5 2 3 2" xfId="59857"/>
    <cellStyle name="Финансовый 5 2 4" xfId="59858"/>
    <cellStyle name="Финансовый 5 20" xfId="30067"/>
    <cellStyle name="Финансовый 5 20 2" xfId="59859"/>
    <cellStyle name="Финансовый 5 21" xfId="30068"/>
    <cellStyle name="Финансовый 5 21 2" xfId="59860"/>
    <cellStyle name="Финансовый 5 22" xfId="30069"/>
    <cellStyle name="Финансовый 5 22 2" xfId="59861"/>
    <cellStyle name="Финансовый 5 23" xfId="30070"/>
    <cellStyle name="Финансовый 5 23 2" xfId="59862"/>
    <cellStyle name="Финансовый 5 24" xfId="30071"/>
    <cellStyle name="Финансовый 5 24 2" xfId="59863"/>
    <cellStyle name="Финансовый 5 25" xfId="30072"/>
    <cellStyle name="Финансовый 5 25 2" xfId="59864"/>
    <cellStyle name="Финансовый 5 26" xfId="30073"/>
    <cellStyle name="Финансовый 5 26 2" xfId="59865"/>
    <cellStyle name="Финансовый 5 27" xfId="30074"/>
    <cellStyle name="Финансовый 5 27 2" xfId="59866"/>
    <cellStyle name="Финансовый 5 28" xfId="30075"/>
    <cellStyle name="Финансовый 5 28 2" xfId="59867"/>
    <cellStyle name="Финансовый 5 29" xfId="30076"/>
    <cellStyle name="Финансовый 5 29 2" xfId="59868"/>
    <cellStyle name="Финансовый 5 3" xfId="30077"/>
    <cellStyle name="Финансовый 5 3 2" xfId="30078"/>
    <cellStyle name="Финансовый 5 3 2 2" xfId="59869"/>
    <cellStyle name="Финансовый 5 3 3" xfId="59870"/>
    <cellStyle name="Финансовый 5 30" xfId="30079"/>
    <cellStyle name="Финансовый 5 30 2" xfId="59871"/>
    <cellStyle name="Финансовый 5 31" xfId="30080"/>
    <cellStyle name="Финансовый 5 31 2" xfId="59872"/>
    <cellStyle name="Финансовый 5 32" xfId="30081"/>
    <cellStyle name="Финансовый 5 32 2" xfId="59873"/>
    <cellStyle name="Финансовый 5 33" xfId="30082"/>
    <cellStyle name="Финансовый 5 33 2" xfId="59874"/>
    <cellStyle name="Финансовый 5 34" xfId="59875"/>
    <cellStyle name="Финансовый 5 35" xfId="59876"/>
    <cellStyle name="Финансовый 5 4" xfId="30083"/>
    <cellStyle name="Финансовый 5 4 2" xfId="59877"/>
    <cellStyle name="Финансовый 5 5" xfId="30084"/>
    <cellStyle name="Финансовый 5 5 2" xfId="59878"/>
    <cellStyle name="Финансовый 5 6" xfId="30085"/>
    <cellStyle name="Финансовый 5 6 2" xfId="59879"/>
    <cellStyle name="Финансовый 5 7" xfId="30086"/>
    <cellStyle name="Финансовый 5 7 2" xfId="59880"/>
    <cellStyle name="Финансовый 5 8" xfId="30087"/>
    <cellStyle name="Финансовый 5 8 2" xfId="59881"/>
    <cellStyle name="Финансовый 5 9" xfId="30088"/>
    <cellStyle name="Финансовый 5 9 10" xfId="30089"/>
    <cellStyle name="Финансовый 5 9 10 2" xfId="59882"/>
    <cellStyle name="Финансовый 5 9 11" xfId="30090"/>
    <cellStyle name="Финансовый 5 9 11 2" xfId="59883"/>
    <cellStyle name="Финансовый 5 9 12" xfId="30091"/>
    <cellStyle name="Финансовый 5 9 12 2" xfId="59884"/>
    <cellStyle name="Финансовый 5 9 13" xfId="30092"/>
    <cellStyle name="Финансовый 5 9 13 2" xfId="59885"/>
    <cellStyle name="Финансовый 5 9 14" xfId="30093"/>
    <cellStyle name="Финансовый 5 9 14 2" xfId="59886"/>
    <cellStyle name="Финансовый 5 9 15" xfId="30094"/>
    <cellStyle name="Финансовый 5 9 15 2" xfId="59887"/>
    <cellStyle name="Финансовый 5 9 16" xfId="30095"/>
    <cellStyle name="Финансовый 5 9 16 2" xfId="59888"/>
    <cellStyle name="Финансовый 5 9 17" xfId="30096"/>
    <cellStyle name="Финансовый 5 9 17 2" xfId="59889"/>
    <cellStyle name="Финансовый 5 9 18" xfId="30097"/>
    <cellStyle name="Финансовый 5 9 18 2" xfId="59890"/>
    <cellStyle name="Финансовый 5 9 19" xfId="30098"/>
    <cellStyle name="Финансовый 5 9 19 2" xfId="59891"/>
    <cellStyle name="Финансовый 5 9 2" xfId="30099"/>
    <cellStyle name="Финансовый 5 9 2 2" xfId="59892"/>
    <cellStyle name="Финансовый 5 9 20" xfId="30100"/>
    <cellStyle name="Финансовый 5 9 20 2" xfId="59893"/>
    <cellStyle name="Финансовый 5 9 21" xfId="30101"/>
    <cellStyle name="Финансовый 5 9 21 2" xfId="59894"/>
    <cellStyle name="Финансовый 5 9 22" xfId="30102"/>
    <cellStyle name="Финансовый 5 9 22 2" xfId="59895"/>
    <cellStyle name="Финансовый 5 9 23" xfId="30103"/>
    <cellStyle name="Финансовый 5 9 23 2" xfId="59896"/>
    <cellStyle name="Финансовый 5 9 24" xfId="59897"/>
    <cellStyle name="Финансовый 5 9 3" xfId="30104"/>
    <cellStyle name="Финансовый 5 9 3 2" xfId="59898"/>
    <cellStyle name="Финансовый 5 9 4" xfId="30105"/>
    <cellStyle name="Финансовый 5 9 4 2" xfId="59899"/>
    <cellStyle name="Финансовый 5 9 5" xfId="30106"/>
    <cellStyle name="Финансовый 5 9 5 2" xfId="59900"/>
    <cellStyle name="Финансовый 5 9 6" xfId="30107"/>
    <cellStyle name="Финансовый 5 9 6 2" xfId="59901"/>
    <cellStyle name="Финансовый 5 9 7" xfId="30108"/>
    <cellStyle name="Финансовый 5 9 7 2" xfId="59902"/>
    <cellStyle name="Финансовый 5 9 8" xfId="30109"/>
    <cellStyle name="Финансовый 5 9 8 2" xfId="59903"/>
    <cellStyle name="Финансовый 5 9 9" xfId="30110"/>
    <cellStyle name="Финансовый 5 9 9 2" xfId="59904"/>
    <cellStyle name="Финансовый 50" xfId="59905"/>
    <cellStyle name="Финансовый 51" xfId="59906"/>
    <cellStyle name="Финансовый 52" xfId="59907"/>
    <cellStyle name="Финансовый 53" xfId="59908"/>
    <cellStyle name="Финансовый 54" xfId="59909"/>
    <cellStyle name="Финансовый 55" xfId="59910"/>
    <cellStyle name="Финансовый 56" xfId="59911"/>
    <cellStyle name="Финансовый 57" xfId="59912"/>
    <cellStyle name="Финансовый 58" xfId="59913"/>
    <cellStyle name="Финансовый 59" xfId="59914"/>
    <cellStyle name="Финансовый 6" xfId="30111"/>
    <cellStyle name="Финансовый 6 10" xfId="30112"/>
    <cellStyle name="Финансовый 6 10 10" xfId="30113"/>
    <cellStyle name="Финансовый 6 10 10 2" xfId="59915"/>
    <cellStyle name="Финансовый 6 10 11" xfId="30114"/>
    <cellStyle name="Финансовый 6 10 11 2" xfId="59916"/>
    <cellStyle name="Финансовый 6 10 12" xfId="30115"/>
    <cellStyle name="Финансовый 6 10 12 2" xfId="59917"/>
    <cellStyle name="Финансовый 6 10 13" xfId="30116"/>
    <cellStyle name="Финансовый 6 10 13 2" xfId="59918"/>
    <cellStyle name="Финансовый 6 10 14" xfId="30117"/>
    <cellStyle name="Финансовый 6 10 14 2" xfId="59919"/>
    <cellStyle name="Финансовый 6 10 15" xfId="30118"/>
    <cellStyle name="Финансовый 6 10 15 2" xfId="59920"/>
    <cellStyle name="Финансовый 6 10 16" xfId="30119"/>
    <cellStyle name="Финансовый 6 10 16 2" xfId="59921"/>
    <cellStyle name="Финансовый 6 10 17" xfId="30120"/>
    <cellStyle name="Финансовый 6 10 17 2" xfId="59922"/>
    <cellStyle name="Финансовый 6 10 18" xfId="30121"/>
    <cellStyle name="Финансовый 6 10 18 2" xfId="59923"/>
    <cellStyle name="Финансовый 6 10 19" xfId="30122"/>
    <cellStyle name="Финансовый 6 10 19 2" xfId="59924"/>
    <cellStyle name="Финансовый 6 10 2" xfId="30123"/>
    <cellStyle name="Финансовый 6 10 2 2" xfId="59925"/>
    <cellStyle name="Финансовый 6 10 20" xfId="30124"/>
    <cellStyle name="Финансовый 6 10 20 2" xfId="59926"/>
    <cellStyle name="Финансовый 6 10 21" xfId="30125"/>
    <cellStyle name="Финансовый 6 10 21 2" xfId="59927"/>
    <cellStyle name="Финансовый 6 10 22" xfId="30126"/>
    <cellStyle name="Финансовый 6 10 22 2" xfId="59928"/>
    <cellStyle name="Финансовый 6 10 23" xfId="30127"/>
    <cellStyle name="Финансовый 6 10 23 2" xfId="59929"/>
    <cellStyle name="Финансовый 6 10 24" xfId="59930"/>
    <cellStyle name="Финансовый 6 10 3" xfId="30128"/>
    <cellStyle name="Финансовый 6 10 3 2" xfId="59931"/>
    <cellStyle name="Финансовый 6 10 4" xfId="30129"/>
    <cellStyle name="Финансовый 6 10 4 2" xfId="59932"/>
    <cellStyle name="Финансовый 6 10 5" xfId="30130"/>
    <cellStyle name="Финансовый 6 10 5 2" xfId="59933"/>
    <cellStyle name="Финансовый 6 10 6" xfId="30131"/>
    <cellStyle name="Финансовый 6 10 6 2" xfId="59934"/>
    <cellStyle name="Финансовый 6 10 7" xfId="30132"/>
    <cellStyle name="Финансовый 6 10 7 2" xfId="59935"/>
    <cellStyle name="Финансовый 6 10 8" xfId="30133"/>
    <cellStyle name="Финансовый 6 10 8 2" xfId="59936"/>
    <cellStyle name="Финансовый 6 10 9" xfId="30134"/>
    <cellStyle name="Финансовый 6 10 9 2" xfId="59937"/>
    <cellStyle name="Финансовый 6 11" xfId="30135"/>
    <cellStyle name="Финансовый 6 11 10" xfId="30136"/>
    <cellStyle name="Финансовый 6 11 10 2" xfId="59938"/>
    <cellStyle name="Финансовый 6 11 11" xfId="30137"/>
    <cellStyle name="Финансовый 6 11 11 2" xfId="59939"/>
    <cellStyle name="Финансовый 6 11 12" xfId="30138"/>
    <cellStyle name="Финансовый 6 11 12 2" xfId="59940"/>
    <cellStyle name="Финансовый 6 11 13" xfId="30139"/>
    <cellStyle name="Финансовый 6 11 13 2" xfId="59941"/>
    <cellStyle name="Финансовый 6 11 14" xfId="30140"/>
    <cellStyle name="Финансовый 6 11 14 2" xfId="59942"/>
    <cellStyle name="Финансовый 6 11 15" xfId="30141"/>
    <cellStyle name="Финансовый 6 11 15 2" xfId="59943"/>
    <cellStyle name="Финансовый 6 11 16" xfId="30142"/>
    <cellStyle name="Финансовый 6 11 16 2" xfId="59944"/>
    <cellStyle name="Финансовый 6 11 17" xfId="30143"/>
    <cellStyle name="Финансовый 6 11 17 2" xfId="59945"/>
    <cellStyle name="Финансовый 6 11 18" xfId="30144"/>
    <cellStyle name="Финансовый 6 11 18 2" xfId="59946"/>
    <cellStyle name="Финансовый 6 11 19" xfId="59947"/>
    <cellStyle name="Финансовый 6 11 2" xfId="30145"/>
    <cellStyle name="Финансовый 6 11 2 2" xfId="59948"/>
    <cellStyle name="Финансовый 6 11 3" xfId="30146"/>
    <cellStyle name="Финансовый 6 11 3 2" xfId="59949"/>
    <cellStyle name="Финансовый 6 11 4" xfId="30147"/>
    <cellStyle name="Финансовый 6 11 4 2" xfId="59950"/>
    <cellStyle name="Финансовый 6 11 5" xfId="30148"/>
    <cellStyle name="Финансовый 6 11 5 2" xfId="59951"/>
    <cellStyle name="Финансовый 6 11 6" xfId="30149"/>
    <cellStyle name="Финансовый 6 11 6 2" xfId="59952"/>
    <cellStyle name="Финансовый 6 11 7" xfId="30150"/>
    <cellStyle name="Финансовый 6 11 7 2" xfId="59953"/>
    <cellStyle name="Финансовый 6 11 8" xfId="30151"/>
    <cellStyle name="Финансовый 6 11 8 2" xfId="59954"/>
    <cellStyle name="Финансовый 6 11 9" xfId="30152"/>
    <cellStyle name="Финансовый 6 11 9 2" xfId="59955"/>
    <cellStyle name="Финансовый 6 12" xfId="30153"/>
    <cellStyle name="Финансовый 6 12 10" xfId="30154"/>
    <cellStyle name="Финансовый 6 12 10 2" xfId="59956"/>
    <cellStyle name="Финансовый 6 12 11" xfId="30155"/>
    <cellStyle name="Финансовый 6 12 11 2" xfId="59957"/>
    <cellStyle name="Финансовый 6 12 12" xfId="30156"/>
    <cellStyle name="Финансовый 6 12 12 2" xfId="59958"/>
    <cellStyle name="Финансовый 6 12 13" xfId="30157"/>
    <cellStyle name="Финансовый 6 12 13 2" xfId="59959"/>
    <cellStyle name="Финансовый 6 12 14" xfId="30158"/>
    <cellStyle name="Финансовый 6 12 14 2" xfId="59960"/>
    <cellStyle name="Финансовый 6 12 15" xfId="30159"/>
    <cellStyle name="Финансовый 6 12 15 2" xfId="59961"/>
    <cellStyle name="Финансовый 6 12 16" xfId="30160"/>
    <cellStyle name="Финансовый 6 12 16 2" xfId="59962"/>
    <cellStyle name="Финансовый 6 12 17" xfId="30161"/>
    <cellStyle name="Финансовый 6 12 17 2" xfId="59963"/>
    <cellStyle name="Финансовый 6 12 18" xfId="30162"/>
    <cellStyle name="Финансовый 6 12 18 2" xfId="59964"/>
    <cellStyle name="Финансовый 6 12 19" xfId="59965"/>
    <cellStyle name="Финансовый 6 12 2" xfId="30163"/>
    <cellStyle name="Финансовый 6 12 2 2" xfId="59966"/>
    <cellStyle name="Финансовый 6 12 3" xfId="30164"/>
    <cellStyle name="Финансовый 6 12 3 2" xfId="59967"/>
    <cellStyle name="Финансовый 6 12 4" xfId="30165"/>
    <cellStyle name="Финансовый 6 12 4 2" xfId="59968"/>
    <cellStyle name="Финансовый 6 12 5" xfId="30166"/>
    <cellStyle name="Финансовый 6 12 5 2" xfId="59969"/>
    <cellStyle name="Финансовый 6 12 6" xfId="30167"/>
    <cellStyle name="Финансовый 6 12 6 2" xfId="59970"/>
    <cellStyle name="Финансовый 6 12 7" xfId="30168"/>
    <cellStyle name="Финансовый 6 12 7 2" xfId="59971"/>
    <cellStyle name="Финансовый 6 12 8" xfId="30169"/>
    <cellStyle name="Финансовый 6 12 8 2" xfId="59972"/>
    <cellStyle name="Финансовый 6 12 9" xfId="30170"/>
    <cellStyle name="Финансовый 6 12 9 2" xfId="59973"/>
    <cellStyle name="Финансовый 6 13" xfId="30171"/>
    <cellStyle name="Финансовый 6 13 10" xfId="30172"/>
    <cellStyle name="Финансовый 6 13 10 2" xfId="59974"/>
    <cellStyle name="Финансовый 6 13 11" xfId="30173"/>
    <cellStyle name="Финансовый 6 13 11 2" xfId="59975"/>
    <cellStyle name="Финансовый 6 13 12" xfId="30174"/>
    <cellStyle name="Финансовый 6 13 12 2" xfId="59976"/>
    <cellStyle name="Финансовый 6 13 13" xfId="30175"/>
    <cellStyle name="Финансовый 6 13 13 2" xfId="59977"/>
    <cellStyle name="Финансовый 6 13 14" xfId="30176"/>
    <cellStyle name="Финансовый 6 13 14 2" xfId="59978"/>
    <cellStyle name="Финансовый 6 13 15" xfId="30177"/>
    <cellStyle name="Финансовый 6 13 15 2" xfId="59979"/>
    <cellStyle name="Финансовый 6 13 16" xfId="30178"/>
    <cellStyle name="Финансовый 6 13 16 2" xfId="59980"/>
    <cellStyle name="Финансовый 6 13 17" xfId="30179"/>
    <cellStyle name="Финансовый 6 13 17 2" xfId="59981"/>
    <cellStyle name="Финансовый 6 13 18" xfId="30180"/>
    <cellStyle name="Финансовый 6 13 18 2" xfId="59982"/>
    <cellStyle name="Финансовый 6 13 19" xfId="59983"/>
    <cellStyle name="Финансовый 6 13 2" xfId="30181"/>
    <cellStyle name="Финансовый 6 13 2 2" xfId="59984"/>
    <cellStyle name="Финансовый 6 13 3" xfId="30182"/>
    <cellStyle name="Финансовый 6 13 3 2" xfId="59985"/>
    <cellStyle name="Финансовый 6 13 4" xfId="30183"/>
    <cellStyle name="Финансовый 6 13 4 2" xfId="59986"/>
    <cellStyle name="Финансовый 6 13 5" xfId="30184"/>
    <cellStyle name="Финансовый 6 13 5 2" xfId="59987"/>
    <cellStyle name="Финансовый 6 13 6" xfId="30185"/>
    <cellStyle name="Финансовый 6 13 6 2" xfId="59988"/>
    <cellStyle name="Финансовый 6 13 7" xfId="30186"/>
    <cellStyle name="Финансовый 6 13 7 2" xfId="59989"/>
    <cellStyle name="Финансовый 6 13 8" xfId="30187"/>
    <cellStyle name="Финансовый 6 13 8 2" xfId="59990"/>
    <cellStyle name="Финансовый 6 13 9" xfId="30188"/>
    <cellStyle name="Финансовый 6 13 9 2" xfId="59991"/>
    <cellStyle name="Финансовый 6 14" xfId="30189"/>
    <cellStyle name="Финансовый 6 14 2" xfId="59992"/>
    <cellStyle name="Финансовый 6 15" xfId="30190"/>
    <cellStyle name="Финансовый 6 15 2" xfId="59993"/>
    <cellStyle name="Финансовый 6 16" xfId="30191"/>
    <cellStyle name="Финансовый 6 16 2" xfId="59994"/>
    <cellStyle name="Финансовый 6 17" xfId="30192"/>
    <cellStyle name="Финансовый 6 17 2" xfId="59995"/>
    <cellStyle name="Финансовый 6 18" xfId="30193"/>
    <cellStyle name="Финансовый 6 18 2" xfId="59996"/>
    <cellStyle name="Финансовый 6 19" xfId="30194"/>
    <cellStyle name="Финансовый 6 19 2" xfId="59997"/>
    <cellStyle name="Финансовый 6 2" xfId="30195"/>
    <cellStyle name="Финансовый 6 2 2" xfId="30196"/>
    <cellStyle name="Финансовый 6 2 2 2" xfId="59998"/>
    <cellStyle name="Финансовый 6 2 3" xfId="59999"/>
    <cellStyle name="Финансовый 6 2 4" xfId="60000"/>
    <cellStyle name="Финансовый 6 20" xfId="30197"/>
    <cellStyle name="Финансовый 6 20 2" xfId="60001"/>
    <cellStyle name="Финансовый 6 21" xfId="30198"/>
    <cellStyle name="Финансовый 6 21 2" xfId="60002"/>
    <cellStyle name="Финансовый 6 22" xfId="30199"/>
    <cellStyle name="Финансовый 6 22 2" xfId="60003"/>
    <cellStyle name="Финансовый 6 23" xfId="30200"/>
    <cellStyle name="Финансовый 6 23 2" xfId="60004"/>
    <cellStyle name="Финансовый 6 24" xfId="30201"/>
    <cellStyle name="Финансовый 6 24 2" xfId="60005"/>
    <cellStyle name="Финансовый 6 25" xfId="30202"/>
    <cellStyle name="Финансовый 6 25 2" xfId="60006"/>
    <cellStyle name="Финансовый 6 26" xfId="30203"/>
    <cellStyle name="Финансовый 6 26 2" xfId="60007"/>
    <cellStyle name="Финансовый 6 27" xfId="30204"/>
    <cellStyle name="Финансовый 6 27 2" xfId="60008"/>
    <cellStyle name="Финансовый 6 28" xfId="30205"/>
    <cellStyle name="Финансовый 6 28 2" xfId="60009"/>
    <cellStyle name="Финансовый 6 29" xfId="30206"/>
    <cellStyle name="Финансовый 6 29 2" xfId="60010"/>
    <cellStyle name="Финансовый 6 3" xfId="30207"/>
    <cellStyle name="Финансовый 6 3 2" xfId="60011"/>
    <cellStyle name="Финансовый 6 30" xfId="30208"/>
    <cellStyle name="Финансовый 6 30 2" xfId="60012"/>
    <cellStyle name="Финансовый 6 31" xfId="30209"/>
    <cellStyle name="Финансовый 6 31 2" xfId="60013"/>
    <cellStyle name="Финансовый 6 32" xfId="30210"/>
    <cellStyle name="Финансовый 6 32 2" xfId="60014"/>
    <cellStyle name="Финансовый 6 33" xfId="60015"/>
    <cellStyle name="Финансовый 6 34" xfId="60016"/>
    <cellStyle name="Финансовый 6 4" xfId="30211"/>
    <cellStyle name="Финансовый 6 4 2" xfId="60017"/>
    <cellStyle name="Финансовый 6 5" xfId="30212"/>
    <cellStyle name="Финансовый 6 5 2" xfId="60018"/>
    <cellStyle name="Финансовый 6 6" xfId="30213"/>
    <cellStyle name="Финансовый 6 6 2" xfId="60019"/>
    <cellStyle name="Финансовый 6 7" xfId="30214"/>
    <cellStyle name="Финансовый 6 7 2" xfId="60020"/>
    <cellStyle name="Финансовый 6 8" xfId="30215"/>
    <cellStyle name="Финансовый 6 8 2" xfId="60021"/>
    <cellStyle name="Финансовый 6 9" xfId="30216"/>
    <cellStyle name="Финансовый 6 9 10" xfId="30217"/>
    <cellStyle name="Финансовый 6 9 10 2" xfId="60022"/>
    <cellStyle name="Финансовый 6 9 11" xfId="30218"/>
    <cellStyle name="Финансовый 6 9 11 2" xfId="60023"/>
    <cellStyle name="Финансовый 6 9 12" xfId="30219"/>
    <cellStyle name="Финансовый 6 9 12 2" xfId="60024"/>
    <cellStyle name="Финансовый 6 9 13" xfId="30220"/>
    <cellStyle name="Финансовый 6 9 13 2" xfId="60025"/>
    <cellStyle name="Финансовый 6 9 14" xfId="30221"/>
    <cellStyle name="Финансовый 6 9 14 2" xfId="60026"/>
    <cellStyle name="Финансовый 6 9 15" xfId="30222"/>
    <cellStyle name="Финансовый 6 9 15 2" xfId="60027"/>
    <cellStyle name="Финансовый 6 9 16" xfId="30223"/>
    <cellStyle name="Финансовый 6 9 16 2" xfId="60028"/>
    <cellStyle name="Финансовый 6 9 17" xfId="30224"/>
    <cellStyle name="Финансовый 6 9 17 2" xfId="60029"/>
    <cellStyle name="Финансовый 6 9 18" xfId="30225"/>
    <cellStyle name="Финансовый 6 9 18 2" xfId="60030"/>
    <cellStyle name="Финансовый 6 9 19" xfId="30226"/>
    <cellStyle name="Финансовый 6 9 19 2" xfId="60031"/>
    <cellStyle name="Финансовый 6 9 2" xfId="30227"/>
    <cellStyle name="Финансовый 6 9 2 2" xfId="60032"/>
    <cellStyle name="Финансовый 6 9 20" xfId="30228"/>
    <cellStyle name="Финансовый 6 9 20 2" xfId="60033"/>
    <cellStyle name="Финансовый 6 9 21" xfId="30229"/>
    <cellStyle name="Финансовый 6 9 21 2" xfId="60034"/>
    <cellStyle name="Финансовый 6 9 22" xfId="30230"/>
    <cellStyle name="Финансовый 6 9 22 2" xfId="60035"/>
    <cellStyle name="Финансовый 6 9 23" xfId="30231"/>
    <cellStyle name="Финансовый 6 9 23 2" xfId="60036"/>
    <cellStyle name="Финансовый 6 9 24" xfId="60037"/>
    <cellStyle name="Финансовый 6 9 3" xfId="30232"/>
    <cellStyle name="Финансовый 6 9 3 2" xfId="60038"/>
    <cellStyle name="Финансовый 6 9 4" xfId="30233"/>
    <cellStyle name="Финансовый 6 9 4 2" xfId="60039"/>
    <cellStyle name="Финансовый 6 9 5" xfId="30234"/>
    <cellStyle name="Финансовый 6 9 5 2" xfId="60040"/>
    <cellStyle name="Финансовый 6 9 6" xfId="30235"/>
    <cellStyle name="Финансовый 6 9 6 2" xfId="60041"/>
    <cellStyle name="Финансовый 6 9 7" xfId="30236"/>
    <cellStyle name="Финансовый 6 9 7 2" xfId="60042"/>
    <cellStyle name="Финансовый 6 9 8" xfId="30237"/>
    <cellStyle name="Финансовый 6 9 8 2" xfId="60043"/>
    <cellStyle name="Финансовый 6 9 9" xfId="30238"/>
    <cellStyle name="Финансовый 6 9 9 2" xfId="60044"/>
    <cellStyle name="Финансовый 60" xfId="60045"/>
    <cellStyle name="Финансовый 61" xfId="60046"/>
    <cellStyle name="Финансовый 62" xfId="60047"/>
    <cellStyle name="Финансовый 63" xfId="60048"/>
    <cellStyle name="Финансовый 64" xfId="60049"/>
    <cellStyle name="Финансовый 7" xfId="30239"/>
    <cellStyle name="Финансовый 7 2" xfId="60050"/>
    <cellStyle name="Финансовый 7 2 2" xfId="60051"/>
    <cellStyle name="Финансовый 7 29 9" xfId="30240"/>
    <cellStyle name="Финансовый 7 29 9 10" xfId="30241"/>
    <cellStyle name="Финансовый 7 29 9 10 10" xfId="30242"/>
    <cellStyle name="Финансовый 7 29 9 10 10 2" xfId="60052"/>
    <cellStyle name="Финансовый 7 29 9 10 11" xfId="30243"/>
    <cellStyle name="Финансовый 7 29 9 10 11 2" xfId="60053"/>
    <cellStyle name="Финансовый 7 29 9 10 12" xfId="30244"/>
    <cellStyle name="Финансовый 7 29 9 10 12 2" xfId="60054"/>
    <cellStyle name="Финансовый 7 29 9 10 13" xfId="30245"/>
    <cellStyle name="Финансовый 7 29 9 10 13 2" xfId="60055"/>
    <cellStyle name="Финансовый 7 29 9 10 14" xfId="30246"/>
    <cellStyle name="Финансовый 7 29 9 10 14 2" xfId="60056"/>
    <cellStyle name="Финансовый 7 29 9 10 15" xfId="30247"/>
    <cellStyle name="Финансовый 7 29 9 10 15 2" xfId="60057"/>
    <cellStyle name="Финансовый 7 29 9 10 16" xfId="30248"/>
    <cellStyle name="Финансовый 7 29 9 10 16 2" xfId="60058"/>
    <cellStyle name="Финансовый 7 29 9 10 17" xfId="30249"/>
    <cellStyle name="Финансовый 7 29 9 10 17 2" xfId="60059"/>
    <cellStyle name="Финансовый 7 29 9 10 18" xfId="30250"/>
    <cellStyle name="Финансовый 7 29 9 10 18 2" xfId="60060"/>
    <cellStyle name="Финансовый 7 29 9 10 19" xfId="30251"/>
    <cellStyle name="Финансовый 7 29 9 10 19 2" xfId="60061"/>
    <cellStyle name="Финансовый 7 29 9 10 2" xfId="30252"/>
    <cellStyle name="Финансовый 7 29 9 10 2 2" xfId="60062"/>
    <cellStyle name="Финансовый 7 29 9 10 20" xfId="30253"/>
    <cellStyle name="Финансовый 7 29 9 10 20 2" xfId="60063"/>
    <cellStyle name="Финансовый 7 29 9 10 21" xfId="30254"/>
    <cellStyle name="Финансовый 7 29 9 10 21 2" xfId="60064"/>
    <cellStyle name="Финансовый 7 29 9 10 22" xfId="30255"/>
    <cellStyle name="Финансовый 7 29 9 10 22 2" xfId="60065"/>
    <cellStyle name="Финансовый 7 29 9 10 23" xfId="30256"/>
    <cellStyle name="Финансовый 7 29 9 10 23 2" xfId="60066"/>
    <cellStyle name="Финансовый 7 29 9 10 24" xfId="60067"/>
    <cellStyle name="Финансовый 7 29 9 10 3" xfId="30257"/>
    <cellStyle name="Финансовый 7 29 9 10 3 2" xfId="60068"/>
    <cellStyle name="Финансовый 7 29 9 10 4" xfId="30258"/>
    <cellStyle name="Финансовый 7 29 9 10 4 2" xfId="60069"/>
    <cellStyle name="Финансовый 7 29 9 10 5" xfId="30259"/>
    <cellStyle name="Финансовый 7 29 9 10 5 2" xfId="60070"/>
    <cellStyle name="Финансовый 7 29 9 10 6" xfId="30260"/>
    <cellStyle name="Финансовый 7 29 9 10 6 2" xfId="60071"/>
    <cellStyle name="Финансовый 7 29 9 10 7" xfId="30261"/>
    <cellStyle name="Финансовый 7 29 9 10 7 2" xfId="60072"/>
    <cellStyle name="Финансовый 7 29 9 10 8" xfId="30262"/>
    <cellStyle name="Финансовый 7 29 9 10 8 2" xfId="60073"/>
    <cellStyle name="Финансовый 7 29 9 10 9" xfId="30263"/>
    <cellStyle name="Финансовый 7 29 9 10 9 2" xfId="60074"/>
    <cellStyle name="Финансовый 7 29 9 11" xfId="30264"/>
    <cellStyle name="Финансовый 7 29 9 11 10" xfId="30265"/>
    <cellStyle name="Финансовый 7 29 9 11 10 2" xfId="60075"/>
    <cellStyle name="Финансовый 7 29 9 11 11" xfId="30266"/>
    <cellStyle name="Финансовый 7 29 9 11 11 2" xfId="60076"/>
    <cellStyle name="Финансовый 7 29 9 11 12" xfId="30267"/>
    <cellStyle name="Финансовый 7 29 9 11 12 2" xfId="60077"/>
    <cellStyle name="Финансовый 7 29 9 11 13" xfId="30268"/>
    <cellStyle name="Финансовый 7 29 9 11 13 2" xfId="60078"/>
    <cellStyle name="Финансовый 7 29 9 11 14" xfId="30269"/>
    <cellStyle name="Финансовый 7 29 9 11 14 2" xfId="60079"/>
    <cellStyle name="Финансовый 7 29 9 11 15" xfId="30270"/>
    <cellStyle name="Финансовый 7 29 9 11 15 2" xfId="60080"/>
    <cellStyle name="Финансовый 7 29 9 11 16" xfId="30271"/>
    <cellStyle name="Финансовый 7 29 9 11 16 2" xfId="60081"/>
    <cellStyle name="Финансовый 7 29 9 11 17" xfId="30272"/>
    <cellStyle name="Финансовый 7 29 9 11 17 2" xfId="60082"/>
    <cellStyle name="Финансовый 7 29 9 11 18" xfId="30273"/>
    <cellStyle name="Финансовый 7 29 9 11 18 2" xfId="60083"/>
    <cellStyle name="Финансовый 7 29 9 11 19" xfId="60084"/>
    <cellStyle name="Финансовый 7 29 9 11 2" xfId="30274"/>
    <cellStyle name="Финансовый 7 29 9 11 2 2" xfId="60085"/>
    <cellStyle name="Финансовый 7 29 9 11 3" xfId="30275"/>
    <cellStyle name="Финансовый 7 29 9 11 3 2" xfId="60086"/>
    <cellStyle name="Финансовый 7 29 9 11 4" xfId="30276"/>
    <cellStyle name="Финансовый 7 29 9 11 4 2" xfId="60087"/>
    <cellStyle name="Финансовый 7 29 9 11 5" xfId="30277"/>
    <cellStyle name="Финансовый 7 29 9 11 5 2" xfId="60088"/>
    <cellStyle name="Финансовый 7 29 9 11 6" xfId="30278"/>
    <cellStyle name="Финансовый 7 29 9 11 6 2" xfId="60089"/>
    <cellStyle name="Финансовый 7 29 9 11 7" xfId="30279"/>
    <cellStyle name="Финансовый 7 29 9 11 7 2" xfId="60090"/>
    <cellStyle name="Финансовый 7 29 9 11 8" xfId="30280"/>
    <cellStyle name="Финансовый 7 29 9 11 8 2" xfId="60091"/>
    <cellStyle name="Финансовый 7 29 9 11 9" xfId="30281"/>
    <cellStyle name="Финансовый 7 29 9 11 9 2" xfId="60092"/>
    <cellStyle name="Финансовый 7 29 9 12" xfId="30282"/>
    <cellStyle name="Финансовый 7 29 9 12 10" xfId="30283"/>
    <cellStyle name="Финансовый 7 29 9 12 10 2" xfId="60093"/>
    <cellStyle name="Финансовый 7 29 9 12 11" xfId="30284"/>
    <cellStyle name="Финансовый 7 29 9 12 11 2" xfId="60094"/>
    <cellStyle name="Финансовый 7 29 9 12 12" xfId="30285"/>
    <cellStyle name="Финансовый 7 29 9 12 12 2" xfId="60095"/>
    <cellStyle name="Финансовый 7 29 9 12 13" xfId="30286"/>
    <cellStyle name="Финансовый 7 29 9 12 13 2" xfId="60096"/>
    <cellStyle name="Финансовый 7 29 9 12 14" xfId="30287"/>
    <cellStyle name="Финансовый 7 29 9 12 14 2" xfId="60097"/>
    <cellStyle name="Финансовый 7 29 9 12 15" xfId="30288"/>
    <cellStyle name="Финансовый 7 29 9 12 15 2" xfId="60098"/>
    <cellStyle name="Финансовый 7 29 9 12 16" xfId="30289"/>
    <cellStyle name="Финансовый 7 29 9 12 16 2" xfId="60099"/>
    <cellStyle name="Финансовый 7 29 9 12 17" xfId="30290"/>
    <cellStyle name="Финансовый 7 29 9 12 17 2" xfId="60100"/>
    <cellStyle name="Финансовый 7 29 9 12 18" xfId="30291"/>
    <cellStyle name="Финансовый 7 29 9 12 18 2" xfId="60101"/>
    <cellStyle name="Финансовый 7 29 9 12 19" xfId="60102"/>
    <cellStyle name="Финансовый 7 29 9 12 2" xfId="30292"/>
    <cellStyle name="Финансовый 7 29 9 12 2 2" xfId="60103"/>
    <cellStyle name="Финансовый 7 29 9 12 3" xfId="30293"/>
    <cellStyle name="Финансовый 7 29 9 12 3 2" xfId="60104"/>
    <cellStyle name="Финансовый 7 29 9 12 4" xfId="30294"/>
    <cellStyle name="Финансовый 7 29 9 12 4 2" xfId="60105"/>
    <cellStyle name="Финансовый 7 29 9 12 5" xfId="30295"/>
    <cellStyle name="Финансовый 7 29 9 12 5 2" xfId="60106"/>
    <cellStyle name="Финансовый 7 29 9 12 6" xfId="30296"/>
    <cellStyle name="Финансовый 7 29 9 12 6 2" xfId="60107"/>
    <cellStyle name="Финансовый 7 29 9 12 7" xfId="30297"/>
    <cellStyle name="Финансовый 7 29 9 12 7 2" xfId="60108"/>
    <cellStyle name="Финансовый 7 29 9 12 8" xfId="30298"/>
    <cellStyle name="Финансовый 7 29 9 12 8 2" xfId="60109"/>
    <cellStyle name="Финансовый 7 29 9 12 9" xfId="30299"/>
    <cellStyle name="Финансовый 7 29 9 12 9 2" xfId="60110"/>
    <cellStyle name="Финансовый 7 29 9 13" xfId="30300"/>
    <cellStyle name="Финансовый 7 29 9 13 10" xfId="30301"/>
    <cellStyle name="Финансовый 7 29 9 13 10 2" xfId="60111"/>
    <cellStyle name="Финансовый 7 29 9 13 11" xfId="30302"/>
    <cellStyle name="Финансовый 7 29 9 13 11 2" xfId="60112"/>
    <cellStyle name="Финансовый 7 29 9 13 12" xfId="30303"/>
    <cellStyle name="Финансовый 7 29 9 13 12 2" xfId="60113"/>
    <cellStyle name="Финансовый 7 29 9 13 13" xfId="30304"/>
    <cellStyle name="Финансовый 7 29 9 13 13 2" xfId="60114"/>
    <cellStyle name="Финансовый 7 29 9 13 14" xfId="30305"/>
    <cellStyle name="Финансовый 7 29 9 13 14 2" xfId="60115"/>
    <cellStyle name="Финансовый 7 29 9 13 15" xfId="30306"/>
    <cellStyle name="Финансовый 7 29 9 13 15 2" xfId="60116"/>
    <cellStyle name="Финансовый 7 29 9 13 16" xfId="30307"/>
    <cellStyle name="Финансовый 7 29 9 13 16 2" xfId="60117"/>
    <cellStyle name="Финансовый 7 29 9 13 17" xfId="30308"/>
    <cellStyle name="Финансовый 7 29 9 13 17 2" xfId="60118"/>
    <cellStyle name="Финансовый 7 29 9 13 18" xfId="30309"/>
    <cellStyle name="Финансовый 7 29 9 13 18 2" xfId="60119"/>
    <cellStyle name="Финансовый 7 29 9 13 19" xfId="60120"/>
    <cellStyle name="Финансовый 7 29 9 13 2" xfId="30310"/>
    <cellStyle name="Финансовый 7 29 9 13 2 2" xfId="60121"/>
    <cellStyle name="Финансовый 7 29 9 13 3" xfId="30311"/>
    <cellStyle name="Финансовый 7 29 9 13 3 2" xfId="60122"/>
    <cellStyle name="Финансовый 7 29 9 13 4" xfId="30312"/>
    <cellStyle name="Финансовый 7 29 9 13 4 2" xfId="60123"/>
    <cellStyle name="Финансовый 7 29 9 13 5" xfId="30313"/>
    <cellStyle name="Финансовый 7 29 9 13 5 2" xfId="60124"/>
    <cellStyle name="Финансовый 7 29 9 13 6" xfId="30314"/>
    <cellStyle name="Финансовый 7 29 9 13 6 2" xfId="60125"/>
    <cellStyle name="Финансовый 7 29 9 13 7" xfId="30315"/>
    <cellStyle name="Финансовый 7 29 9 13 7 2" xfId="60126"/>
    <cellStyle name="Финансовый 7 29 9 13 8" xfId="30316"/>
    <cellStyle name="Финансовый 7 29 9 13 8 2" xfId="60127"/>
    <cellStyle name="Финансовый 7 29 9 13 9" xfId="30317"/>
    <cellStyle name="Финансовый 7 29 9 13 9 2" xfId="60128"/>
    <cellStyle name="Финансовый 7 29 9 14" xfId="30318"/>
    <cellStyle name="Финансовый 7 29 9 14 2" xfId="60129"/>
    <cellStyle name="Финансовый 7 29 9 15" xfId="30319"/>
    <cellStyle name="Финансовый 7 29 9 15 2" xfId="60130"/>
    <cellStyle name="Финансовый 7 29 9 16" xfId="30320"/>
    <cellStyle name="Финансовый 7 29 9 16 2" xfId="60131"/>
    <cellStyle name="Финансовый 7 29 9 17" xfId="30321"/>
    <cellStyle name="Финансовый 7 29 9 17 2" xfId="60132"/>
    <cellStyle name="Финансовый 7 29 9 18" xfId="30322"/>
    <cellStyle name="Финансовый 7 29 9 18 2" xfId="60133"/>
    <cellStyle name="Финансовый 7 29 9 19" xfId="30323"/>
    <cellStyle name="Финансовый 7 29 9 19 2" xfId="60134"/>
    <cellStyle name="Финансовый 7 29 9 2" xfId="30324"/>
    <cellStyle name="Финансовый 7 29 9 2 2" xfId="30325"/>
    <cellStyle name="Финансовый 7 29 9 2 2 2" xfId="60135"/>
    <cellStyle name="Финансовый 7 29 9 2 3" xfId="60136"/>
    <cellStyle name="Финансовый 7 29 9 20" xfId="30326"/>
    <cellStyle name="Финансовый 7 29 9 20 2" xfId="60137"/>
    <cellStyle name="Финансовый 7 29 9 21" xfId="30327"/>
    <cellStyle name="Финансовый 7 29 9 21 2" xfId="60138"/>
    <cellStyle name="Финансовый 7 29 9 22" xfId="30328"/>
    <cellStyle name="Финансовый 7 29 9 22 2" xfId="60139"/>
    <cellStyle name="Финансовый 7 29 9 23" xfId="30329"/>
    <cellStyle name="Финансовый 7 29 9 23 2" xfId="60140"/>
    <cellStyle name="Финансовый 7 29 9 24" xfId="30330"/>
    <cellStyle name="Финансовый 7 29 9 24 2" xfId="60141"/>
    <cellStyle name="Финансовый 7 29 9 25" xfId="30331"/>
    <cellStyle name="Финансовый 7 29 9 25 2" xfId="60142"/>
    <cellStyle name="Финансовый 7 29 9 26" xfId="30332"/>
    <cellStyle name="Финансовый 7 29 9 26 2" xfId="60143"/>
    <cellStyle name="Финансовый 7 29 9 27" xfId="30333"/>
    <cellStyle name="Финансовый 7 29 9 27 2" xfId="60144"/>
    <cellStyle name="Финансовый 7 29 9 28" xfId="30334"/>
    <cellStyle name="Финансовый 7 29 9 28 2" xfId="60145"/>
    <cellStyle name="Финансовый 7 29 9 29" xfId="30335"/>
    <cellStyle name="Финансовый 7 29 9 29 2" xfId="60146"/>
    <cellStyle name="Финансовый 7 29 9 3" xfId="30336"/>
    <cellStyle name="Финансовый 7 29 9 3 2" xfId="60147"/>
    <cellStyle name="Финансовый 7 29 9 30" xfId="30337"/>
    <cellStyle name="Финансовый 7 29 9 30 2" xfId="60148"/>
    <cellStyle name="Финансовый 7 29 9 31" xfId="30338"/>
    <cellStyle name="Финансовый 7 29 9 31 2" xfId="60149"/>
    <cellStyle name="Финансовый 7 29 9 32" xfId="30339"/>
    <cellStyle name="Финансовый 7 29 9 32 2" xfId="60150"/>
    <cellStyle name="Финансовый 7 29 9 33" xfId="60151"/>
    <cellStyle name="Финансовый 7 29 9 4" xfId="30340"/>
    <cellStyle name="Финансовый 7 29 9 4 2" xfId="60152"/>
    <cellStyle name="Финансовый 7 29 9 5" xfId="30341"/>
    <cellStyle name="Финансовый 7 29 9 5 2" xfId="60153"/>
    <cellStyle name="Финансовый 7 29 9 6" xfId="30342"/>
    <cellStyle name="Финансовый 7 29 9 6 2" xfId="60154"/>
    <cellStyle name="Финансовый 7 29 9 7" xfId="30343"/>
    <cellStyle name="Финансовый 7 29 9 7 2" xfId="60155"/>
    <cellStyle name="Финансовый 7 29 9 8" xfId="30344"/>
    <cellStyle name="Финансовый 7 29 9 8 2" xfId="60156"/>
    <cellStyle name="Финансовый 7 29 9 9" xfId="30345"/>
    <cellStyle name="Финансовый 7 29 9 9 10" xfId="30346"/>
    <cellStyle name="Финансовый 7 29 9 9 10 2" xfId="60157"/>
    <cellStyle name="Финансовый 7 29 9 9 11" xfId="30347"/>
    <cellStyle name="Финансовый 7 29 9 9 11 2" xfId="60158"/>
    <cellStyle name="Финансовый 7 29 9 9 12" xfId="30348"/>
    <cellStyle name="Финансовый 7 29 9 9 12 2" xfId="60159"/>
    <cellStyle name="Финансовый 7 29 9 9 13" xfId="30349"/>
    <cellStyle name="Финансовый 7 29 9 9 13 2" xfId="60160"/>
    <cellStyle name="Финансовый 7 29 9 9 14" xfId="30350"/>
    <cellStyle name="Финансовый 7 29 9 9 14 2" xfId="60161"/>
    <cellStyle name="Финансовый 7 29 9 9 15" xfId="30351"/>
    <cellStyle name="Финансовый 7 29 9 9 15 2" xfId="60162"/>
    <cellStyle name="Финансовый 7 29 9 9 16" xfId="30352"/>
    <cellStyle name="Финансовый 7 29 9 9 16 2" xfId="60163"/>
    <cellStyle name="Финансовый 7 29 9 9 17" xfId="30353"/>
    <cellStyle name="Финансовый 7 29 9 9 17 2" xfId="60164"/>
    <cellStyle name="Финансовый 7 29 9 9 18" xfId="30354"/>
    <cellStyle name="Финансовый 7 29 9 9 18 2" xfId="60165"/>
    <cellStyle name="Финансовый 7 29 9 9 19" xfId="30355"/>
    <cellStyle name="Финансовый 7 29 9 9 19 2" xfId="60166"/>
    <cellStyle name="Финансовый 7 29 9 9 2" xfId="30356"/>
    <cellStyle name="Финансовый 7 29 9 9 2 2" xfId="60167"/>
    <cellStyle name="Финансовый 7 29 9 9 20" xfId="30357"/>
    <cellStyle name="Финансовый 7 29 9 9 20 2" xfId="60168"/>
    <cellStyle name="Финансовый 7 29 9 9 21" xfId="30358"/>
    <cellStyle name="Финансовый 7 29 9 9 21 2" xfId="60169"/>
    <cellStyle name="Финансовый 7 29 9 9 22" xfId="30359"/>
    <cellStyle name="Финансовый 7 29 9 9 22 2" xfId="60170"/>
    <cellStyle name="Финансовый 7 29 9 9 23" xfId="30360"/>
    <cellStyle name="Финансовый 7 29 9 9 23 2" xfId="60171"/>
    <cellStyle name="Финансовый 7 29 9 9 24" xfId="60172"/>
    <cellStyle name="Финансовый 7 29 9 9 3" xfId="30361"/>
    <cellStyle name="Финансовый 7 29 9 9 3 2" xfId="60173"/>
    <cellStyle name="Финансовый 7 29 9 9 4" xfId="30362"/>
    <cellStyle name="Финансовый 7 29 9 9 4 2" xfId="60174"/>
    <cellStyle name="Финансовый 7 29 9 9 5" xfId="30363"/>
    <cellStyle name="Финансовый 7 29 9 9 5 2" xfId="60175"/>
    <cellStyle name="Финансовый 7 29 9 9 6" xfId="30364"/>
    <cellStyle name="Финансовый 7 29 9 9 6 2" xfId="60176"/>
    <cellStyle name="Финансовый 7 29 9 9 7" xfId="30365"/>
    <cellStyle name="Финансовый 7 29 9 9 7 2" xfId="60177"/>
    <cellStyle name="Финансовый 7 29 9 9 8" xfId="30366"/>
    <cellStyle name="Финансовый 7 29 9 9 8 2" xfId="60178"/>
    <cellStyle name="Финансовый 7 29 9 9 9" xfId="30367"/>
    <cellStyle name="Финансовый 7 29 9 9 9 2" xfId="60179"/>
    <cellStyle name="Финансовый 7 3" xfId="60180"/>
    <cellStyle name="Финансовый 8" xfId="30368"/>
    <cellStyle name="Финансовый 8 2" xfId="60181"/>
    <cellStyle name="Финансовый 9" xfId="30369"/>
    <cellStyle name="Финансовый 9 2" xfId="60182"/>
    <cellStyle name="Финансовый 9 29 9" xfId="30370"/>
    <cellStyle name="Финансовый 9 29 9 10" xfId="30371"/>
    <cellStyle name="Финансовый 9 29 9 10 10" xfId="30372"/>
    <cellStyle name="Финансовый 9 29 9 10 10 2" xfId="60183"/>
    <cellStyle name="Финансовый 9 29 9 10 11" xfId="30373"/>
    <cellStyle name="Финансовый 9 29 9 10 11 2" xfId="60184"/>
    <cellStyle name="Финансовый 9 29 9 10 12" xfId="30374"/>
    <cellStyle name="Финансовый 9 29 9 10 12 2" xfId="60185"/>
    <cellStyle name="Финансовый 9 29 9 10 13" xfId="30375"/>
    <cellStyle name="Финансовый 9 29 9 10 13 2" xfId="60186"/>
    <cellStyle name="Финансовый 9 29 9 10 14" xfId="30376"/>
    <cellStyle name="Финансовый 9 29 9 10 14 2" xfId="60187"/>
    <cellStyle name="Финансовый 9 29 9 10 15" xfId="30377"/>
    <cellStyle name="Финансовый 9 29 9 10 15 2" xfId="60188"/>
    <cellStyle name="Финансовый 9 29 9 10 16" xfId="30378"/>
    <cellStyle name="Финансовый 9 29 9 10 16 2" xfId="60189"/>
    <cellStyle name="Финансовый 9 29 9 10 17" xfId="30379"/>
    <cellStyle name="Финансовый 9 29 9 10 17 2" xfId="60190"/>
    <cellStyle name="Финансовый 9 29 9 10 18" xfId="30380"/>
    <cellStyle name="Финансовый 9 29 9 10 18 2" xfId="60191"/>
    <cellStyle name="Финансовый 9 29 9 10 19" xfId="30381"/>
    <cellStyle name="Финансовый 9 29 9 10 19 2" xfId="60192"/>
    <cellStyle name="Финансовый 9 29 9 10 2" xfId="30382"/>
    <cellStyle name="Финансовый 9 29 9 10 2 2" xfId="60193"/>
    <cellStyle name="Финансовый 9 29 9 10 20" xfId="30383"/>
    <cellStyle name="Финансовый 9 29 9 10 20 2" xfId="60194"/>
    <cellStyle name="Финансовый 9 29 9 10 21" xfId="30384"/>
    <cellStyle name="Финансовый 9 29 9 10 21 2" xfId="60195"/>
    <cellStyle name="Финансовый 9 29 9 10 22" xfId="30385"/>
    <cellStyle name="Финансовый 9 29 9 10 22 2" xfId="60196"/>
    <cellStyle name="Финансовый 9 29 9 10 23" xfId="30386"/>
    <cellStyle name="Финансовый 9 29 9 10 23 2" xfId="60197"/>
    <cellStyle name="Финансовый 9 29 9 10 24" xfId="60198"/>
    <cellStyle name="Финансовый 9 29 9 10 3" xfId="30387"/>
    <cellStyle name="Финансовый 9 29 9 10 3 2" xfId="60199"/>
    <cellStyle name="Финансовый 9 29 9 10 4" xfId="30388"/>
    <cellStyle name="Финансовый 9 29 9 10 4 2" xfId="60200"/>
    <cellStyle name="Финансовый 9 29 9 10 5" xfId="30389"/>
    <cellStyle name="Финансовый 9 29 9 10 5 2" xfId="60201"/>
    <cellStyle name="Финансовый 9 29 9 10 6" xfId="30390"/>
    <cellStyle name="Финансовый 9 29 9 10 6 2" xfId="60202"/>
    <cellStyle name="Финансовый 9 29 9 10 7" xfId="30391"/>
    <cellStyle name="Финансовый 9 29 9 10 7 2" xfId="60203"/>
    <cellStyle name="Финансовый 9 29 9 10 8" xfId="30392"/>
    <cellStyle name="Финансовый 9 29 9 10 8 2" xfId="60204"/>
    <cellStyle name="Финансовый 9 29 9 10 9" xfId="30393"/>
    <cellStyle name="Финансовый 9 29 9 10 9 2" xfId="60205"/>
    <cellStyle name="Финансовый 9 29 9 11" xfId="30394"/>
    <cellStyle name="Финансовый 9 29 9 11 10" xfId="30395"/>
    <cellStyle name="Финансовый 9 29 9 11 10 2" xfId="60206"/>
    <cellStyle name="Финансовый 9 29 9 11 11" xfId="30396"/>
    <cellStyle name="Финансовый 9 29 9 11 11 2" xfId="60207"/>
    <cellStyle name="Финансовый 9 29 9 11 12" xfId="30397"/>
    <cellStyle name="Финансовый 9 29 9 11 12 2" xfId="60208"/>
    <cellStyle name="Финансовый 9 29 9 11 13" xfId="30398"/>
    <cellStyle name="Финансовый 9 29 9 11 13 2" xfId="60209"/>
    <cellStyle name="Финансовый 9 29 9 11 14" xfId="30399"/>
    <cellStyle name="Финансовый 9 29 9 11 14 2" xfId="60210"/>
    <cellStyle name="Финансовый 9 29 9 11 15" xfId="30400"/>
    <cellStyle name="Финансовый 9 29 9 11 15 2" xfId="60211"/>
    <cellStyle name="Финансовый 9 29 9 11 16" xfId="30401"/>
    <cellStyle name="Финансовый 9 29 9 11 16 2" xfId="60212"/>
    <cellStyle name="Финансовый 9 29 9 11 17" xfId="30402"/>
    <cellStyle name="Финансовый 9 29 9 11 17 2" xfId="60213"/>
    <cellStyle name="Финансовый 9 29 9 11 18" xfId="30403"/>
    <cellStyle name="Финансовый 9 29 9 11 18 2" xfId="60214"/>
    <cellStyle name="Финансовый 9 29 9 11 19" xfId="60215"/>
    <cellStyle name="Финансовый 9 29 9 11 2" xfId="30404"/>
    <cellStyle name="Финансовый 9 29 9 11 2 2" xfId="60216"/>
    <cellStyle name="Финансовый 9 29 9 11 3" xfId="30405"/>
    <cellStyle name="Финансовый 9 29 9 11 3 2" xfId="60217"/>
    <cellStyle name="Финансовый 9 29 9 11 4" xfId="30406"/>
    <cellStyle name="Финансовый 9 29 9 11 4 2" xfId="60218"/>
    <cellStyle name="Финансовый 9 29 9 11 5" xfId="30407"/>
    <cellStyle name="Финансовый 9 29 9 11 5 2" xfId="60219"/>
    <cellStyle name="Финансовый 9 29 9 11 6" xfId="30408"/>
    <cellStyle name="Финансовый 9 29 9 11 6 2" xfId="60220"/>
    <cellStyle name="Финансовый 9 29 9 11 7" xfId="30409"/>
    <cellStyle name="Финансовый 9 29 9 11 7 2" xfId="60221"/>
    <cellStyle name="Финансовый 9 29 9 11 8" xfId="30410"/>
    <cellStyle name="Финансовый 9 29 9 11 8 2" xfId="60222"/>
    <cellStyle name="Финансовый 9 29 9 11 9" xfId="30411"/>
    <cellStyle name="Финансовый 9 29 9 11 9 2" xfId="60223"/>
    <cellStyle name="Финансовый 9 29 9 12" xfId="30412"/>
    <cellStyle name="Финансовый 9 29 9 12 10" xfId="30413"/>
    <cellStyle name="Финансовый 9 29 9 12 10 2" xfId="60224"/>
    <cellStyle name="Финансовый 9 29 9 12 11" xfId="30414"/>
    <cellStyle name="Финансовый 9 29 9 12 11 2" xfId="60225"/>
    <cellStyle name="Финансовый 9 29 9 12 12" xfId="30415"/>
    <cellStyle name="Финансовый 9 29 9 12 12 2" xfId="60226"/>
    <cellStyle name="Финансовый 9 29 9 12 13" xfId="30416"/>
    <cellStyle name="Финансовый 9 29 9 12 13 2" xfId="60227"/>
    <cellStyle name="Финансовый 9 29 9 12 14" xfId="30417"/>
    <cellStyle name="Финансовый 9 29 9 12 14 2" xfId="60228"/>
    <cellStyle name="Финансовый 9 29 9 12 15" xfId="30418"/>
    <cellStyle name="Финансовый 9 29 9 12 15 2" xfId="60229"/>
    <cellStyle name="Финансовый 9 29 9 12 16" xfId="30419"/>
    <cellStyle name="Финансовый 9 29 9 12 16 2" xfId="60230"/>
    <cellStyle name="Финансовый 9 29 9 12 17" xfId="30420"/>
    <cellStyle name="Финансовый 9 29 9 12 17 2" xfId="60231"/>
    <cellStyle name="Финансовый 9 29 9 12 18" xfId="30421"/>
    <cellStyle name="Финансовый 9 29 9 12 18 2" xfId="60232"/>
    <cellStyle name="Финансовый 9 29 9 12 19" xfId="60233"/>
    <cellStyle name="Финансовый 9 29 9 12 2" xfId="30422"/>
    <cellStyle name="Финансовый 9 29 9 12 2 2" xfId="60234"/>
    <cellStyle name="Финансовый 9 29 9 12 3" xfId="30423"/>
    <cellStyle name="Финансовый 9 29 9 12 3 2" xfId="60235"/>
    <cellStyle name="Финансовый 9 29 9 12 4" xfId="30424"/>
    <cellStyle name="Финансовый 9 29 9 12 4 2" xfId="60236"/>
    <cellStyle name="Финансовый 9 29 9 12 5" xfId="30425"/>
    <cellStyle name="Финансовый 9 29 9 12 5 2" xfId="60237"/>
    <cellStyle name="Финансовый 9 29 9 12 6" xfId="30426"/>
    <cellStyle name="Финансовый 9 29 9 12 6 2" xfId="60238"/>
    <cellStyle name="Финансовый 9 29 9 12 7" xfId="30427"/>
    <cellStyle name="Финансовый 9 29 9 12 7 2" xfId="60239"/>
    <cellStyle name="Финансовый 9 29 9 12 8" xfId="30428"/>
    <cellStyle name="Финансовый 9 29 9 12 8 2" xfId="60240"/>
    <cellStyle name="Финансовый 9 29 9 12 9" xfId="30429"/>
    <cellStyle name="Финансовый 9 29 9 12 9 2" xfId="60241"/>
    <cellStyle name="Финансовый 9 29 9 13" xfId="30430"/>
    <cellStyle name="Финансовый 9 29 9 13 10" xfId="30431"/>
    <cellStyle name="Финансовый 9 29 9 13 10 2" xfId="60242"/>
    <cellStyle name="Финансовый 9 29 9 13 11" xfId="30432"/>
    <cellStyle name="Финансовый 9 29 9 13 11 2" xfId="60243"/>
    <cellStyle name="Финансовый 9 29 9 13 12" xfId="30433"/>
    <cellStyle name="Финансовый 9 29 9 13 12 2" xfId="60244"/>
    <cellStyle name="Финансовый 9 29 9 13 13" xfId="30434"/>
    <cellStyle name="Финансовый 9 29 9 13 13 2" xfId="60245"/>
    <cellStyle name="Финансовый 9 29 9 13 14" xfId="30435"/>
    <cellStyle name="Финансовый 9 29 9 13 14 2" xfId="60246"/>
    <cellStyle name="Финансовый 9 29 9 13 15" xfId="30436"/>
    <cellStyle name="Финансовый 9 29 9 13 15 2" xfId="60247"/>
    <cellStyle name="Финансовый 9 29 9 13 16" xfId="30437"/>
    <cellStyle name="Финансовый 9 29 9 13 16 2" xfId="60248"/>
    <cellStyle name="Финансовый 9 29 9 13 17" xfId="30438"/>
    <cellStyle name="Финансовый 9 29 9 13 17 2" xfId="60249"/>
    <cellStyle name="Финансовый 9 29 9 13 18" xfId="30439"/>
    <cellStyle name="Финансовый 9 29 9 13 18 2" xfId="60250"/>
    <cellStyle name="Финансовый 9 29 9 13 19" xfId="60251"/>
    <cellStyle name="Финансовый 9 29 9 13 2" xfId="30440"/>
    <cellStyle name="Финансовый 9 29 9 13 2 2" xfId="60252"/>
    <cellStyle name="Финансовый 9 29 9 13 3" xfId="30441"/>
    <cellStyle name="Финансовый 9 29 9 13 3 2" xfId="60253"/>
    <cellStyle name="Финансовый 9 29 9 13 4" xfId="30442"/>
    <cellStyle name="Финансовый 9 29 9 13 4 2" xfId="60254"/>
    <cellStyle name="Финансовый 9 29 9 13 5" xfId="30443"/>
    <cellStyle name="Финансовый 9 29 9 13 5 2" xfId="60255"/>
    <cellStyle name="Финансовый 9 29 9 13 6" xfId="30444"/>
    <cellStyle name="Финансовый 9 29 9 13 6 2" xfId="60256"/>
    <cellStyle name="Финансовый 9 29 9 13 7" xfId="30445"/>
    <cellStyle name="Финансовый 9 29 9 13 7 2" xfId="60257"/>
    <cellStyle name="Финансовый 9 29 9 13 8" xfId="30446"/>
    <cellStyle name="Финансовый 9 29 9 13 8 2" xfId="60258"/>
    <cellStyle name="Финансовый 9 29 9 13 9" xfId="30447"/>
    <cellStyle name="Финансовый 9 29 9 13 9 2" xfId="60259"/>
    <cellStyle name="Финансовый 9 29 9 14" xfId="30448"/>
    <cellStyle name="Финансовый 9 29 9 14 2" xfId="60260"/>
    <cellStyle name="Финансовый 9 29 9 15" xfId="30449"/>
    <cellStyle name="Финансовый 9 29 9 15 2" xfId="60261"/>
    <cellStyle name="Финансовый 9 29 9 16" xfId="30450"/>
    <cellStyle name="Финансовый 9 29 9 16 2" xfId="60262"/>
    <cellStyle name="Финансовый 9 29 9 17" xfId="30451"/>
    <cellStyle name="Финансовый 9 29 9 17 2" xfId="60263"/>
    <cellStyle name="Финансовый 9 29 9 18" xfId="30452"/>
    <cellStyle name="Финансовый 9 29 9 18 2" xfId="60264"/>
    <cellStyle name="Финансовый 9 29 9 19" xfId="30453"/>
    <cellStyle name="Финансовый 9 29 9 19 2" xfId="60265"/>
    <cellStyle name="Финансовый 9 29 9 2" xfId="30454"/>
    <cellStyle name="Финансовый 9 29 9 2 2" xfId="30455"/>
    <cellStyle name="Финансовый 9 29 9 2 2 2" xfId="60266"/>
    <cellStyle name="Финансовый 9 29 9 2 3" xfId="60267"/>
    <cellStyle name="Финансовый 9 29 9 20" xfId="30456"/>
    <cellStyle name="Финансовый 9 29 9 20 2" xfId="60268"/>
    <cellStyle name="Финансовый 9 29 9 21" xfId="30457"/>
    <cellStyle name="Финансовый 9 29 9 21 2" xfId="60269"/>
    <cellStyle name="Финансовый 9 29 9 22" xfId="30458"/>
    <cellStyle name="Финансовый 9 29 9 22 2" xfId="60270"/>
    <cellStyle name="Финансовый 9 29 9 23" xfId="30459"/>
    <cellStyle name="Финансовый 9 29 9 23 2" xfId="60271"/>
    <cellStyle name="Финансовый 9 29 9 24" xfId="30460"/>
    <cellStyle name="Финансовый 9 29 9 24 2" xfId="60272"/>
    <cellStyle name="Финансовый 9 29 9 25" xfId="30461"/>
    <cellStyle name="Финансовый 9 29 9 25 2" xfId="60273"/>
    <cellStyle name="Финансовый 9 29 9 26" xfId="30462"/>
    <cellStyle name="Финансовый 9 29 9 26 2" xfId="60274"/>
    <cellStyle name="Финансовый 9 29 9 27" xfId="30463"/>
    <cellStyle name="Финансовый 9 29 9 27 2" xfId="60275"/>
    <cellStyle name="Финансовый 9 29 9 28" xfId="30464"/>
    <cellStyle name="Финансовый 9 29 9 28 2" xfId="60276"/>
    <cellStyle name="Финансовый 9 29 9 29" xfId="30465"/>
    <cellStyle name="Финансовый 9 29 9 29 2" xfId="60277"/>
    <cellStyle name="Финансовый 9 29 9 3" xfId="30466"/>
    <cellStyle name="Финансовый 9 29 9 3 2" xfId="60278"/>
    <cellStyle name="Финансовый 9 29 9 30" xfId="30467"/>
    <cellStyle name="Финансовый 9 29 9 30 2" xfId="60279"/>
    <cellStyle name="Финансовый 9 29 9 31" xfId="30468"/>
    <cellStyle name="Финансовый 9 29 9 31 2" xfId="60280"/>
    <cellStyle name="Финансовый 9 29 9 32" xfId="30469"/>
    <cellStyle name="Финансовый 9 29 9 32 2" xfId="60281"/>
    <cellStyle name="Финансовый 9 29 9 33" xfId="60282"/>
    <cellStyle name="Финансовый 9 29 9 4" xfId="30470"/>
    <cellStyle name="Финансовый 9 29 9 4 2" xfId="60283"/>
    <cellStyle name="Финансовый 9 29 9 5" xfId="30471"/>
    <cellStyle name="Финансовый 9 29 9 5 2" xfId="60284"/>
    <cellStyle name="Финансовый 9 29 9 6" xfId="30472"/>
    <cellStyle name="Финансовый 9 29 9 6 2" xfId="60285"/>
    <cellStyle name="Финансовый 9 29 9 7" xfId="30473"/>
    <cellStyle name="Финансовый 9 29 9 7 2" xfId="60286"/>
    <cellStyle name="Финансовый 9 29 9 8" xfId="30474"/>
    <cellStyle name="Финансовый 9 29 9 8 2" xfId="60287"/>
    <cellStyle name="Финансовый 9 29 9 9" xfId="30475"/>
    <cellStyle name="Финансовый 9 29 9 9 10" xfId="30476"/>
    <cellStyle name="Финансовый 9 29 9 9 10 2" xfId="60288"/>
    <cellStyle name="Финансовый 9 29 9 9 11" xfId="30477"/>
    <cellStyle name="Финансовый 9 29 9 9 11 2" xfId="60289"/>
    <cellStyle name="Финансовый 9 29 9 9 12" xfId="30478"/>
    <cellStyle name="Финансовый 9 29 9 9 12 2" xfId="60290"/>
    <cellStyle name="Финансовый 9 29 9 9 13" xfId="30479"/>
    <cellStyle name="Финансовый 9 29 9 9 13 2" xfId="60291"/>
    <cellStyle name="Финансовый 9 29 9 9 14" xfId="30480"/>
    <cellStyle name="Финансовый 9 29 9 9 14 2" xfId="60292"/>
    <cellStyle name="Финансовый 9 29 9 9 15" xfId="30481"/>
    <cellStyle name="Финансовый 9 29 9 9 15 2" xfId="60293"/>
    <cellStyle name="Финансовый 9 29 9 9 16" xfId="30482"/>
    <cellStyle name="Финансовый 9 29 9 9 16 2" xfId="60294"/>
    <cellStyle name="Финансовый 9 29 9 9 17" xfId="30483"/>
    <cellStyle name="Финансовый 9 29 9 9 17 2" xfId="60295"/>
    <cellStyle name="Финансовый 9 29 9 9 18" xfId="30484"/>
    <cellStyle name="Финансовый 9 29 9 9 18 2" xfId="60296"/>
    <cellStyle name="Финансовый 9 29 9 9 19" xfId="30485"/>
    <cellStyle name="Финансовый 9 29 9 9 19 2" xfId="60297"/>
    <cellStyle name="Финансовый 9 29 9 9 2" xfId="30486"/>
    <cellStyle name="Финансовый 9 29 9 9 2 2" xfId="60298"/>
    <cellStyle name="Финансовый 9 29 9 9 20" xfId="30487"/>
    <cellStyle name="Финансовый 9 29 9 9 20 2" xfId="60299"/>
    <cellStyle name="Финансовый 9 29 9 9 21" xfId="30488"/>
    <cellStyle name="Финансовый 9 29 9 9 21 2" xfId="60300"/>
    <cellStyle name="Финансовый 9 29 9 9 22" xfId="30489"/>
    <cellStyle name="Финансовый 9 29 9 9 22 2" xfId="60301"/>
    <cellStyle name="Финансовый 9 29 9 9 23" xfId="30490"/>
    <cellStyle name="Финансовый 9 29 9 9 23 2" xfId="60302"/>
    <cellStyle name="Финансовый 9 29 9 9 24" xfId="60303"/>
    <cellStyle name="Финансовый 9 29 9 9 3" xfId="30491"/>
    <cellStyle name="Финансовый 9 29 9 9 3 2" xfId="60304"/>
    <cellStyle name="Финансовый 9 29 9 9 4" xfId="30492"/>
    <cellStyle name="Финансовый 9 29 9 9 4 2" xfId="60305"/>
    <cellStyle name="Финансовый 9 29 9 9 5" xfId="30493"/>
    <cellStyle name="Финансовый 9 29 9 9 5 2" xfId="60306"/>
    <cellStyle name="Финансовый 9 29 9 9 6" xfId="30494"/>
    <cellStyle name="Финансовый 9 29 9 9 6 2" xfId="60307"/>
    <cellStyle name="Финансовый 9 29 9 9 7" xfId="30495"/>
    <cellStyle name="Финансовый 9 29 9 9 7 2" xfId="60308"/>
    <cellStyle name="Финансовый 9 29 9 9 8" xfId="30496"/>
    <cellStyle name="Финансовый 9 29 9 9 8 2" xfId="60309"/>
    <cellStyle name="Финансовый 9 29 9 9 9" xfId="30497"/>
    <cellStyle name="Финансовый 9 29 9 9 9 2" xfId="60310"/>
    <cellStyle name="Формула" xfId="30498"/>
    <cellStyle name="ФормулаВБ" xfId="30499"/>
    <cellStyle name="ФормулаНаКонтроль" xfId="30500"/>
    <cellStyle name="Хороший 2" xfId="30501"/>
    <cellStyle name="Хороший 2 10" xfId="30502"/>
    <cellStyle name="Хороший 2 10 2" xfId="58980"/>
    <cellStyle name="Хороший 2 11" xfId="30503"/>
    <cellStyle name="Хороший 2 11 2" xfId="58981"/>
    <cellStyle name="Хороший 2 12" xfId="30504"/>
    <cellStyle name="Хороший 2 12 2" xfId="58982"/>
    <cellStyle name="Хороший 2 13" xfId="30505"/>
    <cellStyle name="Хороший 2 13 2" xfId="58983"/>
    <cellStyle name="Хороший 2 14" xfId="30506"/>
    <cellStyle name="Хороший 2 14 2" xfId="58984"/>
    <cellStyle name="Хороший 2 15" xfId="30507"/>
    <cellStyle name="Хороший 2 15 2" xfId="58985"/>
    <cellStyle name="Хороший 2 16" xfId="30508"/>
    <cellStyle name="Хороший 2 16 2" xfId="58986"/>
    <cellStyle name="Хороший 2 17" xfId="30509"/>
    <cellStyle name="Хороший 2 17 2" xfId="58987"/>
    <cellStyle name="Хороший 2 18" xfId="30510"/>
    <cellStyle name="Хороший 2 18 2" xfId="58988"/>
    <cellStyle name="Хороший 2 19" xfId="30511"/>
    <cellStyle name="Хороший 2 19 2" xfId="58989"/>
    <cellStyle name="Хороший 2 2" xfId="30512"/>
    <cellStyle name="Хороший 2 2 2" xfId="58990"/>
    <cellStyle name="Хороший 2 20" xfId="30513"/>
    <cellStyle name="Хороший 2 20 2" xfId="58991"/>
    <cellStyle name="Хороший 2 21" xfId="30514"/>
    <cellStyle name="Хороший 2 21 2" xfId="58992"/>
    <cellStyle name="Хороший 2 22" xfId="30515"/>
    <cellStyle name="Хороший 2 22 2" xfId="58993"/>
    <cellStyle name="Хороший 2 23" xfId="30516"/>
    <cellStyle name="Хороший 2 23 2" xfId="58994"/>
    <cellStyle name="Хороший 2 24" xfId="58995"/>
    <cellStyle name="Хороший 2 3" xfId="30517"/>
    <cellStyle name="Хороший 2 3 2" xfId="58996"/>
    <cellStyle name="Хороший 2 4" xfId="30518"/>
    <cellStyle name="Хороший 2 4 2" xfId="58997"/>
    <cellStyle name="Хороший 2 5" xfId="30519"/>
    <cellStyle name="Хороший 2 5 2" xfId="58998"/>
    <cellStyle name="Хороший 2 6" xfId="30520"/>
    <cellStyle name="Хороший 2 6 2" xfId="58999"/>
    <cellStyle name="Хороший 2 7" xfId="30521"/>
    <cellStyle name="Хороший 2 7 2" xfId="59000"/>
    <cellStyle name="Хороший 2 8" xfId="30522"/>
    <cellStyle name="Хороший 2 8 2" xfId="59001"/>
    <cellStyle name="Хороший 2 9" xfId="30523"/>
    <cellStyle name="Хороший 2 9 2" xfId="59002"/>
    <cellStyle name="Хороший 3" xfId="30524"/>
    <cellStyle name="Хороший 3 10" xfId="30525"/>
    <cellStyle name="Хороший 3 10 2" xfId="59003"/>
    <cellStyle name="Хороший 3 11" xfId="30526"/>
    <cellStyle name="Хороший 3 11 2" xfId="59004"/>
    <cellStyle name="Хороший 3 12" xfId="30527"/>
    <cellStyle name="Хороший 3 12 2" xfId="59005"/>
    <cellStyle name="Хороший 3 13" xfId="30528"/>
    <cellStyle name="Хороший 3 13 2" xfId="59006"/>
    <cellStyle name="Хороший 3 14" xfId="30529"/>
    <cellStyle name="Хороший 3 14 2" xfId="59007"/>
    <cellStyle name="Хороший 3 15" xfId="30530"/>
    <cellStyle name="Хороший 3 15 2" xfId="59008"/>
    <cellStyle name="Хороший 3 16" xfId="30531"/>
    <cellStyle name="Хороший 3 16 2" xfId="59009"/>
    <cellStyle name="Хороший 3 17" xfId="30532"/>
    <cellStyle name="Хороший 3 17 2" xfId="59010"/>
    <cellStyle name="Хороший 3 18" xfId="30533"/>
    <cellStyle name="Хороший 3 18 2" xfId="59011"/>
    <cellStyle name="Хороший 3 19" xfId="30534"/>
    <cellStyle name="Хороший 3 19 2" xfId="59012"/>
    <cellStyle name="Хороший 3 2" xfId="30535"/>
    <cellStyle name="Хороший 3 2 2" xfId="59013"/>
    <cellStyle name="Хороший 3 20" xfId="30536"/>
    <cellStyle name="Хороший 3 20 2" xfId="59014"/>
    <cellStyle name="Хороший 3 21" xfId="30537"/>
    <cellStyle name="Хороший 3 21 2" xfId="59015"/>
    <cellStyle name="Хороший 3 22" xfId="30538"/>
    <cellStyle name="Хороший 3 22 2" xfId="59016"/>
    <cellStyle name="Хороший 3 23" xfId="30539"/>
    <cellStyle name="Хороший 3 23 2" xfId="59017"/>
    <cellStyle name="Хороший 3 24" xfId="59018"/>
    <cellStyle name="Хороший 3 3" xfId="30540"/>
    <cellStyle name="Хороший 3 3 2" xfId="59019"/>
    <cellStyle name="Хороший 3 4" xfId="30541"/>
    <cellStyle name="Хороший 3 4 2" xfId="59020"/>
    <cellStyle name="Хороший 3 5" xfId="30542"/>
    <cellStyle name="Хороший 3 5 2" xfId="59021"/>
    <cellStyle name="Хороший 3 6" xfId="30543"/>
    <cellStyle name="Хороший 3 6 2" xfId="59022"/>
    <cellStyle name="Хороший 3 7" xfId="30544"/>
    <cellStyle name="Хороший 3 7 2" xfId="59023"/>
    <cellStyle name="Хороший 3 8" xfId="30545"/>
    <cellStyle name="Хороший 3 8 2" xfId="59024"/>
    <cellStyle name="Хороший 3 9" xfId="30546"/>
    <cellStyle name="Хороший 3 9 2" xfId="59025"/>
    <cellStyle name="Хороший 4" xfId="30547"/>
    <cellStyle name="Хороший 4 2" xfId="59026"/>
    <cellStyle name="Хороший 5" xfId="30548"/>
    <cellStyle name="Хороший 5 2" xfId="59027"/>
    <cellStyle name="Хороший 6" xfId="30549"/>
    <cellStyle name="Хороший 6 2" xfId="59028"/>
    <cellStyle name="Хороший 7" xfId="30550"/>
    <cellStyle name="Џђћ–…ќ’ќ›‰" xfId="30551"/>
    <cellStyle name="Шапка таблицы" xfId="30552"/>
    <cellStyle name="Шапка таблицы 2" xfId="59029"/>
  </cellStyles>
  <dxfs count="2">
    <dxf>
      <font>
        <b/>
        <i/>
        <condense val="0"/>
        <extend val="0"/>
        <color indexed="12"/>
      </font>
    </dxf>
    <dxf>
      <fill>
        <patternFill>
          <bgColor indexed="45"/>
        </patternFill>
      </fill>
    </dxf>
  </dxfs>
  <tableStyles count="0" defaultTableStyle="TableStyleMedium2" defaultPivotStyle="PivotStyleLight16"/>
  <colors>
    <mruColors>
      <color rgb="FFFFCCFF"/>
      <color rgb="FFFFFFCC"/>
      <color rgb="FFCCFFCC"/>
      <color rgb="FF8DB4E3"/>
      <color rgb="FFCCFFFF"/>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12</xdr:col>
      <xdr:colOff>142875</xdr:colOff>
      <xdr:row>175</xdr:row>
      <xdr:rowOff>0</xdr:rowOff>
    </xdr:from>
    <xdr:ext cx="184731" cy="264560"/>
    <xdr:sp macro="" textlink="">
      <xdr:nvSpPr>
        <xdr:cNvPr id="2" name="TextBox 1"/>
        <xdr:cNvSpPr txBox="1"/>
      </xdr:nvSpPr>
      <xdr:spPr>
        <a:xfrm>
          <a:off x="1423987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xdr:row>
      <xdr:rowOff>0</xdr:rowOff>
    </xdr:from>
    <xdr:ext cx="184731" cy="264560"/>
    <xdr:sp macro="" textlink="">
      <xdr:nvSpPr>
        <xdr:cNvPr id="3" name="TextBox 2"/>
        <xdr:cNvSpPr txBox="1"/>
      </xdr:nvSpPr>
      <xdr:spPr>
        <a:xfrm>
          <a:off x="1423987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xdr:row>
      <xdr:rowOff>0</xdr:rowOff>
    </xdr:from>
    <xdr:ext cx="184731" cy="264560"/>
    <xdr:sp macro="" textlink="">
      <xdr:nvSpPr>
        <xdr:cNvPr id="4" name="TextBox 3"/>
        <xdr:cNvSpPr txBox="1"/>
      </xdr:nvSpPr>
      <xdr:spPr>
        <a:xfrm>
          <a:off x="1423987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8</xdr:col>
      <xdr:colOff>142875</xdr:colOff>
      <xdr:row>175</xdr:row>
      <xdr:rowOff>0</xdr:rowOff>
    </xdr:from>
    <xdr:ext cx="184731" cy="264560"/>
    <xdr:sp macro="" textlink="">
      <xdr:nvSpPr>
        <xdr:cNvPr id="5" name="TextBox 4"/>
        <xdr:cNvSpPr txBox="1"/>
      </xdr:nvSpPr>
      <xdr:spPr>
        <a:xfrm>
          <a:off x="9696450"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8</xdr:col>
      <xdr:colOff>142875</xdr:colOff>
      <xdr:row>175</xdr:row>
      <xdr:rowOff>0</xdr:rowOff>
    </xdr:from>
    <xdr:ext cx="184731" cy="264560"/>
    <xdr:sp macro="" textlink="">
      <xdr:nvSpPr>
        <xdr:cNvPr id="6" name="TextBox 5"/>
        <xdr:cNvSpPr txBox="1"/>
      </xdr:nvSpPr>
      <xdr:spPr>
        <a:xfrm>
          <a:off x="9696450"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8</xdr:col>
      <xdr:colOff>142875</xdr:colOff>
      <xdr:row>175</xdr:row>
      <xdr:rowOff>0</xdr:rowOff>
    </xdr:from>
    <xdr:ext cx="184731" cy="264560"/>
    <xdr:sp macro="" textlink="">
      <xdr:nvSpPr>
        <xdr:cNvPr id="7" name="TextBox 6"/>
        <xdr:cNvSpPr txBox="1"/>
      </xdr:nvSpPr>
      <xdr:spPr>
        <a:xfrm>
          <a:off x="9696450"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12</xdr:col>
      <xdr:colOff>142875</xdr:colOff>
      <xdr:row>1569</xdr:row>
      <xdr:rowOff>647700</xdr:rowOff>
    </xdr:from>
    <xdr:ext cx="184731" cy="264560"/>
    <xdr:sp macro="" textlink="">
      <xdr:nvSpPr>
        <xdr:cNvPr id="2" name="TextBox 1"/>
        <xdr:cNvSpPr txBox="1"/>
      </xdr:nvSpPr>
      <xdr:spPr>
        <a:xfrm>
          <a:off x="10610850" y="550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0</xdr:rowOff>
    </xdr:from>
    <xdr:ext cx="184731" cy="264560"/>
    <xdr:sp macro="" textlink="">
      <xdr:nvSpPr>
        <xdr:cNvPr id="4" name="TextBox 3"/>
        <xdr:cNvSpPr txBox="1"/>
      </xdr:nvSpPr>
      <xdr:spPr>
        <a:xfrm>
          <a:off x="10610850" y="4889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0</xdr:rowOff>
    </xdr:from>
    <xdr:ext cx="184731" cy="264560"/>
    <xdr:sp macro="" textlink="">
      <xdr:nvSpPr>
        <xdr:cNvPr id="5" name="TextBox 4"/>
        <xdr:cNvSpPr txBox="1"/>
      </xdr:nvSpPr>
      <xdr:spPr>
        <a:xfrm>
          <a:off x="10610850" y="4965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647700</xdr:rowOff>
    </xdr:from>
    <xdr:ext cx="184731" cy="264560"/>
    <xdr:sp macro="" textlink="">
      <xdr:nvSpPr>
        <xdr:cNvPr id="6" name="TextBox 5"/>
        <xdr:cNvSpPr txBox="1"/>
      </xdr:nvSpPr>
      <xdr:spPr>
        <a:xfrm>
          <a:off x="10610850" y="547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1597</xdr:row>
      <xdr:rowOff>647700</xdr:rowOff>
    </xdr:from>
    <xdr:ext cx="184731" cy="264560"/>
    <xdr:sp macro="" textlink="">
      <xdr:nvSpPr>
        <xdr:cNvPr id="7" name="TextBox 6"/>
        <xdr:cNvSpPr txBox="1"/>
      </xdr:nvSpPr>
      <xdr:spPr>
        <a:xfrm>
          <a:off x="145446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1600</xdr:row>
      <xdr:rowOff>647700</xdr:rowOff>
    </xdr:from>
    <xdr:ext cx="184731" cy="264560"/>
    <xdr:sp macro="" textlink="">
      <xdr:nvSpPr>
        <xdr:cNvPr id="8" name="TextBox 7"/>
        <xdr:cNvSpPr txBox="1"/>
      </xdr:nvSpPr>
      <xdr:spPr>
        <a:xfrm>
          <a:off x="145446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1607</xdr:row>
      <xdr:rowOff>0</xdr:rowOff>
    </xdr:from>
    <xdr:ext cx="184731" cy="264560"/>
    <xdr:sp macro="" textlink="">
      <xdr:nvSpPr>
        <xdr:cNvPr id="9" name="TextBox 8"/>
        <xdr:cNvSpPr txBox="1"/>
      </xdr:nvSpPr>
      <xdr:spPr>
        <a:xfrm>
          <a:off x="145446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1607</xdr:row>
      <xdr:rowOff>647700</xdr:rowOff>
    </xdr:from>
    <xdr:ext cx="184731" cy="264560"/>
    <xdr:sp macro="" textlink="">
      <xdr:nvSpPr>
        <xdr:cNvPr id="10" name="TextBox 9"/>
        <xdr:cNvSpPr txBox="1"/>
      </xdr:nvSpPr>
      <xdr:spPr>
        <a:xfrm>
          <a:off x="145446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1608</xdr:row>
      <xdr:rowOff>647700</xdr:rowOff>
    </xdr:from>
    <xdr:ext cx="184731" cy="264560"/>
    <xdr:sp macro="" textlink="">
      <xdr:nvSpPr>
        <xdr:cNvPr id="11" name="TextBox 10"/>
        <xdr:cNvSpPr txBox="1"/>
      </xdr:nvSpPr>
      <xdr:spPr>
        <a:xfrm>
          <a:off x="145446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0</xdr:rowOff>
    </xdr:from>
    <xdr:ext cx="184731" cy="264560"/>
    <xdr:sp macro="" textlink="">
      <xdr:nvSpPr>
        <xdr:cNvPr id="12" name="TextBox 11"/>
        <xdr:cNvSpPr txBox="1"/>
      </xdr:nvSpPr>
      <xdr:spPr>
        <a:xfrm>
          <a:off x="1444942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0</xdr:rowOff>
    </xdr:from>
    <xdr:ext cx="184731" cy="264560"/>
    <xdr:sp macro="" textlink="">
      <xdr:nvSpPr>
        <xdr:cNvPr id="13" name="TextBox 12"/>
        <xdr:cNvSpPr txBox="1"/>
      </xdr:nvSpPr>
      <xdr:spPr>
        <a:xfrm>
          <a:off x="1444942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1047</xdr:row>
      <xdr:rowOff>647700</xdr:rowOff>
    </xdr:from>
    <xdr:ext cx="184731" cy="264560"/>
    <xdr:sp macro="" textlink="">
      <xdr:nvSpPr>
        <xdr:cNvPr id="14" name="TextBox 13"/>
        <xdr:cNvSpPr txBox="1"/>
      </xdr:nvSpPr>
      <xdr:spPr>
        <a:xfrm>
          <a:off x="13554075" y="3448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1050</xdr:row>
      <xdr:rowOff>647700</xdr:rowOff>
    </xdr:from>
    <xdr:ext cx="184731" cy="264560"/>
    <xdr:sp macro="" textlink="">
      <xdr:nvSpPr>
        <xdr:cNvPr id="15" name="TextBox 14"/>
        <xdr:cNvSpPr txBox="1"/>
      </xdr:nvSpPr>
      <xdr:spPr>
        <a:xfrm>
          <a:off x="13554075" y="3448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1068</xdr:row>
      <xdr:rowOff>0</xdr:rowOff>
    </xdr:from>
    <xdr:ext cx="184731" cy="264560"/>
    <xdr:sp macro="" textlink="">
      <xdr:nvSpPr>
        <xdr:cNvPr id="17" name="TextBox 16"/>
        <xdr:cNvSpPr txBox="1"/>
      </xdr:nvSpPr>
      <xdr:spPr>
        <a:xfrm>
          <a:off x="13554075" y="3448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1068</xdr:row>
      <xdr:rowOff>647700</xdr:rowOff>
    </xdr:from>
    <xdr:ext cx="184731" cy="264560"/>
    <xdr:sp macro="" textlink="">
      <xdr:nvSpPr>
        <xdr:cNvPr id="18" name="TextBox 17"/>
        <xdr:cNvSpPr txBox="1"/>
      </xdr:nvSpPr>
      <xdr:spPr>
        <a:xfrm>
          <a:off x="13554075" y="3448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0</xdr:rowOff>
    </xdr:from>
    <xdr:ext cx="184731" cy="264560"/>
    <xdr:sp macro="" textlink="">
      <xdr:nvSpPr>
        <xdr:cNvPr id="19" name="TextBox 18"/>
        <xdr:cNvSpPr txBox="1"/>
      </xdr:nvSpPr>
      <xdr:spPr>
        <a:xfrm>
          <a:off x="1444942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0</xdr:rowOff>
    </xdr:from>
    <xdr:ext cx="184731" cy="264560"/>
    <xdr:sp macro="" textlink="">
      <xdr:nvSpPr>
        <xdr:cNvPr id="20" name="TextBox 19"/>
        <xdr:cNvSpPr txBox="1"/>
      </xdr:nvSpPr>
      <xdr:spPr>
        <a:xfrm>
          <a:off x="1444942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21" name="TextBox 20"/>
        <xdr:cNvSpPr txBox="1"/>
      </xdr:nvSpPr>
      <xdr:spPr>
        <a:xfrm>
          <a:off x="14449425" y="3612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22" name="TextBox 21"/>
        <xdr:cNvSpPr txBox="1"/>
      </xdr:nvSpPr>
      <xdr:spPr>
        <a:xfrm>
          <a:off x="14449425" y="3612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23" name="TextBox 22"/>
        <xdr:cNvSpPr txBox="1"/>
      </xdr:nvSpPr>
      <xdr:spPr>
        <a:xfrm>
          <a:off x="14449425" y="3612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24" name="TextBox 23"/>
        <xdr:cNvSpPr txBox="1"/>
      </xdr:nvSpPr>
      <xdr:spPr>
        <a:xfrm>
          <a:off x="14449425" y="3612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25" name="TextBox 24"/>
        <xdr:cNvSpPr txBox="1"/>
      </xdr:nvSpPr>
      <xdr:spPr>
        <a:xfrm>
          <a:off x="14449425" y="3771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26" name="TextBox 25"/>
        <xdr:cNvSpPr txBox="1"/>
      </xdr:nvSpPr>
      <xdr:spPr>
        <a:xfrm>
          <a:off x="14449425" y="3771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27" name="TextBox 26"/>
        <xdr:cNvSpPr txBox="1"/>
      </xdr:nvSpPr>
      <xdr:spPr>
        <a:xfrm>
          <a:off x="14449425" y="3771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0</xdr:rowOff>
    </xdr:from>
    <xdr:ext cx="184731" cy="264560"/>
    <xdr:sp macro="" textlink="">
      <xdr:nvSpPr>
        <xdr:cNvPr id="28" name="TextBox 27"/>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0</xdr:rowOff>
    </xdr:from>
    <xdr:ext cx="184731" cy="264560"/>
    <xdr:sp macro="" textlink="">
      <xdr:nvSpPr>
        <xdr:cNvPr id="29" name="TextBox 28"/>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0</xdr:rowOff>
    </xdr:from>
    <xdr:ext cx="184731" cy="264560"/>
    <xdr:sp macro="" textlink="">
      <xdr:nvSpPr>
        <xdr:cNvPr id="30" name="TextBox 29"/>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0</xdr:rowOff>
    </xdr:from>
    <xdr:ext cx="184731" cy="264560"/>
    <xdr:sp macro="" textlink="">
      <xdr:nvSpPr>
        <xdr:cNvPr id="31" name="TextBox 30"/>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32" name="TextBox 31"/>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33" name="TextBox 32"/>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34" name="TextBox 33"/>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35" name="TextBox 34"/>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36" name="TextBox 35"/>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37" name="TextBox 36"/>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38" name="TextBox 37"/>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1738</xdr:row>
      <xdr:rowOff>0</xdr:rowOff>
    </xdr:from>
    <xdr:ext cx="184731" cy="264560"/>
    <xdr:sp macro="" textlink="">
      <xdr:nvSpPr>
        <xdr:cNvPr id="39" name="TextBox 38"/>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1738</xdr:row>
      <xdr:rowOff>0</xdr:rowOff>
    </xdr:from>
    <xdr:ext cx="184731" cy="264560"/>
    <xdr:sp macro="" textlink="">
      <xdr:nvSpPr>
        <xdr:cNvPr id="40" name="TextBox 39"/>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1738</xdr:row>
      <xdr:rowOff>0</xdr:rowOff>
    </xdr:from>
    <xdr:ext cx="184731" cy="264560"/>
    <xdr:sp macro="" textlink="">
      <xdr:nvSpPr>
        <xdr:cNvPr id="41" name="TextBox 40"/>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1738</xdr:row>
      <xdr:rowOff>0</xdr:rowOff>
    </xdr:from>
    <xdr:ext cx="184731" cy="264560"/>
    <xdr:sp macro="" textlink="">
      <xdr:nvSpPr>
        <xdr:cNvPr id="42" name="TextBox 41"/>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0</xdr:rowOff>
    </xdr:from>
    <xdr:ext cx="184731" cy="264560"/>
    <xdr:sp macro="" textlink="">
      <xdr:nvSpPr>
        <xdr:cNvPr id="43" name="TextBox 42"/>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0</xdr:rowOff>
    </xdr:from>
    <xdr:ext cx="184731" cy="264560"/>
    <xdr:sp macro="" textlink="">
      <xdr:nvSpPr>
        <xdr:cNvPr id="44" name="TextBox 43"/>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0</xdr:rowOff>
    </xdr:from>
    <xdr:ext cx="184731" cy="264560"/>
    <xdr:sp macro="" textlink="">
      <xdr:nvSpPr>
        <xdr:cNvPr id="45" name="TextBox 44"/>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0</xdr:rowOff>
    </xdr:from>
    <xdr:ext cx="184731" cy="264560"/>
    <xdr:sp macro="" textlink="">
      <xdr:nvSpPr>
        <xdr:cNvPr id="46" name="TextBox 45"/>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0</xdr:rowOff>
    </xdr:from>
    <xdr:ext cx="184731" cy="264560"/>
    <xdr:sp macro="" textlink="">
      <xdr:nvSpPr>
        <xdr:cNvPr id="47" name="TextBox 46"/>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0</xdr:rowOff>
    </xdr:from>
    <xdr:ext cx="184731" cy="264560"/>
    <xdr:sp macro="" textlink="">
      <xdr:nvSpPr>
        <xdr:cNvPr id="48" name="TextBox 47"/>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0</xdr:rowOff>
    </xdr:from>
    <xdr:ext cx="184731" cy="264560"/>
    <xdr:sp macro="" textlink="">
      <xdr:nvSpPr>
        <xdr:cNvPr id="49" name="TextBox 48"/>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1739</xdr:row>
      <xdr:rowOff>0</xdr:rowOff>
    </xdr:from>
    <xdr:ext cx="184731" cy="264560"/>
    <xdr:sp macro="" textlink="">
      <xdr:nvSpPr>
        <xdr:cNvPr id="50" name="TextBox 49"/>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1739</xdr:row>
      <xdr:rowOff>0</xdr:rowOff>
    </xdr:from>
    <xdr:ext cx="184731" cy="264560"/>
    <xdr:sp macro="" textlink="">
      <xdr:nvSpPr>
        <xdr:cNvPr id="51" name="TextBox 50"/>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1739</xdr:row>
      <xdr:rowOff>0</xdr:rowOff>
    </xdr:from>
    <xdr:ext cx="184731" cy="264560"/>
    <xdr:sp macro="" textlink="">
      <xdr:nvSpPr>
        <xdr:cNvPr id="52" name="TextBox 51"/>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1739</xdr:row>
      <xdr:rowOff>0</xdr:rowOff>
    </xdr:from>
    <xdr:ext cx="184731" cy="264560"/>
    <xdr:sp macro="" textlink="">
      <xdr:nvSpPr>
        <xdr:cNvPr id="53" name="TextBox 52"/>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54" name="TextBox 53"/>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55" name="TextBox 54"/>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56" name="TextBox 55"/>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57" name="TextBox 56"/>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1779</xdr:row>
      <xdr:rowOff>0</xdr:rowOff>
    </xdr:from>
    <xdr:ext cx="184731" cy="264560"/>
    <xdr:sp macro="" textlink="">
      <xdr:nvSpPr>
        <xdr:cNvPr id="58" name="TextBox 57"/>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1779</xdr:row>
      <xdr:rowOff>0</xdr:rowOff>
    </xdr:from>
    <xdr:ext cx="184731" cy="264560"/>
    <xdr:sp macro="" textlink="">
      <xdr:nvSpPr>
        <xdr:cNvPr id="59" name="TextBox 58"/>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1779</xdr:row>
      <xdr:rowOff>0</xdr:rowOff>
    </xdr:from>
    <xdr:ext cx="184731" cy="264560"/>
    <xdr:sp macro="" textlink="">
      <xdr:nvSpPr>
        <xdr:cNvPr id="60" name="TextBox 59"/>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1740</xdr:row>
      <xdr:rowOff>0</xdr:rowOff>
    </xdr:from>
    <xdr:ext cx="184731" cy="264560"/>
    <xdr:sp macro="" textlink="">
      <xdr:nvSpPr>
        <xdr:cNvPr id="61" name="TextBox 60"/>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1740</xdr:row>
      <xdr:rowOff>0</xdr:rowOff>
    </xdr:from>
    <xdr:ext cx="184731" cy="264560"/>
    <xdr:sp macro="" textlink="">
      <xdr:nvSpPr>
        <xdr:cNvPr id="62" name="TextBox 61"/>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1740</xdr:row>
      <xdr:rowOff>0</xdr:rowOff>
    </xdr:from>
    <xdr:ext cx="184731" cy="264560"/>
    <xdr:sp macro="" textlink="">
      <xdr:nvSpPr>
        <xdr:cNvPr id="63" name="TextBox 62"/>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1740</xdr:row>
      <xdr:rowOff>0</xdr:rowOff>
    </xdr:from>
    <xdr:ext cx="184731" cy="264560"/>
    <xdr:sp macro="" textlink="">
      <xdr:nvSpPr>
        <xdr:cNvPr id="64" name="TextBox 63"/>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0</xdr:rowOff>
    </xdr:from>
    <xdr:ext cx="184731" cy="264560"/>
    <xdr:sp macro="" textlink="">
      <xdr:nvSpPr>
        <xdr:cNvPr id="65" name="TextBox 64"/>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0</xdr:rowOff>
    </xdr:from>
    <xdr:ext cx="184731" cy="264560"/>
    <xdr:sp macro="" textlink="">
      <xdr:nvSpPr>
        <xdr:cNvPr id="66" name="TextBox 65"/>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0</xdr:rowOff>
    </xdr:from>
    <xdr:ext cx="184731" cy="264560"/>
    <xdr:sp macro="" textlink="">
      <xdr:nvSpPr>
        <xdr:cNvPr id="67" name="TextBox 66"/>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0</xdr:rowOff>
    </xdr:from>
    <xdr:ext cx="184731" cy="264560"/>
    <xdr:sp macro="" textlink="">
      <xdr:nvSpPr>
        <xdr:cNvPr id="68" name="TextBox 67"/>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0</xdr:rowOff>
    </xdr:from>
    <xdr:ext cx="184731" cy="264560"/>
    <xdr:sp macro="" textlink="">
      <xdr:nvSpPr>
        <xdr:cNvPr id="69" name="TextBox 68"/>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0</xdr:rowOff>
    </xdr:from>
    <xdr:ext cx="184731" cy="264560"/>
    <xdr:sp macro="" textlink="">
      <xdr:nvSpPr>
        <xdr:cNvPr id="70" name="TextBox 69"/>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0</xdr:rowOff>
    </xdr:from>
    <xdr:ext cx="184731" cy="264560"/>
    <xdr:sp macro="" textlink="">
      <xdr:nvSpPr>
        <xdr:cNvPr id="71" name="TextBox 70"/>
        <xdr:cNvSpPr txBox="1"/>
      </xdr:nvSpPr>
      <xdr:spPr>
        <a:xfrm>
          <a:off x="14544675" y="1348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1157</xdr:row>
      <xdr:rowOff>647700</xdr:rowOff>
    </xdr:from>
    <xdr:ext cx="184731" cy="264560"/>
    <xdr:sp macro="" textlink="">
      <xdr:nvSpPr>
        <xdr:cNvPr id="72" name="TextBox 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1160</xdr:row>
      <xdr:rowOff>647700</xdr:rowOff>
    </xdr:from>
    <xdr:ext cx="184731" cy="264560"/>
    <xdr:sp macro="" textlink="">
      <xdr:nvSpPr>
        <xdr:cNvPr id="73" name="TextBox 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1178</xdr:row>
      <xdr:rowOff>0</xdr:rowOff>
    </xdr:from>
    <xdr:ext cx="184731" cy="264560"/>
    <xdr:sp macro="" textlink="">
      <xdr:nvSpPr>
        <xdr:cNvPr id="74" name="TextBox 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1178</xdr:row>
      <xdr:rowOff>647700</xdr:rowOff>
    </xdr:from>
    <xdr:ext cx="184731" cy="264560"/>
    <xdr:sp macro="" textlink="">
      <xdr:nvSpPr>
        <xdr:cNvPr id="75" name="TextBox 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1158</xdr:row>
      <xdr:rowOff>647700</xdr:rowOff>
    </xdr:from>
    <xdr:ext cx="184731" cy="264560"/>
    <xdr:sp macro="" textlink="">
      <xdr:nvSpPr>
        <xdr:cNvPr id="76" name="TextBox 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1161</xdr:row>
      <xdr:rowOff>647700</xdr:rowOff>
    </xdr:from>
    <xdr:ext cx="184731" cy="264560"/>
    <xdr:sp macro="" textlink="">
      <xdr:nvSpPr>
        <xdr:cNvPr id="77" name="TextBox 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1179</xdr:row>
      <xdr:rowOff>0</xdr:rowOff>
    </xdr:from>
    <xdr:ext cx="184731" cy="264560"/>
    <xdr:sp macro="" textlink="">
      <xdr:nvSpPr>
        <xdr:cNvPr id="78" name="TextBox 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1179</xdr:row>
      <xdr:rowOff>647700</xdr:rowOff>
    </xdr:from>
    <xdr:ext cx="184731" cy="264560"/>
    <xdr:sp macro="" textlink="">
      <xdr:nvSpPr>
        <xdr:cNvPr id="79" name="TextBox 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1159</xdr:row>
      <xdr:rowOff>647700</xdr:rowOff>
    </xdr:from>
    <xdr:ext cx="184731" cy="264560"/>
    <xdr:sp macro="" textlink="">
      <xdr:nvSpPr>
        <xdr:cNvPr id="80" name="TextBox 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1162</xdr:row>
      <xdr:rowOff>647700</xdr:rowOff>
    </xdr:from>
    <xdr:ext cx="184731" cy="264560"/>
    <xdr:sp macro="" textlink="">
      <xdr:nvSpPr>
        <xdr:cNvPr id="81" name="TextBox 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1180</xdr:row>
      <xdr:rowOff>0</xdr:rowOff>
    </xdr:from>
    <xdr:ext cx="184731" cy="264560"/>
    <xdr:sp macro="" textlink="">
      <xdr:nvSpPr>
        <xdr:cNvPr id="82" name="TextBox 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1180</xdr:row>
      <xdr:rowOff>647700</xdr:rowOff>
    </xdr:from>
    <xdr:ext cx="184731" cy="264560"/>
    <xdr:sp macro="" textlink="">
      <xdr:nvSpPr>
        <xdr:cNvPr id="83" name="TextBox 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1530</xdr:row>
      <xdr:rowOff>647700</xdr:rowOff>
    </xdr:from>
    <xdr:ext cx="184731" cy="264560"/>
    <xdr:sp macro="" textlink="">
      <xdr:nvSpPr>
        <xdr:cNvPr id="84" name="TextBox 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1533</xdr:row>
      <xdr:rowOff>647700</xdr:rowOff>
    </xdr:from>
    <xdr:ext cx="184731" cy="264560"/>
    <xdr:sp macro="" textlink="">
      <xdr:nvSpPr>
        <xdr:cNvPr id="85" name="TextBox 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1551</xdr:row>
      <xdr:rowOff>0</xdr:rowOff>
    </xdr:from>
    <xdr:ext cx="184731" cy="264560"/>
    <xdr:sp macro="" textlink="">
      <xdr:nvSpPr>
        <xdr:cNvPr id="86" name="TextBox 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1551</xdr:row>
      <xdr:rowOff>647700</xdr:rowOff>
    </xdr:from>
    <xdr:ext cx="184731" cy="264560"/>
    <xdr:sp macro="" textlink="">
      <xdr:nvSpPr>
        <xdr:cNvPr id="87" name="TextBox 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1531</xdr:row>
      <xdr:rowOff>647700</xdr:rowOff>
    </xdr:from>
    <xdr:ext cx="184731" cy="264560"/>
    <xdr:sp macro="" textlink="">
      <xdr:nvSpPr>
        <xdr:cNvPr id="88" name="TextBox 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1534</xdr:row>
      <xdr:rowOff>647700</xdr:rowOff>
    </xdr:from>
    <xdr:ext cx="184731" cy="264560"/>
    <xdr:sp macro="" textlink="">
      <xdr:nvSpPr>
        <xdr:cNvPr id="89" name="TextBox 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1552</xdr:row>
      <xdr:rowOff>0</xdr:rowOff>
    </xdr:from>
    <xdr:ext cx="184731" cy="264560"/>
    <xdr:sp macro="" textlink="">
      <xdr:nvSpPr>
        <xdr:cNvPr id="90" name="TextBox 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1552</xdr:row>
      <xdr:rowOff>647700</xdr:rowOff>
    </xdr:from>
    <xdr:ext cx="184731" cy="264560"/>
    <xdr:sp macro="" textlink="">
      <xdr:nvSpPr>
        <xdr:cNvPr id="91" name="TextBox 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1556</xdr:row>
      <xdr:rowOff>647700</xdr:rowOff>
    </xdr:from>
    <xdr:ext cx="184731" cy="264560"/>
    <xdr:sp macro="" textlink="">
      <xdr:nvSpPr>
        <xdr:cNvPr id="92" name="TextBox 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647700</xdr:rowOff>
    </xdr:from>
    <xdr:ext cx="184731" cy="264560"/>
    <xdr:sp macro="" textlink="">
      <xdr:nvSpPr>
        <xdr:cNvPr id="93" name="TextBox 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1576</xdr:row>
      <xdr:rowOff>0</xdr:rowOff>
    </xdr:from>
    <xdr:ext cx="184731" cy="264560"/>
    <xdr:sp macro="" textlink="">
      <xdr:nvSpPr>
        <xdr:cNvPr id="94" name="TextBox 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1576</xdr:row>
      <xdr:rowOff>647700</xdr:rowOff>
    </xdr:from>
    <xdr:ext cx="184731" cy="264560"/>
    <xdr:sp macro="" textlink="">
      <xdr:nvSpPr>
        <xdr:cNvPr id="95" name="TextBox 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647700</xdr:rowOff>
    </xdr:from>
    <xdr:ext cx="184731" cy="264560"/>
    <xdr:sp macro="" textlink="">
      <xdr:nvSpPr>
        <xdr:cNvPr id="96" name="TextBox 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97" name="TextBox 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1577</xdr:row>
      <xdr:rowOff>0</xdr:rowOff>
    </xdr:from>
    <xdr:ext cx="184731" cy="264560"/>
    <xdr:sp macro="" textlink="">
      <xdr:nvSpPr>
        <xdr:cNvPr id="98" name="TextBox 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1577</xdr:row>
      <xdr:rowOff>647700</xdr:rowOff>
    </xdr:from>
    <xdr:ext cx="184731" cy="264560"/>
    <xdr:sp macro="" textlink="">
      <xdr:nvSpPr>
        <xdr:cNvPr id="99" name="TextBox 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647700</xdr:rowOff>
    </xdr:from>
    <xdr:ext cx="184731" cy="264560"/>
    <xdr:sp macro="" textlink="">
      <xdr:nvSpPr>
        <xdr:cNvPr id="100" name="TextBox 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101" name="TextBox 1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0</xdr:rowOff>
    </xdr:from>
    <xdr:ext cx="184731" cy="264560"/>
    <xdr:sp macro="" textlink="">
      <xdr:nvSpPr>
        <xdr:cNvPr id="102" name="TextBox 1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647700</xdr:rowOff>
    </xdr:from>
    <xdr:ext cx="184731" cy="264560"/>
    <xdr:sp macro="" textlink="">
      <xdr:nvSpPr>
        <xdr:cNvPr id="103" name="TextBox 1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647700</xdr:rowOff>
    </xdr:from>
    <xdr:ext cx="184731" cy="264560"/>
    <xdr:sp macro="" textlink="">
      <xdr:nvSpPr>
        <xdr:cNvPr id="104" name="TextBox 1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105" name="TextBox 1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0</xdr:rowOff>
    </xdr:from>
    <xdr:ext cx="184731" cy="264560"/>
    <xdr:sp macro="" textlink="">
      <xdr:nvSpPr>
        <xdr:cNvPr id="106" name="TextBox 1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647700</xdr:rowOff>
    </xdr:from>
    <xdr:ext cx="184731" cy="264560"/>
    <xdr:sp macro="" textlink="">
      <xdr:nvSpPr>
        <xdr:cNvPr id="107" name="TextBox 1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108" name="TextBox 1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109" name="TextBox 1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0</xdr:rowOff>
    </xdr:from>
    <xdr:ext cx="184731" cy="264560"/>
    <xdr:sp macro="" textlink="">
      <xdr:nvSpPr>
        <xdr:cNvPr id="110" name="TextBox 1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647700</xdr:rowOff>
    </xdr:from>
    <xdr:ext cx="184731" cy="264560"/>
    <xdr:sp macro="" textlink="">
      <xdr:nvSpPr>
        <xdr:cNvPr id="111" name="TextBox 1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112" name="TextBox 1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113" name="TextBox 1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114" name="TextBox 1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115" name="TextBox 1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116" name="TextBox 1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117" name="TextBox 1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118" name="TextBox 1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119" name="TextBox 1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120" name="TextBox 1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121" name="TextBox 1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122" name="TextBox 1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123" name="TextBox 1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1674</xdr:row>
      <xdr:rowOff>647700</xdr:rowOff>
    </xdr:from>
    <xdr:ext cx="184731" cy="264560"/>
    <xdr:sp macro="" textlink="">
      <xdr:nvSpPr>
        <xdr:cNvPr id="124" name="TextBox 1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1677</xdr:row>
      <xdr:rowOff>647700</xdr:rowOff>
    </xdr:from>
    <xdr:ext cx="184731" cy="264560"/>
    <xdr:sp macro="" textlink="">
      <xdr:nvSpPr>
        <xdr:cNvPr id="125" name="TextBox 1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1695</xdr:row>
      <xdr:rowOff>0</xdr:rowOff>
    </xdr:from>
    <xdr:ext cx="184731" cy="264560"/>
    <xdr:sp macro="" textlink="">
      <xdr:nvSpPr>
        <xdr:cNvPr id="126" name="TextBox 1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1695</xdr:row>
      <xdr:rowOff>647700</xdr:rowOff>
    </xdr:from>
    <xdr:ext cx="184731" cy="264560"/>
    <xdr:sp macro="" textlink="">
      <xdr:nvSpPr>
        <xdr:cNvPr id="127" name="TextBox 1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1675</xdr:row>
      <xdr:rowOff>647700</xdr:rowOff>
    </xdr:from>
    <xdr:ext cx="184731" cy="264560"/>
    <xdr:sp macro="" textlink="">
      <xdr:nvSpPr>
        <xdr:cNvPr id="128" name="TextBox 1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1679</xdr:row>
      <xdr:rowOff>647700</xdr:rowOff>
    </xdr:from>
    <xdr:ext cx="184731" cy="264560"/>
    <xdr:sp macro="" textlink="">
      <xdr:nvSpPr>
        <xdr:cNvPr id="129" name="TextBox 1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1696</xdr:row>
      <xdr:rowOff>0</xdr:rowOff>
    </xdr:from>
    <xdr:ext cx="184731" cy="264560"/>
    <xdr:sp macro="" textlink="">
      <xdr:nvSpPr>
        <xdr:cNvPr id="130" name="TextBox 1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1696</xdr:row>
      <xdr:rowOff>647700</xdr:rowOff>
    </xdr:from>
    <xdr:ext cx="184731" cy="264560"/>
    <xdr:sp macro="" textlink="">
      <xdr:nvSpPr>
        <xdr:cNvPr id="131" name="TextBox 1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132" name="TextBox 1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0</xdr:rowOff>
    </xdr:from>
    <xdr:ext cx="184731" cy="264560"/>
    <xdr:sp macro="" textlink="">
      <xdr:nvSpPr>
        <xdr:cNvPr id="133" name="TextBox 1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0</xdr:rowOff>
    </xdr:from>
    <xdr:ext cx="184731" cy="264560"/>
    <xdr:sp macro="" textlink="">
      <xdr:nvSpPr>
        <xdr:cNvPr id="134" name="TextBox 1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647700</xdr:rowOff>
    </xdr:from>
    <xdr:ext cx="184731" cy="264560"/>
    <xdr:sp macro="" textlink="">
      <xdr:nvSpPr>
        <xdr:cNvPr id="135" name="TextBox 1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1598</xdr:row>
      <xdr:rowOff>647700</xdr:rowOff>
    </xdr:from>
    <xdr:ext cx="184731" cy="264560"/>
    <xdr:sp macro="" textlink="">
      <xdr:nvSpPr>
        <xdr:cNvPr id="136" name="TextBox 1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1601</xdr:row>
      <xdr:rowOff>647700</xdr:rowOff>
    </xdr:from>
    <xdr:ext cx="184731" cy="264560"/>
    <xdr:sp macro="" textlink="">
      <xdr:nvSpPr>
        <xdr:cNvPr id="137" name="TextBox 1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1608</xdr:row>
      <xdr:rowOff>0</xdr:rowOff>
    </xdr:from>
    <xdr:ext cx="184731" cy="264560"/>
    <xdr:sp macro="" textlink="">
      <xdr:nvSpPr>
        <xdr:cNvPr id="138" name="TextBox 1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1608</xdr:row>
      <xdr:rowOff>647700</xdr:rowOff>
    </xdr:from>
    <xdr:ext cx="184731" cy="264560"/>
    <xdr:sp macro="" textlink="">
      <xdr:nvSpPr>
        <xdr:cNvPr id="139" name="TextBox 1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1609</xdr:row>
      <xdr:rowOff>647700</xdr:rowOff>
    </xdr:from>
    <xdr:ext cx="184731" cy="264560"/>
    <xdr:sp macro="" textlink="">
      <xdr:nvSpPr>
        <xdr:cNvPr id="140" name="TextBox 1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1048</xdr:row>
      <xdr:rowOff>647700</xdr:rowOff>
    </xdr:from>
    <xdr:ext cx="184731" cy="264560"/>
    <xdr:sp macro="" textlink="">
      <xdr:nvSpPr>
        <xdr:cNvPr id="141" name="TextBox 1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1051</xdr:row>
      <xdr:rowOff>647700</xdr:rowOff>
    </xdr:from>
    <xdr:ext cx="184731" cy="264560"/>
    <xdr:sp macro="" textlink="">
      <xdr:nvSpPr>
        <xdr:cNvPr id="142" name="TextBox 1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1069</xdr:row>
      <xdr:rowOff>0</xdr:rowOff>
    </xdr:from>
    <xdr:ext cx="184731" cy="264560"/>
    <xdr:sp macro="" textlink="">
      <xdr:nvSpPr>
        <xdr:cNvPr id="143" name="TextBox 1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1069</xdr:row>
      <xdr:rowOff>647700</xdr:rowOff>
    </xdr:from>
    <xdr:ext cx="184731" cy="264560"/>
    <xdr:sp macro="" textlink="">
      <xdr:nvSpPr>
        <xdr:cNvPr id="144" name="TextBox 1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1158</xdr:row>
      <xdr:rowOff>647700</xdr:rowOff>
    </xdr:from>
    <xdr:ext cx="184731" cy="264560"/>
    <xdr:sp macro="" textlink="">
      <xdr:nvSpPr>
        <xdr:cNvPr id="145" name="TextBox 1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1161</xdr:row>
      <xdr:rowOff>647700</xdr:rowOff>
    </xdr:from>
    <xdr:ext cx="184731" cy="264560"/>
    <xdr:sp macro="" textlink="">
      <xdr:nvSpPr>
        <xdr:cNvPr id="146" name="TextBox 1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1179</xdr:row>
      <xdr:rowOff>0</xdr:rowOff>
    </xdr:from>
    <xdr:ext cx="184731" cy="264560"/>
    <xdr:sp macro="" textlink="">
      <xdr:nvSpPr>
        <xdr:cNvPr id="147" name="TextBox 1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1179</xdr:row>
      <xdr:rowOff>647700</xdr:rowOff>
    </xdr:from>
    <xdr:ext cx="184731" cy="264560"/>
    <xdr:sp macro="" textlink="">
      <xdr:nvSpPr>
        <xdr:cNvPr id="148" name="TextBox 1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1159</xdr:row>
      <xdr:rowOff>647700</xdr:rowOff>
    </xdr:from>
    <xdr:ext cx="184731" cy="264560"/>
    <xdr:sp macro="" textlink="">
      <xdr:nvSpPr>
        <xdr:cNvPr id="149" name="TextBox 1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1162</xdr:row>
      <xdr:rowOff>647700</xdr:rowOff>
    </xdr:from>
    <xdr:ext cx="184731" cy="264560"/>
    <xdr:sp macro="" textlink="">
      <xdr:nvSpPr>
        <xdr:cNvPr id="150" name="TextBox 1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1180</xdr:row>
      <xdr:rowOff>0</xdr:rowOff>
    </xdr:from>
    <xdr:ext cx="184731" cy="264560"/>
    <xdr:sp macro="" textlink="">
      <xdr:nvSpPr>
        <xdr:cNvPr id="151" name="TextBox 1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1180</xdr:row>
      <xdr:rowOff>647700</xdr:rowOff>
    </xdr:from>
    <xdr:ext cx="184731" cy="264560"/>
    <xdr:sp macro="" textlink="">
      <xdr:nvSpPr>
        <xdr:cNvPr id="152" name="TextBox 1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1160</xdr:row>
      <xdr:rowOff>647700</xdr:rowOff>
    </xdr:from>
    <xdr:ext cx="184731" cy="264560"/>
    <xdr:sp macro="" textlink="">
      <xdr:nvSpPr>
        <xdr:cNvPr id="153" name="TextBox 1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154" name="TextBox 1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1181</xdr:row>
      <xdr:rowOff>0</xdr:rowOff>
    </xdr:from>
    <xdr:ext cx="184731" cy="264560"/>
    <xdr:sp macro="" textlink="">
      <xdr:nvSpPr>
        <xdr:cNvPr id="155" name="TextBox 1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1181</xdr:row>
      <xdr:rowOff>647700</xdr:rowOff>
    </xdr:from>
    <xdr:ext cx="184731" cy="264560"/>
    <xdr:sp macro="" textlink="">
      <xdr:nvSpPr>
        <xdr:cNvPr id="156" name="TextBox 1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1531</xdr:row>
      <xdr:rowOff>647700</xdr:rowOff>
    </xdr:from>
    <xdr:ext cx="184731" cy="264560"/>
    <xdr:sp macro="" textlink="">
      <xdr:nvSpPr>
        <xdr:cNvPr id="157" name="TextBox 1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1534</xdr:row>
      <xdr:rowOff>647700</xdr:rowOff>
    </xdr:from>
    <xdr:ext cx="184731" cy="264560"/>
    <xdr:sp macro="" textlink="">
      <xdr:nvSpPr>
        <xdr:cNvPr id="158" name="TextBox 1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1552</xdr:row>
      <xdr:rowOff>0</xdr:rowOff>
    </xdr:from>
    <xdr:ext cx="184731" cy="264560"/>
    <xdr:sp macro="" textlink="">
      <xdr:nvSpPr>
        <xdr:cNvPr id="159" name="TextBox 1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1552</xdr:row>
      <xdr:rowOff>647700</xdr:rowOff>
    </xdr:from>
    <xdr:ext cx="184731" cy="264560"/>
    <xdr:sp macro="" textlink="">
      <xdr:nvSpPr>
        <xdr:cNvPr id="160" name="TextBox 1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1532</xdr:row>
      <xdr:rowOff>647700</xdr:rowOff>
    </xdr:from>
    <xdr:ext cx="184731" cy="264560"/>
    <xdr:sp macro="" textlink="">
      <xdr:nvSpPr>
        <xdr:cNvPr id="161" name="TextBox 1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1535</xdr:row>
      <xdr:rowOff>647700</xdr:rowOff>
    </xdr:from>
    <xdr:ext cx="184731" cy="264560"/>
    <xdr:sp macro="" textlink="">
      <xdr:nvSpPr>
        <xdr:cNvPr id="162" name="TextBox 1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1553</xdr:row>
      <xdr:rowOff>0</xdr:rowOff>
    </xdr:from>
    <xdr:ext cx="184731" cy="264560"/>
    <xdr:sp macro="" textlink="">
      <xdr:nvSpPr>
        <xdr:cNvPr id="163" name="TextBox 1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1553</xdr:row>
      <xdr:rowOff>647700</xdr:rowOff>
    </xdr:from>
    <xdr:ext cx="184731" cy="264560"/>
    <xdr:sp macro="" textlink="">
      <xdr:nvSpPr>
        <xdr:cNvPr id="164" name="TextBox 1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647700</xdr:rowOff>
    </xdr:from>
    <xdr:ext cx="184731" cy="264560"/>
    <xdr:sp macro="" textlink="">
      <xdr:nvSpPr>
        <xdr:cNvPr id="165" name="TextBox 1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166" name="TextBox 1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1577</xdr:row>
      <xdr:rowOff>0</xdr:rowOff>
    </xdr:from>
    <xdr:ext cx="184731" cy="264560"/>
    <xdr:sp macro="" textlink="">
      <xdr:nvSpPr>
        <xdr:cNvPr id="167" name="TextBox 1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1577</xdr:row>
      <xdr:rowOff>647700</xdr:rowOff>
    </xdr:from>
    <xdr:ext cx="184731" cy="264560"/>
    <xdr:sp macro="" textlink="">
      <xdr:nvSpPr>
        <xdr:cNvPr id="168" name="TextBox 1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647700</xdr:rowOff>
    </xdr:from>
    <xdr:ext cx="184731" cy="264560"/>
    <xdr:sp macro="" textlink="">
      <xdr:nvSpPr>
        <xdr:cNvPr id="169" name="TextBox 1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170" name="TextBox 1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0</xdr:rowOff>
    </xdr:from>
    <xdr:ext cx="184731" cy="264560"/>
    <xdr:sp macro="" textlink="">
      <xdr:nvSpPr>
        <xdr:cNvPr id="171" name="TextBox 1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647700</xdr:rowOff>
    </xdr:from>
    <xdr:ext cx="184731" cy="264560"/>
    <xdr:sp macro="" textlink="">
      <xdr:nvSpPr>
        <xdr:cNvPr id="172" name="TextBox 1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647700</xdr:rowOff>
    </xdr:from>
    <xdr:ext cx="184731" cy="264560"/>
    <xdr:sp macro="" textlink="">
      <xdr:nvSpPr>
        <xdr:cNvPr id="173" name="TextBox 1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174" name="TextBox 1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0</xdr:rowOff>
    </xdr:from>
    <xdr:ext cx="184731" cy="264560"/>
    <xdr:sp macro="" textlink="">
      <xdr:nvSpPr>
        <xdr:cNvPr id="175" name="TextBox 1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647700</xdr:rowOff>
    </xdr:from>
    <xdr:ext cx="184731" cy="264560"/>
    <xdr:sp macro="" textlink="">
      <xdr:nvSpPr>
        <xdr:cNvPr id="176" name="TextBox 1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177" name="TextBox 1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178" name="TextBox 1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0</xdr:rowOff>
    </xdr:from>
    <xdr:ext cx="184731" cy="264560"/>
    <xdr:sp macro="" textlink="">
      <xdr:nvSpPr>
        <xdr:cNvPr id="179" name="TextBox 1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647700</xdr:rowOff>
    </xdr:from>
    <xdr:ext cx="184731" cy="264560"/>
    <xdr:sp macro="" textlink="">
      <xdr:nvSpPr>
        <xdr:cNvPr id="180" name="TextBox 1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181" name="TextBox 1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182" name="TextBox 1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183" name="TextBox 1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184" name="TextBox 1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185" name="TextBox 1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186" name="TextBox 1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187" name="TextBox 1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188" name="TextBox 1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189" name="TextBox 1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190" name="TextBox 1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191" name="TextBox 1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192" name="TextBox 1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193" name="TextBox 1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194" name="TextBox 1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195" name="TextBox 1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196" name="TextBox 1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1675</xdr:row>
      <xdr:rowOff>647700</xdr:rowOff>
    </xdr:from>
    <xdr:ext cx="184731" cy="264560"/>
    <xdr:sp macro="" textlink="">
      <xdr:nvSpPr>
        <xdr:cNvPr id="197" name="TextBox 1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1679</xdr:row>
      <xdr:rowOff>647700</xdr:rowOff>
    </xdr:from>
    <xdr:ext cx="184731" cy="264560"/>
    <xdr:sp macro="" textlink="">
      <xdr:nvSpPr>
        <xdr:cNvPr id="198" name="TextBox 1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1696</xdr:row>
      <xdr:rowOff>0</xdr:rowOff>
    </xdr:from>
    <xdr:ext cx="184731" cy="264560"/>
    <xdr:sp macro="" textlink="">
      <xdr:nvSpPr>
        <xdr:cNvPr id="199" name="TextBox 1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1696</xdr:row>
      <xdr:rowOff>647700</xdr:rowOff>
    </xdr:from>
    <xdr:ext cx="184731" cy="264560"/>
    <xdr:sp macro="" textlink="">
      <xdr:nvSpPr>
        <xdr:cNvPr id="200" name="TextBox 1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1676</xdr:row>
      <xdr:rowOff>647700</xdr:rowOff>
    </xdr:from>
    <xdr:ext cx="184731" cy="264560"/>
    <xdr:sp macro="" textlink="">
      <xdr:nvSpPr>
        <xdr:cNvPr id="201" name="TextBox 2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1680</xdr:row>
      <xdr:rowOff>647700</xdr:rowOff>
    </xdr:from>
    <xdr:ext cx="184731" cy="264560"/>
    <xdr:sp macro="" textlink="">
      <xdr:nvSpPr>
        <xdr:cNvPr id="202" name="TextBox 2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1697</xdr:row>
      <xdr:rowOff>0</xdr:rowOff>
    </xdr:from>
    <xdr:ext cx="184731" cy="264560"/>
    <xdr:sp macro="" textlink="">
      <xdr:nvSpPr>
        <xdr:cNvPr id="203" name="TextBox 2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1697</xdr:row>
      <xdr:rowOff>647700</xdr:rowOff>
    </xdr:from>
    <xdr:ext cx="184731" cy="264560"/>
    <xdr:sp macro="" textlink="">
      <xdr:nvSpPr>
        <xdr:cNvPr id="204" name="TextBox 2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205" name="TextBox 2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0</xdr:rowOff>
    </xdr:from>
    <xdr:ext cx="184731" cy="264560"/>
    <xdr:sp macro="" textlink="">
      <xdr:nvSpPr>
        <xdr:cNvPr id="206" name="TextBox 2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0</xdr:rowOff>
    </xdr:from>
    <xdr:ext cx="184731" cy="264560"/>
    <xdr:sp macro="" textlink="">
      <xdr:nvSpPr>
        <xdr:cNvPr id="207" name="TextBox 2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647700</xdr:rowOff>
    </xdr:from>
    <xdr:ext cx="184731" cy="264560"/>
    <xdr:sp macro="" textlink="">
      <xdr:nvSpPr>
        <xdr:cNvPr id="208" name="TextBox 2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1599</xdr:row>
      <xdr:rowOff>647700</xdr:rowOff>
    </xdr:from>
    <xdr:ext cx="184731" cy="264560"/>
    <xdr:sp macro="" textlink="">
      <xdr:nvSpPr>
        <xdr:cNvPr id="209" name="TextBox 2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1602</xdr:row>
      <xdr:rowOff>647700</xdr:rowOff>
    </xdr:from>
    <xdr:ext cx="184731" cy="264560"/>
    <xdr:sp macro="" textlink="">
      <xdr:nvSpPr>
        <xdr:cNvPr id="210" name="TextBox 2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1609</xdr:row>
      <xdr:rowOff>0</xdr:rowOff>
    </xdr:from>
    <xdr:ext cx="184731" cy="264560"/>
    <xdr:sp macro="" textlink="">
      <xdr:nvSpPr>
        <xdr:cNvPr id="211" name="TextBox 2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1609</xdr:row>
      <xdr:rowOff>647700</xdr:rowOff>
    </xdr:from>
    <xdr:ext cx="184731" cy="264560"/>
    <xdr:sp macro="" textlink="">
      <xdr:nvSpPr>
        <xdr:cNvPr id="212" name="TextBox 2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1610</xdr:row>
      <xdr:rowOff>647700</xdr:rowOff>
    </xdr:from>
    <xdr:ext cx="184731" cy="264560"/>
    <xdr:sp macro="" textlink="">
      <xdr:nvSpPr>
        <xdr:cNvPr id="213" name="TextBox 2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1049</xdr:row>
      <xdr:rowOff>647700</xdr:rowOff>
    </xdr:from>
    <xdr:ext cx="184731" cy="264560"/>
    <xdr:sp macro="" textlink="">
      <xdr:nvSpPr>
        <xdr:cNvPr id="214" name="TextBox 2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1052</xdr:row>
      <xdr:rowOff>647700</xdr:rowOff>
    </xdr:from>
    <xdr:ext cx="184731" cy="264560"/>
    <xdr:sp macro="" textlink="">
      <xdr:nvSpPr>
        <xdr:cNvPr id="215" name="TextBox 2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1070</xdr:row>
      <xdr:rowOff>0</xdr:rowOff>
    </xdr:from>
    <xdr:ext cx="184731" cy="264560"/>
    <xdr:sp macro="" textlink="">
      <xdr:nvSpPr>
        <xdr:cNvPr id="216" name="TextBox 2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1070</xdr:row>
      <xdr:rowOff>647700</xdr:rowOff>
    </xdr:from>
    <xdr:ext cx="184731" cy="264560"/>
    <xdr:sp macro="" textlink="">
      <xdr:nvSpPr>
        <xdr:cNvPr id="217" name="TextBox 2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1159</xdr:row>
      <xdr:rowOff>647700</xdr:rowOff>
    </xdr:from>
    <xdr:ext cx="184731" cy="264560"/>
    <xdr:sp macro="" textlink="">
      <xdr:nvSpPr>
        <xdr:cNvPr id="218" name="TextBox 2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1162</xdr:row>
      <xdr:rowOff>647700</xdr:rowOff>
    </xdr:from>
    <xdr:ext cx="184731" cy="264560"/>
    <xdr:sp macro="" textlink="">
      <xdr:nvSpPr>
        <xdr:cNvPr id="219" name="TextBox 2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1180</xdr:row>
      <xdr:rowOff>0</xdr:rowOff>
    </xdr:from>
    <xdr:ext cx="184731" cy="264560"/>
    <xdr:sp macro="" textlink="">
      <xdr:nvSpPr>
        <xdr:cNvPr id="220" name="TextBox 2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1180</xdr:row>
      <xdr:rowOff>647700</xdr:rowOff>
    </xdr:from>
    <xdr:ext cx="184731" cy="264560"/>
    <xdr:sp macro="" textlink="">
      <xdr:nvSpPr>
        <xdr:cNvPr id="221" name="TextBox 2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1160</xdr:row>
      <xdr:rowOff>647700</xdr:rowOff>
    </xdr:from>
    <xdr:ext cx="184731" cy="264560"/>
    <xdr:sp macro="" textlink="">
      <xdr:nvSpPr>
        <xdr:cNvPr id="222" name="TextBox 2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223" name="TextBox 2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1181</xdr:row>
      <xdr:rowOff>0</xdr:rowOff>
    </xdr:from>
    <xdr:ext cx="184731" cy="264560"/>
    <xdr:sp macro="" textlink="">
      <xdr:nvSpPr>
        <xdr:cNvPr id="224" name="TextBox 2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1181</xdr:row>
      <xdr:rowOff>647700</xdr:rowOff>
    </xdr:from>
    <xdr:ext cx="184731" cy="264560"/>
    <xdr:sp macro="" textlink="">
      <xdr:nvSpPr>
        <xdr:cNvPr id="225" name="TextBox 2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1161</xdr:row>
      <xdr:rowOff>647700</xdr:rowOff>
    </xdr:from>
    <xdr:ext cx="184731" cy="264560"/>
    <xdr:sp macro="" textlink="">
      <xdr:nvSpPr>
        <xdr:cNvPr id="226" name="TextBox 2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227" name="TextBox 2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0</xdr:rowOff>
    </xdr:from>
    <xdr:ext cx="184731" cy="264560"/>
    <xdr:sp macro="" textlink="">
      <xdr:nvSpPr>
        <xdr:cNvPr id="228" name="TextBox 2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647700</xdr:rowOff>
    </xdr:from>
    <xdr:ext cx="184731" cy="264560"/>
    <xdr:sp macro="" textlink="">
      <xdr:nvSpPr>
        <xdr:cNvPr id="229" name="TextBox 2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1532</xdr:row>
      <xdr:rowOff>647700</xdr:rowOff>
    </xdr:from>
    <xdr:ext cx="184731" cy="264560"/>
    <xdr:sp macro="" textlink="">
      <xdr:nvSpPr>
        <xdr:cNvPr id="230" name="TextBox 2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1535</xdr:row>
      <xdr:rowOff>647700</xdr:rowOff>
    </xdr:from>
    <xdr:ext cx="184731" cy="264560"/>
    <xdr:sp macro="" textlink="">
      <xdr:nvSpPr>
        <xdr:cNvPr id="231" name="TextBox 2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1553</xdr:row>
      <xdr:rowOff>0</xdr:rowOff>
    </xdr:from>
    <xdr:ext cx="184731" cy="264560"/>
    <xdr:sp macro="" textlink="">
      <xdr:nvSpPr>
        <xdr:cNvPr id="232" name="TextBox 2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1553</xdr:row>
      <xdr:rowOff>647700</xdr:rowOff>
    </xdr:from>
    <xdr:ext cx="184731" cy="264560"/>
    <xdr:sp macro="" textlink="">
      <xdr:nvSpPr>
        <xdr:cNvPr id="233" name="TextBox 2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1533</xdr:row>
      <xdr:rowOff>647700</xdr:rowOff>
    </xdr:from>
    <xdr:ext cx="184731" cy="264560"/>
    <xdr:sp macro="" textlink="">
      <xdr:nvSpPr>
        <xdr:cNvPr id="234" name="TextBox 2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1536</xdr:row>
      <xdr:rowOff>647700</xdr:rowOff>
    </xdr:from>
    <xdr:ext cx="184731" cy="264560"/>
    <xdr:sp macro="" textlink="">
      <xdr:nvSpPr>
        <xdr:cNvPr id="235" name="TextBox 2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1554</xdr:row>
      <xdr:rowOff>0</xdr:rowOff>
    </xdr:from>
    <xdr:ext cx="184731" cy="264560"/>
    <xdr:sp macro="" textlink="">
      <xdr:nvSpPr>
        <xdr:cNvPr id="236" name="TextBox 2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1554</xdr:row>
      <xdr:rowOff>647700</xdr:rowOff>
    </xdr:from>
    <xdr:ext cx="184731" cy="264560"/>
    <xdr:sp macro="" textlink="">
      <xdr:nvSpPr>
        <xdr:cNvPr id="237" name="TextBox 2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647700</xdr:rowOff>
    </xdr:from>
    <xdr:ext cx="184731" cy="264560"/>
    <xdr:sp macro="" textlink="">
      <xdr:nvSpPr>
        <xdr:cNvPr id="238" name="TextBox 2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239" name="TextBox 2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0</xdr:rowOff>
    </xdr:from>
    <xdr:ext cx="184731" cy="264560"/>
    <xdr:sp macro="" textlink="">
      <xdr:nvSpPr>
        <xdr:cNvPr id="240" name="TextBox 2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647700</xdr:rowOff>
    </xdr:from>
    <xdr:ext cx="184731" cy="264560"/>
    <xdr:sp macro="" textlink="">
      <xdr:nvSpPr>
        <xdr:cNvPr id="241" name="TextBox 2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647700</xdr:rowOff>
    </xdr:from>
    <xdr:ext cx="184731" cy="264560"/>
    <xdr:sp macro="" textlink="">
      <xdr:nvSpPr>
        <xdr:cNvPr id="242" name="TextBox 2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243" name="TextBox 2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0</xdr:rowOff>
    </xdr:from>
    <xdr:ext cx="184731" cy="264560"/>
    <xdr:sp macro="" textlink="">
      <xdr:nvSpPr>
        <xdr:cNvPr id="244" name="TextBox 2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647700</xdr:rowOff>
    </xdr:from>
    <xdr:ext cx="184731" cy="264560"/>
    <xdr:sp macro="" textlink="">
      <xdr:nvSpPr>
        <xdr:cNvPr id="245" name="TextBox 2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246" name="TextBox 2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247" name="TextBox 2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0</xdr:rowOff>
    </xdr:from>
    <xdr:ext cx="184731" cy="264560"/>
    <xdr:sp macro="" textlink="">
      <xdr:nvSpPr>
        <xdr:cNvPr id="248" name="TextBox 2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647700</xdr:rowOff>
    </xdr:from>
    <xdr:ext cx="184731" cy="264560"/>
    <xdr:sp macro="" textlink="">
      <xdr:nvSpPr>
        <xdr:cNvPr id="249" name="TextBox 2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250" name="TextBox 2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251" name="TextBox 2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252" name="TextBox 2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253" name="TextBox 2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254" name="TextBox 2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255" name="TextBox 2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256" name="TextBox 2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257" name="TextBox 2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258" name="TextBox 2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259" name="TextBox 2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260" name="TextBox 2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261" name="TextBox 2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262" name="TextBox 2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263" name="TextBox 2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264" name="TextBox 2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265" name="TextBox 2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266" name="TextBox 2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267" name="TextBox 2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268" name="TextBox 2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269" name="TextBox 2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1676</xdr:row>
      <xdr:rowOff>647700</xdr:rowOff>
    </xdr:from>
    <xdr:ext cx="184731" cy="264560"/>
    <xdr:sp macro="" textlink="">
      <xdr:nvSpPr>
        <xdr:cNvPr id="270" name="TextBox 2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1680</xdr:row>
      <xdr:rowOff>647700</xdr:rowOff>
    </xdr:from>
    <xdr:ext cx="184731" cy="264560"/>
    <xdr:sp macro="" textlink="">
      <xdr:nvSpPr>
        <xdr:cNvPr id="271" name="TextBox 2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1697</xdr:row>
      <xdr:rowOff>0</xdr:rowOff>
    </xdr:from>
    <xdr:ext cx="184731" cy="264560"/>
    <xdr:sp macro="" textlink="">
      <xdr:nvSpPr>
        <xdr:cNvPr id="272" name="TextBox 2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1697</xdr:row>
      <xdr:rowOff>647700</xdr:rowOff>
    </xdr:from>
    <xdr:ext cx="184731" cy="264560"/>
    <xdr:sp macro="" textlink="">
      <xdr:nvSpPr>
        <xdr:cNvPr id="273" name="TextBox 2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1677</xdr:row>
      <xdr:rowOff>647700</xdr:rowOff>
    </xdr:from>
    <xdr:ext cx="184731" cy="264560"/>
    <xdr:sp macro="" textlink="">
      <xdr:nvSpPr>
        <xdr:cNvPr id="274" name="TextBox 2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1681</xdr:row>
      <xdr:rowOff>647700</xdr:rowOff>
    </xdr:from>
    <xdr:ext cx="184731" cy="264560"/>
    <xdr:sp macro="" textlink="">
      <xdr:nvSpPr>
        <xdr:cNvPr id="275" name="TextBox 2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1698</xdr:row>
      <xdr:rowOff>0</xdr:rowOff>
    </xdr:from>
    <xdr:ext cx="184731" cy="264560"/>
    <xdr:sp macro="" textlink="">
      <xdr:nvSpPr>
        <xdr:cNvPr id="276" name="TextBox 2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1698</xdr:row>
      <xdr:rowOff>647700</xdr:rowOff>
    </xdr:from>
    <xdr:ext cx="184731" cy="264560"/>
    <xdr:sp macro="" textlink="">
      <xdr:nvSpPr>
        <xdr:cNvPr id="277" name="TextBox 2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1572</xdr:row>
      <xdr:rowOff>647700</xdr:rowOff>
    </xdr:from>
    <xdr:ext cx="184731" cy="264560"/>
    <xdr:sp macro="" textlink="">
      <xdr:nvSpPr>
        <xdr:cNvPr id="278" name="TextBox 2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279" name="TextBox 2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280" name="TextBox 2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281" name="TextBox 2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1600</xdr:row>
      <xdr:rowOff>647700</xdr:rowOff>
    </xdr:from>
    <xdr:ext cx="184731" cy="264560"/>
    <xdr:sp macro="" textlink="">
      <xdr:nvSpPr>
        <xdr:cNvPr id="282" name="TextBox 2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1603</xdr:row>
      <xdr:rowOff>647700</xdr:rowOff>
    </xdr:from>
    <xdr:ext cx="184731" cy="264560"/>
    <xdr:sp macro="" textlink="">
      <xdr:nvSpPr>
        <xdr:cNvPr id="283" name="TextBox 2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1610</xdr:row>
      <xdr:rowOff>0</xdr:rowOff>
    </xdr:from>
    <xdr:ext cx="184731" cy="264560"/>
    <xdr:sp macro="" textlink="">
      <xdr:nvSpPr>
        <xdr:cNvPr id="284" name="TextBox 2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1610</xdr:row>
      <xdr:rowOff>647700</xdr:rowOff>
    </xdr:from>
    <xdr:ext cx="184731" cy="264560"/>
    <xdr:sp macro="" textlink="">
      <xdr:nvSpPr>
        <xdr:cNvPr id="285" name="TextBox 2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1611</xdr:row>
      <xdr:rowOff>647700</xdr:rowOff>
    </xdr:from>
    <xdr:ext cx="184731" cy="264560"/>
    <xdr:sp macro="" textlink="">
      <xdr:nvSpPr>
        <xdr:cNvPr id="286" name="TextBox 2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1050</xdr:row>
      <xdr:rowOff>647700</xdr:rowOff>
    </xdr:from>
    <xdr:ext cx="184731" cy="264560"/>
    <xdr:sp macro="" textlink="">
      <xdr:nvSpPr>
        <xdr:cNvPr id="287" name="TextBox 2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1053</xdr:row>
      <xdr:rowOff>647700</xdr:rowOff>
    </xdr:from>
    <xdr:ext cx="184731" cy="264560"/>
    <xdr:sp macro="" textlink="">
      <xdr:nvSpPr>
        <xdr:cNvPr id="288" name="TextBox 2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1071</xdr:row>
      <xdr:rowOff>0</xdr:rowOff>
    </xdr:from>
    <xdr:ext cx="184731" cy="264560"/>
    <xdr:sp macro="" textlink="">
      <xdr:nvSpPr>
        <xdr:cNvPr id="289" name="TextBox 2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1071</xdr:row>
      <xdr:rowOff>647700</xdr:rowOff>
    </xdr:from>
    <xdr:ext cx="184731" cy="264560"/>
    <xdr:sp macro="" textlink="">
      <xdr:nvSpPr>
        <xdr:cNvPr id="290" name="TextBox 2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1160</xdr:row>
      <xdr:rowOff>647700</xdr:rowOff>
    </xdr:from>
    <xdr:ext cx="184731" cy="264560"/>
    <xdr:sp macro="" textlink="">
      <xdr:nvSpPr>
        <xdr:cNvPr id="291" name="TextBox 2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292" name="TextBox 2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1181</xdr:row>
      <xdr:rowOff>0</xdr:rowOff>
    </xdr:from>
    <xdr:ext cx="184731" cy="264560"/>
    <xdr:sp macro="" textlink="">
      <xdr:nvSpPr>
        <xdr:cNvPr id="293" name="TextBox 2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1181</xdr:row>
      <xdr:rowOff>647700</xdr:rowOff>
    </xdr:from>
    <xdr:ext cx="184731" cy="264560"/>
    <xdr:sp macro="" textlink="">
      <xdr:nvSpPr>
        <xdr:cNvPr id="294" name="TextBox 2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1161</xdr:row>
      <xdr:rowOff>647700</xdr:rowOff>
    </xdr:from>
    <xdr:ext cx="184731" cy="264560"/>
    <xdr:sp macro="" textlink="">
      <xdr:nvSpPr>
        <xdr:cNvPr id="295" name="TextBox 2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296" name="TextBox 2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0</xdr:rowOff>
    </xdr:from>
    <xdr:ext cx="184731" cy="264560"/>
    <xdr:sp macro="" textlink="">
      <xdr:nvSpPr>
        <xdr:cNvPr id="297" name="TextBox 2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647700</xdr:rowOff>
    </xdr:from>
    <xdr:ext cx="184731" cy="264560"/>
    <xdr:sp macro="" textlink="">
      <xdr:nvSpPr>
        <xdr:cNvPr id="298" name="TextBox 2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1162</xdr:row>
      <xdr:rowOff>647700</xdr:rowOff>
    </xdr:from>
    <xdr:ext cx="184731" cy="264560"/>
    <xdr:sp macro="" textlink="">
      <xdr:nvSpPr>
        <xdr:cNvPr id="299" name="TextBox 2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300" name="TextBox 2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0</xdr:rowOff>
    </xdr:from>
    <xdr:ext cx="184731" cy="264560"/>
    <xdr:sp macro="" textlink="">
      <xdr:nvSpPr>
        <xdr:cNvPr id="301" name="TextBox 3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647700</xdr:rowOff>
    </xdr:from>
    <xdr:ext cx="184731" cy="264560"/>
    <xdr:sp macro="" textlink="">
      <xdr:nvSpPr>
        <xdr:cNvPr id="302" name="TextBox 3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1533</xdr:row>
      <xdr:rowOff>647700</xdr:rowOff>
    </xdr:from>
    <xdr:ext cx="184731" cy="264560"/>
    <xdr:sp macro="" textlink="">
      <xdr:nvSpPr>
        <xdr:cNvPr id="303" name="TextBox 3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1536</xdr:row>
      <xdr:rowOff>647700</xdr:rowOff>
    </xdr:from>
    <xdr:ext cx="184731" cy="264560"/>
    <xdr:sp macro="" textlink="">
      <xdr:nvSpPr>
        <xdr:cNvPr id="304" name="TextBox 3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1554</xdr:row>
      <xdr:rowOff>0</xdr:rowOff>
    </xdr:from>
    <xdr:ext cx="184731" cy="264560"/>
    <xdr:sp macro="" textlink="">
      <xdr:nvSpPr>
        <xdr:cNvPr id="305" name="TextBox 3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1554</xdr:row>
      <xdr:rowOff>647700</xdr:rowOff>
    </xdr:from>
    <xdr:ext cx="184731" cy="264560"/>
    <xdr:sp macro="" textlink="">
      <xdr:nvSpPr>
        <xdr:cNvPr id="306" name="TextBox 3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1534</xdr:row>
      <xdr:rowOff>647700</xdr:rowOff>
    </xdr:from>
    <xdr:ext cx="184731" cy="264560"/>
    <xdr:sp macro="" textlink="">
      <xdr:nvSpPr>
        <xdr:cNvPr id="307" name="TextBox 3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1537</xdr:row>
      <xdr:rowOff>647700</xdr:rowOff>
    </xdr:from>
    <xdr:ext cx="184731" cy="264560"/>
    <xdr:sp macro="" textlink="">
      <xdr:nvSpPr>
        <xdr:cNvPr id="308" name="TextBox 3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1555</xdr:row>
      <xdr:rowOff>0</xdr:rowOff>
    </xdr:from>
    <xdr:ext cx="184731" cy="264560"/>
    <xdr:sp macro="" textlink="">
      <xdr:nvSpPr>
        <xdr:cNvPr id="309" name="TextBox 3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1555</xdr:row>
      <xdr:rowOff>647700</xdr:rowOff>
    </xdr:from>
    <xdr:ext cx="184731" cy="264560"/>
    <xdr:sp macro="" textlink="">
      <xdr:nvSpPr>
        <xdr:cNvPr id="310" name="TextBox 3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647700</xdr:rowOff>
    </xdr:from>
    <xdr:ext cx="184731" cy="264560"/>
    <xdr:sp macro="" textlink="">
      <xdr:nvSpPr>
        <xdr:cNvPr id="311" name="TextBox 3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312" name="TextBox 3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0</xdr:rowOff>
    </xdr:from>
    <xdr:ext cx="184731" cy="264560"/>
    <xdr:sp macro="" textlink="">
      <xdr:nvSpPr>
        <xdr:cNvPr id="313" name="TextBox 3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647700</xdr:rowOff>
    </xdr:from>
    <xdr:ext cx="184731" cy="264560"/>
    <xdr:sp macro="" textlink="">
      <xdr:nvSpPr>
        <xdr:cNvPr id="314" name="TextBox 3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315" name="TextBox 3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316" name="TextBox 3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0</xdr:rowOff>
    </xdr:from>
    <xdr:ext cx="184731" cy="264560"/>
    <xdr:sp macro="" textlink="">
      <xdr:nvSpPr>
        <xdr:cNvPr id="317" name="TextBox 3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647700</xdr:rowOff>
    </xdr:from>
    <xdr:ext cx="184731" cy="264560"/>
    <xdr:sp macro="" textlink="">
      <xdr:nvSpPr>
        <xdr:cNvPr id="318" name="TextBox 3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319" name="TextBox 3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320" name="TextBox 3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321" name="TextBox 3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322" name="TextBox 3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323" name="TextBox 3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324" name="TextBox 3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325" name="TextBox 3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326" name="TextBox 3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327" name="TextBox 3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328" name="TextBox 3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329" name="TextBox 3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330" name="TextBox 3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331" name="TextBox 3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332" name="TextBox 3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333" name="TextBox 3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334" name="TextBox 3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335" name="TextBox 3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336" name="TextBox 3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337" name="TextBox 3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338" name="TextBox 3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339" name="TextBox 3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340" name="TextBox 3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341" name="TextBox 3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342" name="TextBox 3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1677</xdr:row>
      <xdr:rowOff>647700</xdr:rowOff>
    </xdr:from>
    <xdr:ext cx="184731" cy="264560"/>
    <xdr:sp macro="" textlink="">
      <xdr:nvSpPr>
        <xdr:cNvPr id="343" name="TextBox 3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1681</xdr:row>
      <xdr:rowOff>647700</xdr:rowOff>
    </xdr:from>
    <xdr:ext cx="184731" cy="264560"/>
    <xdr:sp macro="" textlink="">
      <xdr:nvSpPr>
        <xdr:cNvPr id="344" name="TextBox 3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1698</xdr:row>
      <xdr:rowOff>0</xdr:rowOff>
    </xdr:from>
    <xdr:ext cx="184731" cy="264560"/>
    <xdr:sp macro="" textlink="">
      <xdr:nvSpPr>
        <xdr:cNvPr id="345" name="TextBox 3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1698</xdr:row>
      <xdr:rowOff>647700</xdr:rowOff>
    </xdr:from>
    <xdr:ext cx="184731" cy="264560"/>
    <xdr:sp macro="" textlink="">
      <xdr:nvSpPr>
        <xdr:cNvPr id="346" name="TextBox 3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1679</xdr:row>
      <xdr:rowOff>647700</xdr:rowOff>
    </xdr:from>
    <xdr:ext cx="184731" cy="264560"/>
    <xdr:sp macro="" textlink="">
      <xdr:nvSpPr>
        <xdr:cNvPr id="347" name="TextBox 3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1682</xdr:row>
      <xdr:rowOff>647700</xdr:rowOff>
    </xdr:from>
    <xdr:ext cx="184731" cy="264560"/>
    <xdr:sp macro="" textlink="">
      <xdr:nvSpPr>
        <xdr:cNvPr id="348" name="TextBox 3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349" name="TextBox 3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350" name="TextBox 3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1572</xdr:row>
      <xdr:rowOff>647700</xdr:rowOff>
    </xdr:from>
    <xdr:ext cx="184731" cy="264560"/>
    <xdr:sp macro="" textlink="">
      <xdr:nvSpPr>
        <xdr:cNvPr id="351" name="TextBox 3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352" name="TextBox 3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353" name="TextBox 3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354" name="TextBox 3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1600</xdr:row>
      <xdr:rowOff>647700</xdr:rowOff>
    </xdr:from>
    <xdr:ext cx="184731" cy="264560"/>
    <xdr:sp macro="" textlink="">
      <xdr:nvSpPr>
        <xdr:cNvPr id="355" name="TextBox 3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1603</xdr:row>
      <xdr:rowOff>647700</xdr:rowOff>
    </xdr:from>
    <xdr:ext cx="184731" cy="264560"/>
    <xdr:sp macro="" textlink="">
      <xdr:nvSpPr>
        <xdr:cNvPr id="356" name="TextBox 3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1610</xdr:row>
      <xdr:rowOff>0</xdr:rowOff>
    </xdr:from>
    <xdr:ext cx="184731" cy="264560"/>
    <xdr:sp macro="" textlink="">
      <xdr:nvSpPr>
        <xdr:cNvPr id="357" name="TextBox 3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1610</xdr:row>
      <xdr:rowOff>647700</xdr:rowOff>
    </xdr:from>
    <xdr:ext cx="184731" cy="264560"/>
    <xdr:sp macro="" textlink="">
      <xdr:nvSpPr>
        <xdr:cNvPr id="358" name="TextBox 3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1611</xdr:row>
      <xdr:rowOff>647700</xdr:rowOff>
    </xdr:from>
    <xdr:ext cx="184731" cy="264560"/>
    <xdr:sp macro="" textlink="">
      <xdr:nvSpPr>
        <xdr:cNvPr id="359" name="TextBox 3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1050</xdr:row>
      <xdr:rowOff>647700</xdr:rowOff>
    </xdr:from>
    <xdr:ext cx="184731" cy="264560"/>
    <xdr:sp macro="" textlink="">
      <xdr:nvSpPr>
        <xdr:cNvPr id="360" name="TextBox 3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1053</xdr:row>
      <xdr:rowOff>647700</xdr:rowOff>
    </xdr:from>
    <xdr:ext cx="184731" cy="264560"/>
    <xdr:sp macro="" textlink="">
      <xdr:nvSpPr>
        <xdr:cNvPr id="361" name="TextBox 3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1071</xdr:row>
      <xdr:rowOff>0</xdr:rowOff>
    </xdr:from>
    <xdr:ext cx="184731" cy="264560"/>
    <xdr:sp macro="" textlink="">
      <xdr:nvSpPr>
        <xdr:cNvPr id="362" name="TextBox 3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1071</xdr:row>
      <xdr:rowOff>647700</xdr:rowOff>
    </xdr:from>
    <xdr:ext cx="184731" cy="264560"/>
    <xdr:sp macro="" textlink="">
      <xdr:nvSpPr>
        <xdr:cNvPr id="363" name="TextBox 3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1160</xdr:row>
      <xdr:rowOff>647700</xdr:rowOff>
    </xdr:from>
    <xdr:ext cx="184731" cy="264560"/>
    <xdr:sp macro="" textlink="">
      <xdr:nvSpPr>
        <xdr:cNvPr id="364" name="TextBox 3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365" name="TextBox 3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1181</xdr:row>
      <xdr:rowOff>0</xdr:rowOff>
    </xdr:from>
    <xdr:ext cx="184731" cy="264560"/>
    <xdr:sp macro="" textlink="">
      <xdr:nvSpPr>
        <xdr:cNvPr id="366" name="TextBox 3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1181</xdr:row>
      <xdr:rowOff>647700</xdr:rowOff>
    </xdr:from>
    <xdr:ext cx="184731" cy="264560"/>
    <xdr:sp macro="" textlink="">
      <xdr:nvSpPr>
        <xdr:cNvPr id="367" name="TextBox 3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1161</xdr:row>
      <xdr:rowOff>647700</xdr:rowOff>
    </xdr:from>
    <xdr:ext cx="184731" cy="264560"/>
    <xdr:sp macro="" textlink="">
      <xdr:nvSpPr>
        <xdr:cNvPr id="368" name="TextBox 3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369" name="TextBox 3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0</xdr:rowOff>
    </xdr:from>
    <xdr:ext cx="184731" cy="264560"/>
    <xdr:sp macro="" textlink="">
      <xdr:nvSpPr>
        <xdr:cNvPr id="370" name="TextBox 3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647700</xdr:rowOff>
    </xdr:from>
    <xdr:ext cx="184731" cy="264560"/>
    <xdr:sp macro="" textlink="">
      <xdr:nvSpPr>
        <xdr:cNvPr id="371" name="TextBox 3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1162</xdr:row>
      <xdr:rowOff>647700</xdr:rowOff>
    </xdr:from>
    <xdr:ext cx="184731" cy="264560"/>
    <xdr:sp macro="" textlink="">
      <xdr:nvSpPr>
        <xdr:cNvPr id="372" name="TextBox 3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373" name="TextBox 3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0</xdr:rowOff>
    </xdr:from>
    <xdr:ext cx="184731" cy="264560"/>
    <xdr:sp macro="" textlink="">
      <xdr:nvSpPr>
        <xdr:cNvPr id="374" name="TextBox 3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647700</xdr:rowOff>
    </xdr:from>
    <xdr:ext cx="184731" cy="264560"/>
    <xdr:sp macro="" textlink="">
      <xdr:nvSpPr>
        <xdr:cNvPr id="375" name="TextBox 3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1533</xdr:row>
      <xdr:rowOff>647700</xdr:rowOff>
    </xdr:from>
    <xdr:ext cx="184731" cy="264560"/>
    <xdr:sp macro="" textlink="">
      <xdr:nvSpPr>
        <xdr:cNvPr id="376" name="TextBox 3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1536</xdr:row>
      <xdr:rowOff>647700</xdr:rowOff>
    </xdr:from>
    <xdr:ext cx="184731" cy="264560"/>
    <xdr:sp macro="" textlink="">
      <xdr:nvSpPr>
        <xdr:cNvPr id="377" name="TextBox 3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1554</xdr:row>
      <xdr:rowOff>0</xdr:rowOff>
    </xdr:from>
    <xdr:ext cx="184731" cy="264560"/>
    <xdr:sp macro="" textlink="">
      <xdr:nvSpPr>
        <xdr:cNvPr id="378" name="TextBox 3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1554</xdr:row>
      <xdr:rowOff>647700</xdr:rowOff>
    </xdr:from>
    <xdr:ext cx="184731" cy="264560"/>
    <xdr:sp macro="" textlink="">
      <xdr:nvSpPr>
        <xdr:cNvPr id="379" name="TextBox 3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1534</xdr:row>
      <xdr:rowOff>647700</xdr:rowOff>
    </xdr:from>
    <xdr:ext cx="184731" cy="264560"/>
    <xdr:sp macro="" textlink="">
      <xdr:nvSpPr>
        <xdr:cNvPr id="380" name="TextBox 3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1537</xdr:row>
      <xdr:rowOff>647700</xdr:rowOff>
    </xdr:from>
    <xdr:ext cx="184731" cy="264560"/>
    <xdr:sp macro="" textlink="">
      <xdr:nvSpPr>
        <xdr:cNvPr id="381" name="TextBox 3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1555</xdr:row>
      <xdr:rowOff>0</xdr:rowOff>
    </xdr:from>
    <xdr:ext cx="184731" cy="264560"/>
    <xdr:sp macro="" textlink="">
      <xdr:nvSpPr>
        <xdr:cNvPr id="382" name="TextBox 3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1555</xdr:row>
      <xdr:rowOff>647700</xdr:rowOff>
    </xdr:from>
    <xdr:ext cx="184731" cy="264560"/>
    <xdr:sp macro="" textlink="">
      <xdr:nvSpPr>
        <xdr:cNvPr id="383" name="TextBox 3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647700</xdr:rowOff>
    </xdr:from>
    <xdr:ext cx="184731" cy="264560"/>
    <xdr:sp macro="" textlink="">
      <xdr:nvSpPr>
        <xdr:cNvPr id="384" name="TextBox 3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385" name="TextBox 3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0</xdr:rowOff>
    </xdr:from>
    <xdr:ext cx="184731" cy="264560"/>
    <xdr:sp macro="" textlink="">
      <xdr:nvSpPr>
        <xdr:cNvPr id="386" name="TextBox 3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647700</xdr:rowOff>
    </xdr:from>
    <xdr:ext cx="184731" cy="264560"/>
    <xdr:sp macro="" textlink="">
      <xdr:nvSpPr>
        <xdr:cNvPr id="387" name="TextBox 3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388" name="TextBox 3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389" name="TextBox 3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0</xdr:rowOff>
    </xdr:from>
    <xdr:ext cx="184731" cy="264560"/>
    <xdr:sp macro="" textlink="">
      <xdr:nvSpPr>
        <xdr:cNvPr id="390" name="TextBox 3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647700</xdr:rowOff>
    </xdr:from>
    <xdr:ext cx="184731" cy="264560"/>
    <xdr:sp macro="" textlink="">
      <xdr:nvSpPr>
        <xdr:cNvPr id="391" name="TextBox 3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392" name="TextBox 3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393" name="TextBox 3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394" name="TextBox 3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395" name="TextBox 3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396" name="TextBox 3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397" name="TextBox 3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398" name="TextBox 3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399" name="TextBox 3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400" name="TextBox 3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401" name="TextBox 4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402" name="TextBox 4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403" name="TextBox 4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404" name="TextBox 4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405" name="TextBox 4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406" name="TextBox 4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407" name="TextBox 4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408" name="TextBox 4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409" name="TextBox 4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410" name="TextBox 4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411" name="TextBox 4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412" name="TextBox 4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413" name="TextBox 4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414" name="TextBox 4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415" name="TextBox 4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1677</xdr:row>
      <xdr:rowOff>647700</xdr:rowOff>
    </xdr:from>
    <xdr:ext cx="184731" cy="264560"/>
    <xdr:sp macro="" textlink="">
      <xdr:nvSpPr>
        <xdr:cNvPr id="416" name="TextBox 4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1681</xdr:row>
      <xdr:rowOff>647700</xdr:rowOff>
    </xdr:from>
    <xdr:ext cx="184731" cy="264560"/>
    <xdr:sp macro="" textlink="">
      <xdr:nvSpPr>
        <xdr:cNvPr id="417" name="TextBox 4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1698</xdr:row>
      <xdr:rowOff>0</xdr:rowOff>
    </xdr:from>
    <xdr:ext cx="184731" cy="264560"/>
    <xdr:sp macro="" textlink="">
      <xdr:nvSpPr>
        <xdr:cNvPr id="418" name="TextBox 4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1698</xdr:row>
      <xdr:rowOff>647700</xdr:rowOff>
    </xdr:from>
    <xdr:ext cx="184731" cy="264560"/>
    <xdr:sp macro="" textlink="">
      <xdr:nvSpPr>
        <xdr:cNvPr id="419" name="TextBox 4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1679</xdr:row>
      <xdr:rowOff>647700</xdr:rowOff>
    </xdr:from>
    <xdr:ext cx="184731" cy="264560"/>
    <xdr:sp macro="" textlink="">
      <xdr:nvSpPr>
        <xdr:cNvPr id="420" name="TextBox 4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1682</xdr:row>
      <xdr:rowOff>647700</xdr:rowOff>
    </xdr:from>
    <xdr:ext cx="184731" cy="264560"/>
    <xdr:sp macro="" textlink="">
      <xdr:nvSpPr>
        <xdr:cNvPr id="421" name="TextBox 4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422" name="TextBox 4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423" name="TextBox 4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1573</xdr:row>
      <xdr:rowOff>647700</xdr:rowOff>
    </xdr:from>
    <xdr:ext cx="184731" cy="264560"/>
    <xdr:sp macro="" textlink="">
      <xdr:nvSpPr>
        <xdr:cNvPr id="424" name="TextBox 4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425" name="TextBox 4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426" name="TextBox 4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427" name="TextBox 4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1601</xdr:row>
      <xdr:rowOff>647700</xdr:rowOff>
    </xdr:from>
    <xdr:ext cx="184731" cy="264560"/>
    <xdr:sp macro="" textlink="">
      <xdr:nvSpPr>
        <xdr:cNvPr id="428" name="TextBox 4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1604</xdr:row>
      <xdr:rowOff>0</xdr:rowOff>
    </xdr:from>
    <xdr:ext cx="184731" cy="264560"/>
    <xdr:sp macro="" textlink="">
      <xdr:nvSpPr>
        <xdr:cNvPr id="429" name="TextBox 4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1611</xdr:row>
      <xdr:rowOff>0</xdr:rowOff>
    </xdr:from>
    <xdr:ext cx="184731" cy="264560"/>
    <xdr:sp macro="" textlink="">
      <xdr:nvSpPr>
        <xdr:cNvPr id="430" name="TextBox 4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1611</xdr:row>
      <xdr:rowOff>647700</xdr:rowOff>
    </xdr:from>
    <xdr:ext cx="184731" cy="264560"/>
    <xdr:sp macro="" textlink="">
      <xdr:nvSpPr>
        <xdr:cNvPr id="431" name="TextBox 4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1612</xdr:row>
      <xdr:rowOff>647700</xdr:rowOff>
    </xdr:from>
    <xdr:ext cx="184731" cy="264560"/>
    <xdr:sp macro="" textlink="">
      <xdr:nvSpPr>
        <xdr:cNvPr id="432" name="TextBox 4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1051</xdr:row>
      <xdr:rowOff>647700</xdr:rowOff>
    </xdr:from>
    <xdr:ext cx="184731" cy="264560"/>
    <xdr:sp macro="" textlink="">
      <xdr:nvSpPr>
        <xdr:cNvPr id="433" name="TextBox 4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1054</xdr:row>
      <xdr:rowOff>647700</xdr:rowOff>
    </xdr:from>
    <xdr:ext cx="184731" cy="264560"/>
    <xdr:sp macro="" textlink="">
      <xdr:nvSpPr>
        <xdr:cNvPr id="434" name="TextBox 4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1072</xdr:row>
      <xdr:rowOff>0</xdr:rowOff>
    </xdr:from>
    <xdr:ext cx="184731" cy="264560"/>
    <xdr:sp macro="" textlink="">
      <xdr:nvSpPr>
        <xdr:cNvPr id="435" name="TextBox 4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1072</xdr:row>
      <xdr:rowOff>647700</xdr:rowOff>
    </xdr:from>
    <xdr:ext cx="184731" cy="264560"/>
    <xdr:sp macro="" textlink="">
      <xdr:nvSpPr>
        <xdr:cNvPr id="436" name="TextBox 4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1161</xdr:row>
      <xdr:rowOff>647700</xdr:rowOff>
    </xdr:from>
    <xdr:ext cx="184731" cy="264560"/>
    <xdr:sp macro="" textlink="">
      <xdr:nvSpPr>
        <xdr:cNvPr id="437" name="TextBox 4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438" name="TextBox 4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0</xdr:rowOff>
    </xdr:from>
    <xdr:ext cx="184731" cy="264560"/>
    <xdr:sp macro="" textlink="">
      <xdr:nvSpPr>
        <xdr:cNvPr id="439" name="TextBox 4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647700</xdr:rowOff>
    </xdr:from>
    <xdr:ext cx="184731" cy="264560"/>
    <xdr:sp macro="" textlink="">
      <xdr:nvSpPr>
        <xdr:cNvPr id="440" name="TextBox 4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1162</xdr:row>
      <xdr:rowOff>647700</xdr:rowOff>
    </xdr:from>
    <xdr:ext cx="184731" cy="264560"/>
    <xdr:sp macro="" textlink="">
      <xdr:nvSpPr>
        <xdr:cNvPr id="441" name="TextBox 4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442" name="TextBox 4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0</xdr:rowOff>
    </xdr:from>
    <xdr:ext cx="184731" cy="264560"/>
    <xdr:sp macro="" textlink="">
      <xdr:nvSpPr>
        <xdr:cNvPr id="443" name="TextBox 4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647700</xdr:rowOff>
    </xdr:from>
    <xdr:ext cx="184731" cy="264560"/>
    <xdr:sp macro="" textlink="">
      <xdr:nvSpPr>
        <xdr:cNvPr id="444" name="TextBox 4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445" name="TextBox 4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446" name="TextBox 4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0</xdr:rowOff>
    </xdr:from>
    <xdr:ext cx="184731" cy="264560"/>
    <xdr:sp macro="" textlink="">
      <xdr:nvSpPr>
        <xdr:cNvPr id="447" name="TextBox 4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647700</xdr:rowOff>
    </xdr:from>
    <xdr:ext cx="184731" cy="264560"/>
    <xdr:sp macro="" textlink="">
      <xdr:nvSpPr>
        <xdr:cNvPr id="448" name="TextBox 4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1534</xdr:row>
      <xdr:rowOff>647700</xdr:rowOff>
    </xdr:from>
    <xdr:ext cx="184731" cy="264560"/>
    <xdr:sp macro="" textlink="">
      <xdr:nvSpPr>
        <xdr:cNvPr id="449" name="TextBox 4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1537</xdr:row>
      <xdr:rowOff>647700</xdr:rowOff>
    </xdr:from>
    <xdr:ext cx="184731" cy="264560"/>
    <xdr:sp macro="" textlink="">
      <xdr:nvSpPr>
        <xdr:cNvPr id="450" name="TextBox 4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1555</xdr:row>
      <xdr:rowOff>0</xdr:rowOff>
    </xdr:from>
    <xdr:ext cx="184731" cy="264560"/>
    <xdr:sp macro="" textlink="">
      <xdr:nvSpPr>
        <xdr:cNvPr id="451" name="TextBox 4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1555</xdr:row>
      <xdr:rowOff>647700</xdr:rowOff>
    </xdr:from>
    <xdr:ext cx="184731" cy="264560"/>
    <xdr:sp macro="" textlink="">
      <xdr:nvSpPr>
        <xdr:cNvPr id="452" name="TextBox 4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1535</xdr:row>
      <xdr:rowOff>647700</xdr:rowOff>
    </xdr:from>
    <xdr:ext cx="184731" cy="264560"/>
    <xdr:sp macro="" textlink="">
      <xdr:nvSpPr>
        <xdr:cNvPr id="453" name="TextBox 4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1538</xdr:row>
      <xdr:rowOff>647700</xdr:rowOff>
    </xdr:from>
    <xdr:ext cx="184731" cy="264560"/>
    <xdr:sp macro="" textlink="">
      <xdr:nvSpPr>
        <xdr:cNvPr id="454" name="TextBox 4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1556</xdr:row>
      <xdr:rowOff>0</xdr:rowOff>
    </xdr:from>
    <xdr:ext cx="184731" cy="264560"/>
    <xdr:sp macro="" textlink="">
      <xdr:nvSpPr>
        <xdr:cNvPr id="455" name="TextBox 4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1556</xdr:row>
      <xdr:rowOff>647700</xdr:rowOff>
    </xdr:from>
    <xdr:ext cx="184731" cy="264560"/>
    <xdr:sp macro="" textlink="">
      <xdr:nvSpPr>
        <xdr:cNvPr id="456" name="TextBox 4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457" name="TextBox 4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458" name="TextBox 4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0</xdr:rowOff>
    </xdr:from>
    <xdr:ext cx="184731" cy="264560"/>
    <xdr:sp macro="" textlink="">
      <xdr:nvSpPr>
        <xdr:cNvPr id="459" name="TextBox 4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647700</xdr:rowOff>
    </xdr:from>
    <xdr:ext cx="184731" cy="264560"/>
    <xdr:sp macro="" textlink="">
      <xdr:nvSpPr>
        <xdr:cNvPr id="460" name="TextBox 4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461" name="TextBox 4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462" name="TextBox 4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463" name="TextBox 4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464" name="TextBox 4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465" name="TextBox 4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466" name="TextBox 4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467" name="TextBox 4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468" name="TextBox 4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469" name="TextBox 4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470" name="TextBox 4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471" name="TextBox 4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472" name="TextBox 4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473" name="TextBox 4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474" name="TextBox 4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475" name="TextBox 4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476" name="TextBox 4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477" name="TextBox 4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478" name="TextBox 4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479" name="TextBox 4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480" name="TextBox 4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481" name="TextBox 4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482" name="TextBox 4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483" name="TextBox 4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484" name="TextBox 4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485" name="TextBox 4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486" name="TextBox 4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487" name="TextBox 4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488" name="TextBox 4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1679</xdr:row>
      <xdr:rowOff>647700</xdr:rowOff>
    </xdr:from>
    <xdr:ext cx="184731" cy="264560"/>
    <xdr:sp macro="" textlink="">
      <xdr:nvSpPr>
        <xdr:cNvPr id="489" name="TextBox 4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1682</xdr:row>
      <xdr:rowOff>647700</xdr:rowOff>
    </xdr:from>
    <xdr:ext cx="184731" cy="264560"/>
    <xdr:sp macro="" textlink="">
      <xdr:nvSpPr>
        <xdr:cNvPr id="490" name="TextBox 4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491" name="TextBox 4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492" name="TextBox 4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1680</xdr:row>
      <xdr:rowOff>647700</xdr:rowOff>
    </xdr:from>
    <xdr:ext cx="184731" cy="264560"/>
    <xdr:sp macro="" textlink="">
      <xdr:nvSpPr>
        <xdr:cNvPr id="493" name="TextBox 4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1683</xdr:row>
      <xdr:rowOff>647700</xdr:rowOff>
    </xdr:from>
    <xdr:ext cx="184731" cy="264560"/>
    <xdr:sp macro="" textlink="">
      <xdr:nvSpPr>
        <xdr:cNvPr id="494" name="TextBox 4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495" name="TextBox 4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496" name="TextBox 4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1574</xdr:row>
      <xdr:rowOff>647700</xdr:rowOff>
    </xdr:from>
    <xdr:ext cx="184731" cy="264560"/>
    <xdr:sp macro="" textlink="">
      <xdr:nvSpPr>
        <xdr:cNvPr id="497" name="TextBox 4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498" name="TextBox 4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499" name="TextBox 4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500" name="TextBox 4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1602</xdr:row>
      <xdr:rowOff>647700</xdr:rowOff>
    </xdr:from>
    <xdr:ext cx="184731" cy="264560"/>
    <xdr:sp macro="" textlink="">
      <xdr:nvSpPr>
        <xdr:cNvPr id="501" name="TextBox 5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1604</xdr:row>
      <xdr:rowOff>647700</xdr:rowOff>
    </xdr:from>
    <xdr:ext cx="184731" cy="264560"/>
    <xdr:sp macro="" textlink="">
      <xdr:nvSpPr>
        <xdr:cNvPr id="502" name="TextBox 5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1612</xdr:row>
      <xdr:rowOff>0</xdr:rowOff>
    </xdr:from>
    <xdr:ext cx="184731" cy="264560"/>
    <xdr:sp macro="" textlink="">
      <xdr:nvSpPr>
        <xdr:cNvPr id="503" name="TextBox 5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1612</xdr:row>
      <xdr:rowOff>647700</xdr:rowOff>
    </xdr:from>
    <xdr:ext cx="184731" cy="264560"/>
    <xdr:sp macro="" textlink="">
      <xdr:nvSpPr>
        <xdr:cNvPr id="504" name="TextBox 5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1613</xdr:row>
      <xdr:rowOff>647700</xdr:rowOff>
    </xdr:from>
    <xdr:ext cx="184731" cy="264560"/>
    <xdr:sp macro="" textlink="">
      <xdr:nvSpPr>
        <xdr:cNvPr id="505" name="TextBox 5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1052</xdr:row>
      <xdr:rowOff>647700</xdr:rowOff>
    </xdr:from>
    <xdr:ext cx="184731" cy="264560"/>
    <xdr:sp macro="" textlink="">
      <xdr:nvSpPr>
        <xdr:cNvPr id="506" name="TextBox 5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1055</xdr:row>
      <xdr:rowOff>647700</xdr:rowOff>
    </xdr:from>
    <xdr:ext cx="184731" cy="264560"/>
    <xdr:sp macro="" textlink="">
      <xdr:nvSpPr>
        <xdr:cNvPr id="507" name="TextBox 5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1073</xdr:row>
      <xdr:rowOff>0</xdr:rowOff>
    </xdr:from>
    <xdr:ext cx="184731" cy="264560"/>
    <xdr:sp macro="" textlink="">
      <xdr:nvSpPr>
        <xdr:cNvPr id="508" name="TextBox 5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1073</xdr:row>
      <xdr:rowOff>647700</xdr:rowOff>
    </xdr:from>
    <xdr:ext cx="184731" cy="264560"/>
    <xdr:sp macro="" textlink="">
      <xdr:nvSpPr>
        <xdr:cNvPr id="509" name="TextBox 5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1162</xdr:row>
      <xdr:rowOff>647700</xdr:rowOff>
    </xdr:from>
    <xdr:ext cx="184731" cy="264560"/>
    <xdr:sp macro="" textlink="">
      <xdr:nvSpPr>
        <xdr:cNvPr id="510" name="TextBox 5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511" name="TextBox 5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0</xdr:rowOff>
    </xdr:from>
    <xdr:ext cx="184731" cy="264560"/>
    <xdr:sp macro="" textlink="">
      <xdr:nvSpPr>
        <xdr:cNvPr id="512" name="TextBox 5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647700</xdr:rowOff>
    </xdr:from>
    <xdr:ext cx="184731" cy="264560"/>
    <xdr:sp macro="" textlink="">
      <xdr:nvSpPr>
        <xdr:cNvPr id="513" name="TextBox 5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514" name="TextBox 5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515" name="TextBox 5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0</xdr:rowOff>
    </xdr:from>
    <xdr:ext cx="184731" cy="264560"/>
    <xdr:sp macro="" textlink="">
      <xdr:nvSpPr>
        <xdr:cNvPr id="516" name="TextBox 5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647700</xdr:rowOff>
    </xdr:from>
    <xdr:ext cx="184731" cy="264560"/>
    <xdr:sp macro="" textlink="">
      <xdr:nvSpPr>
        <xdr:cNvPr id="517" name="TextBox 5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518" name="TextBox 5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1167</xdr:row>
      <xdr:rowOff>647700</xdr:rowOff>
    </xdr:from>
    <xdr:ext cx="184731" cy="264560"/>
    <xdr:sp macro="" textlink="">
      <xdr:nvSpPr>
        <xdr:cNvPr id="519" name="TextBox 5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0</xdr:rowOff>
    </xdr:from>
    <xdr:ext cx="184731" cy="264560"/>
    <xdr:sp macro="" textlink="">
      <xdr:nvSpPr>
        <xdr:cNvPr id="520" name="TextBox 5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647700</xdr:rowOff>
    </xdr:from>
    <xdr:ext cx="184731" cy="264560"/>
    <xdr:sp macro="" textlink="">
      <xdr:nvSpPr>
        <xdr:cNvPr id="521" name="TextBox 5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1535</xdr:row>
      <xdr:rowOff>647700</xdr:rowOff>
    </xdr:from>
    <xdr:ext cx="184731" cy="264560"/>
    <xdr:sp macro="" textlink="">
      <xdr:nvSpPr>
        <xdr:cNvPr id="522" name="TextBox 5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1538</xdr:row>
      <xdr:rowOff>647700</xdr:rowOff>
    </xdr:from>
    <xdr:ext cx="184731" cy="264560"/>
    <xdr:sp macro="" textlink="">
      <xdr:nvSpPr>
        <xdr:cNvPr id="523" name="TextBox 5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1556</xdr:row>
      <xdr:rowOff>0</xdr:rowOff>
    </xdr:from>
    <xdr:ext cx="184731" cy="264560"/>
    <xdr:sp macro="" textlink="">
      <xdr:nvSpPr>
        <xdr:cNvPr id="524" name="TextBox 5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1556</xdr:row>
      <xdr:rowOff>647700</xdr:rowOff>
    </xdr:from>
    <xdr:ext cx="184731" cy="264560"/>
    <xdr:sp macro="" textlink="">
      <xdr:nvSpPr>
        <xdr:cNvPr id="525" name="TextBox 5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1536</xdr:row>
      <xdr:rowOff>647700</xdr:rowOff>
    </xdr:from>
    <xdr:ext cx="184731" cy="264560"/>
    <xdr:sp macro="" textlink="">
      <xdr:nvSpPr>
        <xdr:cNvPr id="526" name="TextBox 5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1539</xdr:row>
      <xdr:rowOff>647700</xdr:rowOff>
    </xdr:from>
    <xdr:ext cx="184731" cy="264560"/>
    <xdr:sp macro="" textlink="">
      <xdr:nvSpPr>
        <xdr:cNvPr id="527" name="TextBox 5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0</xdr:rowOff>
    </xdr:from>
    <xdr:ext cx="184731" cy="264560"/>
    <xdr:sp macro="" textlink="">
      <xdr:nvSpPr>
        <xdr:cNvPr id="528" name="TextBox 5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647700</xdr:rowOff>
    </xdr:from>
    <xdr:ext cx="184731" cy="264560"/>
    <xdr:sp macro="" textlink="">
      <xdr:nvSpPr>
        <xdr:cNvPr id="529" name="TextBox 5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530" name="TextBox 5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531" name="TextBox 5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532" name="TextBox 5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533" name="TextBox 5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534" name="TextBox 5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535" name="TextBox 5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536" name="TextBox 5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537" name="TextBox 5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538" name="TextBox 5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539" name="TextBox 5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540" name="TextBox 5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541" name="TextBox 5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542" name="TextBox 5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543" name="TextBox 5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544" name="TextBox 5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545" name="TextBox 5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546" name="TextBox 5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547" name="TextBox 5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548" name="TextBox 5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549" name="TextBox 5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550" name="TextBox 5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551" name="TextBox 5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552" name="TextBox 5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553" name="TextBox 5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554" name="TextBox 5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555" name="TextBox 5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556" name="TextBox 5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557" name="TextBox 5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558" name="TextBox 5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559" name="TextBox 5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560" name="TextBox 5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561" name="TextBox 5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1680</xdr:row>
      <xdr:rowOff>647700</xdr:rowOff>
    </xdr:from>
    <xdr:ext cx="184731" cy="264560"/>
    <xdr:sp macro="" textlink="">
      <xdr:nvSpPr>
        <xdr:cNvPr id="562" name="TextBox 5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1683</xdr:row>
      <xdr:rowOff>647700</xdr:rowOff>
    </xdr:from>
    <xdr:ext cx="184731" cy="264560"/>
    <xdr:sp macro="" textlink="">
      <xdr:nvSpPr>
        <xdr:cNvPr id="563" name="TextBox 5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564" name="TextBox 5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565" name="TextBox 5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1681</xdr:row>
      <xdr:rowOff>647700</xdr:rowOff>
    </xdr:from>
    <xdr:ext cx="184731" cy="264560"/>
    <xdr:sp macro="" textlink="">
      <xdr:nvSpPr>
        <xdr:cNvPr id="566" name="TextBox 5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0</xdr:rowOff>
    </xdr:from>
    <xdr:ext cx="184731" cy="264560"/>
    <xdr:sp macro="" textlink="">
      <xdr:nvSpPr>
        <xdr:cNvPr id="567" name="TextBox 5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0</xdr:rowOff>
    </xdr:from>
    <xdr:ext cx="184731" cy="264560"/>
    <xdr:sp macro="" textlink="">
      <xdr:nvSpPr>
        <xdr:cNvPr id="568" name="TextBox 5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569" name="TextBox 5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1575</xdr:row>
      <xdr:rowOff>647700</xdr:rowOff>
    </xdr:from>
    <xdr:ext cx="184731" cy="264560"/>
    <xdr:sp macro="" textlink="">
      <xdr:nvSpPr>
        <xdr:cNvPr id="570" name="TextBox 5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571" name="TextBox 5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572" name="TextBox 5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573" name="TextBox 5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1603</xdr:row>
      <xdr:rowOff>647700</xdr:rowOff>
    </xdr:from>
    <xdr:ext cx="184731" cy="264560"/>
    <xdr:sp macro="" textlink="">
      <xdr:nvSpPr>
        <xdr:cNvPr id="574" name="TextBox 5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1605</xdr:row>
      <xdr:rowOff>647700</xdr:rowOff>
    </xdr:from>
    <xdr:ext cx="184731" cy="264560"/>
    <xdr:sp macro="" textlink="">
      <xdr:nvSpPr>
        <xdr:cNvPr id="575" name="TextBox 5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1613</xdr:row>
      <xdr:rowOff>0</xdr:rowOff>
    </xdr:from>
    <xdr:ext cx="184731" cy="264560"/>
    <xdr:sp macro="" textlink="">
      <xdr:nvSpPr>
        <xdr:cNvPr id="576" name="TextBox 5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1613</xdr:row>
      <xdr:rowOff>647700</xdr:rowOff>
    </xdr:from>
    <xdr:ext cx="184731" cy="264560"/>
    <xdr:sp macro="" textlink="">
      <xdr:nvSpPr>
        <xdr:cNvPr id="577" name="TextBox 5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1614</xdr:row>
      <xdr:rowOff>647700</xdr:rowOff>
    </xdr:from>
    <xdr:ext cx="184731" cy="264560"/>
    <xdr:sp macro="" textlink="">
      <xdr:nvSpPr>
        <xdr:cNvPr id="578" name="TextBox 5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1053</xdr:row>
      <xdr:rowOff>647700</xdr:rowOff>
    </xdr:from>
    <xdr:ext cx="184731" cy="264560"/>
    <xdr:sp macro="" textlink="">
      <xdr:nvSpPr>
        <xdr:cNvPr id="579" name="TextBox 5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1056</xdr:row>
      <xdr:rowOff>647700</xdr:rowOff>
    </xdr:from>
    <xdr:ext cx="184731" cy="264560"/>
    <xdr:sp macro="" textlink="">
      <xdr:nvSpPr>
        <xdr:cNvPr id="580" name="TextBox 5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1074</xdr:row>
      <xdr:rowOff>0</xdr:rowOff>
    </xdr:from>
    <xdr:ext cx="184731" cy="264560"/>
    <xdr:sp macro="" textlink="">
      <xdr:nvSpPr>
        <xdr:cNvPr id="581" name="TextBox 5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1074</xdr:row>
      <xdr:rowOff>647700</xdr:rowOff>
    </xdr:from>
    <xdr:ext cx="184731" cy="264560"/>
    <xdr:sp macro="" textlink="">
      <xdr:nvSpPr>
        <xdr:cNvPr id="582" name="TextBox 5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583" name="TextBox 5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584" name="TextBox 5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0</xdr:rowOff>
    </xdr:from>
    <xdr:ext cx="184731" cy="264560"/>
    <xdr:sp macro="" textlink="">
      <xdr:nvSpPr>
        <xdr:cNvPr id="585" name="TextBox 5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647700</xdr:rowOff>
    </xdr:from>
    <xdr:ext cx="184731" cy="264560"/>
    <xdr:sp macro="" textlink="">
      <xdr:nvSpPr>
        <xdr:cNvPr id="586" name="TextBox 5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587" name="TextBox 5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1167</xdr:row>
      <xdr:rowOff>647700</xdr:rowOff>
    </xdr:from>
    <xdr:ext cx="184731" cy="264560"/>
    <xdr:sp macro="" textlink="">
      <xdr:nvSpPr>
        <xdr:cNvPr id="588" name="TextBox 5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0</xdr:rowOff>
    </xdr:from>
    <xdr:ext cx="184731" cy="264560"/>
    <xdr:sp macro="" textlink="">
      <xdr:nvSpPr>
        <xdr:cNvPr id="589" name="TextBox 5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647700</xdr:rowOff>
    </xdr:from>
    <xdr:ext cx="184731" cy="264560"/>
    <xdr:sp macro="" textlink="">
      <xdr:nvSpPr>
        <xdr:cNvPr id="590" name="TextBox 5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591" name="TextBox 5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1168</xdr:row>
      <xdr:rowOff>647700</xdr:rowOff>
    </xdr:from>
    <xdr:ext cx="184731" cy="264560"/>
    <xdr:sp macro="" textlink="">
      <xdr:nvSpPr>
        <xdr:cNvPr id="592" name="TextBox 5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0</xdr:rowOff>
    </xdr:from>
    <xdr:ext cx="184731" cy="264560"/>
    <xdr:sp macro="" textlink="">
      <xdr:nvSpPr>
        <xdr:cNvPr id="593" name="TextBox 5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647700</xdr:rowOff>
    </xdr:from>
    <xdr:ext cx="184731" cy="264560"/>
    <xdr:sp macro="" textlink="">
      <xdr:nvSpPr>
        <xdr:cNvPr id="594" name="TextBox 5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1536</xdr:row>
      <xdr:rowOff>647700</xdr:rowOff>
    </xdr:from>
    <xdr:ext cx="184731" cy="264560"/>
    <xdr:sp macro="" textlink="">
      <xdr:nvSpPr>
        <xdr:cNvPr id="595" name="TextBox 5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1539</xdr:row>
      <xdr:rowOff>647700</xdr:rowOff>
    </xdr:from>
    <xdr:ext cx="184731" cy="264560"/>
    <xdr:sp macro="" textlink="">
      <xdr:nvSpPr>
        <xdr:cNvPr id="596" name="TextBox 5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0</xdr:rowOff>
    </xdr:from>
    <xdr:ext cx="184731" cy="264560"/>
    <xdr:sp macro="" textlink="">
      <xdr:nvSpPr>
        <xdr:cNvPr id="597" name="TextBox 5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647700</xdr:rowOff>
    </xdr:from>
    <xdr:ext cx="184731" cy="264560"/>
    <xdr:sp macro="" textlink="">
      <xdr:nvSpPr>
        <xdr:cNvPr id="598" name="TextBox 5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1537</xdr:row>
      <xdr:rowOff>647700</xdr:rowOff>
    </xdr:from>
    <xdr:ext cx="184731" cy="264560"/>
    <xdr:sp macro="" textlink="">
      <xdr:nvSpPr>
        <xdr:cNvPr id="599" name="TextBox 5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1540</xdr:row>
      <xdr:rowOff>647700</xdr:rowOff>
    </xdr:from>
    <xdr:ext cx="184731" cy="264560"/>
    <xdr:sp macro="" textlink="">
      <xdr:nvSpPr>
        <xdr:cNvPr id="600" name="TextBox 5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0</xdr:rowOff>
    </xdr:from>
    <xdr:ext cx="184731" cy="264560"/>
    <xdr:sp macro="" textlink="">
      <xdr:nvSpPr>
        <xdr:cNvPr id="601" name="TextBox 6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647700</xdr:rowOff>
    </xdr:from>
    <xdr:ext cx="184731" cy="264560"/>
    <xdr:sp macro="" textlink="">
      <xdr:nvSpPr>
        <xdr:cNvPr id="602" name="TextBox 6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603" name="TextBox 6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604" name="TextBox 6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605" name="TextBox 6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606" name="TextBox 6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607" name="TextBox 6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608" name="TextBox 6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609" name="TextBox 6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610" name="TextBox 6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611" name="TextBox 6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612" name="TextBox 6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613" name="TextBox 6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614" name="TextBox 6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615" name="TextBox 6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616" name="TextBox 6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617" name="TextBox 6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618" name="TextBox 6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619" name="TextBox 6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620" name="TextBox 6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621" name="TextBox 6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622" name="TextBox 6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623" name="TextBox 6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624" name="TextBox 6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625" name="TextBox 6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626" name="TextBox 6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627" name="TextBox 6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628" name="TextBox 6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629" name="TextBox 6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630" name="TextBox 6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631" name="TextBox 6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632" name="TextBox 6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0</xdr:rowOff>
    </xdr:from>
    <xdr:ext cx="184731" cy="264560"/>
    <xdr:sp macro="" textlink="">
      <xdr:nvSpPr>
        <xdr:cNvPr id="633" name="TextBox 6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647700</xdr:rowOff>
    </xdr:from>
    <xdr:ext cx="184731" cy="264560"/>
    <xdr:sp macro="" textlink="">
      <xdr:nvSpPr>
        <xdr:cNvPr id="634" name="TextBox 6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1681</xdr:row>
      <xdr:rowOff>647700</xdr:rowOff>
    </xdr:from>
    <xdr:ext cx="184731" cy="264560"/>
    <xdr:sp macro="" textlink="">
      <xdr:nvSpPr>
        <xdr:cNvPr id="635" name="TextBox 6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0</xdr:rowOff>
    </xdr:from>
    <xdr:ext cx="184731" cy="264560"/>
    <xdr:sp macro="" textlink="">
      <xdr:nvSpPr>
        <xdr:cNvPr id="636" name="TextBox 6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0</xdr:rowOff>
    </xdr:from>
    <xdr:ext cx="184731" cy="264560"/>
    <xdr:sp macro="" textlink="">
      <xdr:nvSpPr>
        <xdr:cNvPr id="637" name="TextBox 6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638" name="TextBox 6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1682</xdr:row>
      <xdr:rowOff>647700</xdr:rowOff>
    </xdr:from>
    <xdr:ext cx="184731" cy="264560"/>
    <xdr:sp macro="" textlink="">
      <xdr:nvSpPr>
        <xdr:cNvPr id="639" name="TextBox 6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647700</xdr:rowOff>
    </xdr:from>
    <xdr:ext cx="184731" cy="264560"/>
    <xdr:sp macro="" textlink="">
      <xdr:nvSpPr>
        <xdr:cNvPr id="640" name="TextBox 6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0</xdr:rowOff>
    </xdr:from>
    <xdr:ext cx="184731" cy="264560"/>
    <xdr:sp macro="" textlink="">
      <xdr:nvSpPr>
        <xdr:cNvPr id="641" name="TextBox 6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642" name="TextBox 6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1573</xdr:row>
      <xdr:rowOff>647700</xdr:rowOff>
    </xdr:from>
    <xdr:ext cx="184731" cy="264560"/>
    <xdr:sp macro="" textlink="">
      <xdr:nvSpPr>
        <xdr:cNvPr id="643" name="TextBox 6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644" name="TextBox 6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645" name="TextBox 6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646" name="TextBox 6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1601</xdr:row>
      <xdr:rowOff>647700</xdr:rowOff>
    </xdr:from>
    <xdr:ext cx="184731" cy="264560"/>
    <xdr:sp macro="" textlink="">
      <xdr:nvSpPr>
        <xdr:cNvPr id="647" name="TextBox 6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1604</xdr:row>
      <xdr:rowOff>0</xdr:rowOff>
    </xdr:from>
    <xdr:ext cx="184731" cy="264560"/>
    <xdr:sp macro="" textlink="">
      <xdr:nvSpPr>
        <xdr:cNvPr id="648" name="TextBox 6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1611</xdr:row>
      <xdr:rowOff>0</xdr:rowOff>
    </xdr:from>
    <xdr:ext cx="184731" cy="264560"/>
    <xdr:sp macro="" textlink="">
      <xdr:nvSpPr>
        <xdr:cNvPr id="649" name="TextBox 6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1611</xdr:row>
      <xdr:rowOff>647700</xdr:rowOff>
    </xdr:from>
    <xdr:ext cx="184731" cy="264560"/>
    <xdr:sp macro="" textlink="">
      <xdr:nvSpPr>
        <xdr:cNvPr id="650" name="TextBox 6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1612</xdr:row>
      <xdr:rowOff>647700</xdr:rowOff>
    </xdr:from>
    <xdr:ext cx="184731" cy="264560"/>
    <xdr:sp macro="" textlink="">
      <xdr:nvSpPr>
        <xdr:cNvPr id="651" name="TextBox 6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1051</xdr:row>
      <xdr:rowOff>647700</xdr:rowOff>
    </xdr:from>
    <xdr:ext cx="184731" cy="264560"/>
    <xdr:sp macro="" textlink="">
      <xdr:nvSpPr>
        <xdr:cNvPr id="652" name="TextBox 6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1054</xdr:row>
      <xdr:rowOff>647700</xdr:rowOff>
    </xdr:from>
    <xdr:ext cx="184731" cy="264560"/>
    <xdr:sp macro="" textlink="">
      <xdr:nvSpPr>
        <xdr:cNvPr id="653" name="TextBox 6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1072</xdr:row>
      <xdr:rowOff>0</xdr:rowOff>
    </xdr:from>
    <xdr:ext cx="184731" cy="264560"/>
    <xdr:sp macro="" textlink="">
      <xdr:nvSpPr>
        <xdr:cNvPr id="654" name="TextBox 6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1072</xdr:row>
      <xdr:rowOff>647700</xdr:rowOff>
    </xdr:from>
    <xdr:ext cx="184731" cy="264560"/>
    <xdr:sp macro="" textlink="">
      <xdr:nvSpPr>
        <xdr:cNvPr id="655" name="TextBox 6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1161</xdr:row>
      <xdr:rowOff>647700</xdr:rowOff>
    </xdr:from>
    <xdr:ext cx="184731" cy="264560"/>
    <xdr:sp macro="" textlink="">
      <xdr:nvSpPr>
        <xdr:cNvPr id="656" name="TextBox 6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657" name="TextBox 6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0</xdr:rowOff>
    </xdr:from>
    <xdr:ext cx="184731" cy="264560"/>
    <xdr:sp macro="" textlink="">
      <xdr:nvSpPr>
        <xdr:cNvPr id="658" name="TextBox 6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1182</xdr:row>
      <xdr:rowOff>647700</xdr:rowOff>
    </xdr:from>
    <xdr:ext cx="184731" cy="264560"/>
    <xdr:sp macro="" textlink="">
      <xdr:nvSpPr>
        <xdr:cNvPr id="659" name="TextBox 6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1162</xdr:row>
      <xdr:rowOff>647700</xdr:rowOff>
    </xdr:from>
    <xdr:ext cx="184731" cy="264560"/>
    <xdr:sp macro="" textlink="">
      <xdr:nvSpPr>
        <xdr:cNvPr id="660" name="TextBox 6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661" name="TextBox 6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0</xdr:rowOff>
    </xdr:from>
    <xdr:ext cx="184731" cy="264560"/>
    <xdr:sp macro="" textlink="">
      <xdr:nvSpPr>
        <xdr:cNvPr id="662" name="TextBox 6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647700</xdr:rowOff>
    </xdr:from>
    <xdr:ext cx="184731" cy="264560"/>
    <xdr:sp macro="" textlink="">
      <xdr:nvSpPr>
        <xdr:cNvPr id="663" name="TextBox 6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664" name="TextBox 6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665" name="TextBox 6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0</xdr:rowOff>
    </xdr:from>
    <xdr:ext cx="184731" cy="264560"/>
    <xdr:sp macro="" textlink="">
      <xdr:nvSpPr>
        <xdr:cNvPr id="666" name="TextBox 6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647700</xdr:rowOff>
    </xdr:from>
    <xdr:ext cx="184731" cy="264560"/>
    <xdr:sp macro="" textlink="">
      <xdr:nvSpPr>
        <xdr:cNvPr id="667" name="TextBox 6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1534</xdr:row>
      <xdr:rowOff>647700</xdr:rowOff>
    </xdr:from>
    <xdr:ext cx="184731" cy="264560"/>
    <xdr:sp macro="" textlink="">
      <xdr:nvSpPr>
        <xdr:cNvPr id="668" name="TextBox 6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1537</xdr:row>
      <xdr:rowOff>647700</xdr:rowOff>
    </xdr:from>
    <xdr:ext cx="184731" cy="264560"/>
    <xdr:sp macro="" textlink="">
      <xdr:nvSpPr>
        <xdr:cNvPr id="669" name="TextBox 6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1555</xdr:row>
      <xdr:rowOff>0</xdr:rowOff>
    </xdr:from>
    <xdr:ext cx="184731" cy="264560"/>
    <xdr:sp macro="" textlink="">
      <xdr:nvSpPr>
        <xdr:cNvPr id="670" name="TextBox 6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1555</xdr:row>
      <xdr:rowOff>647700</xdr:rowOff>
    </xdr:from>
    <xdr:ext cx="184731" cy="264560"/>
    <xdr:sp macro="" textlink="">
      <xdr:nvSpPr>
        <xdr:cNvPr id="671" name="TextBox 6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1535</xdr:row>
      <xdr:rowOff>647700</xdr:rowOff>
    </xdr:from>
    <xdr:ext cx="184731" cy="264560"/>
    <xdr:sp macro="" textlink="">
      <xdr:nvSpPr>
        <xdr:cNvPr id="672" name="TextBox 6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1538</xdr:row>
      <xdr:rowOff>647700</xdr:rowOff>
    </xdr:from>
    <xdr:ext cx="184731" cy="264560"/>
    <xdr:sp macro="" textlink="">
      <xdr:nvSpPr>
        <xdr:cNvPr id="673" name="TextBox 6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1556</xdr:row>
      <xdr:rowOff>0</xdr:rowOff>
    </xdr:from>
    <xdr:ext cx="184731" cy="264560"/>
    <xdr:sp macro="" textlink="">
      <xdr:nvSpPr>
        <xdr:cNvPr id="674" name="TextBox 6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1556</xdr:row>
      <xdr:rowOff>647700</xdr:rowOff>
    </xdr:from>
    <xdr:ext cx="184731" cy="264560"/>
    <xdr:sp macro="" textlink="">
      <xdr:nvSpPr>
        <xdr:cNvPr id="675" name="TextBox 6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676" name="TextBox 6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677" name="TextBox 6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0</xdr:rowOff>
    </xdr:from>
    <xdr:ext cx="184731" cy="264560"/>
    <xdr:sp macro="" textlink="">
      <xdr:nvSpPr>
        <xdr:cNvPr id="678" name="TextBox 6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1580</xdr:row>
      <xdr:rowOff>647700</xdr:rowOff>
    </xdr:from>
    <xdr:ext cx="184731" cy="264560"/>
    <xdr:sp macro="" textlink="">
      <xdr:nvSpPr>
        <xdr:cNvPr id="679" name="TextBox 6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680" name="TextBox 6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681" name="TextBox 6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682" name="TextBox 6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683" name="TextBox 6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684" name="TextBox 6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685" name="TextBox 6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686" name="TextBox 6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687" name="TextBox 6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688" name="TextBox 6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689" name="TextBox 6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690" name="TextBox 6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691" name="TextBox 6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692" name="TextBox 6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693" name="TextBox 6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694" name="TextBox 6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695" name="TextBox 6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696" name="TextBox 6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697" name="TextBox 6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698" name="TextBox 6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699" name="TextBox 6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700" name="TextBox 6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701" name="TextBox 7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702" name="TextBox 7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703" name="TextBox 7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704" name="TextBox 7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705" name="TextBox 7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706" name="TextBox 7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707" name="TextBox 7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1679</xdr:row>
      <xdr:rowOff>647700</xdr:rowOff>
    </xdr:from>
    <xdr:ext cx="184731" cy="264560"/>
    <xdr:sp macro="" textlink="">
      <xdr:nvSpPr>
        <xdr:cNvPr id="708" name="TextBox 7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1682</xdr:row>
      <xdr:rowOff>647700</xdr:rowOff>
    </xdr:from>
    <xdr:ext cx="184731" cy="264560"/>
    <xdr:sp macro="" textlink="">
      <xdr:nvSpPr>
        <xdr:cNvPr id="709" name="TextBox 7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710" name="TextBox 7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711" name="TextBox 7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1680</xdr:row>
      <xdr:rowOff>647700</xdr:rowOff>
    </xdr:from>
    <xdr:ext cx="184731" cy="264560"/>
    <xdr:sp macro="" textlink="">
      <xdr:nvSpPr>
        <xdr:cNvPr id="712" name="TextBox 7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1683</xdr:row>
      <xdr:rowOff>647700</xdr:rowOff>
    </xdr:from>
    <xdr:ext cx="184731" cy="264560"/>
    <xdr:sp macro="" textlink="">
      <xdr:nvSpPr>
        <xdr:cNvPr id="713" name="TextBox 7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714" name="TextBox 7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715" name="TextBox 7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1574</xdr:row>
      <xdr:rowOff>647700</xdr:rowOff>
    </xdr:from>
    <xdr:ext cx="184731" cy="264560"/>
    <xdr:sp macro="" textlink="">
      <xdr:nvSpPr>
        <xdr:cNvPr id="716" name="TextBox 7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717" name="TextBox 7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718" name="TextBox 7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719" name="TextBox 7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1602</xdr:row>
      <xdr:rowOff>647700</xdr:rowOff>
    </xdr:from>
    <xdr:ext cx="184731" cy="264560"/>
    <xdr:sp macro="" textlink="">
      <xdr:nvSpPr>
        <xdr:cNvPr id="720" name="TextBox 7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1604</xdr:row>
      <xdr:rowOff>647700</xdr:rowOff>
    </xdr:from>
    <xdr:ext cx="184731" cy="264560"/>
    <xdr:sp macro="" textlink="">
      <xdr:nvSpPr>
        <xdr:cNvPr id="721" name="TextBox 7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1612</xdr:row>
      <xdr:rowOff>0</xdr:rowOff>
    </xdr:from>
    <xdr:ext cx="184731" cy="264560"/>
    <xdr:sp macro="" textlink="">
      <xdr:nvSpPr>
        <xdr:cNvPr id="722" name="TextBox 7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1612</xdr:row>
      <xdr:rowOff>647700</xdr:rowOff>
    </xdr:from>
    <xdr:ext cx="184731" cy="264560"/>
    <xdr:sp macro="" textlink="">
      <xdr:nvSpPr>
        <xdr:cNvPr id="723" name="TextBox 7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1613</xdr:row>
      <xdr:rowOff>647700</xdr:rowOff>
    </xdr:from>
    <xdr:ext cx="184731" cy="264560"/>
    <xdr:sp macro="" textlink="">
      <xdr:nvSpPr>
        <xdr:cNvPr id="724" name="TextBox 7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1052</xdr:row>
      <xdr:rowOff>647700</xdr:rowOff>
    </xdr:from>
    <xdr:ext cx="184731" cy="264560"/>
    <xdr:sp macro="" textlink="">
      <xdr:nvSpPr>
        <xdr:cNvPr id="725" name="TextBox 7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1055</xdr:row>
      <xdr:rowOff>647700</xdr:rowOff>
    </xdr:from>
    <xdr:ext cx="184731" cy="264560"/>
    <xdr:sp macro="" textlink="">
      <xdr:nvSpPr>
        <xdr:cNvPr id="726" name="TextBox 7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1073</xdr:row>
      <xdr:rowOff>0</xdr:rowOff>
    </xdr:from>
    <xdr:ext cx="184731" cy="264560"/>
    <xdr:sp macro="" textlink="">
      <xdr:nvSpPr>
        <xdr:cNvPr id="727" name="TextBox 7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1073</xdr:row>
      <xdr:rowOff>647700</xdr:rowOff>
    </xdr:from>
    <xdr:ext cx="184731" cy="264560"/>
    <xdr:sp macro="" textlink="">
      <xdr:nvSpPr>
        <xdr:cNvPr id="728" name="TextBox 7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1162</xdr:row>
      <xdr:rowOff>647700</xdr:rowOff>
    </xdr:from>
    <xdr:ext cx="184731" cy="264560"/>
    <xdr:sp macro="" textlink="">
      <xdr:nvSpPr>
        <xdr:cNvPr id="729" name="TextBox 7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730" name="TextBox 7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0</xdr:rowOff>
    </xdr:from>
    <xdr:ext cx="184731" cy="264560"/>
    <xdr:sp macro="" textlink="">
      <xdr:nvSpPr>
        <xdr:cNvPr id="731" name="TextBox 7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1183</xdr:row>
      <xdr:rowOff>647700</xdr:rowOff>
    </xdr:from>
    <xdr:ext cx="184731" cy="264560"/>
    <xdr:sp macro="" textlink="">
      <xdr:nvSpPr>
        <xdr:cNvPr id="732" name="TextBox 7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733" name="TextBox 7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734" name="TextBox 7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0</xdr:rowOff>
    </xdr:from>
    <xdr:ext cx="184731" cy="264560"/>
    <xdr:sp macro="" textlink="">
      <xdr:nvSpPr>
        <xdr:cNvPr id="735" name="TextBox 7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647700</xdr:rowOff>
    </xdr:from>
    <xdr:ext cx="184731" cy="264560"/>
    <xdr:sp macro="" textlink="">
      <xdr:nvSpPr>
        <xdr:cNvPr id="736" name="TextBox 7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737" name="TextBox 7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1167</xdr:row>
      <xdr:rowOff>647700</xdr:rowOff>
    </xdr:from>
    <xdr:ext cx="184731" cy="264560"/>
    <xdr:sp macro="" textlink="">
      <xdr:nvSpPr>
        <xdr:cNvPr id="738" name="TextBox 7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0</xdr:rowOff>
    </xdr:from>
    <xdr:ext cx="184731" cy="264560"/>
    <xdr:sp macro="" textlink="">
      <xdr:nvSpPr>
        <xdr:cNvPr id="739" name="TextBox 7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647700</xdr:rowOff>
    </xdr:from>
    <xdr:ext cx="184731" cy="264560"/>
    <xdr:sp macro="" textlink="">
      <xdr:nvSpPr>
        <xdr:cNvPr id="740" name="TextBox 7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1535</xdr:row>
      <xdr:rowOff>647700</xdr:rowOff>
    </xdr:from>
    <xdr:ext cx="184731" cy="264560"/>
    <xdr:sp macro="" textlink="">
      <xdr:nvSpPr>
        <xdr:cNvPr id="741" name="TextBox 7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1538</xdr:row>
      <xdr:rowOff>647700</xdr:rowOff>
    </xdr:from>
    <xdr:ext cx="184731" cy="264560"/>
    <xdr:sp macro="" textlink="">
      <xdr:nvSpPr>
        <xdr:cNvPr id="742" name="TextBox 7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1556</xdr:row>
      <xdr:rowOff>0</xdr:rowOff>
    </xdr:from>
    <xdr:ext cx="184731" cy="264560"/>
    <xdr:sp macro="" textlink="">
      <xdr:nvSpPr>
        <xdr:cNvPr id="743" name="TextBox 7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1556</xdr:row>
      <xdr:rowOff>647700</xdr:rowOff>
    </xdr:from>
    <xdr:ext cx="184731" cy="264560"/>
    <xdr:sp macro="" textlink="">
      <xdr:nvSpPr>
        <xdr:cNvPr id="744" name="TextBox 7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1536</xdr:row>
      <xdr:rowOff>647700</xdr:rowOff>
    </xdr:from>
    <xdr:ext cx="184731" cy="264560"/>
    <xdr:sp macro="" textlink="">
      <xdr:nvSpPr>
        <xdr:cNvPr id="745" name="TextBox 7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1539</xdr:row>
      <xdr:rowOff>647700</xdr:rowOff>
    </xdr:from>
    <xdr:ext cx="184731" cy="264560"/>
    <xdr:sp macro="" textlink="">
      <xdr:nvSpPr>
        <xdr:cNvPr id="746" name="TextBox 7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0</xdr:rowOff>
    </xdr:from>
    <xdr:ext cx="184731" cy="264560"/>
    <xdr:sp macro="" textlink="">
      <xdr:nvSpPr>
        <xdr:cNvPr id="747" name="TextBox 7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647700</xdr:rowOff>
    </xdr:from>
    <xdr:ext cx="184731" cy="264560"/>
    <xdr:sp macro="" textlink="">
      <xdr:nvSpPr>
        <xdr:cNvPr id="748" name="TextBox 7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749" name="TextBox 7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750" name="TextBox 7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0</xdr:rowOff>
    </xdr:from>
    <xdr:ext cx="184731" cy="264560"/>
    <xdr:sp macro="" textlink="">
      <xdr:nvSpPr>
        <xdr:cNvPr id="751" name="TextBox 7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1581</xdr:row>
      <xdr:rowOff>647700</xdr:rowOff>
    </xdr:from>
    <xdr:ext cx="184731" cy="264560"/>
    <xdr:sp macro="" textlink="">
      <xdr:nvSpPr>
        <xdr:cNvPr id="752" name="TextBox 7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753" name="TextBox 7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754" name="TextBox 7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755" name="TextBox 7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756" name="TextBox 7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757" name="TextBox 7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758" name="TextBox 7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759" name="TextBox 7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760" name="TextBox 7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761" name="TextBox 7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762" name="TextBox 7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763" name="TextBox 7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764" name="TextBox 7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765" name="TextBox 7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766" name="TextBox 7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767" name="TextBox 7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768" name="TextBox 7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769" name="TextBox 7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770" name="TextBox 7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771" name="TextBox 7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772" name="TextBox 7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773" name="TextBox 7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774" name="TextBox 7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775" name="TextBox 7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776" name="TextBox 7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777" name="TextBox 7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778" name="TextBox 7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779" name="TextBox 7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780" name="TextBox 7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1680</xdr:row>
      <xdr:rowOff>647700</xdr:rowOff>
    </xdr:from>
    <xdr:ext cx="184731" cy="264560"/>
    <xdr:sp macro="" textlink="">
      <xdr:nvSpPr>
        <xdr:cNvPr id="781" name="TextBox 7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1683</xdr:row>
      <xdr:rowOff>647700</xdr:rowOff>
    </xdr:from>
    <xdr:ext cx="184731" cy="264560"/>
    <xdr:sp macro="" textlink="">
      <xdr:nvSpPr>
        <xdr:cNvPr id="782" name="TextBox 7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783" name="TextBox 7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784" name="TextBox 7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1681</xdr:row>
      <xdr:rowOff>647700</xdr:rowOff>
    </xdr:from>
    <xdr:ext cx="184731" cy="264560"/>
    <xdr:sp macro="" textlink="">
      <xdr:nvSpPr>
        <xdr:cNvPr id="785" name="TextBox 7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0</xdr:rowOff>
    </xdr:from>
    <xdr:ext cx="184731" cy="264560"/>
    <xdr:sp macro="" textlink="">
      <xdr:nvSpPr>
        <xdr:cNvPr id="786" name="TextBox 7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0</xdr:rowOff>
    </xdr:from>
    <xdr:ext cx="184731" cy="264560"/>
    <xdr:sp macro="" textlink="">
      <xdr:nvSpPr>
        <xdr:cNvPr id="787" name="TextBox 7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788" name="TextBox 7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1575</xdr:row>
      <xdr:rowOff>647700</xdr:rowOff>
    </xdr:from>
    <xdr:ext cx="184731" cy="264560"/>
    <xdr:sp macro="" textlink="">
      <xdr:nvSpPr>
        <xdr:cNvPr id="789" name="TextBox 7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790" name="TextBox 7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791" name="TextBox 7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792" name="TextBox 7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1603</xdr:row>
      <xdr:rowOff>647700</xdr:rowOff>
    </xdr:from>
    <xdr:ext cx="184731" cy="264560"/>
    <xdr:sp macro="" textlink="">
      <xdr:nvSpPr>
        <xdr:cNvPr id="793" name="TextBox 7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1605</xdr:row>
      <xdr:rowOff>647700</xdr:rowOff>
    </xdr:from>
    <xdr:ext cx="184731" cy="264560"/>
    <xdr:sp macro="" textlink="">
      <xdr:nvSpPr>
        <xdr:cNvPr id="794" name="TextBox 7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1613</xdr:row>
      <xdr:rowOff>0</xdr:rowOff>
    </xdr:from>
    <xdr:ext cx="184731" cy="264560"/>
    <xdr:sp macro="" textlink="">
      <xdr:nvSpPr>
        <xdr:cNvPr id="795" name="TextBox 7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1613</xdr:row>
      <xdr:rowOff>647700</xdr:rowOff>
    </xdr:from>
    <xdr:ext cx="184731" cy="264560"/>
    <xdr:sp macro="" textlink="">
      <xdr:nvSpPr>
        <xdr:cNvPr id="796" name="TextBox 7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1614</xdr:row>
      <xdr:rowOff>647700</xdr:rowOff>
    </xdr:from>
    <xdr:ext cx="184731" cy="264560"/>
    <xdr:sp macro="" textlink="">
      <xdr:nvSpPr>
        <xdr:cNvPr id="797" name="TextBox 7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1053</xdr:row>
      <xdr:rowOff>647700</xdr:rowOff>
    </xdr:from>
    <xdr:ext cx="184731" cy="264560"/>
    <xdr:sp macro="" textlink="">
      <xdr:nvSpPr>
        <xdr:cNvPr id="798" name="TextBox 7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1056</xdr:row>
      <xdr:rowOff>647700</xdr:rowOff>
    </xdr:from>
    <xdr:ext cx="184731" cy="264560"/>
    <xdr:sp macro="" textlink="">
      <xdr:nvSpPr>
        <xdr:cNvPr id="799" name="TextBox 7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1074</xdr:row>
      <xdr:rowOff>0</xdr:rowOff>
    </xdr:from>
    <xdr:ext cx="184731" cy="264560"/>
    <xdr:sp macro="" textlink="">
      <xdr:nvSpPr>
        <xdr:cNvPr id="800" name="TextBox 7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1074</xdr:row>
      <xdr:rowOff>647700</xdr:rowOff>
    </xdr:from>
    <xdr:ext cx="184731" cy="264560"/>
    <xdr:sp macro="" textlink="">
      <xdr:nvSpPr>
        <xdr:cNvPr id="801" name="TextBox 8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1163</xdr:row>
      <xdr:rowOff>647700</xdr:rowOff>
    </xdr:from>
    <xdr:ext cx="184731" cy="264560"/>
    <xdr:sp macro="" textlink="">
      <xdr:nvSpPr>
        <xdr:cNvPr id="802" name="TextBox 8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803" name="TextBox 8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0</xdr:rowOff>
    </xdr:from>
    <xdr:ext cx="184731" cy="264560"/>
    <xdr:sp macro="" textlink="">
      <xdr:nvSpPr>
        <xdr:cNvPr id="804" name="TextBox 8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1184</xdr:row>
      <xdr:rowOff>647700</xdr:rowOff>
    </xdr:from>
    <xdr:ext cx="184731" cy="264560"/>
    <xdr:sp macro="" textlink="">
      <xdr:nvSpPr>
        <xdr:cNvPr id="805" name="TextBox 8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806" name="TextBox 8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1167</xdr:row>
      <xdr:rowOff>647700</xdr:rowOff>
    </xdr:from>
    <xdr:ext cx="184731" cy="264560"/>
    <xdr:sp macro="" textlink="">
      <xdr:nvSpPr>
        <xdr:cNvPr id="807" name="TextBox 8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0</xdr:rowOff>
    </xdr:from>
    <xdr:ext cx="184731" cy="264560"/>
    <xdr:sp macro="" textlink="">
      <xdr:nvSpPr>
        <xdr:cNvPr id="808" name="TextBox 8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647700</xdr:rowOff>
    </xdr:from>
    <xdr:ext cx="184731" cy="264560"/>
    <xdr:sp macro="" textlink="">
      <xdr:nvSpPr>
        <xdr:cNvPr id="809" name="TextBox 8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810" name="TextBox 8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1168</xdr:row>
      <xdr:rowOff>647700</xdr:rowOff>
    </xdr:from>
    <xdr:ext cx="184731" cy="264560"/>
    <xdr:sp macro="" textlink="">
      <xdr:nvSpPr>
        <xdr:cNvPr id="811" name="TextBox 8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0</xdr:rowOff>
    </xdr:from>
    <xdr:ext cx="184731" cy="264560"/>
    <xdr:sp macro="" textlink="">
      <xdr:nvSpPr>
        <xdr:cNvPr id="812" name="TextBox 8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647700</xdr:rowOff>
    </xdr:from>
    <xdr:ext cx="184731" cy="264560"/>
    <xdr:sp macro="" textlink="">
      <xdr:nvSpPr>
        <xdr:cNvPr id="813" name="TextBox 8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1536</xdr:row>
      <xdr:rowOff>647700</xdr:rowOff>
    </xdr:from>
    <xdr:ext cx="184731" cy="264560"/>
    <xdr:sp macro="" textlink="">
      <xdr:nvSpPr>
        <xdr:cNvPr id="814" name="TextBox 8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1539</xdr:row>
      <xdr:rowOff>647700</xdr:rowOff>
    </xdr:from>
    <xdr:ext cx="184731" cy="264560"/>
    <xdr:sp macro="" textlink="">
      <xdr:nvSpPr>
        <xdr:cNvPr id="815" name="TextBox 8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0</xdr:rowOff>
    </xdr:from>
    <xdr:ext cx="184731" cy="264560"/>
    <xdr:sp macro="" textlink="">
      <xdr:nvSpPr>
        <xdr:cNvPr id="816" name="TextBox 8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1557</xdr:row>
      <xdr:rowOff>647700</xdr:rowOff>
    </xdr:from>
    <xdr:ext cx="184731" cy="264560"/>
    <xdr:sp macro="" textlink="">
      <xdr:nvSpPr>
        <xdr:cNvPr id="817" name="TextBox 8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1537</xdr:row>
      <xdr:rowOff>647700</xdr:rowOff>
    </xdr:from>
    <xdr:ext cx="184731" cy="264560"/>
    <xdr:sp macro="" textlink="">
      <xdr:nvSpPr>
        <xdr:cNvPr id="818" name="TextBox 8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1540</xdr:row>
      <xdr:rowOff>647700</xdr:rowOff>
    </xdr:from>
    <xdr:ext cx="184731" cy="264560"/>
    <xdr:sp macro="" textlink="">
      <xdr:nvSpPr>
        <xdr:cNvPr id="819" name="TextBox 8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0</xdr:rowOff>
    </xdr:from>
    <xdr:ext cx="184731" cy="264560"/>
    <xdr:sp macro="" textlink="">
      <xdr:nvSpPr>
        <xdr:cNvPr id="820" name="TextBox 8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647700</xdr:rowOff>
    </xdr:from>
    <xdr:ext cx="184731" cy="264560"/>
    <xdr:sp macro="" textlink="">
      <xdr:nvSpPr>
        <xdr:cNvPr id="821" name="TextBox 8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822" name="TextBox 8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823" name="TextBox 8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0</xdr:rowOff>
    </xdr:from>
    <xdr:ext cx="184731" cy="264560"/>
    <xdr:sp macro="" textlink="">
      <xdr:nvSpPr>
        <xdr:cNvPr id="824" name="TextBox 8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1582</xdr:row>
      <xdr:rowOff>647700</xdr:rowOff>
    </xdr:from>
    <xdr:ext cx="184731" cy="264560"/>
    <xdr:sp macro="" textlink="">
      <xdr:nvSpPr>
        <xdr:cNvPr id="825" name="TextBox 8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826" name="TextBox 8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827" name="TextBox 8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828" name="TextBox 8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829" name="TextBox 8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830" name="TextBox 8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831" name="TextBox 8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832" name="TextBox 8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833" name="TextBox 8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834" name="TextBox 8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835" name="TextBox 8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836" name="TextBox 8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837" name="TextBox 8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838" name="TextBox 8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839" name="TextBox 8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840" name="TextBox 8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841" name="TextBox 8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842" name="TextBox 8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843" name="TextBox 8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844" name="TextBox 8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845" name="TextBox 8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846" name="TextBox 8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847" name="TextBox 8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848" name="TextBox 8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849" name="TextBox 8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850" name="TextBox 8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851" name="TextBox 8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0</xdr:rowOff>
    </xdr:from>
    <xdr:ext cx="184731" cy="264560"/>
    <xdr:sp macro="" textlink="">
      <xdr:nvSpPr>
        <xdr:cNvPr id="852" name="TextBox 8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647700</xdr:rowOff>
    </xdr:from>
    <xdr:ext cx="184731" cy="264560"/>
    <xdr:sp macro="" textlink="">
      <xdr:nvSpPr>
        <xdr:cNvPr id="853" name="TextBox 8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1681</xdr:row>
      <xdr:rowOff>647700</xdr:rowOff>
    </xdr:from>
    <xdr:ext cx="184731" cy="264560"/>
    <xdr:sp macro="" textlink="">
      <xdr:nvSpPr>
        <xdr:cNvPr id="854" name="TextBox 8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0</xdr:rowOff>
    </xdr:from>
    <xdr:ext cx="184731" cy="264560"/>
    <xdr:sp macro="" textlink="">
      <xdr:nvSpPr>
        <xdr:cNvPr id="855" name="TextBox 8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0</xdr:rowOff>
    </xdr:from>
    <xdr:ext cx="184731" cy="264560"/>
    <xdr:sp macro="" textlink="">
      <xdr:nvSpPr>
        <xdr:cNvPr id="856" name="TextBox 8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857" name="TextBox 8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1682</xdr:row>
      <xdr:rowOff>647700</xdr:rowOff>
    </xdr:from>
    <xdr:ext cx="184731" cy="264560"/>
    <xdr:sp macro="" textlink="">
      <xdr:nvSpPr>
        <xdr:cNvPr id="858" name="TextBox 8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647700</xdr:rowOff>
    </xdr:from>
    <xdr:ext cx="184731" cy="264560"/>
    <xdr:sp macro="" textlink="">
      <xdr:nvSpPr>
        <xdr:cNvPr id="859" name="TextBox 8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0</xdr:rowOff>
    </xdr:from>
    <xdr:ext cx="184731" cy="264560"/>
    <xdr:sp macro="" textlink="">
      <xdr:nvSpPr>
        <xdr:cNvPr id="860" name="TextBox 8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861" name="TextBox 8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1576</xdr:row>
      <xdr:rowOff>647700</xdr:rowOff>
    </xdr:from>
    <xdr:ext cx="184731" cy="264560"/>
    <xdr:sp macro="" textlink="">
      <xdr:nvSpPr>
        <xdr:cNvPr id="862" name="TextBox 8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863" name="TextBox 8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864" name="TextBox 8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865" name="TextBox 8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1604</xdr:row>
      <xdr:rowOff>0</xdr:rowOff>
    </xdr:from>
    <xdr:ext cx="184731" cy="264560"/>
    <xdr:sp macro="" textlink="">
      <xdr:nvSpPr>
        <xdr:cNvPr id="866" name="TextBox 8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1606</xdr:row>
      <xdr:rowOff>647700</xdr:rowOff>
    </xdr:from>
    <xdr:ext cx="184731" cy="264560"/>
    <xdr:sp macro="" textlink="">
      <xdr:nvSpPr>
        <xdr:cNvPr id="867" name="TextBox 8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1614</xdr:row>
      <xdr:rowOff>0</xdr:rowOff>
    </xdr:from>
    <xdr:ext cx="184731" cy="264560"/>
    <xdr:sp macro="" textlink="">
      <xdr:nvSpPr>
        <xdr:cNvPr id="868" name="TextBox 8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1614</xdr:row>
      <xdr:rowOff>647700</xdr:rowOff>
    </xdr:from>
    <xdr:ext cx="184731" cy="264560"/>
    <xdr:sp macro="" textlink="">
      <xdr:nvSpPr>
        <xdr:cNvPr id="869" name="TextBox 8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1615</xdr:row>
      <xdr:rowOff>647700</xdr:rowOff>
    </xdr:from>
    <xdr:ext cx="184731" cy="264560"/>
    <xdr:sp macro="" textlink="">
      <xdr:nvSpPr>
        <xdr:cNvPr id="870" name="TextBox 8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1054</xdr:row>
      <xdr:rowOff>647700</xdr:rowOff>
    </xdr:from>
    <xdr:ext cx="184731" cy="264560"/>
    <xdr:sp macro="" textlink="">
      <xdr:nvSpPr>
        <xdr:cNvPr id="871" name="TextBox 8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1057</xdr:row>
      <xdr:rowOff>647700</xdr:rowOff>
    </xdr:from>
    <xdr:ext cx="184731" cy="264560"/>
    <xdr:sp macro="" textlink="">
      <xdr:nvSpPr>
        <xdr:cNvPr id="872" name="TextBox 8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1075</xdr:row>
      <xdr:rowOff>0</xdr:rowOff>
    </xdr:from>
    <xdr:ext cx="184731" cy="264560"/>
    <xdr:sp macro="" textlink="">
      <xdr:nvSpPr>
        <xdr:cNvPr id="873" name="TextBox 8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1075</xdr:row>
      <xdr:rowOff>647700</xdr:rowOff>
    </xdr:from>
    <xdr:ext cx="184731" cy="264560"/>
    <xdr:sp macro="" textlink="">
      <xdr:nvSpPr>
        <xdr:cNvPr id="874" name="TextBox 8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875" name="TextBox 8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1167</xdr:row>
      <xdr:rowOff>647700</xdr:rowOff>
    </xdr:from>
    <xdr:ext cx="184731" cy="264560"/>
    <xdr:sp macro="" textlink="">
      <xdr:nvSpPr>
        <xdr:cNvPr id="876" name="TextBox 8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0</xdr:rowOff>
    </xdr:from>
    <xdr:ext cx="184731" cy="264560"/>
    <xdr:sp macro="" textlink="">
      <xdr:nvSpPr>
        <xdr:cNvPr id="877" name="TextBox 8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647700</xdr:rowOff>
    </xdr:from>
    <xdr:ext cx="184731" cy="264560"/>
    <xdr:sp macro="" textlink="">
      <xdr:nvSpPr>
        <xdr:cNvPr id="878" name="TextBox 8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879" name="TextBox 8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1168</xdr:row>
      <xdr:rowOff>647700</xdr:rowOff>
    </xdr:from>
    <xdr:ext cx="184731" cy="264560"/>
    <xdr:sp macro="" textlink="">
      <xdr:nvSpPr>
        <xdr:cNvPr id="880" name="TextBox 8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0</xdr:rowOff>
    </xdr:from>
    <xdr:ext cx="184731" cy="264560"/>
    <xdr:sp macro="" textlink="">
      <xdr:nvSpPr>
        <xdr:cNvPr id="881" name="TextBox 8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647700</xdr:rowOff>
    </xdr:from>
    <xdr:ext cx="184731" cy="264560"/>
    <xdr:sp macro="" textlink="">
      <xdr:nvSpPr>
        <xdr:cNvPr id="882" name="TextBox 8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883" name="TextBox 8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1169</xdr:row>
      <xdr:rowOff>647700</xdr:rowOff>
    </xdr:from>
    <xdr:ext cx="184731" cy="264560"/>
    <xdr:sp macro="" textlink="">
      <xdr:nvSpPr>
        <xdr:cNvPr id="884" name="TextBox 8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1187</xdr:row>
      <xdr:rowOff>0</xdr:rowOff>
    </xdr:from>
    <xdr:ext cx="184731" cy="264560"/>
    <xdr:sp macro="" textlink="">
      <xdr:nvSpPr>
        <xdr:cNvPr id="885" name="TextBox 8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1187</xdr:row>
      <xdr:rowOff>647700</xdr:rowOff>
    </xdr:from>
    <xdr:ext cx="184731" cy="264560"/>
    <xdr:sp macro="" textlink="">
      <xdr:nvSpPr>
        <xdr:cNvPr id="886" name="TextBox 8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1537</xdr:row>
      <xdr:rowOff>647700</xdr:rowOff>
    </xdr:from>
    <xdr:ext cx="184731" cy="264560"/>
    <xdr:sp macro="" textlink="">
      <xdr:nvSpPr>
        <xdr:cNvPr id="887" name="TextBox 8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1540</xdr:row>
      <xdr:rowOff>647700</xdr:rowOff>
    </xdr:from>
    <xdr:ext cx="184731" cy="264560"/>
    <xdr:sp macro="" textlink="">
      <xdr:nvSpPr>
        <xdr:cNvPr id="888" name="TextBox 8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0</xdr:rowOff>
    </xdr:from>
    <xdr:ext cx="184731" cy="264560"/>
    <xdr:sp macro="" textlink="">
      <xdr:nvSpPr>
        <xdr:cNvPr id="889" name="TextBox 8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647700</xdr:rowOff>
    </xdr:from>
    <xdr:ext cx="184731" cy="264560"/>
    <xdr:sp macro="" textlink="">
      <xdr:nvSpPr>
        <xdr:cNvPr id="890" name="TextBox 8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1538</xdr:row>
      <xdr:rowOff>647700</xdr:rowOff>
    </xdr:from>
    <xdr:ext cx="184731" cy="264560"/>
    <xdr:sp macro="" textlink="">
      <xdr:nvSpPr>
        <xdr:cNvPr id="891" name="TextBox 8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1541</xdr:row>
      <xdr:rowOff>647700</xdr:rowOff>
    </xdr:from>
    <xdr:ext cx="184731" cy="264560"/>
    <xdr:sp macro="" textlink="">
      <xdr:nvSpPr>
        <xdr:cNvPr id="892" name="TextBox 8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0</xdr:rowOff>
    </xdr:from>
    <xdr:ext cx="184731" cy="264560"/>
    <xdr:sp macro="" textlink="">
      <xdr:nvSpPr>
        <xdr:cNvPr id="893" name="TextBox 8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647700</xdr:rowOff>
    </xdr:from>
    <xdr:ext cx="184731" cy="264560"/>
    <xdr:sp macro="" textlink="">
      <xdr:nvSpPr>
        <xdr:cNvPr id="894" name="TextBox 8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895" name="TextBox 8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896" name="TextBox 8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897" name="TextBox 8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898" name="TextBox 8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899" name="TextBox 8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900" name="TextBox 8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901" name="TextBox 9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902" name="TextBox 9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903" name="TextBox 9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904" name="TextBox 9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905" name="TextBox 9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906" name="TextBox 9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907" name="TextBox 9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908" name="TextBox 9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909" name="TextBox 9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910" name="TextBox 9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911" name="TextBox 9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912" name="TextBox 9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913" name="TextBox 9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914" name="TextBox 9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915" name="TextBox 9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916" name="TextBox 9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917" name="TextBox 9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918" name="TextBox 9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919" name="TextBox 9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920" name="TextBox 9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0</xdr:rowOff>
    </xdr:from>
    <xdr:ext cx="184731" cy="264560"/>
    <xdr:sp macro="" textlink="">
      <xdr:nvSpPr>
        <xdr:cNvPr id="921" name="TextBox 9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647700</xdr:rowOff>
    </xdr:from>
    <xdr:ext cx="184731" cy="264560"/>
    <xdr:sp macro="" textlink="">
      <xdr:nvSpPr>
        <xdr:cNvPr id="922" name="TextBox 9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923" name="TextBox 9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1572</xdr:row>
      <xdr:rowOff>647700</xdr:rowOff>
    </xdr:from>
    <xdr:ext cx="184731" cy="264560"/>
    <xdr:sp macro="" textlink="">
      <xdr:nvSpPr>
        <xdr:cNvPr id="924" name="TextBox 9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0</xdr:rowOff>
    </xdr:from>
    <xdr:ext cx="184731" cy="264560"/>
    <xdr:sp macro="" textlink="">
      <xdr:nvSpPr>
        <xdr:cNvPr id="925" name="TextBox 9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647700</xdr:rowOff>
    </xdr:from>
    <xdr:ext cx="184731" cy="264560"/>
    <xdr:sp macro="" textlink="">
      <xdr:nvSpPr>
        <xdr:cNvPr id="926" name="TextBox 9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1682</xdr:row>
      <xdr:rowOff>647700</xdr:rowOff>
    </xdr:from>
    <xdr:ext cx="184731" cy="264560"/>
    <xdr:sp macro="" textlink="">
      <xdr:nvSpPr>
        <xdr:cNvPr id="927" name="TextBox 9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647700</xdr:rowOff>
    </xdr:from>
    <xdr:ext cx="184731" cy="264560"/>
    <xdr:sp macro="" textlink="">
      <xdr:nvSpPr>
        <xdr:cNvPr id="928" name="TextBox 9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0</xdr:rowOff>
    </xdr:from>
    <xdr:ext cx="184731" cy="264560"/>
    <xdr:sp macro="" textlink="">
      <xdr:nvSpPr>
        <xdr:cNvPr id="929" name="TextBox 9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930" name="TextBox 9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1683</xdr:row>
      <xdr:rowOff>647700</xdr:rowOff>
    </xdr:from>
    <xdr:ext cx="184731" cy="264560"/>
    <xdr:sp macro="" textlink="">
      <xdr:nvSpPr>
        <xdr:cNvPr id="931" name="TextBox 9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1685</xdr:row>
      <xdr:rowOff>647700</xdr:rowOff>
    </xdr:from>
    <xdr:ext cx="184731" cy="264560"/>
    <xdr:sp macro="" textlink="">
      <xdr:nvSpPr>
        <xdr:cNvPr id="932" name="TextBox 9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0</xdr:rowOff>
    </xdr:from>
    <xdr:ext cx="184731" cy="264560"/>
    <xdr:sp macro="" textlink="">
      <xdr:nvSpPr>
        <xdr:cNvPr id="933" name="TextBox 9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934" name="TextBox 9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1576</xdr:row>
      <xdr:rowOff>647700</xdr:rowOff>
    </xdr:from>
    <xdr:ext cx="184731" cy="264560"/>
    <xdr:sp macro="" textlink="">
      <xdr:nvSpPr>
        <xdr:cNvPr id="935" name="TextBox 9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936" name="TextBox 9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937" name="TextBox 9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938" name="TextBox 9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1604</xdr:row>
      <xdr:rowOff>0</xdr:rowOff>
    </xdr:from>
    <xdr:ext cx="184731" cy="264560"/>
    <xdr:sp macro="" textlink="">
      <xdr:nvSpPr>
        <xdr:cNvPr id="939" name="TextBox 9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1606</xdr:row>
      <xdr:rowOff>647700</xdr:rowOff>
    </xdr:from>
    <xdr:ext cx="184731" cy="264560"/>
    <xdr:sp macro="" textlink="">
      <xdr:nvSpPr>
        <xdr:cNvPr id="940" name="TextBox 9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1614</xdr:row>
      <xdr:rowOff>0</xdr:rowOff>
    </xdr:from>
    <xdr:ext cx="184731" cy="264560"/>
    <xdr:sp macro="" textlink="">
      <xdr:nvSpPr>
        <xdr:cNvPr id="941" name="TextBox 9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1614</xdr:row>
      <xdr:rowOff>647700</xdr:rowOff>
    </xdr:from>
    <xdr:ext cx="184731" cy="264560"/>
    <xdr:sp macro="" textlink="">
      <xdr:nvSpPr>
        <xdr:cNvPr id="942" name="TextBox 9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1615</xdr:row>
      <xdr:rowOff>647700</xdr:rowOff>
    </xdr:from>
    <xdr:ext cx="184731" cy="264560"/>
    <xdr:sp macro="" textlink="">
      <xdr:nvSpPr>
        <xdr:cNvPr id="943" name="TextBox 9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1054</xdr:row>
      <xdr:rowOff>647700</xdr:rowOff>
    </xdr:from>
    <xdr:ext cx="184731" cy="264560"/>
    <xdr:sp macro="" textlink="">
      <xdr:nvSpPr>
        <xdr:cNvPr id="944" name="TextBox 9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1057</xdr:row>
      <xdr:rowOff>647700</xdr:rowOff>
    </xdr:from>
    <xdr:ext cx="184731" cy="264560"/>
    <xdr:sp macro="" textlink="">
      <xdr:nvSpPr>
        <xdr:cNvPr id="945" name="TextBox 9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1075</xdr:row>
      <xdr:rowOff>0</xdr:rowOff>
    </xdr:from>
    <xdr:ext cx="184731" cy="264560"/>
    <xdr:sp macro="" textlink="">
      <xdr:nvSpPr>
        <xdr:cNvPr id="946" name="TextBox 9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1075</xdr:row>
      <xdr:rowOff>647700</xdr:rowOff>
    </xdr:from>
    <xdr:ext cx="184731" cy="264560"/>
    <xdr:sp macro="" textlink="">
      <xdr:nvSpPr>
        <xdr:cNvPr id="947" name="TextBox 9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1164</xdr:row>
      <xdr:rowOff>647700</xdr:rowOff>
    </xdr:from>
    <xdr:ext cx="184731" cy="264560"/>
    <xdr:sp macro="" textlink="">
      <xdr:nvSpPr>
        <xdr:cNvPr id="948" name="TextBox 9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1167</xdr:row>
      <xdr:rowOff>647700</xdr:rowOff>
    </xdr:from>
    <xdr:ext cx="184731" cy="264560"/>
    <xdr:sp macro="" textlink="">
      <xdr:nvSpPr>
        <xdr:cNvPr id="949" name="TextBox 9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0</xdr:rowOff>
    </xdr:from>
    <xdr:ext cx="184731" cy="264560"/>
    <xdr:sp macro="" textlink="">
      <xdr:nvSpPr>
        <xdr:cNvPr id="950" name="TextBox 9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1185</xdr:row>
      <xdr:rowOff>647700</xdr:rowOff>
    </xdr:from>
    <xdr:ext cx="184731" cy="264560"/>
    <xdr:sp macro="" textlink="">
      <xdr:nvSpPr>
        <xdr:cNvPr id="951" name="TextBox 9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952" name="TextBox 9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1168</xdr:row>
      <xdr:rowOff>647700</xdr:rowOff>
    </xdr:from>
    <xdr:ext cx="184731" cy="264560"/>
    <xdr:sp macro="" textlink="">
      <xdr:nvSpPr>
        <xdr:cNvPr id="953" name="TextBox 9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0</xdr:rowOff>
    </xdr:from>
    <xdr:ext cx="184731" cy="264560"/>
    <xdr:sp macro="" textlink="">
      <xdr:nvSpPr>
        <xdr:cNvPr id="954" name="TextBox 9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647700</xdr:rowOff>
    </xdr:from>
    <xdr:ext cx="184731" cy="264560"/>
    <xdr:sp macro="" textlink="">
      <xdr:nvSpPr>
        <xdr:cNvPr id="955" name="TextBox 9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956" name="TextBox 9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1169</xdr:row>
      <xdr:rowOff>647700</xdr:rowOff>
    </xdr:from>
    <xdr:ext cx="184731" cy="264560"/>
    <xdr:sp macro="" textlink="">
      <xdr:nvSpPr>
        <xdr:cNvPr id="957" name="TextBox 9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1187</xdr:row>
      <xdr:rowOff>0</xdr:rowOff>
    </xdr:from>
    <xdr:ext cx="184731" cy="264560"/>
    <xdr:sp macro="" textlink="">
      <xdr:nvSpPr>
        <xdr:cNvPr id="958" name="TextBox 9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1187</xdr:row>
      <xdr:rowOff>647700</xdr:rowOff>
    </xdr:from>
    <xdr:ext cx="184731" cy="264560"/>
    <xdr:sp macro="" textlink="">
      <xdr:nvSpPr>
        <xdr:cNvPr id="959" name="TextBox 9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1537</xdr:row>
      <xdr:rowOff>647700</xdr:rowOff>
    </xdr:from>
    <xdr:ext cx="184731" cy="264560"/>
    <xdr:sp macro="" textlink="">
      <xdr:nvSpPr>
        <xdr:cNvPr id="960" name="TextBox 9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1540</xdr:row>
      <xdr:rowOff>647700</xdr:rowOff>
    </xdr:from>
    <xdr:ext cx="184731" cy="264560"/>
    <xdr:sp macro="" textlink="">
      <xdr:nvSpPr>
        <xdr:cNvPr id="961" name="TextBox 9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0</xdr:rowOff>
    </xdr:from>
    <xdr:ext cx="184731" cy="264560"/>
    <xdr:sp macro="" textlink="">
      <xdr:nvSpPr>
        <xdr:cNvPr id="962" name="TextBox 9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1558</xdr:row>
      <xdr:rowOff>647700</xdr:rowOff>
    </xdr:from>
    <xdr:ext cx="184731" cy="264560"/>
    <xdr:sp macro="" textlink="">
      <xdr:nvSpPr>
        <xdr:cNvPr id="963" name="TextBox 9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1538</xdr:row>
      <xdr:rowOff>647700</xdr:rowOff>
    </xdr:from>
    <xdr:ext cx="184731" cy="264560"/>
    <xdr:sp macro="" textlink="">
      <xdr:nvSpPr>
        <xdr:cNvPr id="964" name="TextBox 9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1541</xdr:row>
      <xdr:rowOff>647700</xdr:rowOff>
    </xdr:from>
    <xdr:ext cx="184731" cy="264560"/>
    <xdr:sp macro="" textlink="">
      <xdr:nvSpPr>
        <xdr:cNvPr id="965" name="TextBox 9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0</xdr:rowOff>
    </xdr:from>
    <xdr:ext cx="184731" cy="264560"/>
    <xdr:sp macro="" textlink="">
      <xdr:nvSpPr>
        <xdr:cNvPr id="966" name="TextBox 9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647700</xdr:rowOff>
    </xdr:from>
    <xdr:ext cx="184731" cy="264560"/>
    <xdr:sp macro="" textlink="">
      <xdr:nvSpPr>
        <xdr:cNvPr id="967" name="TextBox 9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1563</xdr:row>
      <xdr:rowOff>647700</xdr:rowOff>
    </xdr:from>
    <xdr:ext cx="184731" cy="264560"/>
    <xdr:sp macro="" textlink="">
      <xdr:nvSpPr>
        <xdr:cNvPr id="968" name="TextBox 9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969" name="TextBox 9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0</xdr:rowOff>
    </xdr:from>
    <xdr:ext cx="184731" cy="264560"/>
    <xdr:sp macro="" textlink="">
      <xdr:nvSpPr>
        <xdr:cNvPr id="970" name="TextBox 9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1583</xdr:row>
      <xdr:rowOff>647700</xdr:rowOff>
    </xdr:from>
    <xdr:ext cx="184731" cy="264560"/>
    <xdr:sp macro="" textlink="">
      <xdr:nvSpPr>
        <xdr:cNvPr id="971" name="TextBox 9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972" name="TextBox 9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973" name="TextBox 9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974" name="TextBox 9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975" name="TextBox 9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976" name="TextBox 9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977" name="TextBox 9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978" name="TextBox 9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979" name="TextBox 9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980" name="TextBox 9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981" name="TextBox 9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982" name="TextBox 9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983" name="TextBox 9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984" name="TextBox 9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985" name="TextBox 9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986" name="TextBox 9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987" name="TextBox 9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988" name="TextBox 9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989" name="TextBox 9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990" name="TextBox 9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991" name="TextBox 9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992" name="TextBox 9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993" name="TextBox 9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0</xdr:rowOff>
    </xdr:from>
    <xdr:ext cx="184731" cy="264560"/>
    <xdr:sp macro="" textlink="">
      <xdr:nvSpPr>
        <xdr:cNvPr id="994" name="TextBox 9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647700</xdr:rowOff>
    </xdr:from>
    <xdr:ext cx="184731" cy="264560"/>
    <xdr:sp macro="" textlink="">
      <xdr:nvSpPr>
        <xdr:cNvPr id="995" name="TextBox 9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996" name="TextBox 9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1572</xdr:row>
      <xdr:rowOff>647700</xdr:rowOff>
    </xdr:from>
    <xdr:ext cx="184731" cy="264560"/>
    <xdr:sp macro="" textlink="">
      <xdr:nvSpPr>
        <xdr:cNvPr id="997" name="TextBox 9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0</xdr:rowOff>
    </xdr:from>
    <xdr:ext cx="184731" cy="264560"/>
    <xdr:sp macro="" textlink="">
      <xdr:nvSpPr>
        <xdr:cNvPr id="998" name="TextBox 9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647700</xdr:rowOff>
    </xdr:from>
    <xdr:ext cx="184731" cy="264560"/>
    <xdr:sp macro="" textlink="">
      <xdr:nvSpPr>
        <xdr:cNvPr id="999" name="TextBox 9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1682</xdr:row>
      <xdr:rowOff>647700</xdr:rowOff>
    </xdr:from>
    <xdr:ext cx="184731" cy="264560"/>
    <xdr:sp macro="" textlink="">
      <xdr:nvSpPr>
        <xdr:cNvPr id="1000" name="TextBox 9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647700</xdr:rowOff>
    </xdr:from>
    <xdr:ext cx="184731" cy="264560"/>
    <xdr:sp macro="" textlink="">
      <xdr:nvSpPr>
        <xdr:cNvPr id="1001" name="TextBox 10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0</xdr:rowOff>
    </xdr:from>
    <xdr:ext cx="184731" cy="264560"/>
    <xdr:sp macro="" textlink="">
      <xdr:nvSpPr>
        <xdr:cNvPr id="1002" name="TextBox 10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1003" name="TextBox 10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1683</xdr:row>
      <xdr:rowOff>647700</xdr:rowOff>
    </xdr:from>
    <xdr:ext cx="184731" cy="264560"/>
    <xdr:sp macro="" textlink="">
      <xdr:nvSpPr>
        <xdr:cNvPr id="1004" name="TextBox 10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1685</xdr:row>
      <xdr:rowOff>647700</xdr:rowOff>
    </xdr:from>
    <xdr:ext cx="184731" cy="264560"/>
    <xdr:sp macro="" textlink="">
      <xdr:nvSpPr>
        <xdr:cNvPr id="1005" name="TextBox 10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0</xdr:rowOff>
    </xdr:from>
    <xdr:ext cx="184731" cy="264560"/>
    <xdr:sp macro="" textlink="">
      <xdr:nvSpPr>
        <xdr:cNvPr id="1006" name="TextBox 10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1007" name="TextBox 10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1577</xdr:row>
      <xdr:rowOff>647700</xdr:rowOff>
    </xdr:from>
    <xdr:ext cx="184731" cy="264560"/>
    <xdr:sp macro="" textlink="">
      <xdr:nvSpPr>
        <xdr:cNvPr id="1008" name="TextBox 10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1009" name="TextBox 10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1010" name="TextBox 10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1011" name="TextBox 10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1604</xdr:row>
      <xdr:rowOff>647700</xdr:rowOff>
    </xdr:from>
    <xdr:ext cx="184731" cy="264560"/>
    <xdr:sp macro="" textlink="">
      <xdr:nvSpPr>
        <xdr:cNvPr id="1012" name="TextBox 10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1607</xdr:row>
      <xdr:rowOff>647700</xdr:rowOff>
    </xdr:from>
    <xdr:ext cx="184731" cy="264560"/>
    <xdr:sp macro="" textlink="">
      <xdr:nvSpPr>
        <xdr:cNvPr id="1013" name="TextBox 10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1615</xdr:row>
      <xdr:rowOff>0</xdr:rowOff>
    </xdr:from>
    <xdr:ext cx="184731" cy="264560"/>
    <xdr:sp macro="" textlink="">
      <xdr:nvSpPr>
        <xdr:cNvPr id="1014" name="TextBox 10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1615</xdr:row>
      <xdr:rowOff>647700</xdr:rowOff>
    </xdr:from>
    <xdr:ext cx="184731" cy="264560"/>
    <xdr:sp macro="" textlink="">
      <xdr:nvSpPr>
        <xdr:cNvPr id="1015" name="TextBox 10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1616</xdr:row>
      <xdr:rowOff>647700</xdr:rowOff>
    </xdr:from>
    <xdr:ext cx="184731" cy="264560"/>
    <xdr:sp macro="" textlink="">
      <xdr:nvSpPr>
        <xdr:cNvPr id="1016" name="TextBox 10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1055</xdr:row>
      <xdr:rowOff>647700</xdr:rowOff>
    </xdr:from>
    <xdr:ext cx="184731" cy="264560"/>
    <xdr:sp macro="" textlink="">
      <xdr:nvSpPr>
        <xdr:cNvPr id="1017" name="TextBox 10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1058</xdr:row>
      <xdr:rowOff>647700</xdr:rowOff>
    </xdr:from>
    <xdr:ext cx="184731" cy="264560"/>
    <xdr:sp macro="" textlink="">
      <xdr:nvSpPr>
        <xdr:cNvPr id="1018" name="TextBox 10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1076</xdr:row>
      <xdr:rowOff>0</xdr:rowOff>
    </xdr:from>
    <xdr:ext cx="184731" cy="264560"/>
    <xdr:sp macro="" textlink="">
      <xdr:nvSpPr>
        <xdr:cNvPr id="1019" name="TextBox 10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1076</xdr:row>
      <xdr:rowOff>647700</xdr:rowOff>
    </xdr:from>
    <xdr:ext cx="184731" cy="264560"/>
    <xdr:sp macro="" textlink="">
      <xdr:nvSpPr>
        <xdr:cNvPr id="1020" name="TextBox 10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1165</xdr:row>
      <xdr:rowOff>647700</xdr:rowOff>
    </xdr:from>
    <xdr:ext cx="184731" cy="264560"/>
    <xdr:sp macro="" textlink="">
      <xdr:nvSpPr>
        <xdr:cNvPr id="1021" name="TextBox 10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1168</xdr:row>
      <xdr:rowOff>647700</xdr:rowOff>
    </xdr:from>
    <xdr:ext cx="184731" cy="264560"/>
    <xdr:sp macro="" textlink="">
      <xdr:nvSpPr>
        <xdr:cNvPr id="1022" name="TextBox 10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0</xdr:rowOff>
    </xdr:from>
    <xdr:ext cx="184731" cy="264560"/>
    <xdr:sp macro="" textlink="">
      <xdr:nvSpPr>
        <xdr:cNvPr id="1023" name="TextBox 10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1186</xdr:row>
      <xdr:rowOff>647700</xdr:rowOff>
    </xdr:from>
    <xdr:ext cx="184731" cy="264560"/>
    <xdr:sp macro="" textlink="">
      <xdr:nvSpPr>
        <xdr:cNvPr id="1024" name="TextBox 10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1025" name="TextBox 10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1169</xdr:row>
      <xdr:rowOff>647700</xdr:rowOff>
    </xdr:from>
    <xdr:ext cx="184731" cy="264560"/>
    <xdr:sp macro="" textlink="">
      <xdr:nvSpPr>
        <xdr:cNvPr id="1026" name="TextBox 10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1187</xdr:row>
      <xdr:rowOff>0</xdr:rowOff>
    </xdr:from>
    <xdr:ext cx="184731" cy="264560"/>
    <xdr:sp macro="" textlink="">
      <xdr:nvSpPr>
        <xdr:cNvPr id="1027" name="TextBox 10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1187</xdr:row>
      <xdr:rowOff>647700</xdr:rowOff>
    </xdr:from>
    <xdr:ext cx="184731" cy="264560"/>
    <xdr:sp macro="" textlink="">
      <xdr:nvSpPr>
        <xdr:cNvPr id="1028" name="TextBox 10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1167</xdr:row>
      <xdr:rowOff>647700</xdr:rowOff>
    </xdr:from>
    <xdr:ext cx="184731" cy="264560"/>
    <xdr:sp macro="" textlink="">
      <xdr:nvSpPr>
        <xdr:cNvPr id="1029" name="TextBox 10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1170</xdr:row>
      <xdr:rowOff>647700</xdr:rowOff>
    </xdr:from>
    <xdr:ext cx="184731" cy="264560"/>
    <xdr:sp macro="" textlink="">
      <xdr:nvSpPr>
        <xdr:cNvPr id="1030" name="TextBox 10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1188</xdr:row>
      <xdr:rowOff>0</xdr:rowOff>
    </xdr:from>
    <xdr:ext cx="184731" cy="264560"/>
    <xdr:sp macro="" textlink="">
      <xdr:nvSpPr>
        <xdr:cNvPr id="1031" name="TextBox 10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1188</xdr:row>
      <xdr:rowOff>647700</xdr:rowOff>
    </xdr:from>
    <xdr:ext cx="184731" cy="264560"/>
    <xdr:sp macro="" textlink="">
      <xdr:nvSpPr>
        <xdr:cNvPr id="1032" name="TextBox 10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1538</xdr:row>
      <xdr:rowOff>647700</xdr:rowOff>
    </xdr:from>
    <xdr:ext cx="184731" cy="264560"/>
    <xdr:sp macro="" textlink="">
      <xdr:nvSpPr>
        <xdr:cNvPr id="1033" name="TextBox 10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1541</xdr:row>
      <xdr:rowOff>647700</xdr:rowOff>
    </xdr:from>
    <xdr:ext cx="184731" cy="264560"/>
    <xdr:sp macro="" textlink="">
      <xdr:nvSpPr>
        <xdr:cNvPr id="1034" name="TextBox 10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0</xdr:rowOff>
    </xdr:from>
    <xdr:ext cx="184731" cy="264560"/>
    <xdr:sp macro="" textlink="">
      <xdr:nvSpPr>
        <xdr:cNvPr id="1035" name="TextBox 10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1559</xdr:row>
      <xdr:rowOff>647700</xdr:rowOff>
    </xdr:from>
    <xdr:ext cx="184731" cy="264560"/>
    <xdr:sp macro="" textlink="">
      <xdr:nvSpPr>
        <xdr:cNvPr id="1036" name="TextBox 10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1539</xdr:row>
      <xdr:rowOff>647700</xdr:rowOff>
    </xdr:from>
    <xdr:ext cx="184731" cy="264560"/>
    <xdr:sp macro="" textlink="">
      <xdr:nvSpPr>
        <xdr:cNvPr id="1037" name="TextBox 10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1542</xdr:row>
      <xdr:rowOff>647700</xdr:rowOff>
    </xdr:from>
    <xdr:ext cx="184731" cy="264560"/>
    <xdr:sp macro="" textlink="">
      <xdr:nvSpPr>
        <xdr:cNvPr id="1038" name="TextBox 10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0</xdr:rowOff>
    </xdr:from>
    <xdr:ext cx="184731" cy="264560"/>
    <xdr:sp macro="" textlink="">
      <xdr:nvSpPr>
        <xdr:cNvPr id="1039" name="TextBox 10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1040" name="TextBox 10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1564</xdr:row>
      <xdr:rowOff>647700</xdr:rowOff>
    </xdr:from>
    <xdr:ext cx="184731" cy="264560"/>
    <xdr:sp macro="" textlink="">
      <xdr:nvSpPr>
        <xdr:cNvPr id="1041" name="TextBox 10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1042" name="TextBox 10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0</xdr:rowOff>
    </xdr:from>
    <xdr:ext cx="184731" cy="264560"/>
    <xdr:sp macro="" textlink="">
      <xdr:nvSpPr>
        <xdr:cNvPr id="1043" name="TextBox 10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1584</xdr:row>
      <xdr:rowOff>647700</xdr:rowOff>
    </xdr:from>
    <xdr:ext cx="184731" cy="264560"/>
    <xdr:sp macro="" textlink="">
      <xdr:nvSpPr>
        <xdr:cNvPr id="1044" name="TextBox 10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1045" name="TextBox 10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1046" name="TextBox 10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1047" name="TextBox 10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1048" name="TextBox 10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1049" name="TextBox 10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1050" name="TextBox 10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1051" name="TextBox 10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1052" name="TextBox 10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1053" name="TextBox 10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1054" name="TextBox 10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1055" name="TextBox 10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1056" name="TextBox 10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1057" name="TextBox 10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1058" name="TextBox 10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1059" name="TextBox 10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1060" name="TextBox 10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1061" name="TextBox 10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1062" name="TextBox 10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0</xdr:rowOff>
    </xdr:from>
    <xdr:ext cx="184731" cy="264560"/>
    <xdr:sp macro="" textlink="">
      <xdr:nvSpPr>
        <xdr:cNvPr id="1063" name="TextBox 10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647700</xdr:rowOff>
    </xdr:from>
    <xdr:ext cx="184731" cy="264560"/>
    <xdr:sp macro="" textlink="">
      <xdr:nvSpPr>
        <xdr:cNvPr id="1064" name="TextBox 10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1065" name="TextBox 10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1572</xdr:row>
      <xdr:rowOff>647700</xdr:rowOff>
    </xdr:from>
    <xdr:ext cx="184731" cy="264560"/>
    <xdr:sp macro="" textlink="">
      <xdr:nvSpPr>
        <xdr:cNvPr id="1066" name="TextBox 10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0</xdr:rowOff>
    </xdr:from>
    <xdr:ext cx="184731" cy="264560"/>
    <xdr:sp macro="" textlink="">
      <xdr:nvSpPr>
        <xdr:cNvPr id="1067" name="TextBox 10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647700</xdr:rowOff>
    </xdr:from>
    <xdr:ext cx="184731" cy="264560"/>
    <xdr:sp macro="" textlink="">
      <xdr:nvSpPr>
        <xdr:cNvPr id="1068" name="TextBox 10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1069" name="TextBox 10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1573</xdr:row>
      <xdr:rowOff>647700</xdr:rowOff>
    </xdr:from>
    <xdr:ext cx="184731" cy="264560"/>
    <xdr:sp macro="" textlink="">
      <xdr:nvSpPr>
        <xdr:cNvPr id="1070" name="TextBox 10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1591</xdr:row>
      <xdr:rowOff>0</xdr:rowOff>
    </xdr:from>
    <xdr:ext cx="184731" cy="264560"/>
    <xdr:sp macro="" textlink="">
      <xdr:nvSpPr>
        <xdr:cNvPr id="1071" name="TextBox 10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1591</xdr:row>
      <xdr:rowOff>647700</xdr:rowOff>
    </xdr:from>
    <xdr:ext cx="184731" cy="264560"/>
    <xdr:sp macro="" textlink="">
      <xdr:nvSpPr>
        <xdr:cNvPr id="1072" name="TextBox 10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1683</xdr:row>
      <xdr:rowOff>647700</xdr:rowOff>
    </xdr:from>
    <xdr:ext cx="184731" cy="264560"/>
    <xdr:sp macro="" textlink="">
      <xdr:nvSpPr>
        <xdr:cNvPr id="1073" name="TextBox 10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1685</xdr:row>
      <xdr:rowOff>647700</xdr:rowOff>
    </xdr:from>
    <xdr:ext cx="184731" cy="264560"/>
    <xdr:sp macro="" textlink="">
      <xdr:nvSpPr>
        <xdr:cNvPr id="1074" name="TextBox 10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0</xdr:rowOff>
    </xdr:from>
    <xdr:ext cx="184731" cy="264560"/>
    <xdr:sp macro="" textlink="">
      <xdr:nvSpPr>
        <xdr:cNvPr id="1075" name="TextBox 10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1076" name="TextBox 10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0</xdr:rowOff>
    </xdr:from>
    <xdr:ext cx="184731" cy="264560"/>
    <xdr:sp macro="" textlink="">
      <xdr:nvSpPr>
        <xdr:cNvPr id="1077" name="TextBox 10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1686</xdr:row>
      <xdr:rowOff>647700</xdr:rowOff>
    </xdr:from>
    <xdr:ext cx="184731" cy="264560"/>
    <xdr:sp macro="" textlink="">
      <xdr:nvSpPr>
        <xdr:cNvPr id="1078" name="TextBox 10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0</xdr:rowOff>
    </xdr:from>
    <xdr:ext cx="184731" cy="264560"/>
    <xdr:sp macro="" textlink="">
      <xdr:nvSpPr>
        <xdr:cNvPr id="1079" name="TextBox 10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647700</xdr:rowOff>
    </xdr:from>
    <xdr:ext cx="184731" cy="264560"/>
    <xdr:sp macro="" textlink="">
      <xdr:nvSpPr>
        <xdr:cNvPr id="1080" name="TextBox 10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1578</xdr:row>
      <xdr:rowOff>647700</xdr:rowOff>
    </xdr:from>
    <xdr:ext cx="184731" cy="264560"/>
    <xdr:sp macro="" textlink="">
      <xdr:nvSpPr>
        <xdr:cNvPr id="1081" name="TextBox 10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1082" name="TextBox 10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1083" name="TextBox 10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1084" name="TextBox 10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1605</xdr:row>
      <xdr:rowOff>647700</xdr:rowOff>
    </xdr:from>
    <xdr:ext cx="184731" cy="264560"/>
    <xdr:sp macro="" textlink="">
      <xdr:nvSpPr>
        <xdr:cNvPr id="1085" name="TextBox 10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1608</xdr:row>
      <xdr:rowOff>647700</xdr:rowOff>
    </xdr:from>
    <xdr:ext cx="184731" cy="264560"/>
    <xdr:sp macro="" textlink="">
      <xdr:nvSpPr>
        <xdr:cNvPr id="1086" name="TextBox 10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1616</xdr:row>
      <xdr:rowOff>0</xdr:rowOff>
    </xdr:from>
    <xdr:ext cx="184731" cy="264560"/>
    <xdr:sp macro="" textlink="">
      <xdr:nvSpPr>
        <xdr:cNvPr id="1087" name="TextBox 10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1616</xdr:row>
      <xdr:rowOff>647700</xdr:rowOff>
    </xdr:from>
    <xdr:ext cx="184731" cy="264560"/>
    <xdr:sp macro="" textlink="">
      <xdr:nvSpPr>
        <xdr:cNvPr id="1088" name="TextBox 10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1617</xdr:row>
      <xdr:rowOff>647700</xdr:rowOff>
    </xdr:from>
    <xdr:ext cx="184731" cy="264560"/>
    <xdr:sp macro="" textlink="">
      <xdr:nvSpPr>
        <xdr:cNvPr id="1089" name="TextBox 10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1056</xdr:row>
      <xdr:rowOff>647700</xdr:rowOff>
    </xdr:from>
    <xdr:ext cx="184731" cy="264560"/>
    <xdr:sp macro="" textlink="">
      <xdr:nvSpPr>
        <xdr:cNvPr id="1090" name="TextBox 10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1059</xdr:row>
      <xdr:rowOff>647700</xdr:rowOff>
    </xdr:from>
    <xdr:ext cx="184731" cy="264560"/>
    <xdr:sp macro="" textlink="">
      <xdr:nvSpPr>
        <xdr:cNvPr id="1091" name="TextBox 10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1077</xdr:row>
      <xdr:rowOff>0</xdr:rowOff>
    </xdr:from>
    <xdr:ext cx="184731" cy="264560"/>
    <xdr:sp macro="" textlink="">
      <xdr:nvSpPr>
        <xdr:cNvPr id="1092" name="TextBox 10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1077</xdr:row>
      <xdr:rowOff>647700</xdr:rowOff>
    </xdr:from>
    <xdr:ext cx="184731" cy="264560"/>
    <xdr:sp macro="" textlink="">
      <xdr:nvSpPr>
        <xdr:cNvPr id="1093" name="TextBox 10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1166</xdr:row>
      <xdr:rowOff>647700</xdr:rowOff>
    </xdr:from>
    <xdr:ext cx="184731" cy="264560"/>
    <xdr:sp macro="" textlink="">
      <xdr:nvSpPr>
        <xdr:cNvPr id="1094" name="TextBox 10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1169</xdr:row>
      <xdr:rowOff>647700</xdr:rowOff>
    </xdr:from>
    <xdr:ext cx="184731" cy="264560"/>
    <xdr:sp macro="" textlink="">
      <xdr:nvSpPr>
        <xdr:cNvPr id="1095" name="TextBox 10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1187</xdr:row>
      <xdr:rowOff>0</xdr:rowOff>
    </xdr:from>
    <xdr:ext cx="184731" cy="264560"/>
    <xdr:sp macro="" textlink="">
      <xdr:nvSpPr>
        <xdr:cNvPr id="1096" name="TextBox 10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1187</xdr:row>
      <xdr:rowOff>647700</xdr:rowOff>
    </xdr:from>
    <xdr:ext cx="184731" cy="264560"/>
    <xdr:sp macro="" textlink="">
      <xdr:nvSpPr>
        <xdr:cNvPr id="1097" name="TextBox 10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1167</xdr:row>
      <xdr:rowOff>647700</xdr:rowOff>
    </xdr:from>
    <xdr:ext cx="184731" cy="264560"/>
    <xdr:sp macro="" textlink="">
      <xdr:nvSpPr>
        <xdr:cNvPr id="1098" name="TextBox 10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1170</xdr:row>
      <xdr:rowOff>647700</xdr:rowOff>
    </xdr:from>
    <xdr:ext cx="184731" cy="264560"/>
    <xdr:sp macro="" textlink="">
      <xdr:nvSpPr>
        <xdr:cNvPr id="1099" name="TextBox 10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1188</xdr:row>
      <xdr:rowOff>0</xdr:rowOff>
    </xdr:from>
    <xdr:ext cx="184731" cy="264560"/>
    <xdr:sp macro="" textlink="">
      <xdr:nvSpPr>
        <xdr:cNvPr id="1100" name="TextBox 10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1188</xdr:row>
      <xdr:rowOff>647700</xdr:rowOff>
    </xdr:from>
    <xdr:ext cx="184731" cy="264560"/>
    <xdr:sp macro="" textlink="">
      <xdr:nvSpPr>
        <xdr:cNvPr id="1101" name="TextBox 11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1168</xdr:row>
      <xdr:rowOff>647700</xdr:rowOff>
    </xdr:from>
    <xdr:ext cx="184731" cy="264560"/>
    <xdr:sp macro="" textlink="">
      <xdr:nvSpPr>
        <xdr:cNvPr id="1102" name="TextBox 11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1171</xdr:row>
      <xdr:rowOff>647700</xdr:rowOff>
    </xdr:from>
    <xdr:ext cx="184731" cy="264560"/>
    <xdr:sp macro="" textlink="">
      <xdr:nvSpPr>
        <xdr:cNvPr id="1103" name="TextBox 11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1189</xdr:row>
      <xdr:rowOff>0</xdr:rowOff>
    </xdr:from>
    <xdr:ext cx="184731" cy="264560"/>
    <xdr:sp macro="" textlink="">
      <xdr:nvSpPr>
        <xdr:cNvPr id="1104" name="TextBox 11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1189</xdr:row>
      <xdr:rowOff>647700</xdr:rowOff>
    </xdr:from>
    <xdr:ext cx="184731" cy="264560"/>
    <xdr:sp macro="" textlink="">
      <xdr:nvSpPr>
        <xdr:cNvPr id="1105" name="TextBox 11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1539</xdr:row>
      <xdr:rowOff>647700</xdr:rowOff>
    </xdr:from>
    <xdr:ext cx="184731" cy="264560"/>
    <xdr:sp macro="" textlink="">
      <xdr:nvSpPr>
        <xdr:cNvPr id="1106" name="TextBox 11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1542</xdr:row>
      <xdr:rowOff>647700</xdr:rowOff>
    </xdr:from>
    <xdr:ext cx="184731" cy="264560"/>
    <xdr:sp macro="" textlink="">
      <xdr:nvSpPr>
        <xdr:cNvPr id="1107" name="TextBox 11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0</xdr:rowOff>
    </xdr:from>
    <xdr:ext cx="184731" cy="264560"/>
    <xdr:sp macro="" textlink="">
      <xdr:nvSpPr>
        <xdr:cNvPr id="1108" name="TextBox 11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1560</xdr:row>
      <xdr:rowOff>647700</xdr:rowOff>
    </xdr:from>
    <xdr:ext cx="184731" cy="264560"/>
    <xdr:sp macro="" textlink="">
      <xdr:nvSpPr>
        <xdr:cNvPr id="1109" name="TextBox 11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1540</xdr:row>
      <xdr:rowOff>647700</xdr:rowOff>
    </xdr:from>
    <xdr:ext cx="184731" cy="264560"/>
    <xdr:sp macro="" textlink="">
      <xdr:nvSpPr>
        <xdr:cNvPr id="1110" name="TextBox 11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1543</xdr:row>
      <xdr:rowOff>647700</xdr:rowOff>
    </xdr:from>
    <xdr:ext cx="184731" cy="264560"/>
    <xdr:sp macro="" textlink="">
      <xdr:nvSpPr>
        <xdr:cNvPr id="1111" name="TextBox 11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0</xdr:rowOff>
    </xdr:from>
    <xdr:ext cx="184731" cy="264560"/>
    <xdr:sp macro="" textlink="">
      <xdr:nvSpPr>
        <xdr:cNvPr id="1112" name="TextBox 11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1113" name="TextBox 11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0</xdr:rowOff>
    </xdr:from>
    <xdr:ext cx="184731" cy="264560"/>
    <xdr:sp macro="" textlink="">
      <xdr:nvSpPr>
        <xdr:cNvPr id="1114" name="TextBox 11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1115" name="TextBox 11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0</xdr:rowOff>
    </xdr:from>
    <xdr:ext cx="184731" cy="264560"/>
    <xdr:sp macro="" textlink="">
      <xdr:nvSpPr>
        <xdr:cNvPr id="1116" name="TextBox 11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1585</xdr:row>
      <xdr:rowOff>647700</xdr:rowOff>
    </xdr:from>
    <xdr:ext cx="184731" cy="264560"/>
    <xdr:sp macro="" textlink="">
      <xdr:nvSpPr>
        <xdr:cNvPr id="1117" name="TextBox 11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1118" name="TextBox 11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1119" name="TextBox 11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1120" name="TextBox 11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1121" name="TextBox 11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1122" name="TextBox 11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1123" name="TextBox 11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1124" name="TextBox 11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1125" name="TextBox 11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1126" name="TextBox 11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1127" name="TextBox 11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1128" name="TextBox 11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1129" name="TextBox 11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1130" name="TextBox 11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1131" name="TextBox 11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0</xdr:rowOff>
    </xdr:from>
    <xdr:ext cx="184731" cy="264560"/>
    <xdr:sp macro="" textlink="">
      <xdr:nvSpPr>
        <xdr:cNvPr id="1132" name="TextBox 11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647700</xdr:rowOff>
    </xdr:from>
    <xdr:ext cx="184731" cy="264560"/>
    <xdr:sp macro="" textlink="">
      <xdr:nvSpPr>
        <xdr:cNvPr id="1133" name="TextBox 11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1134" name="TextBox 11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1572</xdr:row>
      <xdr:rowOff>647700</xdr:rowOff>
    </xdr:from>
    <xdr:ext cx="184731" cy="264560"/>
    <xdr:sp macro="" textlink="">
      <xdr:nvSpPr>
        <xdr:cNvPr id="1135" name="TextBox 11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0</xdr:rowOff>
    </xdr:from>
    <xdr:ext cx="184731" cy="264560"/>
    <xdr:sp macro="" textlink="">
      <xdr:nvSpPr>
        <xdr:cNvPr id="1136" name="TextBox 11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647700</xdr:rowOff>
    </xdr:from>
    <xdr:ext cx="184731" cy="264560"/>
    <xdr:sp macro="" textlink="">
      <xdr:nvSpPr>
        <xdr:cNvPr id="1137" name="TextBox 11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1138" name="TextBox 11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1573</xdr:row>
      <xdr:rowOff>647700</xdr:rowOff>
    </xdr:from>
    <xdr:ext cx="184731" cy="264560"/>
    <xdr:sp macro="" textlink="">
      <xdr:nvSpPr>
        <xdr:cNvPr id="1139" name="TextBox 11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1591</xdr:row>
      <xdr:rowOff>0</xdr:rowOff>
    </xdr:from>
    <xdr:ext cx="184731" cy="264560"/>
    <xdr:sp macro="" textlink="">
      <xdr:nvSpPr>
        <xdr:cNvPr id="1140" name="TextBox 11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1591</xdr:row>
      <xdr:rowOff>647700</xdr:rowOff>
    </xdr:from>
    <xdr:ext cx="184731" cy="264560"/>
    <xdr:sp macro="" textlink="">
      <xdr:nvSpPr>
        <xdr:cNvPr id="1141" name="TextBox 11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1142" name="TextBox 11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1574</xdr:row>
      <xdr:rowOff>647700</xdr:rowOff>
    </xdr:from>
    <xdr:ext cx="184731" cy="264560"/>
    <xdr:sp macro="" textlink="">
      <xdr:nvSpPr>
        <xdr:cNvPr id="1143" name="TextBox 11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1592</xdr:row>
      <xdr:rowOff>0</xdr:rowOff>
    </xdr:from>
    <xdr:ext cx="184731" cy="264560"/>
    <xdr:sp macro="" textlink="">
      <xdr:nvSpPr>
        <xdr:cNvPr id="1144" name="TextBox 11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1592</xdr:row>
      <xdr:rowOff>647700</xdr:rowOff>
    </xdr:from>
    <xdr:ext cx="184731" cy="264560"/>
    <xdr:sp macro="" textlink="">
      <xdr:nvSpPr>
        <xdr:cNvPr id="1145" name="TextBox 11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0</xdr:rowOff>
    </xdr:from>
    <xdr:ext cx="184731" cy="264560"/>
    <xdr:sp macro="" textlink="">
      <xdr:nvSpPr>
        <xdr:cNvPr id="1146" name="TextBox 11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1686</xdr:row>
      <xdr:rowOff>647700</xdr:rowOff>
    </xdr:from>
    <xdr:ext cx="184731" cy="264560"/>
    <xdr:sp macro="" textlink="">
      <xdr:nvSpPr>
        <xdr:cNvPr id="1147" name="TextBox 11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0</xdr:rowOff>
    </xdr:from>
    <xdr:ext cx="184731" cy="264560"/>
    <xdr:sp macro="" textlink="">
      <xdr:nvSpPr>
        <xdr:cNvPr id="1148" name="TextBox 11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647700</xdr:rowOff>
    </xdr:from>
    <xdr:ext cx="184731" cy="264560"/>
    <xdr:sp macro="" textlink="">
      <xdr:nvSpPr>
        <xdr:cNvPr id="1149" name="TextBox 11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647700</xdr:rowOff>
    </xdr:from>
    <xdr:ext cx="184731" cy="264560"/>
    <xdr:sp macro="" textlink="">
      <xdr:nvSpPr>
        <xdr:cNvPr id="1150" name="TextBox 11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1687</xdr:row>
      <xdr:rowOff>647700</xdr:rowOff>
    </xdr:from>
    <xdr:ext cx="184731" cy="264560"/>
    <xdr:sp macro="" textlink="">
      <xdr:nvSpPr>
        <xdr:cNvPr id="1151" name="TextBox 11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0</xdr:rowOff>
    </xdr:from>
    <xdr:ext cx="184731" cy="264560"/>
    <xdr:sp macro="" textlink="">
      <xdr:nvSpPr>
        <xdr:cNvPr id="1152" name="TextBox 11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647700</xdr:rowOff>
    </xdr:from>
    <xdr:ext cx="184731" cy="264560"/>
    <xdr:sp macro="" textlink="">
      <xdr:nvSpPr>
        <xdr:cNvPr id="1153" name="TextBox 11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1579</xdr:row>
      <xdr:rowOff>647700</xdr:rowOff>
    </xdr:from>
    <xdr:ext cx="184731" cy="264560"/>
    <xdr:sp macro="" textlink="">
      <xdr:nvSpPr>
        <xdr:cNvPr id="1154" name="TextBox 11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1155" name="TextBox 11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1156" name="TextBox 11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1157" name="TextBox 11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1606</xdr:row>
      <xdr:rowOff>647700</xdr:rowOff>
    </xdr:from>
    <xdr:ext cx="184731" cy="264560"/>
    <xdr:sp macro="" textlink="">
      <xdr:nvSpPr>
        <xdr:cNvPr id="1158" name="TextBox 11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1609</xdr:row>
      <xdr:rowOff>647700</xdr:rowOff>
    </xdr:from>
    <xdr:ext cx="184731" cy="264560"/>
    <xdr:sp macro="" textlink="">
      <xdr:nvSpPr>
        <xdr:cNvPr id="1159" name="TextBox 11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1617</xdr:row>
      <xdr:rowOff>0</xdr:rowOff>
    </xdr:from>
    <xdr:ext cx="184731" cy="264560"/>
    <xdr:sp macro="" textlink="">
      <xdr:nvSpPr>
        <xdr:cNvPr id="1160" name="TextBox 11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1617</xdr:row>
      <xdr:rowOff>647700</xdr:rowOff>
    </xdr:from>
    <xdr:ext cx="184731" cy="264560"/>
    <xdr:sp macro="" textlink="">
      <xdr:nvSpPr>
        <xdr:cNvPr id="1161" name="TextBox 11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1618</xdr:row>
      <xdr:rowOff>647700</xdr:rowOff>
    </xdr:from>
    <xdr:ext cx="184731" cy="264560"/>
    <xdr:sp macro="" textlink="">
      <xdr:nvSpPr>
        <xdr:cNvPr id="1162" name="TextBox 11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1057</xdr:row>
      <xdr:rowOff>647700</xdr:rowOff>
    </xdr:from>
    <xdr:ext cx="184731" cy="264560"/>
    <xdr:sp macro="" textlink="">
      <xdr:nvSpPr>
        <xdr:cNvPr id="1163" name="TextBox 11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1060</xdr:row>
      <xdr:rowOff>647700</xdr:rowOff>
    </xdr:from>
    <xdr:ext cx="184731" cy="264560"/>
    <xdr:sp macro="" textlink="">
      <xdr:nvSpPr>
        <xdr:cNvPr id="1164" name="TextBox 11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1078</xdr:row>
      <xdr:rowOff>0</xdr:rowOff>
    </xdr:from>
    <xdr:ext cx="184731" cy="264560"/>
    <xdr:sp macro="" textlink="">
      <xdr:nvSpPr>
        <xdr:cNvPr id="1165" name="TextBox 11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1078</xdr:row>
      <xdr:rowOff>647700</xdr:rowOff>
    </xdr:from>
    <xdr:ext cx="184731" cy="264560"/>
    <xdr:sp macro="" textlink="">
      <xdr:nvSpPr>
        <xdr:cNvPr id="1166" name="TextBox 11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1167</xdr:row>
      <xdr:rowOff>647700</xdr:rowOff>
    </xdr:from>
    <xdr:ext cx="184731" cy="264560"/>
    <xdr:sp macro="" textlink="">
      <xdr:nvSpPr>
        <xdr:cNvPr id="1167" name="TextBox 11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1170</xdr:row>
      <xdr:rowOff>647700</xdr:rowOff>
    </xdr:from>
    <xdr:ext cx="184731" cy="264560"/>
    <xdr:sp macro="" textlink="">
      <xdr:nvSpPr>
        <xdr:cNvPr id="1168" name="TextBox 11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1188</xdr:row>
      <xdr:rowOff>0</xdr:rowOff>
    </xdr:from>
    <xdr:ext cx="184731" cy="264560"/>
    <xdr:sp macro="" textlink="">
      <xdr:nvSpPr>
        <xdr:cNvPr id="1169" name="TextBox 11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1188</xdr:row>
      <xdr:rowOff>647700</xdr:rowOff>
    </xdr:from>
    <xdr:ext cx="184731" cy="264560"/>
    <xdr:sp macro="" textlink="">
      <xdr:nvSpPr>
        <xdr:cNvPr id="1170" name="TextBox 11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1168</xdr:row>
      <xdr:rowOff>647700</xdr:rowOff>
    </xdr:from>
    <xdr:ext cx="184731" cy="264560"/>
    <xdr:sp macro="" textlink="">
      <xdr:nvSpPr>
        <xdr:cNvPr id="1171" name="TextBox 11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1171</xdr:row>
      <xdr:rowOff>647700</xdr:rowOff>
    </xdr:from>
    <xdr:ext cx="184731" cy="264560"/>
    <xdr:sp macro="" textlink="">
      <xdr:nvSpPr>
        <xdr:cNvPr id="1172" name="TextBox 11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1189</xdr:row>
      <xdr:rowOff>0</xdr:rowOff>
    </xdr:from>
    <xdr:ext cx="184731" cy="264560"/>
    <xdr:sp macro="" textlink="">
      <xdr:nvSpPr>
        <xdr:cNvPr id="1173" name="TextBox 11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1189</xdr:row>
      <xdr:rowOff>647700</xdr:rowOff>
    </xdr:from>
    <xdr:ext cx="184731" cy="264560"/>
    <xdr:sp macro="" textlink="">
      <xdr:nvSpPr>
        <xdr:cNvPr id="1174" name="TextBox 11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1169</xdr:row>
      <xdr:rowOff>647700</xdr:rowOff>
    </xdr:from>
    <xdr:ext cx="184731" cy="264560"/>
    <xdr:sp macro="" textlink="">
      <xdr:nvSpPr>
        <xdr:cNvPr id="1175" name="TextBox 11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1172</xdr:row>
      <xdr:rowOff>647700</xdr:rowOff>
    </xdr:from>
    <xdr:ext cx="184731" cy="264560"/>
    <xdr:sp macro="" textlink="">
      <xdr:nvSpPr>
        <xdr:cNvPr id="1176" name="TextBox 11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1190</xdr:row>
      <xdr:rowOff>0</xdr:rowOff>
    </xdr:from>
    <xdr:ext cx="184731" cy="264560"/>
    <xdr:sp macro="" textlink="">
      <xdr:nvSpPr>
        <xdr:cNvPr id="1177" name="TextBox 11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1190</xdr:row>
      <xdr:rowOff>0</xdr:rowOff>
    </xdr:from>
    <xdr:ext cx="184731" cy="264560"/>
    <xdr:sp macro="" textlink="">
      <xdr:nvSpPr>
        <xdr:cNvPr id="1178" name="TextBox 11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1540</xdr:row>
      <xdr:rowOff>647700</xdr:rowOff>
    </xdr:from>
    <xdr:ext cx="184731" cy="264560"/>
    <xdr:sp macro="" textlink="">
      <xdr:nvSpPr>
        <xdr:cNvPr id="1179" name="TextBox 11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1543</xdr:row>
      <xdr:rowOff>647700</xdr:rowOff>
    </xdr:from>
    <xdr:ext cx="184731" cy="264560"/>
    <xdr:sp macro="" textlink="">
      <xdr:nvSpPr>
        <xdr:cNvPr id="1180" name="TextBox 11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0</xdr:rowOff>
    </xdr:from>
    <xdr:ext cx="184731" cy="264560"/>
    <xdr:sp macro="" textlink="">
      <xdr:nvSpPr>
        <xdr:cNvPr id="1181" name="TextBox 11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1561</xdr:row>
      <xdr:rowOff>647700</xdr:rowOff>
    </xdr:from>
    <xdr:ext cx="184731" cy="264560"/>
    <xdr:sp macro="" textlink="">
      <xdr:nvSpPr>
        <xdr:cNvPr id="1182" name="TextBox 11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1541</xdr:row>
      <xdr:rowOff>647700</xdr:rowOff>
    </xdr:from>
    <xdr:ext cx="184731" cy="264560"/>
    <xdr:sp macro="" textlink="">
      <xdr:nvSpPr>
        <xdr:cNvPr id="1183" name="TextBox 11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1544</xdr:row>
      <xdr:rowOff>647700</xdr:rowOff>
    </xdr:from>
    <xdr:ext cx="184731" cy="264560"/>
    <xdr:sp macro="" textlink="">
      <xdr:nvSpPr>
        <xdr:cNvPr id="1184" name="TextBox 11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0</xdr:rowOff>
    </xdr:from>
    <xdr:ext cx="184731" cy="264560"/>
    <xdr:sp macro="" textlink="">
      <xdr:nvSpPr>
        <xdr:cNvPr id="1185" name="TextBox 11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1562</xdr:row>
      <xdr:rowOff>647700</xdr:rowOff>
    </xdr:from>
    <xdr:ext cx="184731" cy="264560"/>
    <xdr:sp macro="" textlink="">
      <xdr:nvSpPr>
        <xdr:cNvPr id="1186" name="TextBox 11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1565</xdr:row>
      <xdr:rowOff>647700</xdr:rowOff>
    </xdr:from>
    <xdr:ext cx="184731" cy="264560"/>
    <xdr:sp macro="" textlink="">
      <xdr:nvSpPr>
        <xdr:cNvPr id="1187" name="TextBox 11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1188" name="TextBox 11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0</xdr:rowOff>
    </xdr:from>
    <xdr:ext cx="184731" cy="264560"/>
    <xdr:sp macro="" textlink="">
      <xdr:nvSpPr>
        <xdr:cNvPr id="1189" name="TextBox 11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1586</xdr:row>
      <xdr:rowOff>647700</xdr:rowOff>
    </xdr:from>
    <xdr:ext cx="184731" cy="264560"/>
    <xdr:sp macro="" textlink="">
      <xdr:nvSpPr>
        <xdr:cNvPr id="1190" name="TextBox 11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1566</xdr:row>
      <xdr:rowOff>647700</xdr:rowOff>
    </xdr:from>
    <xdr:ext cx="184731" cy="264560"/>
    <xdr:sp macro="" textlink="">
      <xdr:nvSpPr>
        <xdr:cNvPr id="1191" name="TextBox 11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1192" name="TextBox 11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0</xdr:rowOff>
    </xdr:from>
    <xdr:ext cx="184731" cy="264560"/>
    <xdr:sp macro="" textlink="">
      <xdr:nvSpPr>
        <xdr:cNvPr id="1193" name="TextBox 11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1587</xdr:row>
      <xdr:rowOff>647700</xdr:rowOff>
    </xdr:from>
    <xdr:ext cx="184731" cy="264560"/>
    <xdr:sp macro="" textlink="">
      <xdr:nvSpPr>
        <xdr:cNvPr id="1194" name="TextBox 11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1567</xdr:row>
      <xdr:rowOff>647700</xdr:rowOff>
    </xdr:from>
    <xdr:ext cx="184731" cy="264560"/>
    <xdr:sp macro="" textlink="">
      <xdr:nvSpPr>
        <xdr:cNvPr id="1195" name="TextBox 11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1196" name="TextBox 11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0</xdr:rowOff>
    </xdr:from>
    <xdr:ext cx="184731" cy="264560"/>
    <xdr:sp macro="" textlink="">
      <xdr:nvSpPr>
        <xdr:cNvPr id="1197" name="TextBox 11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1588</xdr:row>
      <xdr:rowOff>647700</xdr:rowOff>
    </xdr:from>
    <xdr:ext cx="184731" cy="264560"/>
    <xdr:sp macro="" textlink="">
      <xdr:nvSpPr>
        <xdr:cNvPr id="1198" name="TextBox 11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1568</xdr:row>
      <xdr:rowOff>647700</xdr:rowOff>
    </xdr:from>
    <xdr:ext cx="184731" cy="264560"/>
    <xdr:sp macro="" textlink="">
      <xdr:nvSpPr>
        <xdr:cNvPr id="1199" name="TextBox 11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1200" name="TextBox 11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0</xdr:rowOff>
    </xdr:from>
    <xdr:ext cx="184731" cy="264560"/>
    <xdr:sp macro="" textlink="">
      <xdr:nvSpPr>
        <xdr:cNvPr id="1201" name="TextBox 12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1589</xdr:row>
      <xdr:rowOff>647700</xdr:rowOff>
    </xdr:from>
    <xdr:ext cx="184731" cy="264560"/>
    <xdr:sp macro="" textlink="">
      <xdr:nvSpPr>
        <xdr:cNvPr id="1202" name="TextBox 12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1569</xdr:row>
      <xdr:rowOff>647700</xdr:rowOff>
    </xdr:from>
    <xdr:ext cx="184731" cy="264560"/>
    <xdr:sp macro="" textlink="">
      <xdr:nvSpPr>
        <xdr:cNvPr id="1203" name="TextBox 12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1572</xdr:row>
      <xdr:rowOff>647700</xdr:rowOff>
    </xdr:from>
    <xdr:ext cx="184731" cy="264560"/>
    <xdr:sp macro="" textlink="">
      <xdr:nvSpPr>
        <xdr:cNvPr id="1204" name="TextBox 12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0</xdr:rowOff>
    </xdr:from>
    <xdr:ext cx="184731" cy="264560"/>
    <xdr:sp macro="" textlink="">
      <xdr:nvSpPr>
        <xdr:cNvPr id="1205" name="TextBox 12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1590</xdr:row>
      <xdr:rowOff>647700</xdr:rowOff>
    </xdr:from>
    <xdr:ext cx="184731" cy="264560"/>
    <xdr:sp macro="" textlink="">
      <xdr:nvSpPr>
        <xdr:cNvPr id="1206" name="TextBox 12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1570</xdr:row>
      <xdr:rowOff>647700</xdr:rowOff>
    </xdr:from>
    <xdr:ext cx="184731" cy="264560"/>
    <xdr:sp macro="" textlink="">
      <xdr:nvSpPr>
        <xdr:cNvPr id="1207" name="TextBox 12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1573</xdr:row>
      <xdr:rowOff>647700</xdr:rowOff>
    </xdr:from>
    <xdr:ext cx="184731" cy="264560"/>
    <xdr:sp macro="" textlink="">
      <xdr:nvSpPr>
        <xdr:cNvPr id="1208" name="TextBox 12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1591</xdr:row>
      <xdr:rowOff>0</xdr:rowOff>
    </xdr:from>
    <xdr:ext cx="184731" cy="264560"/>
    <xdr:sp macro="" textlink="">
      <xdr:nvSpPr>
        <xdr:cNvPr id="1209" name="TextBox 12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1591</xdr:row>
      <xdr:rowOff>647700</xdr:rowOff>
    </xdr:from>
    <xdr:ext cx="184731" cy="264560"/>
    <xdr:sp macro="" textlink="">
      <xdr:nvSpPr>
        <xdr:cNvPr id="1210" name="TextBox 12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1571</xdr:row>
      <xdr:rowOff>647700</xdr:rowOff>
    </xdr:from>
    <xdr:ext cx="184731" cy="264560"/>
    <xdr:sp macro="" textlink="">
      <xdr:nvSpPr>
        <xdr:cNvPr id="1211" name="TextBox 12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1574</xdr:row>
      <xdr:rowOff>647700</xdr:rowOff>
    </xdr:from>
    <xdr:ext cx="184731" cy="264560"/>
    <xdr:sp macro="" textlink="">
      <xdr:nvSpPr>
        <xdr:cNvPr id="1212" name="TextBox 12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1592</xdr:row>
      <xdr:rowOff>0</xdr:rowOff>
    </xdr:from>
    <xdr:ext cx="184731" cy="264560"/>
    <xdr:sp macro="" textlink="">
      <xdr:nvSpPr>
        <xdr:cNvPr id="1213" name="TextBox 12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1592</xdr:row>
      <xdr:rowOff>647700</xdr:rowOff>
    </xdr:from>
    <xdr:ext cx="184731" cy="264560"/>
    <xdr:sp macro="" textlink="">
      <xdr:nvSpPr>
        <xdr:cNvPr id="1214" name="TextBox 12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1572</xdr:row>
      <xdr:rowOff>647700</xdr:rowOff>
    </xdr:from>
    <xdr:ext cx="184731" cy="264560"/>
    <xdr:sp macro="" textlink="">
      <xdr:nvSpPr>
        <xdr:cNvPr id="1215" name="TextBox 12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1575</xdr:row>
      <xdr:rowOff>647700</xdr:rowOff>
    </xdr:from>
    <xdr:ext cx="184731" cy="264560"/>
    <xdr:sp macro="" textlink="">
      <xdr:nvSpPr>
        <xdr:cNvPr id="1216" name="TextBox 12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1593</xdr:row>
      <xdr:rowOff>0</xdr:rowOff>
    </xdr:from>
    <xdr:ext cx="184731" cy="264560"/>
    <xdr:sp macro="" textlink="">
      <xdr:nvSpPr>
        <xdr:cNvPr id="1217" name="TextBox 12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1593</xdr:row>
      <xdr:rowOff>647700</xdr:rowOff>
    </xdr:from>
    <xdr:ext cx="184731" cy="264560"/>
    <xdr:sp macro="" textlink="">
      <xdr:nvSpPr>
        <xdr:cNvPr id="1218" name="TextBox 12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1684</xdr:row>
      <xdr:rowOff>647700</xdr:rowOff>
    </xdr:from>
    <xdr:ext cx="184731" cy="264560"/>
    <xdr:sp macro="" textlink="">
      <xdr:nvSpPr>
        <xdr:cNvPr id="1219" name="TextBox 12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1687</xdr:row>
      <xdr:rowOff>647700</xdr:rowOff>
    </xdr:from>
    <xdr:ext cx="184731" cy="264560"/>
    <xdr:sp macro="" textlink="">
      <xdr:nvSpPr>
        <xdr:cNvPr id="1220" name="TextBox 12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0</xdr:rowOff>
    </xdr:from>
    <xdr:ext cx="184731" cy="264560"/>
    <xdr:sp macro="" textlink="">
      <xdr:nvSpPr>
        <xdr:cNvPr id="1221" name="TextBox 12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647700</xdr:rowOff>
    </xdr:from>
    <xdr:ext cx="184731" cy="264560"/>
    <xdr:sp macro="" textlink="">
      <xdr:nvSpPr>
        <xdr:cNvPr id="1222" name="TextBox 12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1685</xdr:row>
      <xdr:rowOff>647700</xdr:rowOff>
    </xdr:from>
    <xdr:ext cx="184731" cy="264560"/>
    <xdr:sp macro="" textlink="">
      <xdr:nvSpPr>
        <xdr:cNvPr id="1223" name="TextBox 12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1688</xdr:row>
      <xdr:rowOff>647700</xdr:rowOff>
    </xdr:from>
    <xdr:ext cx="184731" cy="264560"/>
    <xdr:sp macro="" textlink="">
      <xdr:nvSpPr>
        <xdr:cNvPr id="1224" name="TextBox 12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1705</xdr:row>
      <xdr:rowOff>0</xdr:rowOff>
    </xdr:from>
    <xdr:ext cx="184731" cy="264560"/>
    <xdr:sp macro="" textlink="">
      <xdr:nvSpPr>
        <xdr:cNvPr id="1225" name="TextBox 12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1705</xdr:row>
      <xdr:rowOff>647700</xdr:rowOff>
    </xdr:from>
    <xdr:ext cx="184731" cy="264560"/>
    <xdr:sp macro="" textlink="">
      <xdr:nvSpPr>
        <xdr:cNvPr id="1226" name="TextBox 12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1227" name="TextBox 12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0</xdr:rowOff>
    </xdr:from>
    <xdr:ext cx="184731" cy="264560"/>
    <xdr:sp macro="" textlink="">
      <xdr:nvSpPr>
        <xdr:cNvPr id="1228" name="TextBox 12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0</xdr:rowOff>
    </xdr:from>
    <xdr:ext cx="184731" cy="264560"/>
    <xdr:sp macro="" textlink="">
      <xdr:nvSpPr>
        <xdr:cNvPr id="1229" name="TextBox 12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647700</xdr:rowOff>
    </xdr:from>
    <xdr:ext cx="184731" cy="264560"/>
    <xdr:sp macro="" textlink="">
      <xdr:nvSpPr>
        <xdr:cNvPr id="1230" name="TextBox 12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1761</xdr:row>
      <xdr:rowOff>647700</xdr:rowOff>
    </xdr:from>
    <xdr:ext cx="184731" cy="264560"/>
    <xdr:sp macro="" textlink="">
      <xdr:nvSpPr>
        <xdr:cNvPr id="1231" name="TextBox 12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1764</xdr:row>
      <xdr:rowOff>647700</xdr:rowOff>
    </xdr:from>
    <xdr:ext cx="184731" cy="264560"/>
    <xdr:sp macro="" textlink="">
      <xdr:nvSpPr>
        <xdr:cNvPr id="1232" name="TextBox 12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1772</xdr:row>
      <xdr:rowOff>0</xdr:rowOff>
    </xdr:from>
    <xdr:ext cx="184731" cy="264560"/>
    <xdr:sp macro="" textlink="">
      <xdr:nvSpPr>
        <xdr:cNvPr id="1233" name="TextBox 12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1772</xdr:row>
      <xdr:rowOff>647700</xdr:rowOff>
    </xdr:from>
    <xdr:ext cx="184731" cy="264560"/>
    <xdr:sp macro="" textlink="">
      <xdr:nvSpPr>
        <xdr:cNvPr id="1234" name="TextBox 12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1773</xdr:row>
      <xdr:rowOff>647700</xdr:rowOff>
    </xdr:from>
    <xdr:ext cx="184731" cy="264560"/>
    <xdr:sp macro="" textlink="">
      <xdr:nvSpPr>
        <xdr:cNvPr id="1235" name="TextBox 12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1214</xdr:row>
      <xdr:rowOff>647700</xdr:rowOff>
    </xdr:from>
    <xdr:ext cx="184731" cy="264560"/>
    <xdr:sp macro="" textlink="">
      <xdr:nvSpPr>
        <xdr:cNvPr id="1236" name="TextBox 12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1217</xdr:row>
      <xdr:rowOff>647700</xdr:rowOff>
    </xdr:from>
    <xdr:ext cx="184731" cy="264560"/>
    <xdr:sp macro="" textlink="">
      <xdr:nvSpPr>
        <xdr:cNvPr id="1237" name="TextBox 12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1235</xdr:row>
      <xdr:rowOff>0</xdr:rowOff>
    </xdr:from>
    <xdr:ext cx="184731" cy="264560"/>
    <xdr:sp macro="" textlink="">
      <xdr:nvSpPr>
        <xdr:cNvPr id="1238" name="TextBox 12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1235</xdr:row>
      <xdr:rowOff>647700</xdr:rowOff>
    </xdr:from>
    <xdr:ext cx="184731" cy="264560"/>
    <xdr:sp macro="" textlink="">
      <xdr:nvSpPr>
        <xdr:cNvPr id="1239" name="TextBox 12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1324</xdr:row>
      <xdr:rowOff>647700</xdr:rowOff>
    </xdr:from>
    <xdr:ext cx="184731" cy="264560"/>
    <xdr:sp macro="" textlink="">
      <xdr:nvSpPr>
        <xdr:cNvPr id="1240" name="TextBox 12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1327</xdr:row>
      <xdr:rowOff>647700</xdr:rowOff>
    </xdr:from>
    <xdr:ext cx="184731" cy="264560"/>
    <xdr:sp macro="" textlink="">
      <xdr:nvSpPr>
        <xdr:cNvPr id="1241" name="TextBox 12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1345</xdr:row>
      <xdr:rowOff>0</xdr:rowOff>
    </xdr:from>
    <xdr:ext cx="184731" cy="264560"/>
    <xdr:sp macro="" textlink="">
      <xdr:nvSpPr>
        <xdr:cNvPr id="1242" name="TextBox 12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1345</xdr:row>
      <xdr:rowOff>647700</xdr:rowOff>
    </xdr:from>
    <xdr:ext cx="184731" cy="264560"/>
    <xdr:sp macro="" textlink="">
      <xdr:nvSpPr>
        <xdr:cNvPr id="1243" name="TextBox 12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1325</xdr:row>
      <xdr:rowOff>647700</xdr:rowOff>
    </xdr:from>
    <xdr:ext cx="184731" cy="264560"/>
    <xdr:sp macro="" textlink="">
      <xdr:nvSpPr>
        <xdr:cNvPr id="1244" name="TextBox 12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1328</xdr:row>
      <xdr:rowOff>647700</xdr:rowOff>
    </xdr:from>
    <xdr:ext cx="184731" cy="264560"/>
    <xdr:sp macro="" textlink="">
      <xdr:nvSpPr>
        <xdr:cNvPr id="1245" name="TextBox 12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1346</xdr:row>
      <xdr:rowOff>0</xdr:rowOff>
    </xdr:from>
    <xdr:ext cx="184731" cy="264560"/>
    <xdr:sp macro="" textlink="">
      <xdr:nvSpPr>
        <xdr:cNvPr id="1246" name="TextBox 12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1346</xdr:row>
      <xdr:rowOff>647700</xdr:rowOff>
    </xdr:from>
    <xdr:ext cx="184731" cy="264560"/>
    <xdr:sp macro="" textlink="">
      <xdr:nvSpPr>
        <xdr:cNvPr id="1247" name="TextBox 12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1326</xdr:row>
      <xdr:rowOff>647700</xdr:rowOff>
    </xdr:from>
    <xdr:ext cx="184731" cy="264560"/>
    <xdr:sp macro="" textlink="">
      <xdr:nvSpPr>
        <xdr:cNvPr id="1248" name="TextBox 12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1329</xdr:row>
      <xdr:rowOff>647700</xdr:rowOff>
    </xdr:from>
    <xdr:ext cx="184731" cy="264560"/>
    <xdr:sp macro="" textlink="">
      <xdr:nvSpPr>
        <xdr:cNvPr id="1249" name="TextBox 12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1347</xdr:row>
      <xdr:rowOff>0</xdr:rowOff>
    </xdr:from>
    <xdr:ext cx="184731" cy="264560"/>
    <xdr:sp macro="" textlink="">
      <xdr:nvSpPr>
        <xdr:cNvPr id="1250" name="TextBox 12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1347</xdr:row>
      <xdr:rowOff>647700</xdr:rowOff>
    </xdr:from>
    <xdr:ext cx="184731" cy="264560"/>
    <xdr:sp macro="" textlink="">
      <xdr:nvSpPr>
        <xdr:cNvPr id="1251" name="TextBox 12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1696</xdr:row>
      <xdr:rowOff>647700</xdr:rowOff>
    </xdr:from>
    <xdr:ext cx="184731" cy="264560"/>
    <xdr:sp macro="" textlink="">
      <xdr:nvSpPr>
        <xdr:cNvPr id="1252" name="TextBox 12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1253" name="TextBox 12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1715</xdr:row>
      <xdr:rowOff>0</xdr:rowOff>
    </xdr:from>
    <xdr:ext cx="184731" cy="264560"/>
    <xdr:sp macro="" textlink="">
      <xdr:nvSpPr>
        <xdr:cNvPr id="1254" name="TextBox 12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1715</xdr:row>
      <xdr:rowOff>647700</xdr:rowOff>
    </xdr:from>
    <xdr:ext cx="184731" cy="264560"/>
    <xdr:sp macro="" textlink="">
      <xdr:nvSpPr>
        <xdr:cNvPr id="1255" name="TextBox 12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1697</xdr:row>
      <xdr:rowOff>647700</xdr:rowOff>
    </xdr:from>
    <xdr:ext cx="184731" cy="264560"/>
    <xdr:sp macro="" textlink="">
      <xdr:nvSpPr>
        <xdr:cNvPr id="1256" name="TextBox 12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1257" name="TextBox 12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1716</xdr:row>
      <xdr:rowOff>0</xdr:rowOff>
    </xdr:from>
    <xdr:ext cx="184731" cy="264560"/>
    <xdr:sp macro="" textlink="">
      <xdr:nvSpPr>
        <xdr:cNvPr id="1258" name="TextBox 12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1716</xdr:row>
      <xdr:rowOff>647700</xdr:rowOff>
    </xdr:from>
    <xdr:ext cx="184731" cy="264560"/>
    <xdr:sp macro="" textlink="">
      <xdr:nvSpPr>
        <xdr:cNvPr id="1259" name="TextBox 12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1720</xdr:row>
      <xdr:rowOff>647700</xdr:rowOff>
    </xdr:from>
    <xdr:ext cx="184731" cy="264560"/>
    <xdr:sp macro="" textlink="">
      <xdr:nvSpPr>
        <xdr:cNvPr id="1260" name="TextBox 12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647700</xdr:rowOff>
    </xdr:from>
    <xdr:ext cx="184731" cy="264560"/>
    <xdr:sp macro="" textlink="">
      <xdr:nvSpPr>
        <xdr:cNvPr id="1261" name="TextBox 12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1741</xdr:row>
      <xdr:rowOff>0</xdr:rowOff>
    </xdr:from>
    <xdr:ext cx="184731" cy="264560"/>
    <xdr:sp macro="" textlink="">
      <xdr:nvSpPr>
        <xdr:cNvPr id="1262" name="TextBox 12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1741</xdr:row>
      <xdr:rowOff>647700</xdr:rowOff>
    </xdr:from>
    <xdr:ext cx="184731" cy="264560"/>
    <xdr:sp macro="" textlink="">
      <xdr:nvSpPr>
        <xdr:cNvPr id="1263" name="TextBox 12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647700</xdr:rowOff>
    </xdr:from>
    <xdr:ext cx="184731" cy="264560"/>
    <xdr:sp macro="" textlink="">
      <xdr:nvSpPr>
        <xdr:cNvPr id="1264" name="TextBox 12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1265" name="TextBox 12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1742</xdr:row>
      <xdr:rowOff>0</xdr:rowOff>
    </xdr:from>
    <xdr:ext cx="184731" cy="264560"/>
    <xdr:sp macro="" textlink="">
      <xdr:nvSpPr>
        <xdr:cNvPr id="1266" name="TextBox 12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1742</xdr:row>
      <xdr:rowOff>647700</xdr:rowOff>
    </xdr:from>
    <xdr:ext cx="184731" cy="264560"/>
    <xdr:sp macro="" textlink="">
      <xdr:nvSpPr>
        <xdr:cNvPr id="1267" name="TextBox 12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647700</xdr:rowOff>
    </xdr:from>
    <xdr:ext cx="184731" cy="264560"/>
    <xdr:sp macro="" textlink="">
      <xdr:nvSpPr>
        <xdr:cNvPr id="1268" name="TextBox 12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269" name="TextBox 12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0</xdr:rowOff>
    </xdr:from>
    <xdr:ext cx="184731" cy="264560"/>
    <xdr:sp macro="" textlink="">
      <xdr:nvSpPr>
        <xdr:cNvPr id="1270" name="TextBox 12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647700</xdr:rowOff>
    </xdr:from>
    <xdr:ext cx="184731" cy="264560"/>
    <xdr:sp macro="" textlink="">
      <xdr:nvSpPr>
        <xdr:cNvPr id="1271" name="TextBox 12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647700</xdr:rowOff>
    </xdr:from>
    <xdr:ext cx="184731" cy="264560"/>
    <xdr:sp macro="" textlink="">
      <xdr:nvSpPr>
        <xdr:cNvPr id="1272" name="TextBox 12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273" name="TextBox 12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0</xdr:rowOff>
    </xdr:from>
    <xdr:ext cx="184731" cy="264560"/>
    <xdr:sp macro="" textlink="">
      <xdr:nvSpPr>
        <xdr:cNvPr id="1274" name="TextBox 12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647700</xdr:rowOff>
    </xdr:from>
    <xdr:ext cx="184731" cy="264560"/>
    <xdr:sp macro="" textlink="">
      <xdr:nvSpPr>
        <xdr:cNvPr id="1275" name="TextBox 12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1276" name="TextBox 12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277" name="TextBox 12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0</xdr:rowOff>
    </xdr:from>
    <xdr:ext cx="184731" cy="264560"/>
    <xdr:sp macro="" textlink="">
      <xdr:nvSpPr>
        <xdr:cNvPr id="1278" name="TextBox 12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647700</xdr:rowOff>
    </xdr:from>
    <xdr:ext cx="184731" cy="264560"/>
    <xdr:sp macro="" textlink="">
      <xdr:nvSpPr>
        <xdr:cNvPr id="1279" name="TextBox 12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280" name="TextBox 12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281" name="TextBox 12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282" name="TextBox 12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283" name="TextBox 12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284" name="TextBox 12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285" name="TextBox 12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286" name="TextBox 12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287" name="TextBox 12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288" name="TextBox 12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289" name="TextBox 12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290" name="TextBox 12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291" name="TextBox 12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1292" name="TextBox 12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0</xdr:rowOff>
    </xdr:from>
    <xdr:ext cx="184731" cy="264560"/>
    <xdr:sp macro="" textlink="">
      <xdr:nvSpPr>
        <xdr:cNvPr id="1293" name="TextBox 12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0</xdr:rowOff>
    </xdr:from>
    <xdr:ext cx="184731" cy="264560"/>
    <xdr:sp macro="" textlink="">
      <xdr:nvSpPr>
        <xdr:cNvPr id="1294" name="TextBox 12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647700</xdr:rowOff>
    </xdr:from>
    <xdr:ext cx="184731" cy="264560"/>
    <xdr:sp macro="" textlink="">
      <xdr:nvSpPr>
        <xdr:cNvPr id="1295" name="TextBox 12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1762</xdr:row>
      <xdr:rowOff>647700</xdr:rowOff>
    </xdr:from>
    <xdr:ext cx="184731" cy="264560"/>
    <xdr:sp macro="" textlink="">
      <xdr:nvSpPr>
        <xdr:cNvPr id="1296" name="TextBox 12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1765</xdr:row>
      <xdr:rowOff>647700</xdr:rowOff>
    </xdr:from>
    <xdr:ext cx="184731" cy="264560"/>
    <xdr:sp macro="" textlink="">
      <xdr:nvSpPr>
        <xdr:cNvPr id="1297" name="TextBox 12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1773</xdr:row>
      <xdr:rowOff>0</xdr:rowOff>
    </xdr:from>
    <xdr:ext cx="184731" cy="264560"/>
    <xdr:sp macro="" textlink="">
      <xdr:nvSpPr>
        <xdr:cNvPr id="1298" name="TextBox 12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1773</xdr:row>
      <xdr:rowOff>647700</xdr:rowOff>
    </xdr:from>
    <xdr:ext cx="184731" cy="264560"/>
    <xdr:sp macro="" textlink="">
      <xdr:nvSpPr>
        <xdr:cNvPr id="1299" name="TextBox 12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1774</xdr:row>
      <xdr:rowOff>647700</xdr:rowOff>
    </xdr:from>
    <xdr:ext cx="184731" cy="264560"/>
    <xdr:sp macro="" textlink="">
      <xdr:nvSpPr>
        <xdr:cNvPr id="1300" name="TextBox 12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1215</xdr:row>
      <xdr:rowOff>647700</xdr:rowOff>
    </xdr:from>
    <xdr:ext cx="184731" cy="264560"/>
    <xdr:sp macro="" textlink="">
      <xdr:nvSpPr>
        <xdr:cNvPr id="1301" name="TextBox 13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1218</xdr:row>
      <xdr:rowOff>647700</xdr:rowOff>
    </xdr:from>
    <xdr:ext cx="184731" cy="264560"/>
    <xdr:sp macro="" textlink="">
      <xdr:nvSpPr>
        <xdr:cNvPr id="1302" name="TextBox 13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1236</xdr:row>
      <xdr:rowOff>0</xdr:rowOff>
    </xdr:from>
    <xdr:ext cx="184731" cy="264560"/>
    <xdr:sp macro="" textlink="">
      <xdr:nvSpPr>
        <xdr:cNvPr id="1303" name="TextBox 13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1236</xdr:row>
      <xdr:rowOff>647700</xdr:rowOff>
    </xdr:from>
    <xdr:ext cx="184731" cy="264560"/>
    <xdr:sp macro="" textlink="">
      <xdr:nvSpPr>
        <xdr:cNvPr id="1304" name="TextBox 13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1325</xdr:row>
      <xdr:rowOff>647700</xdr:rowOff>
    </xdr:from>
    <xdr:ext cx="184731" cy="264560"/>
    <xdr:sp macro="" textlink="">
      <xdr:nvSpPr>
        <xdr:cNvPr id="1305" name="TextBox 13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1328</xdr:row>
      <xdr:rowOff>647700</xdr:rowOff>
    </xdr:from>
    <xdr:ext cx="184731" cy="264560"/>
    <xdr:sp macro="" textlink="">
      <xdr:nvSpPr>
        <xdr:cNvPr id="1306" name="TextBox 13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1346</xdr:row>
      <xdr:rowOff>0</xdr:rowOff>
    </xdr:from>
    <xdr:ext cx="184731" cy="264560"/>
    <xdr:sp macro="" textlink="">
      <xdr:nvSpPr>
        <xdr:cNvPr id="1307" name="TextBox 13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1346</xdr:row>
      <xdr:rowOff>647700</xdr:rowOff>
    </xdr:from>
    <xdr:ext cx="184731" cy="264560"/>
    <xdr:sp macro="" textlink="">
      <xdr:nvSpPr>
        <xdr:cNvPr id="1308" name="TextBox 13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1326</xdr:row>
      <xdr:rowOff>647700</xdr:rowOff>
    </xdr:from>
    <xdr:ext cx="184731" cy="264560"/>
    <xdr:sp macro="" textlink="">
      <xdr:nvSpPr>
        <xdr:cNvPr id="1309" name="TextBox 13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1329</xdr:row>
      <xdr:rowOff>647700</xdr:rowOff>
    </xdr:from>
    <xdr:ext cx="184731" cy="264560"/>
    <xdr:sp macro="" textlink="">
      <xdr:nvSpPr>
        <xdr:cNvPr id="1310" name="TextBox 13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1347</xdr:row>
      <xdr:rowOff>0</xdr:rowOff>
    </xdr:from>
    <xdr:ext cx="184731" cy="264560"/>
    <xdr:sp macro="" textlink="">
      <xdr:nvSpPr>
        <xdr:cNvPr id="1311" name="TextBox 13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1347</xdr:row>
      <xdr:rowOff>647700</xdr:rowOff>
    </xdr:from>
    <xdr:ext cx="184731" cy="264560"/>
    <xdr:sp macro="" textlink="">
      <xdr:nvSpPr>
        <xdr:cNvPr id="1312" name="TextBox 13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1327</xdr:row>
      <xdr:rowOff>647700</xdr:rowOff>
    </xdr:from>
    <xdr:ext cx="184731" cy="264560"/>
    <xdr:sp macro="" textlink="">
      <xdr:nvSpPr>
        <xdr:cNvPr id="1313" name="TextBox 13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314" name="TextBox 13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1348</xdr:row>
      <xdr:rowOff>0</xdr:rowOff>
    </xdr:from>
    <xdr:ext cx="184731" cy="264560"/>
    <xdr:sp macro="" textlink="">
      <xdr:nvSpPr>
        <xdr:cNvPr id="1315" name="TextBox 13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1348</xdr:row>
      <xdr:rowOff>647700</xdr:rowOff>
    </xdr:from>
    <xdr:ext cx="184731" cy="264560"/>
    <xdr:sp macro="" textlink="">
      <xdr:nvSpPr>
        <xdr:cNvPr id="1316" name="TextBox 13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1697</xdr:row>
      <xdr:rowOff>647700</xdr:rowOff>
    </xdr:from>
    <xdr:ext cx="184731" cy="264560"/>
    <xdr:sp macro="" textlink="">
      <xdr:nvSpPr>
        <xdr:cNvPr id="1317" name="TextBox 13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1318" name="TextBox 13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1716</xdr:row>
      <xdr:rowOff>0</xdr:rowOff>
    </xdr:from>
    <xdr:ext cx="184731" cy="264560"/>
    <xdr:sp macro="" textlink="">
      <xdr:nvSpPr>
        <xdr:cNvPr id="1319" name="TextBox 13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1716</xdr:row>
      <xdr:rowOff>647700</xdr:rowOff>
    </xdr:from>
    <xdr:ext cx="184731" cy="264560"/>
    <xdr:sp macro="" textlink="">
      <xdr:nvSpPr>
        <xdr:cNvPr id="1320" name="TextBox 13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1698</xdr:row>
      <xdr:rowOff>647700</xdr:rowOff>
    </xdr:from>
    <xdr:ext cx="184731" cy="264560"/>
    <xdr:sp macro="" textlink="">
      <xdr:nvSpPr>
        <xdr:cNvPr id="1321" name="TextBox 13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1322" name="TextBox 13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1717</xdr:row>
      <xdr:rowOff>0</xdr:rowOff>
    </xdr:from>
    <xdr:ext cx="184731" cy="264560"/>
    <xdr:sp macro="" textlink="">
      <xdr:nvSpPr>
        <xdr:cNvPr id="1323" name="TextBox 13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1717</xdr:row>
      <xdr:rowOff>647700</xdr:rowOff>
    </xdr:from>
    <xdr:ext cx="184731" cy="264560"/>
    <xdr:sp macro="" textlink="">
      <xdr:nvSpPr>
        <xdr:cNvPr id="1324" name="TextBox 13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647700</xdr:rowOff>
    </xdr:from>
    <xdr:ext cx="184731" cy="264560"/>
    <xdr:sp macro="" textlink="">
      <xdr:nvSpPr>
        <xdr:cNvPr id="1325" name="TextBox 13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1326" name="TextBox 13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1742</xdr:row>
      <xdr:rowOff>0</xdr:rowOff>
    </xdr:from>
    <xdr:ext cx="184731" cy="264560"/>
    <xdr:sp macro="" textlink="">
      <xdr:nvSpPr>
        <xdr:cNvPr id="1327" name="TextBox 13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1742</xdr:row>
      <xdr:rowOff>647700</xdr:rowOff>
    </xdr:from>
    <xdr:ext cx="184731" cy="264560"/>
    <xdr:sp macro="" textlink="">
      <xdr:nvSpPr>
        <xdr:cNvPr id="1328" name="TextBox 13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647700</xdr:rowOff>
    </xdr:from>
    <xdr:ext cx="184731" cy="264560"/>
    <xdr:sp macro="" textlink="">
      <xdr:nvSpPr>
        <xdr:cNvPr id="1329" name="TextBox 13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330" name="TextBox 13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0</xdr:rowOff>
    </xdr:from>
    <xdr:ext cx="184731" cy="264560"/>
    <xdr:sp macro="" textlink="">
      <xdr:nvSpPr>
        <xdr:cNvPr id="1331" name="TextBox 13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647700</xdr:rowOff>
    </xdr:from>
    <xdr:ext cx="184731" cy="264560"/>
    <xdr:sp macro="" textlink="">
      <xdr:nvSpPr>
        <xdr:cNvPr id="1332" name="TextBox 13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647700</xdr:rowOff>
    </xdr:from>
    <xdr:ext cx="184731" cy="264560"/>
    <xdr:sp macro="" textlink="">
      <xdr:nvSpPr>
        <xdr:cNvPr id="1333" name="TextBox 13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334" name="TextBox 13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0</xdr:rowOff>
    </xdr:from>
    <xdr:ext cx="184731" cy="264560"/>
    <xdr:sp macro="" textlink="">
      <xdr:nvSpPr>
        <xdr:cNvPr id="1335" name="TextBox 13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647700</xdr:rowOff>
    </xdr:from>
    <xdr:ext cx="184731" cy="264560"/>
    <xdr:sp macro="" textlink="">
      <xdr:nvSpPr>
        <xdr:cNvPr id="1336" name="TextBox 13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1337" name="TextBox 13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338" name="TextBox 13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0</xdr:rowOff>
    </xdr:from>
    <xdr:ext cx="184731" cy="264560"/>
    <xdr:sp macro="" textlink="">
      <xdr:nvSpPr>
        <xdr:cNvPr id="1339" name="TextBox 13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647700</xdr:rowOff>
    </xdr:from>
    <xdr:ext cx="184731" cy="264560"/>
    <xdr:sp macro="" textlink="">
      <xdr:nvSpPr>
        <xdr:cNvPr id="1340" name="TextBox 13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341" name="TextBox 13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342" name="TextBox 13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343" name="TextBox 13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344" name="TextBox 13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345" name="TextBox 13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346" name="TextBox 13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347" name="TextBox 13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348" name="TextBox 13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349" name="TextBox 13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350" name="TextBox 13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351" name="TextBox 13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352" name="TextBox 13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353" name="TextBox 13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354" name="TextBox 13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355" name="TextBox 13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356" name="TextBox 13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1357" name="TextBox 13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0</xdr:rowOff>
    </xdr:from>
    <xdr:ext cx="184731" cy="264560"/>
    <xdr:sp macro="" textlink="">
      <xdr:nvSpPr>
        <xdr:cNvPr id="1358" name="TextBox 13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0</xdr:rowOff>
    </xdr:from>
    <xdr:ext cx="184731" cy="264560"/>
    <xdr:sp macro="" textlink="">
      <xdr:nvSpPr>
        <xdr:cNvPr id="1359" name="TextBox 13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647700</xdr:rowOff>
    </xdr:from>
    <xdr:ext cx="184731" cy="264560"/>
    <xdr:sp macro="" textlink="">
      <xdr:nvSpPr>
        <xdr:cNvPr id="1360" name="TextBox 13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1763</xdr:row>
      <xdr:rowOff>647700</xdr:rowOff>
    </xdr:from>
    <xdr:ext cx="184731" cy="264560"/>
    <xdr:sp macro="" textlink="">
      <xdr:nvSpPr>
        <xdr:cNvPr id="1361" name="TextBox 13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1766</xdr:row>
      <xdr:rowOff>647700</xdr:rowOff>
    </xdr:from>
    <xdr:ext cx="184731" cy="264560"/>
    <xdr:sp macro="" textlink="">
      <xdr:nvSpPr>
        <xdr:cNvPr id="1362" name="TextBox 13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1774</xdr:row>
      <xdr:rowOff>0</xdr:rowOff>
    </xdr:from>
    <xdr:ext cx="184731" cy="264560"/>
    <xdr:sp macro="" textlink="">
      <xdr:nvSpPr>
        <xdr:cNvPr id="1363" name="TextBox 13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1774</xdr:row>
      <xdr:rowOff>647700</xdr:rowOff>
    </xdr:from>
    <xdr:ext cx="184731" cy="264560"/>
    <xdr:sp macro="" textlink="">
      <xdr:nvSpPr>
        <xdr:cNvPr id="1364" name="TextBox 13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647700</xdr:rowOff>
    </xdr:from>
    <xdr:ext cx="184731" cy="264560"/>
    <xdr:sp macro="" textlink="">
      <xdr:nvSpPr>
        <xdr:cNvPr id="1365" name="TextBox 13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1216</xdr:row>
      <xdr:rowOff>647700</xdr:rowOff>
    </xdr:from>
    <xdr:ext cx="184731" cy="264560"/>
    <xdr:sp macro="" textlink="">
      <xdr:nvSpPr>
        <xdr:cNvPr id="1366" name="TextBox 13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1219</xdr:row>
      <xdr:rowOff>647700</xdr:rowOff>
    </xdr:from>
    <xdr:ext cx="184731" cy="264560"/>
    <xdr:sp macro="" textlink="">
      <xdr:nvSpPr>
        <xdr:cNvPr id="1367" name="TextBox 13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1237</xdr:row>
      <xdr:rowOff>0</xdr:rowOff>
    </xdr:from>
    <xdr:ext cx="184731" cy="264560"/>
    <xdr:sp macro="" textlink="">
      <xdr:nvSpPr>
        <xdr:cNvPr id="1368" name="TextBox 13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1237</xdr:row>
      <xdr:rowOff>647700</xdr:rowOff>
    </xdr:from>
    <xdr:ext cx="184731" cy="264560"/>
    <xdr:sp macro="" textlink="">
      <xdr:nvSpPr>
        <xdr:cNvPr id="1369" name="TextBox 13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1326</xdr:row>
      <xdr:rowOff>647700</xdr:rowOff>
    </xdr:from>
    <xdr:ext cx="184731" cy="264560"/>
    <xdr:sp macro="" textlink="">
      <xdr:nvSpPr>
        <xdr:cNvPr id="1370" name="TextBox 13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1329</xdr:row>
      <xdr:rowOff>647700</xdr:rowOff>
    </xdr:from>
    <xdr:ext cx="184731" cy="264560"/>
    <xdr:sp macro="" textlink="">
      <xdr:nvSpPr>
        <xdr:cNvPr id="1371" name="TextBox 13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1347</xdr:row>
      <xdr:rowOff>0</xdr:rowOff>
    </xdr:from>
    <xdr:ext cx="184731" cy="264560"/>
    <xdr:sp macro="" textlink="">
      <xdr:nvSpPr>
        <xdr:cNvPr id="1372" name="TextBox 13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1347</xdr:row>
      <xdr:rowOff>647700</xdr:rowOff>
    </xdr:from>
    <xdr:ext cx="184731" cy="264560"/>
    <xdr:sp macro="" textlink="">
      <xdr:nvSpPr>
        <xdr:cNvPr id="1373" name="TextBox 13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1327</xdr:row>
      <xdr:rowOff>647700</xdr:rowOff>
    </xdr:from>
    <xdr:ext cx="184731" cy="264560"/>
    <xdr:sp macro="" textlink="">
      <xdr:nvSpPr>
        <xdr:cNvPr id="1374" name="TextBox 13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375" name="TextBox 13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1348</xdr:row>
      <xdr:rowOff>0</xdr:rowOff>
    </xdr:from>
    <xdr:ext cx="184731" cy="264560"/>
    <xdr:sp macro="" textlink="">
      <xdr:nvSpPr>
        <xdr:cNvPr id="1376" name="TextBox 13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1348</xdr:row>
      <xdr:rowOff>647700</xdr:rowOff>
    </xdr:from>
    <xdr:ext cx="184731" cy="264560"/>
    <xdr:sp macro="" textlink="">
      <xdr:nvSpPr>
        <xdr:cNvPr id="1377" name="TextBox 13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1328</xdr:row>
      <xdr:rowOff>647700</xdr:rowOff>
    </xdr:from>
    <xdr:ext cx="184731" cy="264560"/>
    <xdr:sp macro="" textlink="">
      <xdr:nvSpPr>
        <xdr:cNvPr id="1378" name="TextBox 13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379" name="TextBox 13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0</xdr:rowOff>
    </xdr:from>
    <xdr:ext cx="184731" cy="264560"/>
    <xdr:sp macro="" textlink="">
      <xdr:nvSpPr>
        <xdr:cNvPr id="1380" name="TextBox 13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647700</xdr:rowOff>
    </xdr:from>
    <xdr:ext cx="184731" cy="264560"/>
    <xdr:sp macro="" textlink="">
      <xdr:nvSpPr>
        <xdr:cNvPr id="1381" name="TextBox 13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1698</xdr:row>
      <xdr:rowOff>647700</xdr:rowOff>
    </xdr:from>
    <xdr:ext cx="184731" cy="264560"/>
    <xdr:sp macro="" textlink="">
      <xdr:nvSpPr>
        <xdr:cNvPr id="1382" name="TextBox 13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1383" name="TextBox 13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1717</xdr:row>
      <xdr:rowOff>0</xdr:rowOff>
    </xdr:from>
    <xdr:ext cx="184731" cy="264560"/>
    <xdr:sp macro="" textlink="">
      <xdr:nvSpPr>
        <xdr:cNvPr id="1384" name="TextBox 13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1717</xdr:row>
      <xdr:rowOff>647700</xdr:rowOff>
    </xdr:from>
    <xdr:ext cx="184731" cy="264560"/>
    <xdr:sp macro="" textlink="">
      <xdr:nvSpPr>
        <xdr:cNvPr id="1385" name="TextBox 13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1386" name="TextBox 13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1387" name="TextBox 13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1718</xdr:row>
      <xdr:rowOff>0</xdr:rowOff>
    </xdr:from>
    <xdr:ext cx="184731" cy="264560"/>
    <xdr:sp macro="" textlink="">
      <xdr:nvSpPr>
        <xdr:cNvPr id="1388" name="TextBox 13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1718</xdr:row>
      <xdr:rowOff>647700</xdr:rowOff>
    </xdr:from>
    <xdr:ext cx="184731" cy="264560"/>
    <xdr:sp macro="" textlink="">
      <xdr:nvSpPr>
        <xdr:cNvPr id="1389" name="TextBox 13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647700</xdr:rowOff>
    </xdr:from>
    <xdr:ext cx="184731" cy="264560"/>
    <xdr:sp macro="" textlink="">
      <xdr:nvSpPr>
        <xdr:cNvPr id="1390" name="TextBox 13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391" name="TextBox 13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0</xdr:rowOff>
    </xdr:from>
    <xdr:ext cx="184731" cy="264560"/>
    <xdr:sp macro="" textlink="">
      <xdr:nvSpPr>
        <xdr:cNvPr id="1392" name="TextBox 13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647700</xdr:rowOff>
    </xdr:from>
    <xdr:ext cx="184731" cy="264560"/>
    <xdr:sp macro="" textlink="">
      <xdr:nvSpPr>
        <xdr:cNvPr id="1393" name="TextBox 13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647700</xdr:rowOff>
    </xdr:from>
    <xdr:ext cx="184731" cy="264560"/>
    <xdr:sp macro="" textlink="">
      <xdr:nvSpPr>
        <xdr:cNvPr id="1394" name="TextBox 13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395" name="TextBox 13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0</xdr:rowOff>
    </xdr:from>
    <xdr:ext cx="184731" cy="264560"/>
    <xdr:sp macro="" textlink="">
      <xdr:nvSpPr>
        <xdr:cNvPr id="1396" name="TextBox 13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647700</xdr:rowOff>
    </xdr:from>
    <xdr:ext cx="184731" cy="264560"/>
    <xdr:sp macro="" textlink="">
      <xdr:nvSpPr>
        <xdr:cNvPr id="1397" name="TextBox 13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1398" name="TextBox 13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399" name="TextBox 13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0</xdr:rowOff>
    </xdr:from>
    <xdr:ext cx="184731" cy="264560"/>
    <xdr:sp macro="" textlink="">
      <xdr:nvSpPr>
        <xdr:cNvPr id="1400" name="TextBox 13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647700</xdr:rowOff>
    </xdr:from>
    <xdr:ext cx="184731" cy="264560"/>
    <xdr:sp macro="" textlink="">
      <xdr:nvSpPr>
        <xdr:cNvPr id="1401" name="TextBox 14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402" name="TextBox 14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403" name="TextBox 14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404" name="TextBox 14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405" name="TextBox 14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406" name="TextBox 14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407" name="TextBox 14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408" name="TextBox 14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409" name="TextBox 14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410" name="TextBox 14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411" name="TextBox 14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412" name="TextBox 14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413" name="TextBox 14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414" name="TextBox 14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415" name="TextBox 14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416" name="TextBox 14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417" name="TextBox 14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418" name="TextBox 14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419" name="TextBox 14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420" name="TextBox 14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421" name="TextBox 14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647700</xdr:rowOff>
    </xdr:from>
    <xdr:ext cx="184731" cy="264560"/>
    <xdr:sp macro="" textlink="">
      <xdr:nvSpPr>
        <xdr:cNvPr id="1422" name="TextBox 14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423" name="TextBox 14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424" name="TextBox 14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425" name="TextBox 14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1764</xdr:row>
      <xdr:rowOff>647700</xdr:rowOff>
    </xdr:from>
    <xdr:ext cx="184731" cy="264560"/>
    <xdr:sp macro="" textlink="">
      <xdr:nvSpPr>
        <xdr:cNvPr id="1426" name="TextBox 14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1767</xdr:row>
      <xdr:rowOff>647700</xdr:rowOff>
    </xdr:from>
    <xdr:ext cx="184731" cy="264560"/>
    <xdr:sp macro="" textlink="">
      <xdr:nvSpPr>
        <xdr:cNvPr id="1427" name="TextBox 14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1428" name="TextBox 14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647700</xdr:rowOff>
    </xdr:from>
    <xdr:ext cx="184731" cy="264560"/>
    <xdr:sp macro="" textlink="">
      <xdr:nvSpPr>
        <xdr:cNvPr id="1429" name="TextBox 14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647700</xdr:rowOff>
    </xdr:from>
    <xdr:ext cx="184731" cy="264560"/>
    <xdr:sp macro="" textlink="">
      <xdr:nvSpPr>
        <xdr:cNvPr id="1430" name="TextBox 14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1217</xdr:row>
      <xdr:rowOff>647700</xdr:rowOff>
    </xdr:from>
    <xdr:ext cx="184731" cy="264560"/>
    <xdr:sp macro="" textlink="">
      <xdr:nvSpPr>
        <xdr:cNvPr id="1431" name="TextBox 14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1220</xdr:row>
      <xdr:rowOff>647700</xdr:rowOff>
    </xdr:from>
    <xdr:ext cx="184731" cy="264560"/>
    <xdr:sp macro="" textlink="">
      <xdr:nvSpPr>
        <xdr:cNvPr id="1432" name="TextBox 14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1238</xdr:row>
      <xdr:rowOff>0</xdr:rowOff>
    </xdr:from>
    <xdr:ext cx="184731" cy="264560"/>
    <xdr:sp macro="" textlink="">
      <xdr:nvSpPr>
        <xdr:cNvPr id="1433" name="TextBox 14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1238</xdr:row>
      <xdr:rowOff>647700</xdr:rowOff>
    </xdr:from>
    <xdr:ext cx="184731" cy="264560"/>
    <xdr:sp macro="" textlink="">
      <xdr:nvSpPr>
        <xdr:cNvPr id="1434" name="TextBox 14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1327</xdr:row>
      <xdr:rowOff>647700</xdr:rowOff>
    </xdr:from>
    <xdr:ext cx="184731" cy="264560"/>
    <xdr:sp macro="" textlink="">
      <xdr:nvSpPr>
        <xdr:cNvPr id="1435" name="TextBox 14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436" name="TextBox 14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1348</xdr:row>
      <xdr:rowOff>0</xdr:rowOff>
    </xdr:from>
    <xdr:ext cx="184731" cy="264560"/>
    <xdr:sp macro="" textlink="">
      <xdr:nvSpPr>
        <xdr:cNvPr id="1437" name="TextBox 14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1348</xdr:row>
      <xdr:rowOff>647700</xdr:rowOff>
    </xdr:from>
    <xdr:ext cx="184731" cy="264560"/>
    <xdr:sp macro="" textlink="">
      <xdr:nvSpPr>
        <xdr:cNvPr id="1438" name="TextBox 14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1328</xdr:row>
      <xdr:rowOff>647700</xdr:rowOff>
    </xdr:from>
    <xdr:ext cx="184731" cy="264560"/>
    <xdr:sp macro="" textlink="">
      <xdr:nvSpPr>
        <xdr:cNvPr id="1439" name="TextBox 14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440" name="TextBox 14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0</xdr:rowOff>
    </xdr:from>
    <xdr:ext cx="184731" cy="264560"/>
    <xdr:sp macro="" textlink="">
      <xdr:nvSpPr>
        <xdr:cNvPr id="1441" name="TextBox 14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647700</xdr:rowOff>
    </xdr:from>
    <xdr:ext cx="184731" cy="264560"/>
    <xdr:sp macro="" textlink="">
      <xdr:nvSpPr>
        <xdr:cNvPr id="1442" name="TextBox 14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1329</xdr:row>
      <xdr:rowOff>647700</xdr:rowOff>
    </xdr:from>
    <xdr:ext cx="184731" cy="264560"/>
    <xdr:sp macro="" textlink="">
      <xdr:nvSpPr>
        <xdr:cNvPr id="1443" name="TextBox 14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1444" name="TextBox 14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0</xdr:rowOff>
    </xdr:from>
    <xdr:ext cx="184731" cy="264560"/>
    <xdr:sp macro="" textlink="">
      <xdr:nvSpPr>
        <xdr:cNvPr id="1445" name="TextBox 14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647700</xdr:rowOff>
    </xdr:from>
    <xdr:ext cx="184731" cy="264560"/>
    <xdr:sp macro="" textlink="">
      <xdr:nvSpPr>
        <xdr:cNvPr id="1446" name="TextBox 14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1447" name="TextBox 14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1448" name="TextBox 14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1718</xdr:row>
      <xdr:rowOff>0</xdr:rowOff>
    </xdr:from>
    <xdr:ext cx="184731" cy="264560"/>
    <xdr:sp macro="" textlink="">
      <xdr:nvSpPr>
        <xdr:cNvPr id="1449" name="TextBox 14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1718</xdr:row>
      <xdr:rowOff>647700</xdr:rowOff>
    </xdr:from>
    <xdr:ext cx="184731" cy="264560"/>
    <xdr:sp macro="" textlink="">
      <xdr:nvSpPr>
        <xdr:cNvPr id="1450" name="TextBox 14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1451" name="TextBox 14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1452" name="TextBox 14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1719</xdr:row>
      <xdr:rowOff>0</xdr:rowOff>
    </xdr:from>
    <xdr:ext cx="184731" cy="264560"/>
    <xdr:sp macro="" textlink="">
      <xdr:nvSpPr>
        <xdr:cNvPr id="1453" name="TextBox 14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1719</xdr:row>
      <xdr:rowOff>647700</xdr:rowOff>
    </xdr:from>
    <xdr:ext cx="184731" cy="264560"/>
    <xdr:sp macro="" textlink="">
      <xdr:nvSpPr>
        <xdr:cNvPr id="1454" name="TextBox 14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647700</xdr:rowOff>
    </xdr:from>
    <xdr:ext cx="184731" cy="264560"/>
    <xdr:sp macro="" textlink="">
      <xdr:nvSpPr>
        <xdr:cNvPr id="1455" name="TextBox 14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456" name="TextBox 14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0</xdr:rowOff>
    </xdr:from>
    <xdr:ext cx="184731" cy="264560"/>
    <xdr:sp macro="" textlink="">
      <xdr:nvSpPr>
        <xdr:cNvPr id="1457" name="TextBox 14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647700</xdr:rowOff>
    </xdr:from>
    <xdr:ext cx="184731" cy="264560"/>
    <xdr:sp macro="" textlink="">
      <xdr:nvSpPr>
        <xdr:cNvPr id="1458" name="TextBox 14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1459" name="TextBox 14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460" name="TextBox 14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0</xdr:rowOff>
    </xdr:from>
    <xdr:ext cx="184731" cy="264560"/>
    <xdr:sp macro="" textlink="">
      <xdr:nvSpPr>
        <xdr:cNvPr id="1461" name="TextBox 14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647700</xdr:rowOff>
    </xdr:from>
    <xdr:ext cx="184731" cy="264560"/>
    <xdr:sp macro="" textlink="">
      <xdr:nvSpPr>
        <xdr:cNvPr id="1462" name="TextBox 14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463" name="TextBox 14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464" name="TextBox 14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465" name="TextBox 14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466" name="TextBox 14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467" name="TextBox 14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468" name="TextBox 14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469" name="TextBox 14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470" name="TextBox 14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471" name="TextBox 14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472" name="TextBox 14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473" name="TextBox 14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474" name="TextBox 14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475" name="TextBox 14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476" name="TextBox 14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477" name="TextBox 14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478" name="TextBox 14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479" name="TextBox 14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480" name="TextBox 14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481" name="TextBox 14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482" name="TextBox 14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483" name="TextBox 14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484" name="TextBox 14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1485" name="TextBox 14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1486" name="TextBox 14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647700</xdr:rowOff>
    </xdr:from>
    <xdr:ext cx="184731" cy="264560"/>
    <xdr:sp macro="" textlink="">
      <xdr:nvSpPr>
        <xdr:cNvPr id="1487" name="TextBox 14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488" name="TextBox 14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489" name="TextBox 14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490" name="TextBox 14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1764</xdr:row>
      <xdr:rowOff>647700</xdr:rowOff>
    </xdr:from>
    <xdr:ext cx="184731" cy="264560"/>
    <xdr:sp macro="" textlink="">
      <xdr:nvSpPr>
        <xdr:cNvPr id="1491" name="TextBox 14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1767</xdr:row>
      <xdr:rowOff>647700</xdr:rowOff>
    </xdr:from>
    <xdr:ext cx="184731" cy="264560"/>
    <xdr:sp macro="" textlink="">
      <xdr:nvSpPr>
        <xdr:cNvPr id="1492" name="TextBox 14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0</xdr:rowOff>
    </xdr:from>
    <xdr:ext cx="184731" cy="264560"/>
    <xdr:sp macro="" textlink="">
      <xdr:nvSpPr>
        <xdr:cNvPr id="1493" name="TextBox 14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1775</xdr:row>
      <xdr:rowOff>647700</xdr:rowOff>
    </xdr:from>
    <xdr:ext cx="184731" cy="264560"/>
    <xdr:sp macro="" textlink="">
      <xdr:nvSpPr>
        <xdr:cNvPr id="1494" name="TextBox 14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647700</xdr:rowOff>
    </xdr:from>
    <xdr:ext cx="184731" cy="264560"/>
    <xdr:sp macro="" textlink="">
      <xdr:nvSpPr>
        <xdr:cNvPr id="1495" name="TextBox 14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1217</xdr:row>
      <xdr:rowOff>647700</xdr:rowOff>
    </xdr:from>
    <xdr:ext cx="184731" cy="264560"/>
    <xdr:sp macro="" textlink="">
      <xdr:nvSpPr>
        <xdr:cNvPr id="1496" name="TextBox 14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1220</xdr:row>
      <xdr:rowOff>647700</xdr:rowOff>
    </xdr:from>
    <xdr:ext cx="184731" cy="264560"/>
    <xdr:sp macro="" textlink="">
      <xdr:nvSpPr>
        <xdr:cNvPr id="1497" name="TextBox 14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1238</xdr:row>
      <xdr:rowOff>0</xdr:rowOff>
    </xdr:from>
    <xdr:ext cx="184731" cy="264560"/>
    <xdr:sp macro="" textlink="">
      <xdr:nvSpPr>
        <xdr:cNvPr id="1498" name="TextBox 14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1238</xdr:row>
      <xdr:rowOff>647700</xdr:rowOff>
    </xdr:from>
    <xdr:ext cx="184731" cy="264560"/>
    <xdr:sp macro="" textlink="">
      <xdr:nvSpPr>
        <xdr:cNvPr id="1499" name="TextBox 14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1327</xdr:row>
      <xdr:rowOff>647700</xdr:rowOff>
    </xdr:from>
    <xdr:ext cx="184731" cy="264560"/>
    <xdr:sp macro="" textlink="">
      <xdr:nvSpPr>
        <xdr:cNvPr id="1500" name="TextBox 14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501" name="TextBox 15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1348</xdr:row>
      <xdr:rowOff>0</xdr:rowOff>
    </xdr:from>
    <xdr:ext cx="184731" cy="264560"/>
    <xdr:sp macro="" textlink="">
      <xdr:nvSpPr>
        <xdr:cNvPr id="1502" name="TextBox 15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1348</xdr:row>
      <xdr:rowOff>647700</xdr:rowOff>
    </xdr:from>
    <xdr:ext cx="184731" cy="264560"/>
    <xdr:sp macro="" textlink="">
      <xdr:nvSpPr>
        <xdr:cNvPr id="1503" name="TextBox 15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1328</xdr:row>
      <xdr:rowOff>647700</xdr:rowOff>
    </xdr:from>
    <xdr:ext cx="184731" cy="264560"/>
    <xdr:sp macro="" textlink="">
      <xdr:nvSpPr>
        <xdr:cNvPr id="1504" name="TextBox 15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505" name="TextBox 15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0</xdr:rowOff>
    </xdr:from>
    <xdr:ext cx="184731" cy="264560"/>
    <xdr:sp macro="" textlink="">
      <xdr:nvSpPr>
        <xdr:cNvPr id="1506" name="TextBox 15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647700</xdr:rowOff>
    </xdr:from>
    <xdr:ext cx="184731" cy="264560"/>
    <xdr:sp macro="" textlink="">
      <xdr:nvSpPr>
        <xdr:cNvPr id="1507" name="TextBox 15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1329</xdr:row>
      <xdr:rowOff>647700</xdr:rowOff>
    </xdr:from>
    <xdr:ext cx="184731" cy="264560"/>
    <xdr:sp macro="" textlink="">
      <xdr:nvSpPr>
        <xdr:cNvPr id="1508" name="TextBox 15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1509" name="TextBox 15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0</xdr:rowOff>
    </xdr:from>
    <xdr:ext cx="184731" cy="264560"/>
    <xdr:sp macro="" textlink="">
      <xdr:nvSpPr>
        <xdr:cNvPr id="1510" name="TextBox 15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647700</xdr:rowOff>
    </xdr:from>
    <xdr:ext cx="184731" cy="264560"/>
    <xdr:sp macro="" textlink="">
      <xdr:nvSpPr>
        <xdr:cNvPr id="1511" name="TextBox 15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0</xdr:rowOff>
    </xdr:from>
    <xdr:ext cx="184731" cy="264560"/>
    <xdr:sp macro="" textlink="">
      <xdr:nvSpPr>
        <xdr:cNvPr id="1512" name="TextBox 15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1513" name="TextBox 15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1718</xdr:row>
      <xdr:rowOff>0</xdr:rowOff>
    </xdr:from>
    <xdr:ext cx="184731" cy="264560"/>
    <xdr:sp macro="" textlink="">
      <xdr:nvSpPr>
        <xdr:cNvPr id="1514" name="TextBox 15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1718</xdr:row>
      <xdr:rowOff>647700</xdr:rowOff>
    </xdr:from>
    <xdr:ext cx="184731" cy="264560"/>
    <xdr:sp macro="" textlink="">
      <xdr:nvSpPr>
        <xdr:cNvPr id="1515" name="TextBox 15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1516" name="TextBox 15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1517" name="TextBox 15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1719</xdr:row>
      <xdr:rowOff>0</xdr:rowOff>
    </xdr:from>
    <xdr:ext cx="184731" cy="264560"/>
    <xdr:sp macro="" textlink="">
      <xdr:nvSpPr>
        <xdr:cNvPr id="1518" name="TextBox 15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1719</xdr:row>
      <xdr:rowOff>647700</xdr:rowOff>
    </xdr:from>
    <xdr:ext cx="184731" cy="264560"/>
    <xdr:sp macro="" textlink="">
      <xdr:nvSpPr>
        <xdr:cNvPr id="1519" name="TextBox 15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647700</xdr:rowOff>
    </xdr:from>
    <xdr:ext cx="184731" cy="264560"/>
    <xdr:sp macro="" textlink="">
      <xdr:nvSpPr>
        <xdr:cNvPr id="1520" name="TextBox 15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521" name="TextBox 15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0</xdr:rowOff>
    </xdr:from>
    <xdr:ext cx="184731" cy="264560"/>
    <xdr:sp macro="" textlink="">
      <xdr:nvSpPr>
        <xdr:cNvPr id="1522" name="TextBox 15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647700</xdr:rowOff>
    </xdr:from>
    <xdr:ext cx="184731" cy="264560"/>
    <xdr:sp macro="" textlink="">
      <xdr:nvSpPr>
        <xdr:cNvPr id="1523" name="TextBox 15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1524" name="TextBox 15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525" name="TextBox 15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0</xdr:rowOff>
    </xdr:from>
    <xdr:ext cx="184731" cy="264560"/>
    <xdr:sp macro="" textlink="">
      <xdr:nvSpPr>
        <xdr:cNvPr id="1526" name="TextBox 15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647700</xdr:rowOff>
    </xdr:from>
    <xdr:ext cx="184731" cy="264560"/>
    <xdr:sp macro="" textlink="">
      <xdr:nvSpPr>
        <xdr:cNvPr id="1527" name="TextBox 15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528" name="TextBox 15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529" name="TextBox 15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530" name="TextBox 15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531" name="TextBox 15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532" name="TextBox 15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533" name="TextBox 15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534" name="TextBox 15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535" name="TextBox 15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536" name="TextBox 15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537" name="TextBox 15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538" name="TextBox 15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539" name="TextBox 15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540" name="TextBox 15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541" name="TextBox 15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542" name="TextBox 15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543" name="TextBox 15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544" name="TextBox 15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545" name="TextBox 15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546" name="TextBox 15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547" name="TextBox 15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548" name="TextBox 15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549" name="TextBox 15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1550" name="TextBox 15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1551" name="TextBox 15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1738</xdr:row>
      <xdr:rowOff>647700</xdr:rowOff>
    </xdr:from>
    <xdr:ext cx="184731" cy="264560"/>
    <xdr:sp macro="" textlink="">
      <xdr:nvSpPr>
        <xdr:cNvPr id="1552" name="TextBox 15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553" name="TextBox 15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554" name="TextBox 15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555" name="TextBox 15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1765</xdr:row>
      <xdr:rowOff>647700</xdr:rowOff>
    </xdr:from>
    <xdr:ext cx="184731" cy="264560"/>
    <xdr:sp macro="" textlink="">
      <xdr:nvSpPr>
        <xdr:cNvPr id="1556" name="TextBox 15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1768</xdr:row>
      <xdr:rowOff>647700</xdr:rowOff>
    </xdr:from>
    <xdr:ext cx="184731" cy="264560"/>
    <xdr:sp macro="" textlink="">
      <xdr:nvSpPr>
        <xdr:cNvPr id="1557" name="TextBox 15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0</xdr:rowOff>
    </xdr:from>
    <xdr:ext cx="184731" cy="264560"/>
    <xdr:sp macro="" textlink="">
      <xdr:nvSpPr>
        <xdr:cNvPr id="1558" name="TextBox 15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647700</xdr:rowOff>
    </xdr:from>
    <xdr:ext cx="184731" cy="264560"/>
    <xdr:sp macro="" textlink="">
      <xdr:nvSpPr>
        <xdr:cNvPr id="1559" name="TextBox 15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647700</xdr:rowOff>
    </xdr:from>
    <xdr:ext cx="184731" cy="264560"/>
    <xdr:sp macro="" textlink="">
      <xdr:nvSpPr>
        <xdr:cNvPr id="1560" name="TextBox 15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1218</xdr:row>
      <xdr:rowOff>647700</xdr:rowOff>
    </xdr:from>
    <xdr:ext cx="184731" cy="264560"/>
    <xdr:sp macro="" textlink="">
      <xdr:nvSpPr>
        <xdr:cNvPr id="1561" name="TextBox 15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1221</xdr:row>
      <xdr:rowOff>647700</xdr:rowOff>
    </xdr:from>
    <xdr:ext cx="184731" cy="264560"/>
    <xdr:sp macro="" textlink="">
      <xdr:nvSpPr>
        <xdr:cNvPr id="1562" name="TextBox 15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1239</xdr:row>
      <xdr:rowOff>0</xdr:rowOff>
    </xdr:from>
    <xdr:ext cx="184731" cy="264560"/>
    <xdr:sp macro="" textlink="">
      <xdr:nvSpPr>
        <xdr:cNvPr id="1563" name="TextBox 15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1239</xdr:row>
      <xdr:rowOff>647700</xdr:rowOff>
    </xdr:from>
    <xdr:ext cx="184731" cy="264560"/>
    <xdr:sp macro="" textlink="">
      <xdr:nvSpPr>
        <xdr:cNvPr id="1564" name="TextBox 15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1328</xdr:row>
      <xdr:rowOff>647700</xdr:rowOff>
    </xdr:from>
    <xdr:ext cx="184731" cy="264560"/>
    <xdr:sp macro="" textlink="">
      <xdr:nvSpPr>
        <xdr:cNvPr id="1565" name="TextBox 15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566" name="TextBox 15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0</xdr:rowOff>
    </xdr:from>
    <xdr:ext cx="184731" cy="264560"/>
    <xdr:sp macro="" textlink="">
      <xdr:nvSpPr>
        <xdr:cNvPr id="1567" name="TextBox 15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647700</xdr:rowOff>
    </xdr:from>
    <xdr:ext cx="184731" cy="264560"/>
    <xdr:sp macro="" textlink="">
      <xdr:nvSpPr>
        <xdr:cNvPr id="1568" name="TextBox 15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1329</xdr:row>
      <xdr:rowOff>647700</xdr:rowOff>
    </xdr:from>
    <xdr:ext cx="184731" cy="264560"/>
    <xdr:sp macro="" textlink="">
      <xdr:nvSpPr>
        <xdr:cNvPr id="1569" name="TextBox 15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1570" name="TextBox 15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0</xdr:rowOff>
    </xdr:from>
    <xdr:ext cx="184731" cy="264560"/>
    <xdr:sp macro="" textlink="">
      <xdr:nvSpPr>
        <xdr:cNvPr id="1571" name="TextBox 15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647700</xdr:rowOff>
    </xdr:from>
    <xdr:ext cx="184731" cy="264560"/>
    <xdr:sp macro="" textlink="">
      <xdr:nvSpPr>
        <xdr:cNvPr id="1572" name="TextBox 15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573" name="TextBox 15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1574" name="TextBox 15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0</xdr:rowOff>
    </xdr:from>
    <xdr:ext cx="184731" cy="264560"/>
    <xdr:sp macro="" textlink="">
      <xdr:nvSpPr>
        <xdr:cNvPr id="1575" name="TextBox 15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647700</xdr:rowOff>
    </xdr:from>
    <xdr:ext cx="184731" cy="264560"/>
    <xdr:sp macro="" textlink="">
      <xdr:nvSpPr>
        <xdr:cNvPr id="1576" name="TextBox 15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1577" name="TextBox 15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1578" name="TextBox 15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1719</xdr:row>
      <xdr:rowOff>0</xdr:rowOff>
    </xdr:from>
    <xdr:ext cx="184731" cy="264560"/>
    <xdr:sp macro="" textlink="">
      <xdr:nvSpPr>
        <xdr:cNvPr id="1579" name="TextBox 15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1719</xdr:row>
      <xdr:rowOff>647700</xdr:rowOff>
    </xdr:from>
    <xdr:ext cx="184731" cy="264560"/>
    <xdr:sp macro="" textlink="">
      <xdr:nvSpPr>
        <xdr:cNvPr id="1580" name="TextBox 15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1581" name="TextBox 15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647700</xdr:rowOff>
    </xdr:from>
    <xdr:ext cx="184731" cy="264560"/>
    <xdr:sp macro="" textlink="">
      <xdr:nvSpPr>
        <xdr:cNvPr id="1582" name="TextBox 15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1720</xdr:row>
      <xdr:rowOff>0</xdr:rowOff>
    </xdr:from>
    <xdr:ext cx="184731" cy="264560"/>
    <xdr:sp macro="" textlink="">
      <xdr:nvSpPr>
        <xdr:cNvPr id="1583" name="TextBox 15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1720</xdr:row>
      <xdr:rowOff>647700</xdr:rowOff>
    </xdr:from>
    <xdr:ext cx="184731" cy="264560"/>
    <xdr:sp macro="" textlink="">
      <xdr:nvSpPr>
        <xdr:cNvPr id="1584" name="TextBox 15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1585" name="TextBox 15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586" name="TextBox 15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0</xdr:rowOff>
    </xdr:from>
    <xdr:ext cx="184731" cy="264560"/>
    <xdr:sp macro="" textlink="">
      <xdr:nvSpPr>
        <xdr:cNvPr id="1587" name="TextBox 15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647700</xdr:rowOff>
    </xdr:from>
    <xdr:ext cx="184731" cy="264560"/>
    <xdr:sp macro="" textlink="">
      <xdr:nvSpPr>
        <xdr:cNvPr id="1588" name="TextBox 15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589" name="TextBox 15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590" name="TextBox 15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591" name="TextBox 15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592" name="TextBox 15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593" name="TextBox 15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594" name="TextBox 15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595" name="TextBox 15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596" name="TextBox 15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597" name="TextBox 15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598" name="TextBox 15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599" name="TextBox 15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600" name="TextBox 15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601" name="TextBox 16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602" name="TextBox 16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603" name="TextBox 16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604" name="TextBox 16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605" name="TextBox 16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606" name="TextBox 16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607" name="TextBox 16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608" name="TextBox 16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609" name="TextBox 16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610" name="TextBox 16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1611" name="TextBox 16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1612" name="TextBox 16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613" name="TextBox 16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1614" name="TextBox 16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1615" name="TextBox 16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1616" name="TextBox 16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1739</xdr:row>
      <xdr:rowOff>647700</xdr:rowOff>
    </xdr:from>
    <xdr:ext cx="184731" cy="264560"/>
    <xdr:sp macro="" textlink="">
      <xdr:nvSpPr>
        <xdr:cNvPr id="1617" name="TextBox 16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618" name="TextBox 16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619" name="TextBox 16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620" name="TextBox 16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1766</xdr:row>
      <xdr:rowOff>647700</xdr:rowOff>
    </xdr:from>
    <xdr:ext cx="184731" cy="264560"/>
    <xdr:sp macro="" textlink="">
      <xdr:nvSpPr>
        <xdr:cNvPr id="1621" name="TextBox 16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1769</xdr:row>
      <xdr:rowOff>647700</xdr:rowOff>
    </xdr:from>
    <xdr:ext cx="184731" cy="264560"/>
    <xdr:sp macro="" textlink="">
      <xdr:nvSpPr>
        <xdr:cNvPr id="1622" name="TextBox 16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1623" name="TextBox 16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647700</xdr:rowOff>
    </xdr:from>
    <xdr:ext cx="184731" cy="264560"/>
    <xdr:sp macro="" textlink="">
      <xdr:nvSpPr>
        <xdr:cNvPr id="1624" name="TextBox 16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647700</xdr:rowOff>
    </xdr:from>
    <xdr:ext cx="184731" cy="264560"/>
    <xdr:sp macro="" textlink="">
      <xdr:nvSpPr>
        <xdr:cNvPr id="1625" name="TextBox 16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1219</xdr:row>
      <xdr:rowOff>647700</xdr:rowOff>
    </xdr:from>
    <xdr:ext cx="184731" cy="264560"/>
    <xdr:sp macro="" textlink="">
      <xdr:nvSpPr>
        <xdr:cNvPr id="1626" name="TextBox 16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1222</xdr:row>
      <xdr:rowOff>647700</xdr:rowOff>
    </xdr:from>
    <xdr:ext cx="184731" cy="264560"/>
    <xdr:sp macro="" textlink="">
      <xdr:nvSpPr>
        <xdr:cNvPr id="1627" name="TextBox 16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1240</xdr:row>
      <xdr:rowOff>0</xdr:rowOff>
    </xdr:from>
    <xdr:ext cx="184731" cy="264560"/>
    <xdr:sp macro="" textlink="">
      <xdr:nvSpPr>
        <xdr:cNvPr id="1628" name="TextBox 16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1240</xdr:row>
      <xdr:rowOff>647700</xdr:rowOff>
    </xdr:from>
    <xdr:ext cx="184731" cy="264560"/>
    <xdr:sp macro="" textlink="">
      <xdr:nvSpPr>
        <xdr:cNvPr id="1629" name="TextBox 16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1329</xdr:row>
      <xdr:rowOff>647700</xdr:rowOff>
    </xdr:from>
    <xdr:ext cx="184731" cy="264560"/>
    <xdr:sp macro="" textlink="">
      <xdr:nvSpPr>
        <xdr:cNvPr id="1630" name="TextBox 16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1631" name="TextBox 16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0</xdr:rowOff>
    </xdr:from>
    <xdr:ext cx="184731" cy="264560"/>
    <xdr:sp macro="" textlink="">
      <xdr:nvSpPr>
        <xdr:cNvPr id="1632" name="TextBox 16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647700</xdr:rowOff>
    </xdr:from>
    <xdr:ext cx="184731" cy="264560"/>
    <xdr:sp macro="" textlink="">
      <xdr:nvSpPr>
        <xdr:cNvPr id="1633" name="TextBox 16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634" name="TextBox 16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1635" name="TextBox 16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0</xdr:rowOff>
    </xdr:from>
    <xdr:ext cx="184731" cy="264560"/>
    <xdr:sp macro="" textlink="">
      <xdr:nvSpPr>
        <xdr:cNvPr id="1636" name="TextBox 16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647700</xdr:rowOff>
    </xdr:from>
    <xdr:ext cx="184731" cy="264560"/>
    <xdr:sp macro="" textlink="">
      <xdr:nvSpPr>
        <xdr:cNvPr id="1637" name="TextBox 16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638" name="TextBox 16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1334</xdr:row>
      <xdr:rowOff>647700</xdr:rowOff>
    </xdr:from>
    <xdr:ext cx="184731" cy="264560"/>
    <xdr:sp macro="" textlink="">
      <xdr:nvSpPr>
        <xdr:cNvPr id="1639" name="TextBox 16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0</xdr:rowOff>
    </xdr:from>
    <xdr:ext cx="184731" cy="264560"/>
    <xdr:sp macro="" textlink="">
      <xdr:nvSpPr>
        <xdr:cNvPr id="1640" name="TextBox 16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647700</xdr:rowOff>
    </xdr:from>
    <xdr:ext cx="184731" cy="264560"/>
    <xdr:sp macro="" textlink="">
      <xdr:nvSpPr>
        <xdr:cNvPr id="1641" name="TextBox 16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1642" name="TextBox 16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647700</xdr:rowOff>
    </xdr:from>
    <xdr:ext cx="184731" cy="264560"/>
    <xdr:sp macro="" textlink="">
      <xdr:nvSpPr>
        <xdr:cNvPr id="1643" name="TextBox 16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1720</xdr:row>
      <xdr:rowOff>0</xdr:rowOff>
    </xdr:from>
    <xdr:ext cx="184731" cy="264560"/>
    <xdr:sp macro="" textlink="">
      <xdr:nvSpPr>
        <xdr:cNvPr id="1644" name="TextBox 16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1720</xdr:row>
      <xdr:rowOff>647700</xdr:rowOff>
    </xdr:from>
    <xdr:ext cx="184731" cy="264560"/>
    <xdr:sp macro="" textlink="">
      <xdr:nvSpPr>
        <xdr:cNvPr id="1645" name="TextBox 16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1646" name="TextBox 16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647700</xdr:rowOff>
    </xdr:from>
    <xdr:ext cx="184731" cy="264560"/>
    <xdr:sp macro="" textlink="">
      <xdr:nvSpPr>
        <xdr:cNvPr id="1647" name="TextBox 16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0</xdr:rowOff>
    </xdr:from>
    <xdr:ext cx="184731" cy="264560"/>
    <xdr:sp macro="" textlink="">
      <xdr:nvSpPr>
        <xdr:cNvPr id="1648" name="TextBox 16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647700</xdr:rowOff>
    </xdr:from>
    <xdr:ext cx="184731" cy="264560"/>
    <xdr:sp macro="" textlink="">
      <xdr:nvSpPr>
        <xdr:cNvPr id="1649" name="TextBox 16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650" name="TextBox 16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651" name="TextBox 16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652" name="TextBox 16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653" name="TextBox 16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654" name="TextBox 16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655" name="TextBox 16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656" name="TextBox 16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657" name="TextBox 16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658" name="TextBox 16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659" name="TextBox 16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660" name="TextBox 16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661" name="TextBox 16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662" name="TextBox 16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663" name="TextBox 16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664" name="TextBox 16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665" name="TextBox 16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666" name="TextBox 16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667" name="TextBox 16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668" name="TextBox 16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669" name="TextBox 16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670" name="TextBox 16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671" name="TextBox 16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1672" name="TextBox 16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1673" name="TextBox 16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674" name="TextBox 16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1675" name="TextBox 16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1676" name="TextBox 16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1677" name="TextBox 16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678" name="TextBox 16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1679" name="TextBox 16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1680" name="TextBox 16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1681" name="TextBox 16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1740</xdr:row>
      <xdr:rowOff>647700</xdr:rowOff>
    </xdr:from>
    <xdr:ext cx="184731" cy="264560"/>
    <xdr:sp macro="" textlink="">
      <xdr:nvSpPr>
        <xdr:cNvPr id="1682" name="TextBox 16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683" name="TextBox 16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684" name="TextBox 16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685" name="TextBox 16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1767</xdr:row>
      <xdr:rowOff>647700</xdr:rowOff>
    </xdr:from>
    <xdr:ext cx="184731" cy="264560"/>
    <xdr:sp macro="" textlink="">
      <xdr:nvSpPr>
        <xdr:cNvPr id="1686" name="TextBox 16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1770</xdr:row>
      <xdr:rowOff>647700</xdr:rowOff>
    </xdr:from>
    <xdr:ext cx="184731" cy="264560"/>
    <xdr:sp macro="" textlink="">
      <xdr:nvSpPr>
        <xdr:cNvPr id="1687" name="TextBox 16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0</xdr:rowOff>
    </xdr:from>
    <xdr:ext cx="184731" cy="264560"/>
    <xdr:sp macro="" textlink="">
      <xdr:nvSpPr>
        <xdr:cNvPr id="1688" name="TextBox 16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647700</xdr:rowOff>
    </xdr:from>
    <xdr:ext cx="184731" cy="264560"/>
    <xdr:sp macro="" textlink="">
      <xdr:nvSpPr>
        <xdr:cNvPr id="1689" name="TextBox 16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1779</xdr:row>
      <xdr:rowOff>647700</xdr:rowOff>
    </xdr:from>
    <xdr:ext cx="184731" cy="264560"/>
    <xdr:sp macro="" textlink="">
      <xdr:nvSpPr>
        <xdr:cNvPr id="1690" name="TextBox 16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1220</xdr:row>
      <xdr:rowOff>647700</xdr:rowOff>
    </xdr:from>
    <xdr:ext cx="184731" cy="264560"/>
    <xdr:sp macro="" textlink="">
      <xdr:nvSpPr>
        <xdr:cNvPr id="1691" name="TextBox 16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1223</xdr:row>
      <xdr:rowOff>647700</xdr:rowOff>
    </xdr:from>
    <xdr:ext cx="184731" cy="264560"/>
    <xdr:sp macro="" textlink="">
      <xdr:nvSpPr>
        <xdr:cNvPr id="1692" name="TextBox 16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1241</xdr:row>
      <xdr:rowOff>0</xdr:rowOff>
    </xdr:from>
    <xdr:ext cx="184731" cy="264560"/>
    <xdr:sp macro="" textlink="">
      <xdr:nvSpPr>
        <xdr:cNvPr id="1693" name="TextBox 16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1241</xdr:row>
      <xdr:rowOff>647700</xdr:rowOff>
    </xdr:from>
    <xdr:ext cx="184731" cy="264560"/>
    <xdr:sp macro="" textlink="">
      <xdr:nvSpPr>
        <xdr:cNvPr id="1694" name="TextBox 16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695" name="TextBox 16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1696" name="TextBox 16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0</xdr:rowOff>
    </xdr:from>
    <xdr:ext cx="184731" cy="264560"/>
    <xdr:sp macro="" textlink="">
      <xdr:nvSpPr>
        <xdr:cNvPr id="1697" name="TextBox 16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647700</xdr:rowOff>
    </xdr:from>
    <xdr:ext cx="184731" cy="264560"/>
    <xdr:sp macro="" textlink="">
      <xdr:nvSpPr>
        <xdr:cNvPr id="1698" name="TextBox 16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699" name="TextBox 16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1334</xdr:row>
      <xdr:rowOff>647700</xdr:rowOff>
    </xdr:from>
    <xdr:ext cx="184731" cy="264560"/>
    <xdr:sp macro="" textlink="">
      <xdr:nvSpPr>
        <xdr:cNvPr id="1700" name="TextBox 16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0</xdr:rowOff>
    </xdr:from>
    <xdr:ext cx="184731" cy="264560"/>
    <xdr:sp macro="" textlink="">
      <xdr:nvSpPr>
        <xdr:cNvPr id="1701" name="TextBox 17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647700</xdr:rowOff>
    </xdr:from>
    <xdr:ext cx="184731" cy="264560"/>
    <xdr:sp macro="" textlink="">
      <xdr:nvSpPr>
        <xdr:cNvPr id="1702" name="TextBox 17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1703" name="TextBox 17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1335</xdr:row>
      <xdr:rowOff>647700</xdr:rowOff>
    </xdr:from>
    <xdr:ext cx="184731" cy="264560"/>
    <xdr:sp macro="" textlink="">
      <xdr:nvSpPr>
        <xdr:cNvPr id="1704" name="TextBox 17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0</xdr:rowOff>
    </xdr:from>
    <xdr:ext cx="184731" cy="264560"/>
    <xdr:sp macro="" textlink="">
      <xdr:nvSpPr>
        <xdr:cNvPr id="1705" name="TextBox 17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647700</xdr:rowOff>
    </xdr:from>
    <xdr:ext cx="184731" cy="264560"/>
    <xdr:sp macro="" textlink="">
      <xdr:nvSpPr>
        <xdr:cNvPr id="1706" name="TextBox 17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1707" name="TextBox 17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647700</xdr:rowOff>
    </xdr:from>
    <xdr:ext cx="184731" cy="264560"/>
    <xdr:sp macro="" textlink="">
      <xdr:nvSpPr>
        <xdr:cNvPr id="1708" name="TextBox 17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0</xdr:rowOff>
    </xdr:from>
    <xdr:ext cx="184731" cy="264560"/>
    <xdr:sp macro="" textlink="">
      <xdr:nvSpPr>
        <xdr:cNvPr id="1709" name="TextBox 17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647700</xdr:rowOff>
    </xdr:from>
    <xdr:ext cx="184731" cy="264560"/>
    <xdr:sp macro="" textlink="">
      <xdr:nvSpPr>
        <xdr:cNvPr id="1710" name="TextBox 17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1711" name="TextBox 17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1705</xdr:row>
      <xdr:rowOff>647700</xdr:rowOff>
    </xdr:from>
    <xdr:ext cx="184731" cy="264560"/>
    <xdr:sp macro="" textlink="">
      <xdr:nvSpPr>
        <xdr:cNvPr id="1712" name="TextBox 17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0</xdr:rowOff>
    </xdr:from>
    <xdr:ext cx="184731" cy="264560"/>
    <xdr:sp macro="" textlink="">
      <xdr:nvSpPr>
        <xdr:cNvPr id="1713" name="TextBox 17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647700</xdr:rowOff>
    </xdr:from>
    <xdr:ext cx="184731" cy="264560"/>
    <xdr:sp macro="" textlink="">
      <xdr:nvSpPr>
        <xdr:cNvPr id="1714" name="TextBox 17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715" name="TextBox 17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716" name="TextBox 17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717" name="TextBox 17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718" name="TextBox 17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719" name="TextBox 17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720" name="TextBox 17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721" name="TextBox 17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722" name="TextBox 17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723" name="TextBox 17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724" name="TextBox 17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725" name="TextBox 17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726" name="TextBox 17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727" name="TextBox 17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728" name="TextBox 17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729" name="TextBox 17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730" name="TextBox 17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731" name="TextBox 17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732" name="TextBox 17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1733" name="TextBox 17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1734" name="TextBox 17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735" name="TextBox 17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1736" name="TextBox 17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1737" name="TextBox 17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1738" name="TextBox 17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739" name="TextBox 17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1740" name="TextBox 17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1741" name="TextBox 17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1742" name="TextBox 17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743" name="TextBox 17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1744" name="TextBox 17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0</xdr:rowOff>
    </xdr:from>
    <xdr:ext cx="184731" cy="264560"/>
    <xdr:sp macro="" textlink="">
      <xdr:nvSpPr>
        <xdr:cNvPr id="1745" name="TextBox 17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647700</xdr:rowOff>
    </xdr:from>
    <xdr:ext cx="184731" cy="264560"/>
    <xdr:sp macro="" textlink="">
      <xdr:nvSpPr>
        <xdr:cNvPr id="1746" name="TextBox 17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1738</xdr:row>
      <xdr:rowOff>647700</xdr:rowOff>
    </xdr:from>
    <xdr:ext cx="184731" cy="264560"/>
    <xdr:sp macro="" textlink="">
      <xdr:nvSpPr>
        <xdr:cNvPr id="1747" name="TextBox 17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748" name="TextBox 17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749" name="TextBox 17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750" name="TextBox 17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1765</xdr:row>
      <xdr:rowOff>647700</xdr:rowOff>
    </xdr:from>
    <xdr:ext cx="184731" cy="264560"/>
    <xdr:sp macro="" textlink="">
      <xdr:nvSpPr>
        <xdr:cNvPr id="1751" name="TextBox 17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1768</xdr:row>
      <xdr:rowOff>647700</xdr:rowOff>
    </xdr:from>
    <xdr:ext cx="184731" cy="264560"/>
    <xdr:sp macro="" textlink="">
      <xdr:nvSpPr>
        <xdr:cNvPr id="1752" name="TextBox 17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0</xdr:rowOff>
    </xdr:from>
    <xdr:ext cx="184731" cy="264560"/>
    <xdr:sp macro="" textlink="">
      <xdr:nvSpPr>
        <xdr:cNvPr id="1753" name="TextBox 17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1776</xdr:row>
      <xdr:rowOff>647700</xdr:rowOff>
    </xdr:from>
    <xdr:ext cx="184731" cy="264560"/>
    <xdr:sp macro="" textlink="">
      <xdr:nvSpPr>
        <xdr:cNvPr id="1754" name="TextBox 17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647700</xdr:rowOff>
    </xdr:from>
    <xdr:ext cx="184731" cy="264560"/>
    <xdr:sp macro="" textlink="">
      <xdr:nvSpPr>
        <xdr:cNvPr id="1755" name="TextBox 17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1218</xdr:row>
      <xdr:rowOff>647700</xdr:rowOff>
    </xdr:from>
    <xdr:ext cx="184731" cy="264560"/>
    <xdr:sp macro="" textlink="">
      <xdr:nvSpPr>
        <xdr:cNvPr id="1756" name="TextBox 17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1221</xdr:row>
      <xdr:rowOff>647700</xdr:rowOff>
    </xdr:from>
    <xdr:ext cx="184731" cy="264560"/>
    <xdr:sp macro="" textlink="">
      <xdr:nvSpPr>
        <xdr:cNvPr id="1757" name="TextBox 17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1239</xdr:row>
      <xdr:rowOff>0</xdr:rowOff>
    </xdr:from>
    <xdr:ext cx="184731" cy="264560"/>
    <xdr:sp macro="" textlink="">
      <xdr:nvSpPr>
        <xdr:cNvPr id="1758" name="TextBox 17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1239</xdr:row>
      <xdr:rowOff>647700</xdr:rowOff>
    </xdr:from>
    <xdr:ext cx="184731" cy="264560"/>
    <xdr:sp macro="" textlink="">
      <xdr:nvSpPr>
        <xdr:cNvPr id="1759" name="TextBox 17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1328</xdr:row>
      <xdr:rowOff>647700</xdr:rowOff>
    </xdr:from>
    <xdr:ext cx="184731" cy="264560"/>
    <xdr:sp macro="" textlink="">
      <xdr:nvSpPr>
        <xdr:cNvPr id="1760" name="TextBox 17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761" name="TextBox 17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0</xdr:rowOff>
    </xdr:from>
    <xdr:ext cx="184731" cy="264560"/>
    <xdr:sp macro="" textlink="">
      <xdr:nvSpPr>
        <xdr:cNvPr id="1762" name="TextBox 17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1349</xdr:row>
      <xdr:rowOff>647700</xdr:rowOff>
    </xdr:from>
    <xdr:ext cx="184731" cy="264560"/>
    <xdr:sp macro="" textlink="">
      <xdr:nvSpPr>
        <xdr:cNvPr id="1763" name="TextBox 17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1329</xdr:row>
      <xdr:rowOff>647700</xdr:rowOff>
    </xdr:from>
    <xdr:ext cx="184731" cy="264560"/>
    <xdr:sp macro="" textlink="">
      <xdr:nvSpPr>
        <xdr:cNvPr id="1764" name="TextBox 17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1765" name="TextBox 17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0</xdr:rowOff>
    </xdr:from>
    <xdr:ext cx="184731" cy="264560"/>
    <xdr:sp macro="" textlink="">
      <xdr:nvSpPr>
        <xdr:cNvPr id="1766" name="TextBox 17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647700</xdr:rowOff>
    </xdr:from>
    <xdr:ext cx="184731" cy="264560"/>
    <xdr:sp macro="" textlink="">
      <xdr:nvSpPr>
        <xdr:cNvPr id="1767" name="TextBox 17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768" name="TextBox 17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1769" name="TextBox 17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0</xdr:rowOff>
    </xdr:from>
    <xdr:ext cx="184731" cy="264560"/>
    <xdr:sp macro="" textlink="">
      <xdr:nvSpPr>
        <xdr:cNvPr id="1770" name="TextBox 17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647700</xdr:rowOff>
    </xdr:from>
    <xdr:ext cx="184731" cy="264560"/>
    <xdr:sp macro="" textlink="">
      <xdr:nvSpPr>
        <xdr:cNvPr id="1771" name="TextBox 17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1699</xdr:row>
      <xdr:rowOff>647700</xdr:rowOff>
    </xdr:from>
    <xdr:ext cx="184731" cy="264560"/>
    <xdr:sp macro="" textlink="">
      <xdr:nvSpPr>
        <xdr:cNvPr id="1772" name="TextBox 17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1773" name="TextBox 17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1719</xdr:row>
      <xdr:rowOff>0</xdr:rowOff>
    </xdr:from>
    <xdr:ext cx="184731" cy="264560"/>
    <xdr:sp macro="" textlink="">
      <xdr:nvSpPr>
        <xdr:cNvPr id="1774" name="TextBox 17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1719</xdr:row>
      <xdr:rowOff>647700</xdr:rowOff>
    </xdr:from>
    <xdr:ext cx="184731" cy="264560"/>
    <xdr:sp macro="" textlink="">
      <xdr:nvSpPr>
        <xdr:cNvPr id="1775" name="TextBox 17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1776" name="TextBox 17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647700</xdr:rowOff>
    </xdr:from>
    <xdr:ext cx="184731" cy="264560"/>
    <xdr:sp macro="" textlink="">
      <xdr:nvSpPr>
        <xdr:cNvPr id="1777" name="TextBox 17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1720</xdr:row>
      <xdr:rowOff>0</xdr:rowOff>
    </xdr:from>
    <xdr:ext cx="184731" cy="264560"/>
    <xdr:sp macro="" textlink="">
      <xdr:nvSpPr>
        <xdr:cNvPr id="1778" name="TextBox 17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1720</xdr:row>
      <xdr:rowOff>647700</xdr:rowOff>
    </xdr:from>
    <xdr:ext cx="184731" cy="264560"/>
    <xdr:sp macro="" textlink="">
      <xdr:nvSpPr>
        <xdr:cNvPr id="1779" name="TextBox 17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1780" name="TextBox 17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781" name="TextBox 17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0</xdr:rowOff>
    </xdr:from>
    <xdr:ext cx="184731" cy="264560"/>
    <xdr:sp macro="" textlink="">
      <xdr:nvSpPr>
        <xdr:cNvPr id="1782" name="TextBox 17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1745</xdr:row>
      <xdr:rowOff>647700</xdr:rowOff>
    </xdr:from>
    <xdr:ext cx="184731" cy="264560"/>
    <xdr:sp macro="" textlink="">
      <xdr:nvSpPr>
        <xdr:cNvPr id="1783" name="TextBox 17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784" name="TextBox 17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785" name="TextBox 17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786" name="TextBox 17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787" name="TextBox 17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788" name="TextBox 17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789" name="TextBox 17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790" name="TextBox 17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791" name="TextBox 17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792" name="TextBox 17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793" name="TextBox 17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794" name="TextBox 17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795" name="TextBox 17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796" name="TextBox 17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797" name="TextBox 17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798" name="TextBox 17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799" name="TextBox 17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800" name="TextBox 17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801" name="TextBox 18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802" name="TextBox 18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803" name="TextBox 18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804" name="TextBox 18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805" name="TextBox 18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1806" name="TextBox 18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1807" name="TextBox 18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808" name="TextBox 18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1809" name="TextBox 18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1810" name="TextBox 18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1811" name="TextBox 18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1739</xdr:row>
      <xdr:rowOff>647700</xdr:rowOff>
    </xdr:from>
    <xdr:ext cx="184731" cy="264560"/>
    <xdr:sp macro="" textlink="">
      <xdr:nvSpPr>
        <xdr:cNvPr id="1812" name="TextBox 18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813" name="TextBox 18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814" name="TextBox 18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815" name="TextBox 18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1766</xdr:row>
      <xdr:rowOff>647700</xdr:rowOff>
    </xdr:from>
    <xdr:ext cx="184731" cy="264560"/>
    <xdr:sp macro="" textlink="">
      <xdr:nvSpPr>
        <xdr:cNvPr id="1816" name="TextBox 18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1769</xdr:row>
      <xdr:rowOff>647700</xdr:rowOff>
    </xdr:from>
    <xdr:ext cx="184731" cy="264560"/>
    <xdr:sp macro="" textlink="">
      <xdr:nvSpPr>
        <xdr:cNvPr id="1817" name="TextBox 18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0</xdr:rowOff>
    </xdr:from>
    <xdr:ext cx="184731" cy="264560"/>
    <xdr:sp macro="" textlink="">
      <xdr:nvSpPr>
        <xdr:cNvPr id="1818" name="TextBox 18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1777</xdr:row>
      <xdr:rowOff>647700</xdr:rowOff>
    </xdr:from>
    <xdr:ext cx="184731" cy="264560"/>
    <xdr:sp macro="" textlink="">
      <xdr:nvSpPr>
        <xdr:cNvPr id="1819" name="TextBox 18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647700</xdr:rowOff>
    </xdr:from>
    <xdr:ext cx="184731" cy="264560"/>
    <xdr:sp macro="" textlink="">
      <xdr:nvSpPr>
        <xdr:cNvPr id="1820" name="TextBox 18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1219</xdr:row>
      <xdr:rowOff>647700</xdr:rowOff>
    </xdr:from>
    <xdr:ext cx="184731" cy="264560"/>
    <xdr:sp macro="" textlink="">
      <xdr:nvSpPr>
        <xdr:cNvPr id="1821" name="TextBox 18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1222</xdr:row>
      <xdr:rowOff>647700</xdr:rowOff>
    </xdr:from>
    <xdr:ext cx="184731" cy="264560"/>
    <xdr:sp macro="" textlink="">
      <xdr:nvSpPr>
        <xdr:cNvPr id="1822" name="TextBox 18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1240</xdr:row>
      <xdr:rowOff>0</xdr:rowOff>
    </xdr:from>
    <xdr:ext cx="184731" cy="264560"/>
    <xdr:sp macro="" textlink="">
      <xdr:nvSpPr>
        <xdr:cNvPr id="1823" name="TextBox 18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1240</xdr:row>
      <xdr:rowOff>647700</xdr:rowOff>
    </xdr:from>
    <xdr:ext cx="184731" cy="264560"/>
    <xdr:sp macro="" textlink="">
      <xdr:nvSpPr>
        <xdr:cNvPr id="1824" name="TextBox 18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1329</xdr:row>
      <xdr:rowOff>647700</xdr:rowOff>
    </xdr:from>
    <xdr:ext cx="184731" cy="264560"/>
    <xdr:sp macro="" textlink="">
      <xdr:nvSpPr>
        <xdr:cNvPr id="1825" name="TextBox 18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1826" name="TextBox 18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0</xdr:rowOff>
    </xdr:from>
    <xdr:ext cx="184731" cy="264560"/>
    <xdr:sp macro="" textlink="">
      <xdr:nvSpPr>
        <xdr:cNvPr id="1827" name="TextBox 18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1350</xdr:row>
      <xdr:rowOff>647700</xdr:rowOff>
    </xdr:from>
    <xdr:ext cx="184731" cy="264560"/>
    <xdr:sp macro="" textlink="">
      <xdr:nvSpPr>
        <xdr:cNvPr id="1828" name="TextBox 18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829" name="TextBox 18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1830" name="TextBox 18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0</xdr:rowOff>
    </xdr:from>
    <xdr:ext cx="184731" cy="264560"/>
    <xdr:sp macro="" textlink="">
      <xdr:nvSpPr>
        <xdr:cNvPr id="1831" name="TextBox 18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647700</xdr:rowOff>
    </xdr:from>
    <xdr:ext cx="184731" cy="264560"/>
    <xdr:sp macro="" textlink="">
      <xdr:nvSpPr>
        <xdr:cNvPr id="1832" name="TextBox 18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833" name="TextBox 18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1334</xdr:row>
      <xdr:rowOff>647700</xdr:rowOff>
    </xdr:from>
    <xdr:ext cx="184731" cy="264560"/>
    <xdr:sp macro="" textlink="">
      <xdr:nvSpPr>
        <xdr:cNvPr id="1834" name="TextBox 18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0</xdr:rowOff>
    </xdr:from>
    <xdr:ext cx="184731" cy="264560"/>
    <xdr:sp macro="" textlink="">
      <xdr:nvSpPr>
        <xdr:cNvPr id="1835" name="TextBox 18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647700</xdr:rowOff>
    </xdr:from>
    <xdr:ext cx="184731" cy="264560"/>
    <xdr:sp macro="" textlink="">
      <xdr:nvSpPr>
        <xdr:cNvPr id="1836" name="TextBox 18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1700</xdr:row>
      <xdr:rowOff>647700</xdr:rowOff>
    </xdr:from>
    <xdr:ext cx="184731" cy="264560"/>
    <xdr:sp macro="" textlink="">
      <xdr:nvSpPr>
        <xdr:cNvPr id="1837" name="TextBox 18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647700</xdr:rowOff>
    </xdr:from>
    <xdr:ext cx="184731" cy="264560"/>
    <xdr:sp macro="" textlink="">
      <xdr:nvSpPr>
        <xdr:cNvPr id="1838" name="TextBox 18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1720</xdr:row>
      <xdr:rowOff>0</xdr:rowOff>
    </xdr:from>
    <xdr:ext cx="184731" cy="264560"/>
    <xdr:sp macro="" textlink="">
      <xdr:nvSpPr>
        <xdr:cNvPr id="1839" name="TextBox 18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1720</xdr:row>
      <xdr:rowOff>647700</xdr:rowOff>
    </xdr:from>
    <xdr:ext cx="184731" cy="264560"/>
    <xdr:sp macro="" textlink="">
      <xdr:nvSpPr>
        <xdr:cNvPr id="1840" name="TextBox 18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1841" name="TextBox 18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647700</xdr:rowOff>
    </xdr:from>
    <xdr:ext cx="184731" cy="264560"/>
    <xdr:sp macro="" textlink="">
      <xdr:nvSpPr>
        <xdr:cNvPr id="1842" name="TextBox 18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0</xdr:rowOff>
    </xdr:from>
    <xdr:ext cx="184731" cy="264560"/>
    <xdr:sp macro="" textlink="">
      <xdr:nvSpPr>
        <xdr:cNvPr id="1843" name="TextBox 18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647700</xdr:rowOff>
    </xdr:from>
    <xdr:ext cx="184731" cy="264560"/>
    <xdr:sp macro="" textlink="">
      <xdr:nvSpPr>
        <xdr:cNvPr id="1844" name="TextBox 18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1845" name="TextBox 18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846" name="TextBox 18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0</xdr:rowOff>
    </xdr:from>
    <xdr:ext cx="184731" cy="264560"/>
    <xdr:sp macro="" textlink="">
      <xdr:nvSpPr>
        <xdr:cNvPr id="1847" name="TextBox 18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1746</xdr:row>
      <xdr:rowOff>647700</xdr:rowOff>
    </xdr:from>
    <xdr:ext cx="184731" cy="264560"/>
    <xdr:sp macro="" textlink="">
      <xdr:nvSpPr>
        <xdr:cNvPr id="1848" name="TextBox 18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849" name="TextBox 18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850" name="TextBox 18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851" name="TextBox 18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852" name="TextBox 18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853" name="TextBox 18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854" name="TextBox 18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855" name="TextBox 18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856" name="TextBox 18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857" name="TextBox 18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858" name="TextBox 18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859" name="TextBox 18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860" name="TextBox 18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861" name="TextBox 18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862" name="TextBox 18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863" name="TextBox 18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864" name="TextBox 18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865" name="TextBox 18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866" name="TextBox 18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1867" name="TextBox 18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1868" name="TextBox 18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869" name="TextBox 18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1870" name="TextBox 18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1871" name="TextBox 18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1872" name="TextBox 18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873" name="TextBox 18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1874" name="TextBox 18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1875" name="TextBox 18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1876" name="TextBox 18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1740</xdr:row>
      <xdr:rowOff>647700</xdr:rowOff>
    </xdr:from>
    <xdr:ext cx="184731" cy="264560"/>
    <xdr:sp macro="" textlink="">
      <xdr:nvSpPr>
        <xdr:cNvPr id="1877" name="TextBox 18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878" name="TextBox 18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879" name="TextBox 18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880" name="TextBox 18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1767</xdr:row>
      <xdr:rowOff>647700</xdr:rowOff>
    </xdr:from>
    <xdr:ext cx="184731" cy="264560"/>
    <xdr:sp macro="" textlink="">
      <xdr:nvSpPr>
        <xdr:cNvPr id="1881" name="TextBox 18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1770</xdr:row>
      <xdr:rowOff>647700</xdr:rowOff>
    </xdr:from>
    <xdr:ext cx="184731" cy="264560"/>
    <xdr:sp macro="" textlink="">
      <xdr:nvSpPr>
        <xdr:cNvPr id="1882" name="TextBox 18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0</xdr:rowOff>
    </xdr:from>
    <xdr:ext cx="184731" cy="264560"/>
    <xdr:sp macro="" textlink="">
      <xdr:nvSpPr>
        <xdr:cNvPr id="1883" name="TextBox 18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1778</xdr:row>
      <xdr:rowOff>647700</xdr:rowOff>
    </xdr:from>
    <xdr:ext cx="184731" cy="264560"/>
    <xdr:sp macro="" textlink="">
      <xdr:nvSpPr>
        <xdr:cNvPr id="1884" name="TextBox 18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1779</xdr:row>
      <xdr:rowOff>647700</xdr:rowOff>
    </xdr:from>
    <xdr:ext cx="184731" cy="264560"/>
    <xdr:sp macro="" textlink="">
      <xdr:nvSpPr>
        <xdr:cNvPr id="1885" name="TextBox 18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1220</xdr:row>
      <xdr:rowOff>647700</xdr:rowOff>
    </xdr:from>
    <xdr:ext cx="184731" cy="264560"/>
    <xdr:sp macro="" textlink="">
      <xdr:nvSpPr>
        <xdr:cNvPr id="1886" name="TextBox 18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1223</xdr:row>
      <xdr:rowOff>647700</xdr:rowOff>
    </xdr:from>
    <xdr:ext cx="184731" cy="264560"/>
    <xdr:sp macro="" textlink="">
      <xdr:nvSpPr>
        <xdr:cNvPr id="1887" name="TextBox 18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1241</xdr:row>
      <xdr:rowOff>0</xdr:rowOff>
    </xdr:from>
    <xdr:ext cx="184731" cy="264560"/>
    <xdr:sp macro="" textlink="">
      <xdr:nvSpPr>
        <xdr:cNvPr id="1888" name="TextBox 18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1241</xdr:row>
      <xdr:rowOff>647700</xdr:rowOff>
    </xdr:from>
    <xdr:ext cx="184731" cy="264560"/>
    <xdr:sp macro="" textlink="">
      <xdr:nvSpPr>
        <xdr:cNvPr id="1889" name="TextBox 18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1330</xdr:row>
      <xdr:rowOff>647700</xdr:rowOff>
    </xdr:from>
    <xdr:ext cx="184731" cy="264560"/>
    <xdr:sp macro="" textlink="">
      <xdr:nvSpPr>
        <xdr:cNvPr id="1890" name="TextBox 18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1891" name="TextBox 18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0</xdr:rowOff>
    </xdr:from>
    <xdr:ext cx="184731" cy="264560"/>
    <xdr:sp macro="" textlink="">
      <xdr:nvSpPr>
        <xdr:cNvPr id="1892" name="TextBox 18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1351</xdr:row>
      <xdr:rowOff>647700</xdr:rowOff>
    </xdr:from>
    <xdr:ext cx="184731" cy="264560"/>
    <xdr:sp macro="" textlink="">
      <xdr:nvSpPr>
        <xdr:cNvPr id="1893" name="TextBox 18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894" name="TextBox 18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1334</xdr:row>
      <xdr:rowOff>647700</xdr:rowOff>
    </xdr:from>
    <xdr:ext cx="184731" cy="264560"/>
    <xdr:sp macro="" textlink="">
      <xdr:nvSpPr>
        <xdr:cNvPr id="1895" name="TextBox 18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0</xdr:rowOff>
    </xdr:from>
    <xdr:ext cx="184731" cy="264560"/>
    <xdr:sp macro="" textlink="">
      <xdr:nvSpPr>
        <xdr:cNvPr id="1896" name="TextBox 18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647700</xdr:rowOff>
    </xdr:from>
    <xdr:ext cx="184731" cy="264560"/>
    <xdr:sp macro="" textlink="">
      <xdr:nvSpPr>
        <xdr:cNvPr id="1897" name="TextBox 18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1898" name="TextBox 18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1335</xdr:row>
      <xdr:rowOff>647700</xdr:rowOff>
    </xdr:from>
    <xdr:ext cx="184731" cy="264560"/>
    <xdr:sp macro="" textlink="">
      <xdr:nvSpPr>
        <xdr:cNvPr id="1899" name="TextBox 18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0</xdr:rowOff>
    </xdr:from>
    <xdr:ext cx="184731" cy="264560"/>
    <xdr:sp macro="" textlink="">
      <xdr:nvSpPr>
        <xdr:cNvPr id="1900" name="TextBox 18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647700</xdr:rowOff>
    </xdr:from>
    <xdr:ext cx="184731" cy="264560"/>
    <xdr:sp macro="" textlink="">
      <xdr:nvSpPr>
        <xdr:cNvPr id="1901" name="TextBox 19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1701</xdr:row>
      <xdr:rowOff>647700</xdr:rowOff>
    </xdr:from>
    <xdr:ext cx="184731" cy="264560"/>
    <xdr:sp macro="" textlink="">
      <xdr:nvSpPr>
        <xdr:cNvPr id="1902" name="TextBox 19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647700</xdr:rowOff>
    </xdr:from>
    <xdr:ext cx="184731" cy="264560"/>
    <xdr:sp macro="" textlink="">
      <xdr:nvSpPr>
        <xdr:cNvPr id="1903" name="TextBox 19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0</xdr:rowOff>
    </xdr:from>
    <xdr:ext cx="184731" cy="264560"/>
    <xdr:sp macro="" textlink="">
      <xdr:nvSpPr>
        <xdr:cNvPr id="1904" name="TextBox 19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1721</xdr:row>
      <xdr:rowOff>647700</xdr:rowOff>
    </xdr:from>
    <xdr:ext cx="184731" cy="264560"/>
    <xdr:sp macro="" textlink="">
      <xdr:nvSpPr>
        <xdr:cNvPr id="1905" name="TextBox 19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1906" name="TextBox 19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1705</xdr:row>
      <xdr:rowOff>647700</xdr:rowOff>
    </xdr:from>
    <xdr:ext cx="184731" cy="264560"/>
    <xdr:sp macro="" textlink="">
      <xdr:nvSpPr>
        <xdr:cNvPr id="1907" name="TextBox 19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0</xdr:rowOff>
    </xdr:from>
    <xdr:ext cx="184731" cy="264560"/>
    <xdr:sp macro="" textlink="">
      <xdr:nvSpPr>
        <xdr:cNvPr id="1908" name="TextBox 19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647700</xdr:rowOff>
    </xdr:from>
    <xdr:ext cx="184731" cy="264560"/>
    <xdr:sp macro="" textlink="">
      <xdr:nvSpPr>
        <xdr:cNvPr id="1909" name="TextBox 19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1910" name="TextBox 19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911" name="TextBox 19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0</xdr:rowOff>
    </xdr:from>
    <xdr:ext cx="184731" cy="264560"/>
    <xdr:sp macro="" textlink="">
      <xdr:nvSpPr>
        <xdr:cNvPr id="1912" name="TextBox 19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1747</xdr:row>
      <xdr:rowOff>647700</xdr:rowOff>
    </xdr:from>
    <xdr:ext cx="184731" cy="264560"/>
    <xdr:sp macro="" textlink="">
      <xdr:nvSpPr>
        <xdr:cNvPr id="1913" name="TextBox 19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914" name="TextBox 19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915" name="TextBox 19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916" name="TextBox 19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917" name="TextBox 19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918" name="TextBox 19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919" name="TextBox 19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920" name="TextBox 19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921" name="TextBox 19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922" name="TextBox 19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923" name="TextBox 19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924" name="TextBox 19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925" name="TextBox 19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926" name="TextBox 19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927" name="TextBox 19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1928" name="TextBox 19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1929" name="TextBox 19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930" name="TextBox 19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1931" name="TextBox 19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1932" name="TextBox 19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1933" name="TextBox 19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934" name="TextBox 19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1935" name="TextBox 19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1936" name="TextBox 19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1937" name="TextBox 19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938" name="TextBox 19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1939" name="TextBox 19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0</xdr:rowOff>
    </xdr:from>
    <xdr:ext cx="184731" cy="264560"/>
    <xdr:sp macro="" textlink="">
      <xdr:nvSpPr>
        <xdr:cNvPr id="1940" name="TextBox 19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647700</xdr:rowOff>
    </xdr:from>
    <xdr:ext cx="184731" cy="264560"/>
    <xdr:sp macro="" textlink="">
      <xdr:nvSpPr>
        <xdr:cNvPr id="1941" name="TextBox 19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1741</xdr:row>
      <xdr:rowOff>647700</xdr:rowOff>
    </xdr:from>
    <xdr:ext cx="184731" cy="264560"/>
    <xdr:sp macro="" textlink="">
      <xdr:nvSpPr>
        <xdr:cNvPr id="1942" name="TextBox 19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943" name="TextBox 19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944" name="TextBox 19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945" name="TextBox 19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1768</xdr:row>
      <xdr:rowOff>647700</xdr:rowOff>
    </xdr:from>
    <xdr:ext cx="184731" cy="264560"/>
    <xdr:sp macro="" textlink="">
      <xdr:nvSpPr>
        <xdr:cNvPr id="1946" name="TextBox 19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1771</xdr:row>
      <xdr:rowOff>647700</xdr:rowOff>
    </xdr:from>
    <xdr:ext cx="184731" cy="264560"/>
    <xdr:sp macro="" textlink="">
      <xdr:nvSpPr>
        <xdr:cNvPr id="1947" name="TextBox 19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1779</xdr:row>
      <xdr:rowOff>0</xdr:rowOff>
    </xdr:from>
    <xdr:ext cx="184731" cy="264560"/>
    <xdr:sp macro="" textlink="">
      <xdr:nvSpPr>
        <xdr:cNvPr id="1948" name="TextBox 19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1779</xdr:row>
      <xdr:rowOff>647700</xdr:rowOff>
    </xdr:from>
    <xdr:ext cx="184731" cy="264560"/>
    <xdr:sp macro="" textlink="">
      <xdr:nvSpPr>
        <xdr:cNvPr id="1949" name="TextBox 19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0</xdr:rowOff>
    </xdr:from>
    <xdr:ext cx="184731" cy="264560"/>
    <xdr:sp macro="" textlink="">
      <xdr:nvSpPr>
        <xdr:cNvPr id="1950" name="TextBox 19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1221</xdr:row>
      <xdr:rowOff>647700</xdr:rowOff>
    </xdr:from>
    <xdr:ext cx="184731" cy="264560"/>
    <xdr:sp macro="" textlink="">
      <xdr:nvSpPr>
        <xdr:cNvPr id="1951" name="TextBox 19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1224</xdr:row>
      <xdr:rowOff>647700</xdr:rowOff>
    </xdr:from>
    <xdr:ext cx="184731" cy="264560"/>
    <xdr:sp macro="" textlink="">
      <xdr:nvSpPr>
        <xdr:cNvPr id="1952" name="TextBox 19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1242</xdr:row>
      <xdr:rowOff>0</xdr:rowOff>
    </xdr:from>
    <xdr:ext cx="184731" cy="264560"/>
    <xdr:sp macro="" textlink="">
      <xdr:nvSpPr>
        <xdr:cNvPr id="1953" name="TextBox 19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1242</xdr:row>
      <xdr:rowOff>647700</xdr:rowOff>
    </xdr:from>
    <xdr:ext cx="184731" cy="264560"/>
    <xdr:sp macro="" textlink="">
      <xdr:nvSpPr>
        <xdr:cNvPr id="1954" name="TextBox 19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1955" name="TextBox 19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1334</xdr:row>
      <xdr:rowOff>647700</xdr:rowOff>
    </xdr:from>
    <xdr:ext cx="184731" cy="264560"/>
    <xdr:sp macro="" textlink="">
      <xdr:nvSpPr>
        <xdr:cNvPr id="1956" name="TextBox 19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0</xdr:rowOff>
    </xdr:from>
    <xdr:ext cx="184731" cy="264560"/>
    <xdr:sp macro="" textlink="">
      <xdr:nvSpPr>
        <xdr:cNvPr id="1957" name="TextBox 19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647700</xdr:rowOff>
    </xdr:from>
    <xdr:ext cx="184731" cy="264560"/>
    <xdr:sp macro="" textlink="">
      <xdr:nvSpPr>
        <xdr:cNvPr id="1958" name="TextBox 19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1959" name="TextBox 19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1335</xdr:row>
      <xdr:rowOff>647700</xdr:rowOff>
    </xdr:from>
    <xdr:ext cx="184731" cy="264560"/>
    <xdr:sp macro="" textlink="">
      <xdr:nvSpPr>
        <xdr:cNvPr id="1960" name="TextBox 19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0</xdr:rowOff>
    </xdr:from>
    <xdr:ext cx="184731" cy="264560"/>
    <xdr:sp macro="" textlink="">
      <xdr:nvSpPr>
        <xdr:cNvPr id="1961" name="TextBox 19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647700</xdr:rowOff>
    </xdr:from>
    <xdr:ext cx="184731" cy="264560"/>
    <xdr:sp macro="" textlink="">
      <xdr:nvSpPr>
        <xdr:cNvPr id="1962" name="TextBox 19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1963" name="TextBox 19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1336</xdr:row>
      <xdr:rowOff>647700</xdr:rowOff>
    </xdr:from>
    <xdr:ext cx="184731" cy="264560"/>
    <xdr:sp macro="" textlink="">
      <xdr:nvSpPr>
        <xdr:cNvPr id="1964" name="TextBox 19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1354</xdr:row>
      <xdr:rowOff>0</xdr:rowOff>
    </xdr:from>
    <xdr:ext cx="184731" cy="264560"/>
    <xdr:sp macro="" textlink="">
      <xdr:nvSpPr>
        <xdr:cNvPr id="1965" name="TextBox 19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1354</xdr:row>
      <xdr:rowOff>647700</xdr:rowOff>
    </xdr:from>
    <xdr:ext cx="184731" cy="264560"/>
    <xdr:sp macro="" textlink="">
      <xdr:nvSpPr>
        <xdr:cNvPr id="1966" name="TextBox 19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1967" name="TextBox 19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1705</xdr:row>
      <xdr:rowOff>647700</xdr:rowOff>
    </xdr:from>
    <xdr:ext cx="184731" cy="264560"/>
    <xdr:sp macro="" textlink="">
      <xdr:nvSpPr>
        <xdr:cNvPr id="1968" name="TextBox 19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0</xdr:rowOff>
    </xdr:from>
    <xdr:ext cx="184731" cy="264560"/>
    <xdr:sp macro="" textlink="">
      <xdr:nvSpPr>
        <xdr:cNvPr id="1969" name="TextBox 19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647700</xdr:rowOff>
    </xdr:from>
    <xdr:ext cx="184731" cy="264560"/>
    <xdr:sp macro="" textlink="">
      <xdr:nvSpPr>
        <xdr:cNvPr id="1970" name="TextBox 19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647700</xdr:rowOff>
    </xdr:from>
    <xdr:ext cx="184731" cy="264560"/>
    <xdr:sp macro="" textlink="">
      <xdr:nvSpPr>
        <xdr:cNvPr id="1971" name="TextBox 19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1706</xdr:row>
      <xdr:rowOff>647700</xdr:rowOff>
    </xdr:from>
    <xdr:ext cx="184731" cy="264560"/>
    <xdr:sp macro="" textlink="">
      <xdr:nvSpPr>
        <xdr:cNvPr id="1972" name="TextBox 19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0</xdr:rowOff>
    </xdr:from>
    <xdr:ext cx="184731" cy="264560"/>
    <xdr:sp macro="" textlink="">
      <xdr:nvSpPr>
        <xdr:cNvPr id="1973" name="TextBox 19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647700</xdr:rowOff>
    </xdr:from>
    <xdr:ext cx="184731" cy="264560"/>
    <xdr:sp macro="" textlink="">
      <xdr:nvSpPr>
        <xdr:cNvPr id="1974" name="TextBox 19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1975" name="TextBox 19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976" name="TextBox 19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1977" name="TextBox 19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1978" name="TextBox 19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1979" name="TextBox 19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980" name="TextBox 19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1981" name="TextBox 19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1982" name="TextBox 19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1983" name="TextBox 19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984" name="TextBox 19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1985" name="TextBox 19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1986" name="TextBox 19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1987" name="TextBox 19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988" name="TextBox 19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1989" name="TextBox 19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1990" name="TextBox 19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1991" name="TextBox 19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1992" name="TextBox 19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1993" name="TextBox 19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1994" name="TextBox 19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1995" name="TextBox 19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1996" name="TextBox 19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1997" name="TextBox 19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1998" name="TextBox 19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1999" name="TextBox 19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2000" name="TextBox 19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0</xdr:rowOff>
    </xdr:from>
    <xdr:ext cx="184731" cy="264560"/>
    <xdr:sp macro="" textlink="">
      <xdr:nvSpPr>
        <xdr:cNvPr id="2001" name="TextBox 20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647700</xdr:rowOff>
    </xdr:from>
    <xdr:ext cx="184731" cy="264560"/>
    <xdr:sp macro="" textlink="">
      <xdr:nvSpPr>
        <xdr:cNvPr id="2002" name="TextBox 20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2003" name="TextBox 20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647700</xdr:rowOff>
    </xdr:from>
    <xdr:ext cx="184731" cy="264560"/>
    <xdr:sp macro="" textlink="">
      <xdr:nvSpPr>
        <xdr:cNvPr id="2004" name="TextBox 20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0</xdr:rowOff>
    </xdr:from>
    <xdr:ext cx="184731" cy="264560"/>
    <xdr:sp macro="" textlink="">
      <xdr:nvSpPr>
        <xdr:cNvPr id="2005" name="TextBox 20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647700</xdr:rowOff>
    </xdr:from>
    <xdr:ext cx="184731" cy="264560"/>
    <xdr:sp macro="" textlink="">
      <xdr:nvSpPr>
        <xdr:cNvPr id="2006" name="TextBox 20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1741</xdr:row>
      <xdr:rowOff>647700</xdr:rowOff>
    </xdr:from>
    <xdr:ext cx="184731" cy="264560"/>
    <xdr:sp macro="" textlink="">
      <xdr:nvSpPr>
        <xdr:cNvPr id="2007" name="TextBox 20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2008" name="TextBox 20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2009" name="TextBox 20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2010" name="TextBox 20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1768</xdr:row>
      <xdr:rowOff>647700</xdr:rowOff>
    </xdr:from>
    <xdr:ext cx="184731" cy="264560"/>
    <xdr:sp macro="" textlink="">
      <xdr:nvSpPr>
        <xdr:cNvPr id="2011" name="TextBox 20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1771</xdr:row>
      <xdr:rowOff>647700</xdr:rowOff>
    </xdr:from>
    <xdr:ext cx="184731" cy="264560"/>
    <xdr:sp macro="" textlink="">
      <xdr:nvSpPr>
        <xdr:cNvPr id="2012" name="TextBox 20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1779</xdr:row>
      <xdr:rowOff>0</xdr:rowOff>
    </xdr:from>
    <xdr:ext cx="184731" cy="264560"/>
    <xdr:sp macro="" textlink="">
      <xdr:nvSpPr>
        <xdr:cNvPr id="2013" name="TextBox 20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1779</xdr:row>
      <xdr:rowOff>647700</xdr:rowOff>
    </xdr:from>
    <xdr:ext cx="184731" cy="264560"/>
    <xdr:sp macro="" textlink="">
      <xdr:nvSpPr>
        <xdr:cNvPr id="2014" name="TextBox 20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0</xdr:rowOff>
    </xdr:from>
    <xdr:ext cx="184731" cy="264560"/>
    <xdr:sp macro="" textlink="">
      <xdr:nvSpPr>
        <xdr:cNvPr id="2015" name="TextBox 20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1221</xdr:row>
      <xdr:rowOff>647700</xdr:rowOff>
    </xdr:from>
    <xdr:ext cx="184731" cy="264560"/>
    <xdr:sp macro="" textlink="">
      <xdr:nvSpPr>
        <xdr:cNvPr id="2016" name="TextBox 20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1224</xdr:row>
      <xdr:rowOff>647700</xdr:rowOff>
    </xdr:from>
    <xdr:ext cx="184731" cy="264560"/>
    <xdr:sp macro="" textlink="">
      <xdr:nvSpPr>
        <xdr:cNvPr id="2017" name="TextBox 20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1242</xdr:row>
      <xdr:rowOff>0</xdr:rowOff>
    </xdr:from>
    <xdr:ext cx="184731" cy="264560"/>
    <xdr:sp macro="" textlink="">
      <xdr:nvSpPr>
        <xdr:cNvPr id="2018" name="TextBox 20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1242</xdr:row>
      <xdr:rowOff>647700</xdr:rowOff>
    </xdr:from>
    <xdr:ext cx="184731" cy="264560"/>
    <xdr:sp macro="" textlink="">
      <xdr:nvSpPr>
        <xdr:cNvPr id="2019" name="TextBox 20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1331</xdr:row>
      <xdr:rowOff>647700</xdr:rowOff>
    </xdr:from>
    <xdr:ext cx="184731" cy="264560"/>
    <xdr:sp macro="" textlink="">
      <xdr:nvSpPr>
        <xdr:cNvPr id="2020" name="TextBox 20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1334</xdr:row>
      <xdr:rowOff>647700</xdr:rowOff>
    </xdr:from>
    <xdr:ext cx="184731" cy="264560"/>
    <xdr:sp macro="" textlink="">
      <xdr:nvSpPr>
        <xdr:cNvPr id="2021" name="TextBox 20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0</xdr:rowOff>
    </xdr:from>
    <xdr:ext cx="184731" cy="264560"/>
    <xdr:sp macro="" textlink="">
      <xdr:nvSpPr>
        <xdr:cNvPr id="2022" name="TextBox 20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1352</xdr:row>
      <xdr:rowOff>647700</xdr:rowOff>
    </xdr:from>
    <xdr:ext cx="184731" cy="264560"/>
    <xdr:sp macro="" textlink="">
      <xdr:nvSpPr>
        <xdr:cNvPr id="2023" name="TextBox 20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2024" name="TextBox 20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1335</xdr:row>
      <xdr:rowOff>647700</xdr:rowOff>
    </xdr:from>
    <xdr:ext cx="184731" cy="264560"/>
    <xdr:sp macro="" textlink="">
      <xdr:nvSpPr>
        <xdr:cNvPr id="2025" name="TextBox 20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0</xdr:rowOff>
    </xdr:from>
    <xdr:ext cx="184731" cy="264560"/>
    <xdr:sp macro="" textlink="">
      <xdr:nvSpPr>
        <xdr:cNvPr id="2026" name="TextBox 20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647700</xdr:rowOff>
    </xdr:from>
    <xdr:ext cx="184731" cy="264560"/>
    <xdr:sp macro="" textlink="">
      <xdr:nvSpPr>
        <xdr:cNvPr id="2027" name="TextBox 20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2028" name="TextBox 20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1336</xdr:row>
      <xdr:rowOff>647700</xdr:rowOff>
    </xdr:from>
    <xdr:ext cx="184731" cy="264560"/>
    <xdr:sp macro="" textlink="">
      <xdr:nvSpPr>
        <xdr:cNvPr id="2029" name="TextBox 20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1354</xdr:row>
      <xdr:rowOff>0</xdr:rowOff>
    </xdr:from>
    <xdr:ext cx="184731" cy="264560"/>
    <xdr:sp macro="" textlink="">
      <xdr:nvSpPr>
        <xdr:cNvPr id="2030" name="TextBox 20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1354</xdr:row>
      <xdr:rowOff>647700</xdr:rowOff>
    </xdr:from>
    <xdr:ext cx="184731" cy="264560"/>
    <xdr:sp macro="" textlink="">
      <xdr:nvSpPr>
        <xdr:cNvPr id="2031" name="TextBox 20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1702</xdr:row>
      <xdr:rowOff>647700</xdr:rowOff>
    </xdr:from>
    <xdr:ext cx="184731" cy="264560"/>
    <xdr:sp macro="" textlink="">
      <xdr:nvSpPr>
        <xdr:cNvPr id="2032" name="TextBox 20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1705</xdr:row>
      <xdr:rowOff>647700</xdr:rowOff>
    </xdr:from>
    <xdr:ext cx="184731" cy="264560"/>
    <xdr:sp macro="" textlink="">
      <xdr:nvSpPr>
        <xdr:cNvPr id="2033" name="TextBox 20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0</xdr:rowOff>
    </xdr:from>
    <xdr:ext cx="184731" cy="264560"/>
    <xdr:sp macro="" textlink="">
      <xdr:nvSpPr>
        <xdr:cNvPr id="2034" name="TextBox 20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1722</xdr:row>
      <xdr:rowOff>647700</xdr:rowOff>
    </xdr:from>
    <xdr:ext cx="184731" cy="264560"/>
    <xdr:sp macro="" textlink="">
      <xdr:nvSpPr>
        <xdr:cNvPr id="2035" name="TextBox 20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647700</xdr:rowOff>
    </xdr:from>
    <xdr:ext cx="184731" cy="264560"/>
    <xdr:sp macro="" textlink="">
      <xdr:nvSpPr>
        <xdr:cNvPr id="2036" name="TextBox 20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1706</xdr:row>
      <xdr:rowOff>647700</xdr:rowOff>
    </xdr:from>
    <xdr:ext cx="184731" cy="264560"/>
    <xdr:sp macro="" textlink="">
      <xdr:nvSpPr>
        <xdr:cNvPr id="2037" name="TextBox 20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0</xdr:rowOff>
    </xdr:from>
    <xdr:ext cx="184731" cy="264560"/>
    <xdr:sp macro="" textlink="">
      <xdr:nvSpPr>
        <xdr:cNvPr id="2038" name="TextBox 20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647700</xdr:rowOff>
    </xdr:from>
    <xdr:ext cx="184731" cy="264560"/>
    <xdr:sp macro="" textlink="">
      <xdr:nvSpPr>
        <xdr:cNvPr id="2039" name="TextBox 20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1727</xdr:row>
      <xdr:rowOff>647700</xdr:rowOff>
    </xdr:from>
    <xdr:ext cx="184731" cy="264560"/>
    <xdr:sp macro="" textlink="">
      <xdr:nvSpPr>
        <xdr:cNvPr id="2040" name="TextBox 20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2041" name="TextBox 20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0</xdr:rowOff>
    </xdr:from>
    <xdr:ext cx="184731" cy="264560"/>
    <xdr:sp macro="" textlink="">
      <xdr:nvSpPr>
        <xdr:cNvPr id="2042" name="TextBox 20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1748</xdr:row>
      <xdr:rowOff>647700</xdr:rowOff>
    </xdr:from>
    <xdr:ext cx="184731" cy="264560"/>
    <xdr:sp macro="" textlink="">
      <xdr:nvSpPr>
        <xdr:cNvPr id="2043" name="TextBox 20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2044" name="TextBox 20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2045" name="TextBox 20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2046" name="TextBox 20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2047" name="TextBox 20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2048" name="TextBox 20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2049" name="TextBox 20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2050" name="TextBox 20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2051" name="TextBox 20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2052" name="TextBox 20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2053" name="TextBox 20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2054" name="TextBox 20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2055" name="TextBox 20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2056" name="TextBox 20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2057" name="TextBox 20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2058" name="TextBox 20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2059" name="TextBox 20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2060" name="TextBox 20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2061" name="TextBox 20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2062" name="TextBox 20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2063" name="TextBox 20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2064" name="TextBox 20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2065" name="TextBox 20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0</xdr:rowOff>
    </xdr:from>
    <xdr:ext cx="184731" cy="264560"/>
    <xdr:sp macro="" textlink="">
      <xdr:nvSpPr>
        <xdr:cNvPr id="2066" name="TextBox 20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647700</xdr:rowOff>
    </xdr:from>
    <xdr:ext cx="184731" cy="264560"/>
    <xdr:sp macro="" textlink="">
      <xdr:nvSpPr>
        <xdr:cNvPr id="2067" name="TextBox 20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2068" name="TextBox 20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647700</xdr:rowOff>
    </xdr:from>
    <xdr:ext cx="184731" cy="264560"/>
    <xdr:sp macro="" textlink="">
      <xdr:nvSpPr>
        <xdr:cNvPr id="2069" name="TextBox 20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0</xdr:rowOff>
    </xdr:from>
    <xdr:ext cx="184731" cy="264560"/>
    <xdr:sp macro="" textlink="">
      <xdr:nvSpPr>
        <xdr:cNvPr id="2070" name="TextBox 20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647700</xdr:rowOff>
    </xdr:from>
    <xdr:ext cx="184731" cy="264560"/>
    <xdr:sp macro="" textlink="">
      <xdr:nvSpPr>
        <xdr:cNvPr id="2071" name="TextBox 20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1742</xdr:row>
      <xdr:rowOff>647700</xdr:rowOff>
    </xdr:from>
    <xdr:ext cx="184731" cy="264560"/>
    <xdr:sp macro="" textlink="">
      <xdr:nvSpPr>
        <xdr:cNvPr id="2072" name="TextBox 20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2073" name="TextBox 20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2074" name="TextBox 20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2075" name="TextBox 20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1769</xdr:row>
      <xdr:rowOff>647700</xdr:rowOff>
    </xdr:from>
    <xdr:ext cx="184731" cy="264560"/>
    <xdr:sp macro="" textlink="">
      <xdr:nvSpPr>
        <xdr:cNvPr id="2076" name="TextBox 20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1772</xdr:row>
      <xdr:rowOff>647700</xdr:rowOff>
    </xdr:from>
    <xdr:ext cx="184731" cy="264560"/>
    <xdr:sp macro="" textlink="">
      <xdr:nvSpPr>
        <xdr:cNvPr id="2077" name="TextBox 20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0</xdr:rowOff>
    </xdr:from>
    <xdr:ext cx="184731" cy="264560"/>
    <xdr:sp macro="" textlink="">
      <xdr:nvSpPr>
        <xdr:cNvPr id="2078" name="TextBox 20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0</xdr:rowOff>
    </xdr:from>
    <xdr:ext cx="184731" cy="264560"/>
    <xdr:sp macro="" textlink="">
      <xdr:nvSpPr>
        <xdr:cNvPr id="2079" name="TextBox 20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647700</xdr:rowOff>
    </xdr:from>
    <xdr:ext cx="184731" cy="264560"/>
    <xdr:sp macro="" textlink="">
      <xdr:nvSpPr>
        <xdr:cNvPr id="2080" name="TextBox 20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1222</xdr:row>
      <xdr:rowOff>647700</xdr:rowOff>
    </xdr:from>
    <xdr:ext cx="184731" cy="264560"/>
    <xdr:sp macro="" textlink="">
      <xdr:nvSpPr>
        <xdr:cNvPr id="2081" name="TextBox 20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1225</xdr:row>
      <xdr:rowOff>647700</xdr:rowOff>
    </xdr:from>
    <xdr:ext cx="184731" cy="264560"/>
    <xdr:sp macro="" textlink="">
      <xdr:nvSpPr>
        <xdr:cNvPr id="2082" name="TextBox 20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1243</xdr:row>
      <xdr:rowOff>0</xdr:rowOff>
    </xdr:from>
    <xdr:ext cx="184731" cy="264560"/>
    <xdr:sp macro="" textlink="">
      <xdr:nvSpPr>
        <xdr:cNvPr id="2083" name="TextBox 20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1243</xdr:row>
      <xdr:rowOff>647700</xdr:rowOff>
    </xdr:from>
    <xdr:ext cx="184731" cy="264560"/>
    <xdr:sp macro="" textlink="">
      <xdr:nvSpPr>
        <xdr:cNvPr id="2084" name="TextBox 20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1332</xdr:row>
      <xdr:rowOff>647700</xdr:rowOff>
    </xdr:from>
    <xdr:ext cx="184731" cy="264560"/>
    <xdr:sp macro="" textlink="">
      <xdr:nvSpPr>
        <xdr:cNvPr id="2085" name="TextBox 20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1335</xdr:row>
      <xdr:rowOff>647700</xdr:rowOff>
    </xdr:from>
    <xdr:ext cx="184731" cy="264560"/>
    <xdr:sp macro="" textlink="">
      <xdr:nvSpPr>
        <xdr:cNvPr id="2086" name="TextBox 20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0</xdr:rowOff>
    </xdr:from>
    <xdr:ext cx="184731" cy="264560"/>
    <xdr:sp macro="" textlink="">
      <xdr:nvSpPr>
        <xdr:cNvPr id="2087" name="TextBox 20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1353</xdr:row>
      <xdr:rowOff>647700</xdr:rowOff>
    </xdr:from>
    <xdr:ext cx="184731" cy="264560"/>
    <xdr:sp macro="" textlink="">
      <xdr:nvSpPr>
        <xdr:cNvPr id="2088" name="TextBox 20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2089" name="TextBox 20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1336</xdr:row>
      <xdr:rowOff>647700</xdr:rowOff>
    </xdr:from>
    <xdr:ext cx="184731" cy="264560"/>
    <xdr:sp macro="" textlink="">
      <xdr:nvSpPr>
        <xdr:cNvPr id="2090" name="TextBox 20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1354</xdr:row>
      <xdr:rowOff>0</xdr:rowOff>
    </xdr:from>
    <xdr:ext cx="184731" cy="264560"/>
    <xdr:sp macro="" textlink="">
      <xdr:nvSpPr>
        <xdr:cNvPr id="2091" name="TextBox 20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1354</xdr:row>
      <xdr:rowOff>647700</xdr:rowOff>
    </xdr:from>
    <xdr:ext cx="184731" cy="264560"/>
    <xdr:sp macro="" textlink="">
      <xdr:nvSpPr>
        <xdr:cNvPr id="2092" name="TextBox 20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1334</xdr:row>
      <xdr:rowOff>647700</xdr:rowOff>
    </xdr:from>
    <xdr:ext cx="184731" cy="264560"/>
    <xdr:sp macro="" textlink="">
      <xdr:nvSpPr>
        <xdr:cNvPr id="2093" name="TextBox 20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1337</xdr:row>
      <xdr:rowOff>647700</xdr:rowOff>
    </xdr:from>
    <xdr:ext cx="184731" cy="264560"/>
    <xdr:sp macro="" textlink="">
      <xdr:nvSpPr>
        <xdr:cNvPr id="2094" name="TextBox 20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1355</xdr:row>
      <xdr:rowOff>0</xdr:rowOff>
    </xdr:from>
    <xdr:ext cx="184731" cy="264560"/>
    <xdr:sp macro="" textlink="">
      <xdr:nvSpPr>
        <xdr:cNvPr id="2095" name="TextBox 20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1355</xdr:row>
      <xdr:rowOff>647700</xdr:rowOff>
    </xdr:from>
    <xdr:ext cx="184731" cy="264560"/>
    <xdr:sp macro="" textlink="">
      <xdr:nvSpPr>
        <xdr:cNvPr id="2096" name="TextBox 20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1703</xdr:row>
      <xdr:rowOff>647700</xdr:rowOff>
    </xdr:from>
    <xdr:ext cx="184731" cy="264560"/>
    <xdr:sp macro="" textlink="">
      <xdr:nvSpPr>
        <xdr:cNvPr id="2097" name="TextBox 20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1706</xdr:row>
      <xdr:rowOff>647700</xdr:rowOff>
    </xdr:from>
    <xdr:ext cx="184731" cy="264560"/>
    <xdr:sp macro="" textlink="">
      <xdr:nvSpPr>
        <xdr:cNvPr id="2098" name="TextBox 20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0</xdr:rowOff>
    </xdr:from>
    <xdr:ext cx="184731" cy="264560"/>
    <xdr:sp macro="" textlink="">
      <xdr:nvSpPr>
        <xdr:cNvPr id="2099" name="TextBox 20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1723</xdr:row>
      <xdr:rowOff>647700</xdr:rowOff>
    </xdr:from>
    <xdr:ext cx="184731" cy="264560"/>
    <xdr:sp macro="" textlink="">
      <xdr:nvSpPr>
        <xdr:cNvPr id="2100" name="TextBox 20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647700</xdr:rowOff>
    </xdr:from>
    <xdr:ext cx="184731" cy="264560"/>
    <xdr:sp macro="" textlink="">
      <xdr:nvSpPr>
        <xdr:cNvPr id="2101" name="TextBox 21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1707</xdr:row>
      <xdr:rowOff>647700</xdr:rowOff>
    </xdr:from>
    <xdr:ext cx="184731" cy="264560"/>
    <xdr:sp macro="" textlink="">
      <xdr:nvSpPr>
        <xdr:cNvPr id="2102" name="TextBox 21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0</xdr:rowOff>
    </xdr:from>
    <xdr:ext cx="184731" cy="264560"/>
    <xdr:sp macro="" textlink="">
      <xdr:nvSpPr>
        <xdr:cNvPr id="2103" name="TextBox 21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2104" name="TextBox 21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1728</xdr:row>
      <xdr:rowOff>647700</xdr:rowOff>
    </xdr:from>
    <xdr:ext cx="184731" cy="264560"/>
    <xdr:sp macro="" textlink="">
      <xdr:nvSpPr>
        <xdr:cNvPr id="2105" name="TextBox 21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2106" name="TextBox 21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0</xdr:rowOff>
    </xdr:from>
    <xdr:ext cx="184731" cy="264560"/>
    <xdr:sp macro="" textlink="">
      <xdr:nvSpPr>
        <xdr:cNvPr id="2107" name="TextBox 21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1749</xdr:row>
      <xdr:rowOff>647700</xdr:rowOff>
    </xdr:from>
    <xdr:ext cx="184731" cy="264560"/>
    <xdr:sp macro="" textlink="">
      <xdr:nvSpPr>
        <xdr:cNvPr id="2108" name="TextBox 21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2109" name="TextBox 21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2110" name="TextBox 21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2111" name="TextBox 21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2112" name="TextBox 21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2113" name="TextBox 21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2114" name="TextBox 21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2115" name="TextBox 21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2116" name="TextBox 21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2117" name="TextBox 21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2118" name="TextBox 21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2119" name="TextBox 21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2120" name="TextBox 21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2121" name="TextBox 21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2122" name="TextBox 21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2123" name="TextBox 21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2124" name="TextBox 21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2125" name="TextBox 21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2126" name="TextBox 21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0</xdr:rowOff>
    </xdr:from>
    <xdr:ext cx="184731" cy="264560"/>
    <xdr:sp macro="" textlink="">
      <xdr:nvSpPr>
        <xdr:cNvPr id="2127" name="TextBox 21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647700</xdr:rowOff>
    </xdr:from>
    <xdr:ext cx="184731" cy="264560"/>
    <xdr:sp macro="" textlink="">
      <xdr:nvSpPr>
        <xdr:cNvPr id="2128" name="TextBox 21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2129" name="TextBox 21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647700</xdr:rowOff>
    </xdr:from>
    <xdr:ext cx="184731" cy="264560"/>
    <xdr:sp macro="" textlink="">
      <xdr:nvSpPr>
        <xdr:cNvPr id="2130" name="TextBox 21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0</xdr:rowOff>
    </xdr:from>
    <xdr:ext cx="184731" cy="264560"/>
    <xdr:sp macro="" textlink="">
      <xdr:nvSpPr>
        <xdr:cNvPr id="2131" name="TextBox 21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647700</xdr:rowOff>
    </xdr:from>
    <xdr:ext cx="184731" cy="264560"/>
    <xdr:sp macro="" textlink="">
      <xdr:nvSpPr>
        <xdr:cNvPr id="2132" name="TextBox 21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2133" name="TextBox 21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1738</xdr:row>
      <xdr:rowOff>647700</xdr:rowOff>
    </xdr:from>
    <xdr:ext cx="184731" cy="264560"/>
    <xdr:sp macro="" textlink="">
      <xdr:nvSpPr>
        <xdr:cNvPr id="2134" name="TextBox 21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1756</xdr:row>
      <xdr:rowOff>0</xdr:rowOff>
    </xdr:from>
    <xdr:ext cx="184731" cy="264560"/>
    <xdr:sp macro="" textlink="">
      <xdr:nvSpPr>
        <xdr:cNvPr id="2135" name="TextBox 21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1756</xdr:row>
      <xdr:rowOff>647700</xdr:rowOff>
    </xdr:from>
    <xdr:ext cx="184731" cy="264560"/>
    <xdr:sp macro="" textlink="">
      <xdr:nvSpPr>
        <xdr:cNvPr id="2136" name="TextBox 21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1743</xdr:row>
      <xdr:rowOff>647700</xdr:rowOff>
    </xdr:from>
    <xdr:ext cx="184731" cy="264560"/>
    <xdr:sp macro="" textlink="">
      <xdr:nvSpPr>
        <xdr:cNvPr id="2137" name="TextBox 21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2138" name="TextBox 21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2139" name="TextBox 21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2140" name="TextBox 21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1770</xdr:row>
      <xdr:rowOff>647700</xdr:rowOff>
    </xdr:from>
    <xdr:ext cx="184731" cy="264560"/>
    <xdr:sp macro="" textlink="">
      <xdr:nvSpPr>
        <xdr:cNvPr id="2141" name="TextBox 21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1773</xdr:row>
      <xdr:rowOff>647700</xdr:rowOff>
    </xdr:from>
    <xdr:ext cx="184731" cy="264560"/>
    <xdr:sp macro="" textlink="">
      <xdr:nvSpPr>
        <xdr:cNvPr id="2142" name="TextBox 21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0</xdr:rowOff>
    </xdr:from>
    <xdr:ext cx="184731" cy="264560"/>
    <xdr:sp macro="" textlink="">
      <xdr:nvSpPr>
        <xdr:cNvPr id="2143" name="TextBox 21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1780</xdr:row>
      <xdr:rowOff>647700</xdr:rowOff>
    </xdr:from>
    <xdr:ext cx="184731" cy="264560"/>
    <xdr:sp macro="" textlink="">
      <xdr:nvSpPr>
        <xdr:cNvPr id="2144" name="TextBox 21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1781</xdr:row>
      <xdr:rowOff>647700</xdr:rowOff>
    </xdr:from>
    <xdr:ext cx="184731" cy="264560"/>
    <xdr:sp macro="" textlink="">
      <xdr:nvSpPr>
        <xdr:cNvPr id="2145" name="TextBox 21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1223</xdr:row>
      <xdr:rowOff>647700</xdr:rowOff>
    </xdr:from>
    <xdr:ext cx="184731" cy="264560"/>
    <xdr:sp macro="" textlink="">
      <xdr:nvSpPr>
        <xdr:cNvPr id="2146" name="TextBox 21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1226</xdr:row>
      <xdr:rowOff>647700</xdr:rowOff>
    </xdr:from>
    <xdr:ext cx="184731" cy="264560"/>
    <xdr:sp macro="" textlink="">
      <xdr:nvSpPr>
        <xdr:cNvPr id="2147" name="TextBox 21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1244</xdr:row>
      <xdr:rowOff>0</xdr:rowOff>
    </xdr:from>
    <xdr:ext cx="184731" cy="264560"/>
    <xdr:sp macro="" textlink="">
      <xdr:nvSpPr>
        <xdr:cNvPr id="2148" name="TextBox 21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1244</xdr:row>
      <xdr:rowOff>647700</xdr:rowOff>
    </xdr:from>
    <xdr:ext cx="184731" cy="264560"/>
    <xdr:sp macro="" textlink="">
      <xdr:nvSpPr>
        <xdr:cNvPr id="2149" name="TextBox 21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1333</xdr:row>
      <xdr:rowOff>647700</xdr:rowOff>
    </xdr:from>
    <xdr:ext cx="184731" cy="264560"/>
    <xdr:sp macro="" textlink="">
      <xdr:nvSpPr>
        <xdr:cNvPr id="2150" name="TextBox 21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1336</xdr:row>
      <xdr:rowOff>647700</xdr:rowOff>
    </xdr:from>
    <xdr:ext cx="184731" cy="264560"/>
    <xdr:sp macro="" textlink="">
      <xdr:nvSpPr>
        <xdr:cNvPr id="2151" name="TextBox 21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1354</xdr:row>
      <xdr:rowOff>0</xdr:rowOff>
    </xdr:from>
    <xdr:ext cx="184731" cy="264560"/>
    <xdr:sp macro="" textlink="">
      <xdr:nvSpPr>
        <xdr:cNvPr id="2152" name="TextBox 21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1354</xdr:row>
      <xdr:rowOff>647700</xdr:rowOff>
    </xdr:from>
    <xdr:ext cx="184731" cy="264560"/>
    <xdr:sp macro="" textlink="">
      <xdr:nvSpPr>
        <xdr:cNvPr id="2153" name="TextBox 21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1334</xdr:row>
      <xdr:rowOff>647700</xdr:rowOff>
    </xdr:from>
    <xdr:ext cx="184731" cy="264560"/>
    <xdr:sp macro="" textlink="">
      <xdr:nvSpPr>
        <xdr:cNvPr id="2154" name="TextBox 21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1337</xdr:row>
      <xdr:rowOff>647700</xdr:rowOff>
    </xdr:from>
    <xdr:ext cx="184731" cy="264560"/>
    <xdr:sp macro="" textlink="">
      <xdr:nvSpPr>
        <xdr:cNvPr id="2155" name="TextBox 21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1355</xdr:row>
      <xdr:rowOff>0</xdr:rowOff>
    </xdr:from>
    <xdr:ext cx="184731" cy="264560"/>
    <xdr:sp macro="" textlink="">
      <xdr:nvSpPr>
        <xdr:cNvPr id="2156" name="TextBox 21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1355</xdr:row>
      <xdr:rowOff>647700</xdr:rowOff>
    </xdr:from>
    <xdr:ext cx="184731" cy="264560"/>
    <xdr:sp macro="" textlink="">
      <xdr:nvSpPr>
        <xdr:cNvPr id="2157" name="TextBox 21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1335</xdr:row>
      <xdr:rowOff>647700</xdr:rowOff>
    </xdr:from>
    <xdr:ext cx="184731" cy="264560"/>
    <xdr:sp macro="" textlink="">
      <xdr:nvSpPr>
        <xdr:cNvPr id="2158" name="TextBox 21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1338</xdr:row>
      <xdr:rowOff>647700</xdr:rowOff>
    </xdr:from>
    <xdr:ext cx="184731" cy="264560"/>
    <xdr:sp macro="" textlink="">
      <xdr:nvSpPr>
        <xdr:cNvPr id="2159" name="TextBox 21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1356</xdr:row>
      <xdr:rowOff>0</xdr:rowOff>
    </xdr:from>
    <xdr:ext cx="184731" cy="264560"/>
    <xdr:sp macro="" textlink="">
      <xdr:nvSpPr>
        <xdr:cNvPr id="2160" name="TextBox 21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1356</xdr:row>
      <xdr:rowOff>647700</xdr:rowOff>
    </xdr:from>
    <xdr:ext cx="184731" cy="264560"/>
    <xdr:sp macro="" textlink="">
      <xdr:nvSpPr>
        <xdr:cNvPr id="2161" name="TextBox 21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1704</xdr:row>
      <xdr:rowOff>647700</xdr:rowOff>
    </xdr:from>
    <xdr:ext cx="184731" cy="264560"/>
    <xdr:sp macro="" textlink="">
      <xdr:nvSpPr>
        <xdr:cNvPr id="2162" name="TextBox 21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1707</xdr:row>
      <xdr:rowOff>647700</xdr:rowOff>
    </xdr:from>
    <xdr:ext cx="184731" cy="264560"/>
    <xdr:sp macro="" textlink="">
      <xdr:nvSpPr>
        <xdr:cNvPr id="2163" name="TextBox 21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0</xdr:rowOff>
    </xdr:from>
    <xdr:ext cx="184731" cy="264560"/>
    <xdr:sp macro="" textlink="">
      <xdr:nvSpPr>
        <xdr:cNvPr id="2164" name="TextBox 21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1724</xdr:row>
      <xdr:rowOff>647700</xdr:rowOff>
    </xdr:from>
    <xdr:ext cx="184731" cy="264560"/>
    <xdr:sp macro="" textlink="">
      <xdr:nvSpPr>
        <xdr:cNvPr id="2165" name="TextBox 21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1705</xdr:row>
      <xdr:rowOff>647700</xdr:rowOff>
    </xdr:from>
    <xdr:ext cx="184731" cy="264560"/>
    <xdr:sp macro="" textlink="">
      <xdr:nvSpPr>
        <xdr:cNvPr id="2166" name="TextBox 21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1708</xdr:row>
      <xdr:rowOff>647700</xdr:rowOff>
    </xdr:from>
    <xdr:ext cx="184731" cy="264560"/>
    <xdr:sp macro="" textlink="">
      <xdr:nvSpPr>
        <xdr:cNvPr id="2167" name="TextBox 216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0</xdr:rowOff>
    </xdr:from>
    <xdr:ext cx="184731" cy="264560"/>
    <xdr:sp macro="" textlink="">
      <xdr:nvSpPr>
        <xdr:cNvPr id="2168" name="TextBox 216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2169" name="TextBox 216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1729</xdr:row>
      <xdr:rowOff>647700</xdr:rowOff>
    </xdr:from>
    <xdr:ext cx="184731" cy="264560"/>
    <xdr:sp macro="" textlink="">
      <xdr:nvSpPr>
        <xdr:cNvPr id="2170" name="TextBox 216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2171" name="TextBox 217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0</xdr:rowOff>
    </xdr:from>
    <xdr:ext cx="184731" cy="264560"/>
    <xdr:sp macro="" textlink="">
      <xdr:nvSpPr>
        <xdr:cNvPr id="2172" name="TextBox 217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1750</xdr:row>
      <xdr:rowOff>647700</xdr:rowOff>
    </xdr:from>
    <xdr:ext cx="184731" cy="264560"/>
    <xdr:sp macro="" textlink="">
      <xdr:nvSpPr>
        <xdr:cNvPr id="2173" name="TextBox 217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2174" name="TextBox 217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2175" name="TextBox 217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2176" name="TextBox 217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2177" name="TextBox 217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2178" name="TextBox 217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2179" name="TextBox 217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2180" name="TextBox 217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2181" name="TextBox 218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2182" name="TextBox 218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2183" name="TextBox 218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2184" name="TextBox 218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2185" name="TextBox 218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2186" name="TextBox 218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2187" name="TextBox 218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0</xdr:rowOff>
    </xdr:from>
    <xdr:ext cx="184731" cy="264560"/>
    <xdr:sp macro="" textlink="">
      <xdr:nvSpPr>
        <xdr:cNvPr id="2188" name="TextBox 218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647700</xdr:rowOff>
    </xdr:from>
    <xdr:ext cx="184731" cy="264560"/>
    <xdr:sp macro="" textlink="">
      <xdr:nvSpPr>
        <xdr:cNvPr id="2189" name="TextBox 218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2190" name="TextBox 218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647700</xdr:rowOff>
    </xdr:from>
    <xdr:ext cx="184731" cy="264560"/>
    <xdr:sp macro="" textlink="">
      <xdr:nvSpPr>
        <xdr:cNvPr id="2191" name="TextBox 219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0</xdr:rowOff>
    </xdr:from>
    <xdr:ext cx="184731" cy="264560"/>
    <xdr:sp macro="" textlink="">
      <xdr:nvSpPr>
        <xdr:cNvPr id="2192" name="TextBox 219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647700</xdr:rowOff>
    </xdr:from>
    <xdr:ext cx="184731" cy="264560"/>
    <xdr:sp macro="" textlink="">
      <xdr:nvSpPr>
        <xdr:cNvPr id="2193" name="TextBox 219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2194" name="TextBox 219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1738</xdr:row>
      <xdr:rowOff>647700</xdr:rowOff>
    </xdr:from>
    <xdr:ext cx="184731" cy="264560"/>
    <xdr:sp macro="" textlink="">
      <xdr:nvSpPr>
        <xdr:cNvPr id="2195" name="TextBox 219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1756</xdr:row>
      <xdr:rowOff>0</xdr:rowOff>
    </xdr:from>
    <xdr:ext cx="184731" cy="264560"/>
    <xdr:sp macro="" textlink="">
      <xdr:nvSpPr>
        <xdr:cNvPr id="2196" name="TextBox 219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1756</xdr:row>
      <xdr:rowOff>647700</xdr:rowOff>
    </xdr:from>
    <xdr:ext cx="184731" cy="264560"/>
    <xdr:sp macro="" textlink="">
      <xdr:nvSpPr>
        <xdr:cNvPr id="2197" name="TextBox 219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2198" name="TextBox 219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1739</xdr:row>
      <xdr:rowOff>647700</xdr:rowOff>
    </xdr:from>
    <xdr:ext cx="184731" cy="264560"/>
    <xdr:sp macro="" textlink="">
      <xdr:nvSpPr>
        <xdr:cNvPr id="2199" name="TextBox 219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1757</xdr:row>
      <xdr:rowOff>0</xdr:rowOff>
    </xdr:from>
    <xdr:ext cx="184731" cy="264560"/>
    <xdr:sp macro="" textlink="">
      <xdr:nvSpPr>
        <xdr:cNvPr id="2200" name="TextBox 219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1757</xdr:row>
      <xdr:rowOff>647700</xdr:rowOff>
    </xdr:from>
    <xdr:ext cx="184731" cy="264560"/>
    <xdr:sp macro="" textlink="">
      <xdr:nvSpPr>
        <xdr:cNvPr id="2201" name="TextBox 220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1744</xdr:row>
      <xdr:rowOff>647700</xdr:rowOff>
    </xdr:from>
    <xdr:ext cx="184731" cy="264560"/>
    <xdr:sp macro="" textlink="">
      <xdr:nvSpPr>
        <xdr:cNvPr id="2202" name="TextBox 220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2203" name="TextBox 220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2204" name="TextBox 220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2205" name="TextBox 220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1771</xdr:row>
      <xdr:rowOff>647700</xdr:rowOff>
    </xdr:from>
    <xdr:ext cx="184731" cy="264560"/>
    <xdr:sp macro="" textlink="">
      <xdr:nvSpPr>
        <xdr:cNvPr id="2206" name="TextBox 220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1774</xdr:row>
      <xdr:rowOff>647700</xdr:rowOff>
    </xdr:from>
    <xdr:ext cx="184731" cy="264560"/>
    <xdr:sp macro="" textlink="">
      <xdr:nvSpPr>
        <xdr:cNvPr id="2207" name="TextBox 220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1781</xdr:row>
      <xdr:rowOff>0</xdr:rowOff>
    </xdr:from>
    <xdr:ext cx="184731" cy="264560"/>
    <xdr:sp macro="" textlink="">
      <xdr:nvSpPr>
        <xdr:cNvPr id="2208" name="TextBox 220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1781</xdr:row>
      <xdr:rowOff>647700</xdr:rowOff>
    </xdr:from>
    <xdr:ext cx="184731" cy="264560"/>
    <xdr:sp macro="" textlink="">
      <xdr:nvSpPr>
        <xdr:cNvPr id="2209" name="TextBox 220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1782</xdr:row>
      <xdr:rowOff>647700</xdr:rowOff>
    </xdr:from>
    <xdr:ext cx="184731" cy="264560"/>
    <xdr:sp macro="" textlink="">
      <xdr:nvSpPr>
        <xdr:cNvPr id="2210" name="TextBox 220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1224</xdr:row>
      <xdr:rowOff>647700</xdr:rowOff>
    </xdr:from>
    <xdr:ext cx="184731" cy="264560"/>
    <xdr:sp macro="" textlink="">
      <xdr:nvSpPr>
        <xdr:cNvPr id="2211" name="TextBox 221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1227</xdr:row>
      <xdr:rowOff>647700</xdr:rowOff>
    </xdr:from>
    <xdr:ext cx="184731" cy="264560"/>
    <xdr:sp macro="" textlink="">
      <xdr:nvSpPr>
        <xdr:cNvPr id="2212" name="TextBox 221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1245</xdr:row>
      <xdr:rowOff>0</xdr:rowOff>
    </xdr:from>
    <xdr:ext cx="184731" cy="264560"/>
    <xdr:sp macro="" textlink="">
      <xdr:nvSpPr>
        <xdr:cNvPr id="2213" name="TextBox 221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1245</xdr:row>
      <xdr:rowOff>647700</xdr:rowOff>
    </xdr:from>
    <xdr:ext cx="184731" cy="264560"/>
    <xdr:sp macro="" textlink="">
      <xdr:nvSpPr>
        <xdr:cNvPr id="2214" name="TextBox 221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1334</xdr:row>
      <xdr:rowOff>647700</xdr:rowOff>
    </xdr:from>
    <xdr:ext cx="184731" cy="264560"/>
    <xdr:sp macro="" textlink="">
      <xdr:nvSpPr>
        <xdr:cNvPr id="2215" name="TextBox 221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1337</xdr:row>
      <xdr:rowOff>647700</xdr:rowOff>
    </xdr:from>
    <xdr:ext cx="184731" cy="264560"/>
    <xdr:sp macro="" textlink="">
      <xdr:nvSpPr>
        <xdr:cNvPr id="2216" name="TextBox 221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1355</xdr:row>
      <xdr:rowOff>0</xdr:rowOff>
    </xdr:from>
    <xdr:ext cx="184731" cy="264560"/>
    <xdr:sp macro="" textlink="">
      <xdr:nvSpPr>
        <xdr:cNvPr id="2217" name="TextBox 221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1355</xdr:row>
      <xdr:rowOff>647700</xdr:rowOff>
    </xdr:from>
    <xdr:ext cx="184731" cy="264560"/>
    <xdr:sp macro="" textlink="">
      <xdr:nvSpPr>
        <xdr:cNvPr id="2218" name="TextBox 221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1335</xdr:row>
      <xdr:rowOff>647700</xdr:rowOff>
    </xdr:from>
    <xdr:ext cx="184731" cy="264560"/>
    <xdr:sp macro="" textlink="">
      <xdr:nvSpPr>
        <xdr:cNvPr id="2219" name="TextBox 221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1338</xdr:row>
      <xdr:rowOff>647700</xdr:rowOff>
    </xdr:from>
    <xdr:ext cx="184731" cy="264560"/>
    <xdr:sp macro="" textlink="">
      <xdr:nvSpPr>
        <xdr:cNvPr id="2220" name="TextBox 221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1356</xdr:row>
      <xdr:rowOff>0</xdr:rowOff>
    </xdr:from>
    <xdr:ext cx="184731" cy="264560"/>
    <xdr:sp macro="" textlink="">
      <xdr:nvSpPr>
        <xdr:cNvPr id="2221" name="TextBox 222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1356</xdr:row>
      <xdr:rowOff>647700</xdr:rowOff>
    </xdr:from>
    <xdr:ext cx="184731" cy="264560"/>
    <xdr:sp macro="" textlink="">
      <xdr:nvSpPr>
        <xdr:cNvPr id="2222" name="TextBox 222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1336</xdr:row>
      <xdr:rowOff>647700</xdr:rowOff>
    </xdr:from>
    <xdr:ext cx="184731" cy="264560"/>
    <xdr:sp macro="" textlink="">
      <xdr:nvSpPr>
        <xdr:cNvPr id="2223" name="TextBox 222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1339</xdr:row>
      <xdr:rowOff>647700</xdr:rowOff>
    </xdr:from>
    <xdr:ext cx="184731" cy="264560"/>
    <xdr:sp macro="" textlink="">
      <xdr:nvSpPr>
        <xdr:cNvPr id="2224" name="TextBox 222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1357</xdr:row>
      <xdr:rowOff>0</xdr:rowOff>
    </xdr:from>
    <xdr:ext cx="184731" cy="264560"/>
    <xdr:sp macro="" textlink="">
      <xdr:nvSpPr>
        <xdr:cNvPr id="2225" name="TextBox 222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1357</xdr:row>
      <xdr:rowOff>647700</xdr:rowOff>
    </xdr:from>
    <xdr:ext cx="184731" cy="264560"/>
    <xdr:sp macro="" textlink="">
      <xdr:nvSpPr>
        <xdr:cNvPr id="2226" name="TextBox 222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1705</xdr:row>
      <xdr:rowOff>647700</xdr:rowOff>
    </xdr:from>
    <xdr:ext cx="184731" cy="264560"/>
    <xdr:sp macro="" textlink="">
      <xdr:nvSpPr>
        <xdr:cNvPr id="2227" name="TextBox 222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1708</xdr:row>
      <xdr:rowOff>647700</xdr:rowOff>
    </xdr:from>
    <xdr:ext cx="184731" cy="264560"/>
    <xdr:sp macro="" textlink="">
      <xdr:nvSpPr>
        <xdr:cNvPr id="2228" name="TextBox 222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0</xdr:rowOff>
    </xdr:from>
    <xdr:ext cx="184731" cy="264560"/>
    <xdr:sp macro="" textlink="">
      <xdr:nvSpPr>
        <xdr:cNvPr id="2229" name="TextBox 222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1725</xdr:row>
      <xdr:rowOff>647700</xdr:rowOff>
    </xdr:from>
    <xdr:ext cx="184731" cy="264560"/>
    <xdr:sp macro="" textlink="">
      <xdr:nvSpPr>
        <xdr:cNvPr id="2230" name="TextBox 222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1706</xdr:row>
      <xdr:rowOff>647700</xdr:rowOff>
    </xdr:from>
    <xdr:ext cx="184731" cy="264560"/>
    <xdr:sp macro="" textlink="">
      <xdr:nvSpPr>
        <xdr:cNvPr id="2231" name="TextBox 223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1709</xdr:row>
      <xdr:rowOff>647700</xdr:rowOff>
    </xdr:from>
    <xdr:ext cx="184731" cy="264560"/>
    <xdr:sp macro="" textlink="">
      <xdr:nvSpPr>
        <xdr:cNvPr id="2232" name="TextBox 223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0</xdr:rowOff>
    </xdr:from>
    <xdr:ext cx="184731" cy="264560"/>
    <xdr:sp macro="" textlink="">
      <xdr:nvSpPr>
        <xdr:cNvPr id="2233" name="TextBox 223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1726</xdr:row>
      <xdr:rowOff>647700</xdr:rowOff>
    </xdr:from>
    <xdr:ext cx="184731" cy="264560"/>
    <xdr:sp macro="" textlink="">
      <xdr:nvSpPr>
        <xdr:cNvPr id="2234" name="TextBox 223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1730</xdr:row>
      <xdr:rowOff>647700</xdr:rowOff>
    </xdr:from>
    <xdr:ext cx="184731" cy="264560"/>
    <xdr:sp macro="" textlink="">
      <xdr:nvSpPr>
        <xdr:cNvPr id="2235" name="TextBox 223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2236" name="TextBox 223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0</xdr:rowOff>
    </xdr:from>
    <xdr:ext cx="184731" cy="264560"/>
    <xdr:sp macro="" textlink="">
      <xdr:nvSpPr>
        <xdr:cNvPr id="2237" name="TextBox 223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1751</xdr:row>
      <xdr:rowOff>647700</xdr:rowOff>
    </xdr:from>
    <xdr:ext cx="184731" cy="264560"/>
    <xdr:sp macro="" textlink="">
      <xdr:nvSpPr>
        <xdr:cNvPr id="2238" name="TextBox 223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1731</xdr:row>
      <xdr:rowOff>647700</xdr:rowOff>
    </xdr:from>
    <xdr:ext cx="184731" cy="264560"/>
    <xdr:sp macro="" textlink="">
      <xdr:nvSpPr>
        <xdr:cNvPr id="2239" name="TextBox 223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2240" name="TextBox 223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0</xdr:rowOff>
    </xdr:from>
    <xdr:ext cx="184731" cy="264560"/>
    <xdr:sp macro="" textlink="">
      <xdr:nvSpPr>
        <xdr:cNvPr id="2241" name="TextBox 224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1752</xdr:row>
      <xdr:rowOff>647700</xdr:rowOff>
    </xdr:from>
    <xdr:ext cx="184731" cy="264560"/>
    <xdr:sp macro="" textlink="">
      <xdr:nvSpPr>
        <xdr:cNvPr id="2242" name="TextBox 224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1732</xdr:row>
      <xdr:rowOff>647700</xdr:rowOff>
    </xdr:from>
    <xdr:ext cx="184731" cy="264560"/>
    <xdr:sp macro="" textlink="">
      <xdr:nvSpPr>
        <xdr:cNvPr id="2243" name="TextBox 224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2244" name="TextBox 224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0</xdr:rowOff>
    </xdr:from>
    <xdr:ext cx="184731" cy="264560"/>
    <xdr:sp macro="" textlink="">
      <xdr:nvSpPr>
        <xdr:cNvPr id="2245" name="TextBox 224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1753</xdr:row>
      <xdr:rowOff>647700</xdr:rowOff>
    </xdr:from>
    <xdr:ext cx="184731" cy="264560"/>
    <xdr:sp macro="" textlink="">
      <xdr:nvSpPr>
        <xdr:cNvPr id="2246" name="TextBox 224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1733</xdr:row>
      <xdr:rowOff>647700</xdr:rowOff>
    </xdr:from>
    <xdr:ext cx="184731" cy="264560"/>
    <xdr:sp macro="" textlink="">
      <xdr:nvSpPr>
        <xdr:cNvPr id="2247" name="TextBox 224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2248" name="TextBox 224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0</xdr:rowOff>
    </xdr:from>
    <xdr:ext cx="184731" cy="264560"/>
    <xdr:sp macro="" textlink="">
      <xdr:nvSpPr>
        <xdr:cNvPr id="2249" name="TextBox 224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1754</xdr:row>
      <xdr:rowOff>647700</xdr:rowOff>
    </xdr:from>
    <xdr:ext cx="184731" cy="264560"/>
    <xdr:sp macro="" textlink="">
      <xdr:nvSpPr>
        <xdr:cNvPr id="2250" name="TextBox 224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1734</xdr:row>
      <xdr:rowOff>647700</xdr:rowOff>
    </xdr:from>
    <xdr:ext cx="184731" cy="264560"/>
    <xdr:sp macro="" textlink="">
      <xdr:nvSpPr>
        <xdr:cNvPr id="2251" name="TextBox 225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647700</xdr:rowOff>
    </xdr:from>
    <xdr:ext cx="184731" cy="264560"/>
    <xdr:sp macro="" textlink="">
      <xdr:nvSpPr>
        <xdr:cNvPr id="2252" name="TextBox 225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0</xdr:rowOff>
    </xdr:from>
    <xdr:ext cx="184731" cy="264560"/>
    <xdr:sp macro="" textlink="">
      <xdr:nvSpPr>
        <xdr:cNvPr id="2253" name="TextBox 225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1755</xdr:row>
      <xdr:rowOff>647700</xdr:rowOff>
    </xdr:from>
    <xdr:ext cx="184731" cy="264560"/>
    <xdr:sp macro="" textlink="">
      <xdr:nvSpPr>
        <xdr:cNvPr id="2254" name="TextBox 225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1735</xdr:row>
      <xdr:rowOff>647700</xdr:rowOff>
    </xdr:from>
    <xdr:ext cx="184731" cy="264560"/>
    <xdr:sp macro="" textlink="">
      <xdr:nvSpPr>
        <xdr:cNvPr id="2255" name="TextBox 225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1738</xdr:row>
      <xdr:rowOff>647700</xdr:rowOff>
    </xdr:from>
    <xdr:ext cx="184731" cy="264560"/>
    <xdr:sp macro="" textlink="">
      <xdr:nvSpPr>
        <xdr:cNvPr id="2256" name="TextBox 225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1756</xdr:row>
      <xdr:rowOff>0</xdr:rowOff>
    </xdr:from>
    <xdr:ext cx="184731" cy="264560"/>
    <xdr:sp macro="" textlink="">
      <xdr:nvSpPr>
        <xdr:cNvPr id="2257" name="TextBox 2256"/>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1756</xdr:row>
      <xdr:rowOff>647700</xdr:rowOff>
    </xdr:from>
    <xdr:ext cx="184731" cy="264560"/>
    <xdr:sp macro="" textlink="">
      <xdr:nvSpPr>
        <xdr:cNvPr id="2258" name="TextBox 2257"/>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1736</xdr:row>
      <xdr:rowOff>647700</xdr:rowOff>
    </xdr:from>
    <xdr:ext cx="184731" cy="264560"/>
    <xdr:sp macro="" textlink="">
      <xdr:nvSpPr>
        <xdr:cNvPr id="2259" name="TextBox 2258"/>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1739</xdr:row>
      <xdr:rowOff>647700</xdr:rowOff>
    </xdr:from>
    <xdr:ext cx="184731" cy="264560"/>
    <xdr:sp macro="" textlink="">
      <xdr:nvSpPr>
        <xdr:cNvPr id="2260" name="TextBox 2259"/>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1757</xdr:row>
      <xdr:rowOff>0</xdr:rowOff>
    </xdr:from>
    <xdr:ext cx="184731" cy="264560"/>
    <xdr:sp macro="" textlink="">
      <xdr:nvSpPr>
        <xdr:cNvPr id="2261" name="TextBox 2260"/>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1757</xdr:row>
      <xdr:rowOff>647700</xdr:rowOff>
    </xdr:from>
    <xdr:ext cx="184731" cy="264560"/>
    <xdr:sp macro="" textlink="">
      <xdr:nvSpPr>
        <xdr:cNvPr id="2262" name="TextBox 2261"/>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1737</xdr:row>
      <xdr:rowOff>647700</xdr:rowOff>
    </xdr:from>
    <xdr:ext cx="184731" cy="264560"/>
    <xdr:sp macro="" textlink="">
      <xdr:nvSpPr>
        <xdr:cNvPr id="2263" name="TextBox 2262"/>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1740</xdr:row>
      <xdr:rowOff>647700</xdr:rowOff>
    </xdr:from>
    <xdr:ext cx="184731" cy="264560"/>
    <xdr:sp macro="" textlink="">
      <xdr:nvSpPr>
        <xdr:cNvPr id="2264" name="TextBox 2263"/>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1758</xdr:row>
      <xdr:rowOff>0</xdr:rowOff>
    </xdr:from>
    <xdr:ext cx="184731" cy="264560"/>
    <xdr:sp macro="" textlink="">
      <xdr:nvSpPr>
        <xdr:cNvPr id="2265" name="TextBox 2264"/>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12</xdr:col>
      <xdr:colOff>142875</xdr:colOff>
      <xdr:row>1758</xdr:row>
      <xdr:rowOff>647700</xdr:rowOff>
    </xdr:from>
    <xdr:ext cx="184731" cy="264560"/>
    <xdr:sp macro="" textlink="">
      <xdr:nvSpPr>
        <xdr:cNvPr id="2266" name="TextBox 2265"/>
        <xdr:cNvSpPr txBox="1"/>
      </xdr:nvSpPr>
      <xdr:spPr>
        <a:xfrm>
          <a:off x="14035768" y="3088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drawing" Target="../drawings/drawing1.x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drawing" Target="../drawings/drawing2.xml"/><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sheetPr codeName="Лист1"/>
  <dimension ref="A1:A17"/>
  <sheetViews>
    <sheetView workbookViewId="0">
      <selection activeCell="A2" sqref="A2"/>
    </sheetView>
  </sheetViews>
  <sheetFormatPr defaultRowHeight="15"/>
  <cols>
    <col min="1" max="1" width="59.42578125" customWidth="1"/>
  </cols>
  <sheetData>
    <row r="1" spans="1:1" ht="15.75">
      <c r="A1" s="1" t="s">
        <v>1</v>
      </c>
    </row>
    <row r="2" spans="1:1" ht="15.75">
      <c r="A2" s="1" t="s">
        <v>2</v>
      </c>
    </row>
    <row r="3" spans="1:1" ht="15.75">
      <c r="A3" s="1" t="s">
        <v>3</v>
      </c>
    </row>
    <row r="4" spans="1:1" ht="15.75">
      <c r="A4" s="1" t="s">
        <v>4</v>
      </c>
    </row>
    <row r="5" spans="1:1" ht="15.75">
      <c r="A5" s="1" t="s">
        <v>5</v>
      </c>
    </row>
    <row r="6" spans="1:1" ht="15.75">
      <c r="A6" s="1" t="s">
        <v>6</v>
      </c>
    </row>
    <row r="7" spans="1:1" ht="15.75">
      <c r="A7" s="1" t="s">
        <v>7</v>
      </c>
    </row>
    <row r="8" spans="1:1" ht="31.5">
      <c r="A8" s="1" t="s">
        <v>8</v>
      </c>
    </row>
    <row r="9" spans="1:1" ht="31.5">
      <c r="A9" s="1" t="s">
        <v>9</v>
      </c>
    </row>
    <row r="10" spans="1:1" ht="78.75">
      <c r="A10" s="1" t="s">
        <v>10</v>
      </c>
    </row>
    <row r="11" spans="1:1" ht="63">
      <c r="A11" s="1" t="s">
        <v>11</v>
      </c>
    </row>
    <row r="12" spans="1:1" ht="31.5">
      <c r="A12" s="1" t="s">
        <v>12</v>
      </c>
    </row>
    <row r="13" spans="1:1" ht="47.25">
      <c r="A13" s="1" t="s">
        <v>13</v>
      </c>
    </row>
    <row r="14" spans="1:1" ht="47.25">
      <c r="A14" s="1" t="s">
        <v>14</v>
      </c>
    </row>
    <row r="15" spans="1:1" ht="31.5">
      <c r="A15" s="1" t="s">
        <v>15</v>
      </c>
    </row>
    <row r="16" spans="1:1" ht="31.5">
      <c r="A16" s="1" t="s">
        <v>16</v>
      </c>
    </row>
    <row r="17" spans="1:1" ht="31.5">
      <c r="A17" s="1" t="s">
        <v>17</v>
      </c>
    </row>
  </sheetData>
  <customSheetViews>
    <customSheetView guid="{266D8910-EE63-4F03-AD8E-1EA3FEBC0F85}" showPageBreaks="1" state="hidden">
      <selection activeCell="A2" sqref="A2"/>
      <pageMargins left="0.7" right="0.7" top="0.75" bottom="0.75" header="0.3" footer="0.3"/>
      <pageSetup paperSize="9" orientation="portrait" r:id="rId1"/>
    </customSheetView>
    <customSheetView guid="{97206D4B-39D2-4633-B258-544D059AB9B9}" state="hidden">
      <selection activeCell="A2" sqref="A2"/>
      <pageMargins left="0.7" right="0.7" top="0.75" bottom="0.75" header="0.3" footer="0.3"/>
      <pageSetup paperSize="9" orientation="portrait" r:id="rId2"/>
    </customSheetView>
    <customSheetView guid="{EC8E82B3-7C73-4755-8915-0971BE19A77F}" state="hidden">
      <selection activeCell="A2" sqref="A2"/>
      <pageMargins left="0.7" right="0.7" top="0.75" bottom="0.75" header="0.3" footer="0.3"/>
      <pageSetup paperSize="9" orientation="portrait" r:id="rId3"/>
    </customSheetView>
    <customSheetView guid="{3EDA8BFB-40C1-418F-AD4D-C1FEA4D906D3}" state="hidden">
      <selection activeCell="A2" sqref="A2"/>
      <pageMargins left="0.7" right="0.7" top="0.75" bottom="0.75" header="0.3" footer="0.3"/>
      <pageSetup paperSize="9" orientation="portrait" verticalDpi="0" r:id="rId4"/>
    </customSheetView>
    <customSheetView guid="{91CCA552-4FF9-4F8A-918F-E90526B3286D}" state="hidden">
      <selection activeCell="A2" sqref="A2"/>
      <pageMargins left="0.7" right="0.7" top="0.75" bottom="0.75" header="0.3" footer="0.3"/>
      <pageSetup paperSize="9" orientation="portrait" verticalDpi="0" r:id="rId5"/>
    </customSheetView>
    <customSheetView guid="{AF533CF8-BCBD-4BCE-89DB-18D6C13C2DDE}" state="hidden">
      <selection activeCell="A2" sqref="A2"/>
      <pageMargins left="0.7" right="0.7" top="0.75" bottom="0.75" header="0.3" footer="0.3"/>
      <pageSetup paperSize="9" orientation="portrait" verticalDpi="0" r:id="rId6"/>
    </customSheetView>
  </customSheetView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dimension ref="A1:S39"/>
  <sheetViews>
    <sheetView zoomScaleNormal="100" workbookViewId="0">
      <selection activeCell="C24" sqref="C24:C25"/>
    </sheetView>
  </sheetViews>
  <sheetFormatPr defaultColWidth="8.85546875" defaultRowHeight="12.75"/>
  <cols>
    <col min="1" max="1" width="4.42578125" style="203" customWidth="1"/>
    <col min="2" max="2" width="28.140625" style="203" customWidth="1"/>
    <col min="3" max="3" width="11.85546875" style="203" customWidth="1"/>
    <col min="4" max="6" width="14" style="203" customWidth="1"/>
    <col min="7" max="241" width="8.85546875" style="203"/>
    <col min="242" max="242" width="4.42578125" style="203" customWidth="1"/>
    <col min="243" max="243" width="28.140625" style="203" customWidth="1"/>
    <col min="244" max="244" width="11.7109375" style="203" customWidth="1"/>
    <col min="245" max="245" width="11.85546875" style="203" customWidth="1"/>
    <col min="246" max="249" width="11" style="203" customWidth="1"/>
    <col min="250" max="250" width="12.7109375" style="203" customWidth="1"/>
    <col min="251" max="251" width="9.85546875" style="203" customWidth="1"/>
    <col min="252" max="252" width="14" style="203" customWidth="1"/>
    <col min="253" max="253" width="12" style="203" customWidth="1"/>
    <col min="254" max="254" width="11.7109375" style="203" customWidth="1"/>
    <col min="255" max="255" width="10.85546875" style="203" customWidth="1"/>
    <col min="256" max="257" width="11.42578125" style="203" customWidth="1"/>
    <col min="258" max="258" width="10.28515625" style="203" bestFit="1" customWidth="1"/>
    <col min="259" max="259" width="12.140625" style="203" customWidth="1"/>
    <col min="260" max="260" width="12.28515625" style="203" customWidth="1"/>
    <col min="261" max="261" width="17.140625" style="203" customWidth="1"/>
    <col min="262" max="262" width="23" style="203" customWidth="1"/>
    <col min="263" max="497" width="8.85546875" style="203"/>
    <col min="498" max="498" width="4.42578125" style="203" customWidth="1"/>
    <col min="499" max="499" width="28.140625" style="203" customWidth="1"/>
    <col min="500" max="500" width="11.7109375" style="203" customWidth="1"/>
    <col min="501" max="501" width="11.85546875" style="203" customWidth="1"/>
    <col min="502" max="505" width="11" style="203" customWidth="1"/>
    <col min="506" max="506" width="12.7109375" style="203" customWidth="1"/>
    <col min="507" max="507" width="9.85546875" style="203" customWidth="1"/>
    <col min="508" max="508" width="14" style="203" customWidth="1"/>
    <col min="509" max="509" width="12" style="203" customWidth="1"/>
    <col min="510" max="510" width="11.7109375" style="203" customWidth="1"/>
    <col min="511" max="511" width="10.85546875" style="203" customWidth="1"/>
    <col min="512" max="513" width="11.42578125" style="203" customWidth="1"/>
    <col min="514" max="514" width="10.28515625" style="203" bestFit="1" customWidth="1"/>
    <col min="515" max="515" width="12.140625" style="203" customWidth="1"/>
    <col min="516" max="516" width="12.28515625" style="203" customWidth="1"/>
    <col min="517" max="517" width="17.140625" style="203" customWidth="1"/>
    <col min="518" max="518" width="23" style="203" customWidth="1"/>
    <col min="519" max="753" width="8.85546875" style="203"/>
    <col min="754" max="754" width="4.42578125" style="203" customWidth="1"/>
    <col min="755" max="755" width="28.140625" style="203" customWidth="1"/>
    <col min="756" max="756" width="11.7109375" style="203" customWidth="1"/>
    <col min="757" max="757" width="11.85546875" style="203" customWidth="1"/>
    <col min="758" max="761" width="11" style="203" customWidth="1"/>
    <col min="762" max="762" width="12.7109375" style="203" customWidth="1"/>
    <col min="763" max="763" width="9.85546875" style="203" customWidth="1"/>
    <col min="764" max="764" width="14" style="203" customWidth="1"/>
    <col min="765" max="765" width="12" style="203" customWidth="1"/>
    <col min="766" max="766" width="11.7109375" style="203" customWidth="1"/>
    <col min="767" max="767" width="10.85546875" style="203" customWidth="1"/>
    <col min="768" max="769" width="11.42578125" style="203" customWidth="1"/>
    <col min="770" max="770" width="10.28515625" style="203" bestFit="1" customWidth="1"/>
    <col min="771" max="771" width="12.140625" style="203" customWidth="1"/>
    <col min="772" max="772" width="12.28515625" style="203" customWidth="1"/>
    <col min="773" max="773" width="17.140625" style="203" customWidth="1"/>
    <col min="774" max="774" width="23" style="203" customWidth="1"/>
    <col min="775" max="1009" width="8.85546875" style="203"/>
    <col min="1010" max="1010" width="4.42578125" style="203" customWidth="1"/>
    <col min="1011" max="1011" width="28.140625" style="203" customWidth="1"/>
    <col min="1012" max="1012" width="11.7109375" style="203" customWidth="1"/>
    <col min="1013" max="1013" width="11.85546875" style="203" customWidth="1"/>
    <col min="1014" max="1017" width="11" style="203" customWidth="1"/>
    <col min="1018" max="1018" width="12.7109375" style="203" customWidth="1"/>
    <col min="1019" max="1019" width="9.85546875" style="203" customWidth="1"/>
    <col min="1020" max="1020" width="14" style="203" customWidth="1"/>
    <col min="1021" max="1021" width="12" style="203" customWidth="1"/>
    <col min="1022" max="1022" width="11.7109375" style="203" customWidth="1"/>
    <col min="1023" max="1023" width="10.85546875" style="203" customWidth="1"/>
    <col min="1024" max="1025" width="11.42578125" style="203" customWidth="1"/>
    <col min="1026" max="1026" width="10.28515625" style="203" bestFit="1" customWidth="1"/>
    <col min="1027" max="1027" width="12.140625" style="203" customWidth="1"/>
    <col min="1028" max="1028" width="12.28515625" style="203" customWidth="1"/>
    <col min="1029" max="1029" width="17.140625" style="203" customWidth="1"/>
    <col min="1030" max="1030" width="23" style="203" customWidth="1"/>
    <col min="1031" max="1265" width="8.85546875" style="203"/>
    <col min="1266" max="1266" width="4.42578125" style="203" customWidth="1"/>
    <col min="1267" max="1267" width="28.140625" style="203" customWidth="1"/>
    <col min="1268" max="1268" width="11.7109375" style="203" customWidth="1"/>
    <col min="1269" max="1269" width="11.85546875" style="203" customWidth="1"/>
    <col min="1270" max="1273" width="11" style="203" customWidth="1"/>
    <col min="1274" max="1274" width="12.7109375" style="203" customWidth="1"/>
    <col min="1275" max="1275" width="9.85546875" style="203" customWidth="1"/>
    <col min="1276" max="1276" width="14" style="203" customWidth="1"/>
    <col min="1277" max="1277" width="12" style="203" customWidth="1"/>
    <col min="1278" max="1278" width="11.7109375" style="203" customWidth="1"/>
    <col min="1279" max="1279" width="10.85546875" style="203" customWidth="1"/>
    <col min="1280" max="1281" width="11.42578125" style="203" customWidth="1"/>
    <col min="1282" max="1282" width="10.28515625" style="203" bestFit="1" customWidth="1"/>
    <col min="1283" max="1283" width="12.140625" style="203" customWidth="1"/>
    <col min="1284" max="1284" width="12.28515625" style="203" customWidth="1"/>
    <col min="1285" max="1285" width="17.140625" style="203" customWidth="1"/>
    <col min="1286" max="1286" width="23" style="203" customWidth="1"/>
    <col min="1287" max="1521" width="8.85546875" style="203"/>
    <col min="1522" max="1522" width="4.42578125" style="203" customWidth="1"/>
    <col min="1523" max="1523" width="28.140625" style="203" customWidth="1"/>
    <col min="1524" max="1524" width="11.7109375" style="203" customWidth="1"/>
    <col min="1525" max="1525" width="11.85546875" style="203" customWidth="1"/>
    <col min="1526" max="1529" width="11" style="203" customWidth="1"/>
    <col min="1530" max="1530" width="12.7109375" style="203" customWidth="1"/>
    <col min="1531" max="1531" width="9.85546875" style="203" customWidth="1"/>
    <col min="1532" max="1532" width="14" style="203" customWidth="1"/>
    <col min="1533" max="1533" width="12" style="203" customWidth="1"/>
    <col min="1534" max="1534" width="11.7109375" style="203" customWidth="1"/>
    <col min="1535" max="1535" width="10.85546875" style="203" customWidth="1"/>
    <col min="1536" max="1537" width="11.42578125" style="203" customWidth="1"/>
    <col min="1538" max="1538" width="10.28515625" style="203" bestFit="1" customWidth="1"/>
    <col min="1539" max="1539" width="12.140625" style="203" customWidth="1"/>
    <col min="1540" max="1540" width="12.28515625" style="203" customWidth="1"/>
    <col min="1541" max="1541" width="17.140625" style="203" customWidth="1"/>
    <col min="1542" max="1542" width="23" style="203" customWidth="1"/>
    <col min="1543" max="1777" width="8.85546875" style="203"/>
    <col min="1778" max="1778" width="4.42578125" style="203" customWidth="1"/>
    <col min="1779" max="1779" width="28.140625" style="203" customWidth="1"/>
    <col min="1780" max="1780" width="11.7109375" style="203" customWidth="1"/>
    <col min="1781" max="1781" width="11.85546875" style="203" customWidth="1"/>
    <col min="1782" max="1785" width="11" style="203" customWidth="1"/>
    <col min="1786" max="1786" width="12.7109375" style="203" customWidth="1"/>
    <col min="1787" max="1787" width="9.85546875" style="203" customWidth="1"/>
    <col min="1788" max="1788" width="14" style="203" customWidth="1"/>
    <col min="1789" max="1789" width="12" style="203" customWidth="1"/>
    <col min="1790" max="1790" width="11.7109375" style="203" customWidth="1"/>
    <col min="1791" max="1791" width="10.85546875" style="203" customWidth="1"/>
    <col min="1792" max="1793" width="11.42578125" style="203" customWidth="1"/>
    <col min="1794" max="1794" width="10.28515625" style="203" bestFit="1" customWidth="1"/>
    <col min="1795" max="1795" width="12.140625" style="203" customWidth="1"/>
    <col min="1796" max="1796" width="12.28515625" style="203" customWidth="1"/>
    <col min="1797" max="1797" width="17.140625" style="203" customWidth="1"/>
    <col min="1798" max="1798" width="23" style="203" customWidth="1"/>
    <col min="1799" max="2033" width="8.85546875" style="203"/>
    <col min="2034" max="2034" width="4.42578125" style="203" customWidth="1"/>
    <col min="2035" max="2035" width="28.140625" style="203" customWidth="1"/>
    <col min="2036" max="2036" width="11.7109375" style="203" customWidth="1"/>
    <col min="2037" max="2037" width="11.85546875" style="203" customWidth="1"/>
    <col min="2038" max="2041" width="11" style="203" customWidth="1"/>
    <col min="2042" max="2042" width="12.7109375" style="203" customWidth="1"/>
    <col min="2043" max="2043" width="9.85546875" style="203" customWidth="1"/>
    <col min="2044" max="2044" width="14" style="203" customWidth="1"/>
    <col min="2045" max="2045" width="12" style="203" customWidth="1"/>
    <col min="2046" max="2046" width="11.7109375" style="203" customWidth="1"/>
    <col min="2047" max="2047" width="10.85546875" style="203" customWidth="1"/>
    <col min="2048" max="2049" width="11.42578125" style="203" customWidth="1"/>
    <col min="2050" max="2050" width="10.28515625" style="203" bestFit="1" customWidth="1"/>
    <col min="2051" max="2051" width="12.140625" style="203" customWidth="1"/>
    <col min="2052" max="2052" width="12.28515625" style="203" customWidth="1"/>
    <col min="2053" max="2053" width="17.140625" style="203" customWidth="1"/>
    <col min="2054" max="2054" width="23" style="203" customWidth="1"/>
    <col min="2055" max="2289" width="8.85546875" style="203"/>
    <col min="2290" max="2290" width="4.42578125" style="203" customWidth="1"/>
    <col min="2291" max="2291" width="28.140625" style="203" customWidth="1"/>
    <col min="2292" max="2292" width="11.7109375" style="203" customWidth="1"/>
    <col min="2293" max="2293" width="11.85546875" style="203" customWidth="1"/>
    <col min="2294" max="2297" width="11" style="203" customWidth="1"/>
    <col min="2298" max="2298" width="12.7109375" style="203" customWidth="1"/>
    <col min="2299" max="2299" width="9.85546875" style="203" customWidth="1"/>
    <col min="2300" max="2300" width="14" style="203" customWidth="1"/>
    <col min="2301" max="2301" width="12" style="203" customWidth="1"/>
    <col min="2302" max="2302" width="11.7109375" style="203" customWidth="1"/>
    <col min="2303" max="2303" width="10.85546875" style="203" customWidth="1"/>
    <col min="2304" max="2305" width="11.42578125" style="203" customWidth="1"/>
    <col min="2306" max="2306" width="10.28515625" style="203" bestFit="1" customWidth="1"/>
    <col min="2307" max="2307" width="12.140625" style="203" customWidth="1"/>
    <col min="2308" max="2308" width="12.28515625" style="203" customWidth="1"/>
    <col min="2309" max="2309" width="17.140625" style="203" customWidth="1"/>
    <col min="2310" max="2310" width="23" style="203" customWidth="1"/>
    <col min="2311" max="2545" width="8.85546875" style="203"/>
    <col min="2546" max="2546" width="4.42578125" style="203" customWidth="1"/>
    <col min="2547" max="2547" width="28.140625" style="203" customWidth="1"/>
    <col min="2548" max="2548" width="11.7109375" style="203" customWidth="1"/>
    <col min="2549" max="2549" width="11.85546875" style="203" customWidth="1"/>
    <col min="2550" max="2553" width="11" style="203" customWidth="1"/>
    <col min="2554" max="2554" width="12.7109375" style="203" customWidth="1"/>
    <col min="2555" max="2555" width="9.85546875" style="203" customWidth="1"/>
    <col min="2556" max="2556" width="14" style="203" customWidth="1"/>
    <col min="2557" max="2557" width="12" style="203" customWidth="1"/>
    <col min="2558" max="2558" width="11.7109375" style="203" customWidth="1"/>
    <col min="2559" max="2559" width="10.85546875" style="203" customWidth="1"/>
    <col min="2560" max="2561" width="11.42578125" style="203" customWidth="1"/>
    <col min="2562" max="2562" width="10.28515625" style="203" bestFit="1" customWidth="1"/>
    <col min="2563" max="2563" width="12.140625" style="203" customWidth="1"/>
    <col min="2564" max="2564" width="12.28515625" style="203" customWidth="1"/>
    <col min="2565" max="2565" width="17.140625" style="203" customWidth="1"/>
    <col min="2566" max="2566" width="23" style="203" customWidth="1"/>
    <col min="2567" max="2801" width="8.85546875" style="203"/>
    <col min="2802" max="2802" width="4.42578125" style="203" customWidth="1"/>
    <col min="2803" max="2803" width="28.140625" style="203" customWidth="1"/>
    <col min="2804" max="2804" width="11.7109375" style="203" customWidth="1"/>
    <col min="2805" max="2805" width="11.85546875" style="203" customWidth="1"/>
    <col min="2806" max="2809" width="11" style="203" customWidth="1"/>
    <col min="2810" max="2810" width="12.7109375" style="203" customWidth="1"/>
    <col min="2811" max="2811" width="9.85546875" style="203" customWidth="1"/>
    <col min="2812" max="2812" width="14" style="203" customWidth="1"/>
    <col min="2813" max="2813" width="12" style="203" customWidth="1"/>
    <col min="2814" max="2814" width="11.7109375" style="203" customWidth="1"/>
    <col min="2815" max="2815" width="10.85546875" style="203" customWidth="1"/>
    <col min="2816" max="2817" width="11.42578125" style="203" customWidth="1"/>
    <col min="2818" max="2818" width="10.28515625" style="203" bestFit="1" customWidth="1"/>
    <col min="2819" max="2819" width="12.140625" style="203" customWidth="1"/>
    <col min="2820" max="2820" width="12.28515625" style="203" customWidth="1"/>
    <col min="2821" max="2821" width="17.140625" style="203" customWidth="1"/>
    <col min="2822" max="2822" width="23" style="203" customWidth="1"/>
    <col min="2823" max="3057" width="8.85546875" style="203"/>
    <col min="3058" max="3058" width="4.42578125" style="203" customWidth="1"/>
    <col min="3059" max="3059" width="28.140625" style="203" customWidth="1"/>
    <col min="3060" max="3060" width="11.7109375" style="203" customWidth="1"/>
    <col min="3061" max="3061" width="11.85546875" style="203" customWidth="1"/>
    <col min="3062" max="3065" width="11" style="203" customWidth="1"/>
    <col min="3066" max="3066" width="12.7109375" style="203" customWidth="1"/>
    <col min="3067" max="3067" width="9.85546875" style="203" customWidth="1"/>
    <col min="3068" max="3068" width="14" style="203" customWidth="1"/>
    <col min="3069" max="3069" width="12" style="203" customWidth="1"/>
    <col min="3070" max="3070" width="11.7109375" style="203" customWidth="1"/>
    <col min="3071" max="3071" width="10.85546875" style="203" customWidth="1"/>
    <col min="3072" max="3073" width="11.42578125" style="203" customWidth="1"/>
    <col min="3074" max="3074" width="10.28515625" style="203" bestFit="1" customWidth="1"/>
    <col min="3075" max="3075" width="12.140625" style="203" customWidth="1"/>
    <col min="3076" max="3076" width="12.28515625" style="203" customWidth="1"/>
    <col min="3077" max="3077" width="17.140625" style="203" customWidth="1"/>
    <col min="3078" max="3078" width="23" style="203" customWidth="1"/>
    <col min="3079" max="3313" width="8.85546875" style="203"/>
    <col min="3314" max="3314" width="4.42578125" style="203" customWidth="1"/>
    <col min="3315" max="3315" width="28.140625" style="203" customWidth="1"/>
    <col min="3316" max="3316" width="11.7109375" style="203" customWidth="1"/>
    <col min="3317" max="3317" width="11.85546875" style="203" customWidth="1"/>
    <col min="3318" max="3321" width="11" style="203" customWidth="1"/>
    <col min="3322" max="3322" width="12.7109375" style="203" customWidth="1"/>
    <col min="3323" max="3323" width="9.85546875" style="203" customWidth="1"/>
    <col min="3324" max="3324" width="14" style="203" customWidth="1"/>
    <col min="3325" max="3325" width="12" style="203" customWidth="1"/>
    <col min="3326" max="3326" width="11.7109375" style="203" customWidth="1"/>
    <col min="3327" max="3327" width="10.85546875" style="203" customWidth="1"/>
    <col min="3328" max="3329" width="11.42578125" style="203" customWidth="1"/>
    <col min="3330" max="3330" width="10.28515625" style="203" bestFit="1" customWidth="1"/>
    <col min="3331" max="3331" width="12.140625" style="203" customWidth="1"/>
    <col min="3332" max="3332" width="12.28515625" style="203" customWidth="1"/>
    <col min="3333" max="3333" width="17.140625" style="203" customWidth="1"/>
    <col min="3334" max="3334" width="23" style="203" customWidth="1"/>
    <col min="3335" max="3569" width="8.85546875" style="203"/>
    <col min="3570" max="3570" width="4.42578125" style="203" customWidth="1"/>
    <col min="3571" max="3571" width="28.140625" style="203" customWidth="1"/>
    <col min="3572" max="3572" width="11.7109375" style="203" customWidth="1"/>
    <col min="3573" max="3573" width="11.85546875" style="203" customWidth="1"/>
    <col min="3574" max="3577" width="11" style="203" customWidth="1"/>
    <col min="3578" max="3578" width="12.7109375" style="203" customWidth="1"/>
    <col min="3579" max="3579" width="9.85546875" style="203" customWidth="1"/>
    <col min="3580" max="3580" width="14" style="203" customWidth="1"/>
    <col min="3581" max="3581" width="12" style="203" customWidth="1"/>
    <col min="3582" max="3582" width="11.7109375" style="203" customWidth="1"/>
    <col min="3583" max="3583" width="10.85546875" style="203" customWidth="1"/>
    <col min="3584" max="3585" width="11.42578125" style="203" customWidth="1"/>
    <col min="3586" max="3586" width="10.28515625" style="203" bestFit="1" customWidth="1"/>
    <col min="3587" max="3587" width="12.140625" style="203" customWidth="1"/>
    <col min="3588" max="3588" width="12.28515625" style="203" customWidth="1"/>
    <col min="3589" max="3589" width="17.140625" style="203" customWidth="1"/>
    <col min="3590" max="3590" width="23" style="203" customWidth="1"/>
    <col min="3591" max="3825" width="8.85546875" style="203"/>
    <col min="3826" max="3826" width="4.42578125" style="203" customWidth="1"/>
    <col min="3827" max="3827" width="28.140625" style="203" customWidth="1"/>
    <col min="3828" max="3828" width="11.7109375" style="203" customWidth="1"/>
    <col min="3829" max="3829" width="11.85546875" style="203" customWidth="1"/>
    <col min="3830" max="3833" width="11" style="203" customWidth="1"/>
    <col min="3834" max="3834" width="12.7109375" style="203" customWidth="1"/>
    <col min="3835" max="3835" width="9.85546875" style="203" customWidth="1"/>
    <col min="3836" max="3836" width="14" style="203" customWidth="1"/>
    <col min="3837" max="3837" width="12" style="203" customWidth="1"/>
    <col min="3838" max="3838" width="11.7109375" style="203" customWidth="1"/>
    <col min="3839" max="3839" width="10.85546875" style="203" customWidth="1"/>
    <col min="3840" max="3841" width="11.42578125" style="203" customWidth="1"/>
    <col min="3842" max="3842" width="10.28515625" style="203" bestFit="1" customWidth="1"/>
    <col min="3843" max="3843" width="12.140625" style="203" customWidth="1"/>
    <col min="3844" max="3844" width="12.28515625" style="203" customWidth="1"/>
    <col min="3845" max="3845" width="17.140625" style="203" customWidth="1"/>
    <col min="3846" max="3846" width="23" style="203" customWidth="1"/>
    <col min="3847" max="4081" width="8.85546875" style="203"/>
    <col min="4082" max="4082" width="4.42578125" style="203" customWidth="1"/>
    <col min="4083" max="4083" width="28.140625" style="203" customWidth="1"/>
    <col min="4084" max="4084" width="11.7109375" style="203" customWidth="1"/>
    <col min="4085" max="4085" width="11.85546875" style="203" customWidth="1"/>
    <col min="4086" max="4089" width="11" style="203" customWidth="1"/>
    <col min="4090" max="4090" width="12.7109375" style="203" customWidth="1"/>
    <col min="4091" max="4091" width="9.85546875" style="203" customWidth="1"/>
    <col min="4092" max="4092" width="14" style="203" customWidth="1"/>
    <col min="4093" max="4093" width="12" style="203" customWidth="1"/>
    <col min="4094" max="4094" width="11.7109375" style="203" customWidth="1"/>
    <col min="4095" max="4095" width="10.85546875" style="203" customWidth="1"/>
    <col min="4096" max="4097" width="11.42578125" style="203" customWidth="1"/>
    <col min="4098" max="4098" width="10.28515625" style="203" bestFit="1" customWidth="1"/>
    <col min="4099" max="4099" width="12.140625" style="203" customWidth="1"/>
    <col min="4100" max="4100" width="12.28515625" style="203" customWidth="1"/>
    <col min="4101" max="4101" width="17.140625" style="203" customWidth="1"/>
    <col min="4102" max="4102" width="23" style="203" customWidth="1"/>
    <col min="4103" max="4337" width="8.85546875" style="203"/>
    <col min="4338" max="4338" width="4.42578125" style="203" customWidth="1"/>
    <col min="4339" max="4339" width="28.140625" style="203" customWidth="1"/>
    <col min="4340" max="4340" width="11.7109375" style="203" customWidth="1"/>
    <col min="4341" max="4341" width="11.85546875" style="203" customWidth="1"/>
    <col min="4342" max="4345" width="11" style="203" customWidth="1"/>
    <col min="4346" max="4346" width="12.7109375" style="203" customWidth="1"/>
    <col min="4347" max="4347" width="9.85546875" style="203" customWidth="1"/>
    <col min="4348" max="4348" width="14" style="203" customWidth="1"/>
    <col min="4349" max="4349" width="12" style="203" customWidth="1"/>
    <col min="4350" max="4350" width="11.7109375" style="203" customWidth="1"/>
    <col min="4351" max="4351" width="10.85546875" style="203" customWidth="1"/>
    <col min="4352" max="4353" width="11.42578125" style="203" customWidth="1"/>
    <col min="4354" max="4354" width="10.28515625" style="203" bestFit="1" customWidth="1"/>
    <col min="4355" max="4355" width="12.140625" style="203" customWidth="1"/>
    <col min="4356" max="4356" width="12.28515625" style="203" customWidth="1"/>
    <col min="4357" max="4357" width="17.140625" style="203" customWidth="1"/>
    <col min="4358" max="4358" width="23" style="203" customWidth="1"/>
    <col min="4359" max="4593" width="8.85546875" style="203"/>
    <col min="4594" max="4594" width="4.42578125" style="203" customWidth="1"/>
    <col min="4595" max="4595" width="28.140625" style="203" customWidth="1"/>
    <col min="4596" max="4596" width="11.7109375" style="203" customWidth="1"/>
    <col min="4597" max="4597" width="11.85546875" style="203" customWidth="1"/>
    <col min="4598" max="4601" width="11" style="203" customWidth="1"/>
    <col min="4602" max="4602" width="12.7109375" style="203" customWidth="1"/>
    <col min="4603" max="4603" width="9.85546875" style="203" customWidth="1"/>
    <col min="4604" max="4604" width="14" style="203" customWidth="1"/>
    <col min="4605" max="4605" width="12" style="203" customWidth="1"/>
    <col min="4606" max="4606" width="11.7109375" style="203" customWidth="1"/>
    <col min="4607" max="4607" width="10.85546875" style="203" customWidth="1"/>
    <col min="4608" max="4609" width="11.42578125" style="203" customWidth="1"/>
    <col min="4610" max="4610" width="10.28515625" style="203" bestFit="1" customWidth="1"/>
    <col min="4611" max="4611" width="12.140625" style="203" customWidth="1"/>
    <col min="4612" max="4612" width="12.28515625" style="203" customWidth="1"/>
    <col min="4613" max="4613" width="17.140625" style="203" customWidth="1"/>
    <col min="4614" max="4614" width="23" style="203" customWidth="1"/>
    <col min="4615" max="4849" width="8.85546875" style="203"/>
    <col min="4850" max="4850" width="4.42578125" style="203" customWidth="1"/>
    <col min="4851" max="4851" width="28.140625" style="203" customWidth="1"/>
    <col min="4852" max="4852" width="11.7109375" style="203" customWidth="1"/>
    <col min="4853" max="4853" width="11.85546875" style="203" customWidth="1"/>
    <col min="4854" max="4857" width="11" style="203" customWidth="1"/>
    <col min="4858" max="4858" width="12.7109375" style="203" customWidth="1"/>
    <col min="4859" max="4859" width="9.85546875" style="203" customWidth="1"/>
    <col min="4860" max="4860" width="14" style="203" customWidth="1"/>
    <col min="4861" max="4861" width="12" style="203" customWidth="1"/>
    <col min="4862" max="4862" width="11.7109375" style="203" customWidth="1"/>
    <col min="4863" max="4863" width="10.85546875" style="203" customWidth="1"/>
    <col min="4864" max="4865" width="11.42578125" style="203" customWidth="1"/>
    <col min="4866" max="4866" width="10.28515625" style="203" bestFit="1" customWidth="1"/>
    <col min="4867" max="4867" width="12.140625" style="203" customWidth="1"/>
    <col min="4868" max="4868" width="12.28515625" style="203" customWidth="1"/>
    <col min="4869" max="4869" width="17.140625" style="203" customWidth="1"/>
    <col min="4870" max="4870" width="23" style="203" customWidth="1"/>
    <col min="4871" max="5105" width="8.85546875" style="203"/>
    <col min="5106" max="5106" width="4.42578125" style="203" customWidth="1"/>
    <col min="5107" max="5107" width="28.140625" style="203" customWidth="1"/>
    <col min="5108" max="5108" width="11.7109375" style="203" customWidth="1"/>
    <col min="5109" max="5109" width="11.85546875" style="203" customWidth="1"/>
    <col min="5110" max="5113" width="11" style="203" customWidth="1"/>
    <col min="5114" max="5114" width="12.7109375" style="203" customWidth="1"/>
    <col min="5115" max="5115" width="9.85546875" style="203" customWidth="1"/>
    <col min="5116" max="5116" width="14" style="203" customWidth="1"/>
    <col min="5117" max="5117" width="12" style="203" customWidth="1"/>
    <col min="5118" max="5118" width="11.7109375" style="203" customWidth="1"/>
    <col min="5119" max="5119" width="10.85546875" style="203" customWidth="1"/>
    <col min="5120" max="5121" width="11.42578125" style="203" customWidth="1"/>
    <col min="5122" max="5122" width="10.28515625" style="203" bestFit="1" customWidth="1"/>
    <col min="5123" max="5123" width="12.140625" style="203" customWidth="1"/>
    <col min="5124" max="5124" width="12.28515625" style="203" customWidth="1"/>
    <col min="5125" max="5125" width="17.140625" style="203" customWidth="1"/>
    <col min="5126" max="5126" width="23" style="203" customWidth="1"/>
    <col min="5127" max="5361" width="8.85546875" style="203"/>
    <col min="5362" max="5362" width="4.42578125" style="203" customWidth="1"/>
    <col min="5363" max="5363" width="28.140625" style="203" customWidth="1"/>
    <col min="5364" max="5364" width="11.7109375" style="203" customWidth="1"/>
    <col min="5365" max="5365" width="11.85546875" style="203" customWidth="1"/>
    <col min="5366" max="5369" width="11" style="203" customWidth="1"/>
    <col min="5370" max="5370" width="12.7109375" style="203" customWidth="1"/>
    <col min="5371" max="5371" width="9.85546875" style="203" customWidth="1"/>
    <col min="5372" max="5372" width="14" style="203" customWidth="1"/>
    <col min="5373" max="5373" width="12" style="203" customWidth="1"/>
    <col min="5374" max="5374" width="11.7109375" style="203" customWidth="1"/>
    <col min="5375" max="5375" width="10.85546875" style="203" customWidth="1"/>
    <col min="5376" max="5377" width="11.42578125" style="203" customWidth="1"/>
    <col min="5378" max="5378" width="10.28515625" style="203" bestFit="1" customWidth="1"/>
    <col min="5379" max="5379" width="12.140625" style="203" customWidth="1"/>
    <col min="5380" max="5380" width="12.28515625" style="203" customWidth="1"/>
    <col min="5381" max="5381" width="17.140625" style="203" customWidth="1"/>
    <col min="5382" max="5382" width="23" style="203" customWidth="1"/>
    <col min="5383" max="5617" width="8.85546875" style="203"/>
    <col min="5618" max="5618" width="4.42578125" style="203" customWidth="1"/>
    <col min="5619" max="5619" width="28.140625" style="203" customWidth="1"/>
    <col min="5620" max="5620" width="11.7109375" style="203" customWidth="1"/>
    <col min="5621" max="5621" width="11.85546875" style="203" customWidth="1"/>
    <col min="5622" max="5625" width="11" style="203" customWidth="1"/>
    <col min="5626" max="5626" width="12.7109375" style="203" customWidth="1"/>
    <col min="5627" max="5627" width="9.85546875" style="203" customWidth="1"/>
    <col min="5628" max="5628" width="14" style="203" customWidth="1"/>
    <col min="5629" max="5629" width="12" style="203" customWidth="1"/>
    <col min="5630" max="5630" width="11.7109375" style="203" customWidth="1"/>
    <col min="5631" max="5631" width="10.85546875" style="203" customWidth="1"/>
    <col min="5632" max="5633" width="11.42578125" style="203" customWidth="1"/>
    <col min="5634" max="5634" width="10.28515625" style="203" bestFit="1" customWidth="1"/>
    <col min="5635" max="5635" width="12.140625" style="203" customWidth="1"/>
    <col min="5636" max="5636" width="12.28515625" style="203" customWidth="1"/>
    <col min="5637" max="5637" width="17.140625" style="203" customWidth="1"/>
    <col min="5638" max="5638" width="23" style="203" customWidth="1"/>
    <col min="5639" max="5873" width="8.85546875" style="203"/>
    <col min="5874" max="5874" width="4.42578125" style="203" customWidth="1"/>
    <col min="5875" max="5875" width="28.140625" style="203" customWidth="1"/>
    <col min="5876" max="5876" width="11.7109375" style="203" customWidth="1"/>
    <col min="5877" max="5877" width="11.85546875" style="203" customWidth="1"/>
    <col min="5878" max="5881" width="11" style="203" customWidth="1"/>
    <col min="5882" max="5882" width="12.7109375" style="203" customWidth="1"/>
    <col min="5883" max="5883" width="9.85546875" style="203" customWidth="1"/>
    <col min="5884" max="5884" width="14" style="203" customWidth="1"/>
    <col min="5885" max="5885" width="12" style="203" customWidth="1"/>
    <col min="5886" max="5886" width="11.7109375" style="203" customWidth="1"/>
    <col min="5887" max="5887" width="10.85546875" style="203" customWidth="1"/>
    <col min="5888" max="5889" width="11.42578125" style="203" customWidth="1"/>
    <col min="5890" max="5890" width="10.28515625" style="203" bestFit="1" customWidth="1"/>
    <col min="5891" max="5891" width="12.140625" style="203" customWidth="1"/>
    <col min="5892" max="5892" width="12.28515625" style="203" customWidth="1"/>
    <col min="5893" max="5893" width="17.140625" style="203" customWidth="1"/>
    <col min="5894" max="5894" width="23" style="203" customWidth="1"/>
    <col min="5895" max="6129" width="8.85546875" style="203"/>
    <col min="6130" max="6130" width="4.42578125" style="203" customWidth="1"/>
    <col min="6131" max="6131" width="28.140625" style="203" customWidth="1"/>
    <col min="6132" max="6132" width="11.7109375" style="203" customWidth="1"/>
    <col min="6133" max="6133" width="11.85546875" style="203" customWidth="1"/>
    <col min="6134" max="6137" width="11" style="203" customWidth="1"/>
    <col min="6138" max="6138" width="12.7109375" style="203" customWidth="1"/>
    <col min="6139" max="6139" width="9.85546875" style="203" customWidth="1"/>
    <col min="6140" max="6140" width="14" style="203" customWidth="1"/>
    <col min="6141" max="6141" width="12" style="203" customWidth="1"/>
    <col min="6142" max="6142" width="11.7109375" style="203" customWidth="1"/>
    <col min="6143" max="6143" width="10.85546875" style="203" customWidth="1"/>
    <col min="6144" max="6145" width="11.42578125" style="203" customWidth="1"/>
    <col min="6146" max="6146" width="10.28515625" style="203" bestFit="1" customWidth="1"/>
    <col min="6147" max="6147" width="12.140625" style="203" customWidth="1"/>
    <col min="6148" max="6148" width="12.28515625" style="203" customWidth="1"/>
    <col min="6149" max="6149" width="17.140625" style="203" customWidth="1"/>
    <col min="6150" max="6150" width="23" style="203" customWidth="1"/>
    <col min="6151" max="6385" width="8.85546875" style="203"/>
    <col min="6386" max="6386" width="4.42578125" style="203" customWidth="1"/>
    <col min="6387" max="6387" width="28.140625" style="203" customWidth="1"/>
    <col min="6388" max="6388" width="11.7109375" style="203" customWidth="1"/>
    <col min="6389" max="6389" width="11.85546875" style="203" customWidth="1"/>
    <col min="6390" max="6393" width="11" style="203" customWidth="1"/>
    <col min="6394" max="6394" width="12.7109375" style="203" customWidth="1"/>
    <col min="6395" max="6395" width="9.85546875" style="203" customWidth="1"/>
    <col min="6396" max="6396" width="14" style="203" customWidth="1"/>
    <col min="6397" max="6397" width="12" style="203" customWidth="1"/>
    <col min="6398" max="6398" width="11.7109375" style="203" customWidth="1"/>
    <col min="6399" max="6399" width="10.85546875" style="203" customWidth="1"/>
    <col min="6400" max="6401" width="11.42578125" style="203" customWidth="1"/>
    <col min="6402" max="6402" width="10.28515625" style="203" bestFit="1" customWidth="1"/>
    <col min="6403" max="6403" width="12.140625" style="203" customWidth="1"/>
    <col min="6404" max="6404" width="12.28515625" style="203" customWidth="1"/>
    <col min="6405" max="6405" width="17.140625" style="203" customWidth="1"/>
    <col min="6406" max="6406" width="23" style="203" customWidth="1"/>
    <col min="6407" max="6641" width="8.85546875" style="203"/>
    <col min="6642" max="6642" width="4.42578125" style="203" customWidth="1"/>
    <col min="6643" max="6643" width="28.140625" style="203" customWidth="1"/>
    <col min="6644" max="6644" width="11.7109375" style="203" customWidth="1"/>
    <col min="6645" max="6645" width="11.85546875" style="203" customWidth="1"/>
    <col min="6646" max="6649" width="11" style="203" customWidth="1"/>
    <col min="6650" max="6650" width="12.7109375" style="203" customWidth="1"/>
    <col min="6651" max="6651" width="9.85546875" style="203" customWidth="1"/>
    <col min="6652" max="6652" width="14" style="203" customWidth="1"/>
    <col min="6653" max="6653" width="12" style="203" customWidth="1"/>
    <col min="6654" max="6654" width="11.7109375" style="203" customWidth="1"/>
    <col min="6655" max="6655" width="10.85546875" style="203" customWidth="1"/>
    <col min="6656" max="6657" width="11.42578125" style="203" customWidth="1"/>
    <col min="6658" max="6658" width="10.28515625" style="203" bestFit="1" customWidth="1"/>
    <col min="6659" max="6659" width="12.140625" style="203" customWidth="1"/>
    <col min="6660" max="6660" width="12.28515625" style="203" customWidth="1"/>
    <col min="6661" max="6661" width="17.140625" style="203" customWidth="1"/>
    <col min="6662" max="6662" width="23" style="203" customWidth="1"/>
    <col min="6663" max="6897" width="8.85546875" style="203"/>
    <col min="6898" max="6898" width="4.42578125" style="203" customWidth="1"/>
    <col min="6899" max="6899" width="28.140625" style="203" customWidth="1"/>
    <col min="6900" max="6900" width="11.7109375" style="203" customWidth="1"/>
    <col min="6901" max="6901" width="11.85546875" style="203" customWidth="1"/>
    <col min="6902" max="6905" width="11" style="203" customWidth="1"/>
    <col min="6906" max="6906" width="12.7109375" style="203" customWidth="1"/>
    <col min="6907" max="6907" width="9.85546875" style="203" customWidth="1"/>
    <col min="6908" max="6908" width="14" style="203" customWidth="1"/>
    <col min="6909" max="6909" width="12" style="203" customWidth="1"/>
    <col min="6910" max="6910" width="11.7109375" style="203" customWidth="1"/>
    <col min="6911" max="6911" width="10.85546875" style="203" customWidth="1"/>
    <col min="6912" max="6913" width="11.42578125" style="203" customWidth="1"/>
    <col min="6914" max="6914" width="10.28515625" style="203" bestFit="1" customWidth="1"/>
    <col min="6915" max="6915" width="12.140625" style="203" customWidth="1"/>
    <col min="6916" max="6916" width="12.28515625" style="203" customWidth="1"/>
    <col min="6917" max="6917" width="17.140625" style="203" customWidth="1"/>
    <col min="6918" max="6918" width="23" style="203" customWidth="1"/>
    <col min="6919" max="7153" width="8.85546875" style="203"/>
    <col min="7154" max="7154" width="4.42578125" style="203" customWidth="1"/>
    <col min="7155" max="7155" width="28.140625" style="203" customWidth="1"/>
    <col min="7156" max="7156" width="11.7109375" style="203" customWidth="1"/>
    <col min="7157" max="7157" width="11.85546875" style="203" customWidth="1"/>
    <col min="7158" max="7161" width="11" style="203" customWidth="1"/>
    <col min="7162" max="7162" width="12.7109375" style="203" customWidth="1"/>
    <col min="7163" max="7163" width="9.85546875" style="203" customWidth="1"/>
    <col min="7164" max="7164" width="14" style="203" customWidth="1"/>
    <col min="7165" max="7165" width="12" style="203" customWidth="1"/>
    <col min="7166" max="7166" width="11.7109375" style="203" customWidth="1"/>
    <col min="7167" max="7167" width="10.85546875" style="203" customWidth="1"/>
    <col min="7168" max="7169" width="11.42578125" style="203" customWidth="1"/>
    <col min="7170" max="7170" width="10.28515625" style="203" bestFit="1" customWidth="1"/>
    <col min="7171" max="7171" width="12.140625" style="203" customWidth="1"/>
    <col min="7172" max="7172" width="12.28515625" style="203" customWidth="1"/>
    <col min="7173" max="7173" width="17.140625" style="203" customWidth="1"/>
    <col min="7174" max="7174" width="23" style="203" customWidth="1"/>
    <col min="7175" max="7409" width="8.85546875" style="203"/>
    <col min="7410" max="7410" width="4.42578125" style="203" customWidth="1"/>
    <col min="7411" max="7411" width="28.140625" style="203" customWidth="1"/>
    <col min="7412" max="7412" width="11.7109375" style="203" customWidth="1"/>
    <col min="7413" max="7413" width="11.85546875" style="203" customWidth="1"/>
    <col min="7414" max="7417" width="11" style="203" customWidth="1"/>
    <col min="7418" max="7418" width="12.7109375" style="203" customWidth="1"/>
    <col min="7419" max="7419" width="9.85546875" style="203" customWidth="1"/>
    <col min="7420" max="7420" width="14" style="203" customWidth="1"/>
    <col min="7421" max="7421" width="12" style="203" customWidth="1"/>
    <col min="7422" max="7422" width="11.7109375" style="203" customWidth="1"/>
    <col min="7423" max="7423" width="10.85546875" style="203" customWidth="1"/>
    <col min="7424" max="7425" width="11.42578125" style="203" customWidth="1"/>
    <col min="7426" max="7426" width="10.28515625" style="203" bestFit="1" customWidth="1"/>
    <col min="7427" max="7427" width="12.140625" style="203" customWidth="1"/>
    <col min="7428" max="7428" width="12.28515625" style="203" customWidth="1"/>
    <col min="7429" max="7429" width="17.140625" style="203" customWidth="1"/>
    <col min="7430" max="7430" width="23" style="203" customWidth="1"/>
    <col min="7431" max="7665" width="8.85546875" style="203"/>
    <col min="7666" max="7666" width="4.42578125" style="203" customWidth="1"/>
    <col min="7667" max="7667" width="28.140625" style="203" customWidth="1"/>
    <col min="7668" max="7668" width="11.7109375" style="203" customWidth="1"/>
    <col min="7669" max="7669" width="11.85546875" style="203" customWidth="1"/>
    <col min="7670" max="7673" width="11" style="203" customWidth="1"/>
    <col min="7674" max="7674" width="12.7109375" style="203" customWidth="1"/>
    <col min="7675" max="7675" width="9.85546875" style="203" customWidth="1"/>
    <col min="7676" max="7676" width="14" style="203" customWidth="1"/>
    <col min="7677" max="7677" width="12" style="203" customWidth="1"/>
    <col min="7678" max="7678" width="11.7109375" style="203" customWidth="1"/>
    <col min="7679" max="7679" width="10.85546875" style="203" customWidth="1"/>
    <col min="7680" max="7681" width="11.42578125" style="203" customWidth="1"/>
    <col min="7682" max="7682" width="10.28515625" style="203" bestFit="1" customWidth="1"/>
    <col min="7683" max="7683" width="12.140625" style="203" customWidth="1"/>
    <col min="7684" max="7684" width="12.28515625" style="203" customWidth="1"/>
    <col min="7685" max="7685" width="17.140625" style="203" customWidth="1"/>
    <col min="7686" max="7686" width="23" style="203" customWidth="1"/>
    <col min="7687" max="7921" width="8.85546875" style="203"/>
    <col min="7922" max="7922" width="4.42578125" style="203" customWidth="1"/>
    <col min="7923" max="7923" width="28.140625" style="203" customWidth="1"/>
    <col min="7924" max="7924" width="11.7109375" style="203" customWidth="1"/>
    <col min="7925" max="7925" width="11.85546875" style="203" customWidth="1"/>
    <col min="7926" max="7929" width="11" style="203" customWidth="1"/>
    <col min="7930" max="7930" width="12.7109375" style="203" customWidth="1"/>
    <col min="7931" max="7931" width="9.85546875" style="203" customWidth="1"/>
    <col min="7932" max="7932" width="14" style="203" customWidth="1"/>
    <col min="7933" max="7933" width="12" style="203" customWidth="1"/>
    <col min="7934" max="7934" width="11.7109375" style="203" customWidth="1"/>
    <col min="7935" max="7935" width="10.85546875" style="203" customWidth="1"/>
    <col min="7936" max="7937" width="11.42578125" style="203" customWidth="1"/>
    <col min="7938" max="7938" width="10.28515625" style="203" bestFit="1" customWidth="1"/>
    <col min="7939" max="7939" width="12.140625" style="203" customWidth="1"/>
    <col min="7940" max="7940" width="12.28515625" style="203" customWidth="1"/>
    <col min="7941" max="7941" width="17.140625" style="203" customWidth="1"/>
    <col min="7942" max="7942" width="23" style="203" customWidth="1"/>
    <col min="7943" max="8177" width="8.85546875" style="203"/>
    <col min="8178" max="8178" width="4.42578125" style="203" customWidth="1"/>
    <col min="8179" max="8179" width="28.140625" style="203" customWidth="1"/>
    <col min="8180" max="8180" width="11.7109375" style="203" customWidth="1"/>
    <col min="8181" max="8181" width="11.85546875" style="203" customWidth="1"/>
    <col min="8182" max="8185" width="11" style="203" customWidth="1"/>
    <col min="8186" max="8186" width="12.7109375" style="203" customWidth="1"/>
    <col min="8187" max="8187" width="9.85546875" style="203" customWidth="1"/>
    <col min="8188" max="8188" width="14" style="203" customWidth="1"/>
    <col min="8189" max="8189" width="12" style="203" customWidth="1"/>
    <col min="8190" max="8190" width="11.7109375" style="203" customWidth="1"/>
    <col min="8191" max="8191" width="10.85546875" style="203" customWidth="1"/>
    <col min="8192" max="8193" width="11.42578125" style="203" customWidth="1"/>
    <col min="8194" max="8194" width="10.28515625" style="203" bestFit="1" customWidth="1"/>
    <col min="8195" max="8195" width="12.140625" style="203" customWidth="1"/>
    <col min="8196" max="8196" width="12.28515625" style="203" customWidth="1"/>
    <col min="8197" max="8197" width="17.140625" style="203" customWidth="1"/>
    <col min="8198" max="8198" width="23" style="203" customWidth="1"/>
    <col min="8199" max="8433" width="8.85546875" style="203"/>
    <col min="8434" max="8434" width="4.42578125" style="203" customWidth="1"/>
    <col min="8435" max="8435" width="28.140625" style="203" customWidth="1"/>
    <col min="8436" max="8436" width="11.7109375" style="203" customWidth="1"/>
    <col min="8437" max="8437" width="11.85546875" style="203" customWidth="1"/>
    <col min="8438" max="8441" width="11" style="203" customWidth="1"/>
    <col min="8442" max="8442" width="12.7109375" style="203" customWidth="1"/>
    <col min="8443" max="8443" width="9.85546875" style="203" customWidth="1"/>
    <col min="8444" max="8444" width="14" style="203" customWidth="1"/>
    <col min="8445" max="8445" width="12" style="203" customWidth="1"/>
    <col min="8446" max="8446" width="11.7109375" style="203" customWidth="1"/>
    <col min="8447" max="8447" width="10.85546875" style="203" customWidth="1"/>
    <col min="8448" max="8449" width="11.42578125" style="203" customWidth="1"/>
    <col min="8450" max="8450" width="10.28515625" style="203" bestFit="1" customWidth="1"/>
    <col min="8451" max="8451" width="12.140625" style="203" customWidth="1"/>
    <col min="8452" max="8452" width="12.28515625" style="203" customWidth="1"/>
    <col min="8453" max="8453" width="17.140625" style="203" customWidth="1"/>
    <col min="8454" max="8454" width="23" style="203" customWidth="1"/>
    <col min="8455" max="8689" width="8.85546875" style="203"/>
    <col min="8690" max="8690" width="4.42578125" style="203" customWidth="1"/>
    <col min="8691" max="8691" width="28.140625" style="203" customWidth="1"/>
    <col min="8692" max="8692" width="11.7109375" style="203" customWidth="1"/>
    <col min="8693" max="8693" width="11.85546875" style="203" customWidth="1"/>
    <col min="8694" max="8697" width="11" style="203" customWidth="1"/>
    <col min="8698" max="8698" width="12.7109375" style="203" customWidth="1"/>
    <col min="8699" max="8699" width="9.85546875" style="203" customWidth="1"/>
    <col min="8700" max="8700" width="14" style="203" customWidth="1"/>
    <col min="8701" max="8701" width="12" style="203" customWidth="1"/>
    <col min="8702" max="8702" width="11.7109375" style="203" customWidth="1"/>
    <col min="8703" max="8703" width="10.85546875" style="203" customWidth="1"/>
    <col min="8704" max="8705" width="11.42578125" style="203" customWidth="1"/>
    <col min="8706" max="8706" width="10.28515625" style="203" bestFit="1" customWidth="1"/>
    <col min="8707" max="8707" width="12.140625" style="203" customWidth="1"/>
    <col min="8708" max="8708" width="12.28515625" style="203" customWidth="1"/>
    <col min="8709" max="8709" width="17.140625" style="203" customWidth="1"/>
    <col min="8710" max="8710" width="23" style="203" customWidth="1"/>
    <col min="8711" max="8945" width="8.85546875" style="203"/>
    <col min="8946" max="8946" width="4.42578125" style="203" customWidth="1"/>
    <col min="8947" max="8947" width="28.140625" style="203" customWidth="1"/>
    <col min="8948" max="8948" width="11.7109375" style="203" customWidth="1"/>
    <col min="8949" max="8949" width="11.85546875" style="203" customWidth="1"/>
    <col min="8950" max="8953" width="11" style="203" customWidth="1"/>
    <col min="8954" max="8954" width="12.7109375" style="203" customWidth="1"/>
    <col min="8955" max="8955" width="9.85546875" style="203" customWidth="1"/>
    <col min="8956" max="8956" width="14" style="203" customWidth="1"/>
    <col min="8957" max="8957" width="12" style="203" customWidth="1"/>
    <col min="8958" max="8958" width="11.7109375" style="203" customWidth="1"/>
    <col min="8959" max="8959" width="10.85546875" style="203" customWidth="1"/>
    <col min="8960" max="8961" width="11.42578125" style="203" customWidth="1"/>
    <col min="8962" max="8962" width="10.28515625" style="203" bestFit="1" customWidth="1"/>
    <col min="8963" max="8963" width="12.140625" style="203" customWidth="1"/>
    <col min="8964" max="8964" width="12.28515625" style="203" customWidth="1"/>
    <col min="8965" max="8965" width="17.140625" style="203" customWidth="1"/>
    <col min="8966" max="8966" width="23" style="203" customWidth="1"/>
    <col min="8967" max="9201" width="8.85546875" style="203"/>
    <col min="9202" max="9202" width="4.42578125" style="203" customWidth="1"/>
    <col min="9203" max="9203" width="28.140625" style="203" customWidth="1"/>
    <col min="9204" max="9204" width="11.7109375" style="203" customWidth="1"/>
    <col min="9205" max="9205" width="11.85546875" style="203" customWidth="1"/>
    <col min="9206" max="9209" width="11" style="203" customWidth="1"/>
    <col min="9210" max="9210" width="12.7109375" style="203" customWidth="1"/>
    <col min="9211" max="9211" width="9.85546875" style="203" customWidth="1"/>
    <col min="9212" max="9212" width="14" style="203" customWidth="1"/>
    <col min="9213" max="9213" width="12" style="203" customWidth="1"/>
    <col min="9214" max="9214" width="11.7109375" style="203" customWidth="1"/>
    <col min="9215" max="9215" width="10.85546875" style="203" customWidth="1"/>
    <col min="9216" max="9217" width="11.42578125" style="203" customWidth="1"/>
    <col min="9218" max="9218" width="10.28515625" style="203" bestFit="1" customWidth="1"/>
    <col min="9219" max="9219" width="12.140625" style="203" customWidth="1"/>
    <col min="9220" max="9220" width="12.28515625" style="203" customWidth="1"/>
    <col min="9221" max="9221" width="17.140625" style="203" customWidth="1"/>
    <col min="9222" max="9222" width="23" style="203" customWidth="1"/>
    <col min="9223" max="9457" width="8.85546875" style="203"/>
    <col min="9458" max="9458" width="4.42578125" style="203" customWidth="1"/>
    <col min="9459" max="9459" width="28.140625" style="203" customWidth="1"/>
    <col min="9460" max="9460" width="11.7109375" style="203" customWidth="1"/>
    <col min="9461" max="9461" width="11.85546875" style="203" customWidth="1"/>
    <col min="9462" max="9465" width="11" style="203" customWidth="1"/>
    <col min="9466" max="9466" width="12.7109375" style="203" customWidth="1"/>
    <col min="9467" max="9467" width="9.85546875" style="203" customWidth="1"/>
    <col min="9468" max="9468" width="14" style="203" customWidth="1"/>
    <col min="9469" max="9469" width="12" style="203" customWidth="1"/>
    <col min="9470" max="9470" width="11.7109375" style="203" customWidth="1"/>
    <col min="9471" max="9471" width="10.85546875" style="203" customWidth="1"/>
    <col min="9472" max="9473" width="11.42578125" style="203" customWidth="1"/>
    <col min="9474" max="9474" width="10.28515625" style="203" bestFit="1" customWidth="1"/>
    <col min="9475" max="9475" width="12.140625" style="203" customWidth="1"/>
    <col min="9476" max="9476" width="12.28515625" style="203" customWidth="1"/>
    <col min="9477" max="9477" width="17.140625" style="203" customWidth="1"/>
    <col min="9478" max="9478" width="23" style="203" customWidth="1"/>
    <col min="9479" max="9713" width="8.85546875" style="203"/>
    <col min="9714" max="9714" width="4.42578125" style="203" customWidth="1"/>
    <col min="9715" max="9715" width="28.140625" style="203" customWidth="1"/>
    <col min="9716" max="9716" width="11.7109375" style="203" customWidth="1"/>
    <col min="9717" max="9717" width="11.85546875" style="203" customWidth="1"/>
    <col min="9718" max="9721" width="11" style="203" customWidth="1"/>
    <col min="9722" max="9722" width="12.7109375" style="203" customWidth="1"/>
    <col min="9723" max="9723" width="9.85546875" style="203" customWidth="1"/>
    <col min="9724" max="9724" width="14" style="203" customWidth="1"/>
    <col min="9725" max="9725" width="12" style="203" customWidth="1"/>
    <col min="9726" max="9726" width="11.7109375" style="203" customWidth="1"/>
    <col min="9727" max="9727" width="10.85546875" style="203" customWidth="1"/>
    <col min="9728" max="9729" width="11.42578125" style="203" customWidth="1"/>
    <col min="9730" max="9730" width="10.28515625" style="203" bestFit="1" customWidth="1"/>
    <col min="9731" max="9731" width="12.140625" style="203" customWidth="1"/>
    <col min="9732" max="9732" width="12.28515625" style="203" customWidth="1"/>
    <col min="9733" max="9733" width="17.140625" style="203" customWidth="1"/>
    <col min="9734" max="9734" width="23" style="203" customWidth="1"/>
    <col min="9735" max="9969" width="8.85546875" style="203"/>
    <col min="9970" max="9970" width="4.42578125" style="203" customWidth="1"/>
    <col min="9971" max="9971" width="28.140625" style="203" customWidth="1"/>
    <col min="9972" max="9972" width="11.7109375" style="203" customWidth="1"/>
    <col min="9973" max="9973" width="11.85546875" style="203" customWidth="1"/>
    <col min="9974" max="9977" width="11" style="203" customWidth="1"/>
    <col min="9978" max="9978" width="12.7109375" style="203" customWidth="1"/>
    <col min="9979" max="9979" width="9.85546875" style="203" customWidth="1"/>
    <col min="9980" max="9980" width="14" style="203" customWidth="1"/>
    <col min="9981" max="9981" width="12" style="203" customWidth="1"/>
    <col min="9982" max="9982" width="11.7109375" style="203" customWidth="1"/>
    <col min="9983" max="9983" width="10.85546875" style="203" customWidth="1"/>
    <col min="9984" max="9985" width="11.42578125" style="203" customWidth="1"/>
    <col min="9986" max="9986" width="10.28515625" style="203" bestFit="1" customWidth="1"/>
    <col min="9987" max="9987" width="12.140625" style="203" customWidth="1"/>
    <col min="9988" max="9988" width="12.28515625" style="203" customWidth="1"/>
    <col min="9989" max="9989" width="17.140625" style="203" customWidth="1"/>
    <col min="9990" max="9990" width="23" style="203" customWidth="1"/>
    <col min="9991" max="10225" width="8.85546875" style="203"/>
    <col min="10226" max="10226" width="4.42578125" style="203" customWidth="1"/>
    <col min="10227" max="10227" width="28.140625" style="203" customWidth="1"/>
    <col min="10228" max="10228" width="11.7109375" style="203" customWidth="1"/>
    <col min="10229" max="10229" width="11.85546875" style="203" customWidth="1"/>
    <col min="10230" max="10233" width="11" style="203" customWidth="1"/>
    <col min="10234" max="10234" width="12.7109375" style="203" customWidth="1"/>
    <col min="10235" max="10235" width="9.85546875" style="203" customWidth="1"/>
    <col min="10236" max="10236" width="14" style="203" customWidth="1"/>
    <col min="10237" max="10237" width="12" style="203" customWidth="1"/>
    <col min="10238" max="10238" width="11.7109375" style="203" customWidth="1"/>
    <col min="10239" max="10239" width="10.85546875" style="203" customWidth="1"/>
    <col min="10240" max="10241" width="11.42578125" style="203" customWidth="1"/>
    <col min="10242" max="10242" width="10.28515625" style="203" bestFit="1" customWidth="1"/>
    <col min="10243" max="10243" width="12.140625" style="203" customWidth="1"/>
    <col min="10244" max="10244" width="12.28515625" style="203" customWidth="1"/>
    <col min="10245" max="10245" width="17.140625" style="203" customWidth="1"/>
    <col min="10246" max="10246" width="23" style="203" customWidth="1"/>
    <col min="10247" max="10481" width="8.85546875" style="203"/>
    <col min="10482" max="10482" width="4.42578125" style="203" customWidth="1"/>
    <col min="10483" max="10483" width="28.140625" style="203" customWidth="1"/>
    <col min="10484" max="10484" width="11.7109375" style="203" customWidth="1"/>
    <col min="10485" max="10485" width="11.85546875" style="203" customWidth="1"/>
    <col min="10486" max="10489" width="11" style="203" customWidth="1"/>
    <col min="10490" max="10490" width="12.7109375" style="203" customWidth="1"/>
    <col min="10491" max="10491" width="9.85546875" style="203" customWidth="1"/>
    <col min="10492" max="10492" width="14" style="203" customWidth="1"/>
    <col min="10493" max="10493" width="12" style="203" customWidth="1"/>
    <col min="10494" max="10494" width="11.7109375" style="203" customWidth="1"/>
    <col min="10495" max="10495" width="10.85546875" style="203" customWidth="1"/>
    <col min="10496" max="10497" width="11.42578125" style="203" customWidth="1"/>
    <col min="10498" max="10498" width="10.28515625" style="203" bestFit="1" customWidth="1"/>
    <col min="10499" max="10499" width="12.140625" style="203" customWidth="1"/>
    <col min="10500" max="10500" width="12.28515625" style="203" customWidth="1"/>
    <col min="10501" max="10501" width="17.140625" style="203" customWidth="1"/>
    <col min="10502" max="10502" width="23" style="203" customWidth="1"/>
    <col min="10503" max="10737" width="8.85546875" style="203"/>
    <col min="10738" max="10738" width="4.42578125" style="203" customWidth="1"/>
    <col min="10739" max="10739" width="28.140625" style="203" customWidth="1"/>
    <col min="10740" max="10740" width="11.7109375" style="203" customWidth="1"/>
    <col min="10741" max="10741" width="11.85546875" style="203" customWidth="1"/>
    <col min="10742" max="10745" width="11" style="203" customWidth="1"/>
    <col min="10746" max="10746" width="12.7109375" style="203" customWidth="1"/>
    <col min="10747" max="10747" width="9.85546875" style="203" customWidth="1"/>
    <col min="10748" max="10748" width="14" style="203" customWidth="1"/>
    <col min="10749" max="10749" width="12" style="203" customWidth="1"/>
    <col min="10750" max="10750" width="11.7109375" style="203" customWidth="1"/>
    <col min="10751" max="10751" width="10.85546875" style="203" customWidth="1"/>
    <col min="10752" max="10753" width="11.42578125" style="203" customWidth="1"/>
    <col min="10754" max="10754" width="10.28515625" style="203" bestFit="1" customWidth="1"/>
    <col min="10755" max="10755" width="12.140625" style="203" customWidth="1"/>
    <col min="10756" max="10756" width="12.28515625" style="203" customWidth="1"/>
    <col min="10757" max="10757" width="17.140625" style="203" customWidth="1"/>
    <col min="10758" max="10758" width="23" style="203" customWidth="1"/>
    <col min="10759" max="10993" width="8.85546875" style="203"/>
    <col min="10994" max="10994" width="4.42578125" style="203" customWidth="1"/>
    <col min="10995" max="10995" width="28.140625" style="203" customWidth="1"/>
    <col min="10996" max="10996" width="11.7109375" style="203" customWidth="1"/>
    <col min="10997" max="10997" width="11.85546875" style="203" customWidth="1"/>
    <col min="10998" max="11001" width="11" style="203" customWidth="1"/>
    <col min="11002" max="11002" width="12.7109375" style="203" customWidth="1"/>
    <col min="11003" max="11003" width="9.85546875" style="203" customWidth="1"/>
    <col min="11004" max="11004" width="14" style="203" customWidth="1"/>
    <col min="11005" max="11005" width="12" style="203" customWidth="1"/>
    <col min="11006" max="11006" width="11.7109375" style="203" customWidth="1"/>
    <col min="11007" max="11007" width="10.85546875" style="203" customWidth="1"/>
    <col min="11008" max="11009" width="11.42578125" style="203" customWidth="1"/>
    <col min="11010" max="11010" width="10.28515625" style="203" bestFit="1" customWidth="1"/>
    <col min="11011" max="11011" width="12.140625" style="203" customWidth="1"/>
    <col min="11012" max="11012" width="12.28515625" style="203" customWidth="1"/>
    <col min="11013" max="11013" width="17.140625" style="203" customWidth="1"/>
    <col min="11014" max="11014" width="23" style="203" customWidth="1"/>
    <col min="11015" max="11249" width="8.85546875" style="203"/>
    <col min="11250" max="11250" width="4.42578125" style="203" customWidth="1"/>
    <col min="11251" max="11251" width="28.140625" style="203" customWidth="1"/>
    <col min="11252" max="11252" width="11.7109375" style="203" customWidth="1"/>
    <col min="11253" max="11253" width="11.85546875" style="203" customWidth="1"/>
    <col min="11254" max="11257" width="11" style="203" customWidth="1"/>
    <col min="11258" max="11258" width="12.7109375" style="203" customWidth="1"/>
    <col min="11259" max="11259" width="9.85546875" style="203" customWidth="1"/>
    <col min="11260" max="11260" width="14" style="203" customWidth="1"/>
    <col min="11261" max="11261" width="12" style="203" customWidth="1"/>
    <col min="11262" max="11262" width="11.7109375" style="203" customWidth="1"/>
    <col min="11263" max="11263" width="10.85546875" style="203" customWidth="1"/>
    <col min="11264" max="11265" width="11.42578125" style="203" customWidth="1"/>
    <col min="11266" max="11266" width="10.28515625" style="203" bestFit="1" customWidth="1"/>
    <col min="11267" max="11267" width="12.140625" style="203" customWidth="1"/>
    <col min="11268" max="11268" width="12.28515625" style="203" customWidth="1"/>
    <col min="11269" max="11269" width="17.140625" style="203" customWidth="1"/>
    <col min="11270" max="11270" width="23" style="203" customWidth="1"/>
    <col min="11271" max="11505" width="8.85546875" style="203"/>
    <col min="11506" max="11506" width="4.42578125" style="203" customWidth="1"/>
    <col min="11507" max="11507" width="28.140625" style="203" customWidth="1"/>
    <col min="11508" max="11508" width="11.7109375" style="203" customWidth="1"/>
    <col min="11509" max="11509" width="11.85546875" style="203" customWidth="1"/>
    <col min="11510" max="11513" width="11" style="203" customWidth="1"/>
    <col min="11514" max="11514" width="12.7109375" style="203" customWidth="1"/>
    <col min="11515" max="11515" width="9.85546875" style="203" customWidth="1"/>
    <col min="11516" max="11516" width="14" style="203" customWidth="1"/>
    <col min="11517" max="11517" width="12" style="203" customWidth="1"/>
    <col min="11518" max="11518" width="11.7109375" style="203" customWidth="1"/>
    <col min="11519" max="11519" width="10.85546875" style="203" customWidth="1"/>
    <col min="11520" max="11521" width="11.42578125" style="203" customWidth="1"/>
    <col min="11522" max="11522" width="10.28515625" style="203" bestFit="1" customWidth="1"/>
    <col min="11523" max="11523" width="12.140625" style="203" customWidth="1"/>
    <col min="11524" max="11524" width="12.28515625" style="203" customWidth="1"/>
    <col min="11525" max="11525" width="17.140625" style="203" customWidth="1"/>
    <col min="11526" max="11526" width="23" style="203" customWidth="1"/>
    <col min="11527" max="11761" width="8.85546875" style="203"/>
    <col min="11762" max="11762" width="4.42578125" style="203" customWidth="1"/>
    <col min="11763" max="11763" width="28.140625" style="203" customWidth="1"/>
    <col min="11764" max="11764" width="11.7109375" style="203" customWidth="1"/>
    <col min="11765" max="11765" width="11.85546875" style="203" customWidth="1"/>
    <col min="11766" max="11769" width="11" style="203" customWidth="1"/>
    <col min="11770" max="11770" width="12.7109375" style="203" customWidth="1"/>
    <col min="11771" max="11771" width="9.85546875" style="203" customWidth="1"/>
    <col min="11772" max="11772" width="14" style="203" customWidth="1"/>
    <col min="11773" max="11773" width="12" style="203" customWidth="1"/>
    <col min="11774" max="11774" width="11.7109375" style="203" customWidth="1"/>
    <col min="11775" max="11775" width="10.85546875" style="203" customWidth="1"/>
    <col min="11776" max="11777" width="11.42578125" style="203" customWidth="1"/>
    <col min="11778" max="11778" width="10.28515625" style="203" bestFit="1" customWidth="1"/>
    <col min="11779" max="11779" width="12.140625" style="203" customWidth="1"/>
    <col min="11780" max="11780" width="12.28515625" style="203" customWidth="1"/>
    <col min="11781" max="11781" width="17.140625" style="203" customWidth="1"/>
    <col min="11782" max="11782" width="23" style="203" customWidth="1"/>
    <col min="11783" max="12017" width="8.85546875" style="203"/>
    <col min="12018" max="12018" width="4.42578125" style="203" customWidth="1"/>
    <col min="12019" max="12019" width="28.140625" style="203" customWidth="1"/>
    <col min="12020" max="12020" width="11.7109375" style="203" customWidth="1"/>
    <col min="12021" max="12021" width="11.85546875" style="203" customWidth="1"/>
    <col min="12022" max="12025" width="11" style="203" customWidth="1"/>
    <col min="12026" max="12026" width="12.7109375" style="203" customWidth="1"/>
    <col min="12027" max="12027" width="9.85546875" style="203" customWidth="1"/>
    <col min="12028" max="12028" width="14" style="203" customWidth="1"/>
    <col min="12029" max="12029" width="12" style="203" customWidth="1"/>
    <col min="12030" max="12030" width="11.7109375" style="203" customWidth="1"/>
    <col min="12031" max="12031" width="10.85546875" style="203" customWidth="1"/>
    <col min="12032" max="12033" width="11.42578125" style="203" customWidth="1"/>
    <col min="12034" max="12034" width="10.28515625" style="203" bestFit="1" customWidth="1"/>
    <col min="12035" max="12035" width="12.140625" style="203" customWidth="1"/>
    <col min="12036" max="12036" width="12.28515625" style="203" customWidth="1"/>
    <col min="12037" max="12037" width="17.140625" style="203" customWidth="1"/>
    <col min="12038" max="12038" width="23" style="203" customWidth="1"/>
    <col min="12039" max="12273" width="8.85546875" style="203"/>
    <col min="12274" max="12274" width="4.42578125" style="203" customWidth="1"/>
    <col min="12275" max="12275" width="28.140625" style="203" customWidth="1"/>
    <col min="12276" max="12276" width="11.7109375" style="203" customWidth="1"/>
    <col min="12277" max="12277" width="11.85546875" style="203" customWidth="1"/>
    <col min="12278" max="12281" width="11" style="203" customWidth="1"/>
    <col min="12282" max="12282" width="12.7109375" style="203" customWidth="1"/>
    <col min="12283" max="12283" width="9.85546875" style="203" customWidth="1"/>
    <col min="12284" max="12284" width="14" style="203" customWidth="1"/>
    <col min="12285" max="12285" width="12" style="203" customWidth="1"/>
    <col min="12286" max="12286" width="11.7109375" style="203" customWidth="1"/>
    <col min="12287" max="12287" width="10.85546875" style="203" customWidth="1"/>
    <col min="12288" max="12289" width="11.42578125" style="203" customWidth="1"/>
    <col min="12290" max="12290" width="10.28515625" style="203" bestFit="1" customWidth="1"/>
    <col min="12291" max="12291" width="12.140625" style="203" customWidth="1"/>
    <col min="12292" max="12292" width="12.28515625" style="203" customWidth="1"/>
    <col min="12293" max="12293" width="17.140625" style="203" customWidth="1"/>
    <col min="12294" max="12294" width="23" style="203" customWidth="1"/>
    <col min="12295" max="12529" width="8.85546875" style="203"/>
    <col min="12530" max="12530" width="4.42578125" style="203" customWidth="1"/>
    <col min="12531" max="12531" width="28.140625" style="203" customWidth="1"/>
    <col min="12532" max="12532" width="11.7109375" style="203" customWidth="1"/>
    <col min="12533" max="12533" width="11.85546875" style="203" customWidth="1"/>
    <col min="12534" max="12537" width="11" style="203" customWidth="1"/>
    <col min="12538" max="12538" width="12.7109375" style="203" customWidth="1"/>
    <col min="12539" max="12539" width="9.85546875" style="203" customWidth="1"/>
    <col min="12540" max="12540" width="14" style="203" customWidth="1"/>
    <col min="12541" max="12541" width="12" style="203" customWidth="1"/>
    <col min="12542" max="12542" width="11.7109375" style="203" customWidth="1"/>
    <col min="12543" max="12543" width="10.85546875" style="203" customWidth="1"/>
    <col min="12544" max="12545" width="11.42578125" style="203" customWidth="1"/>
    <col min="12546" max="12546" width="10.28515625" style="203" bestFit="1" customWidth="1"/>
    <col min="12547" max="12547" width="12.140625" style="203" customWidth="1"/>
    <col min="12548" max="12548" width="12.28515625" style="203" customWidth="1"/>
    <col min="12549" max="12549" width="17.140625" style="203" customWidth="1"/>
    <col min="12550" max="12550" width="23" style="203" customWidth="1"/>
    <col min="12551" max="12785" width="8.85546875" style="203"/>
    <col min="12786" max="12786" width="4.42578125" style="203" customWidth="1"/>
    <col min="12787" max="12787" width="28.140625" style="203" customWidth="1"/>
    <col min="12788" max="12788" width="11.7109375" style="203" customWidth="1"/>
    <col min="12789" max="12789" width="11.85546875" style="203" customWidth="1"/>
    <col min="12790" max="12793" width="11" style="203" customWidth="1"/>
    <col min="12794" max="12794" width="12.7109375" style="203" customWidth="1"/>
    <col min="12795" max="12795" width="9.85546875" style="203" customWidth="1"/>
    <col min="12796" max="12796" width="14" style="203" customWidth="1"/>
    <col min="12797" max="12797" width="12" style="203" customWidth="1"/>
    <col min="12798" max="12798" width="11.7109375" style="203" customWidth="1"/>
    <col min="12799" max="12799" width="10.85546875" style="203" customWidth="1"/>
    <col min="12800" max="12801" width="11.42578125" style="203" customWidth="1"/>
    <col min="12802" max="12802" width="10.28515625" style="203" bestFit="1" customWidth="1"/>
    <col min="12803" max="12803" width="12.140625" style="203" customWidth="1"/>
    <col min="12804" max="12804" width="12.28515625" style="203" customWidth="1"/>
    <col min="12805" max="12805" width="17.140625" style="203" customWidth="1"/>
    <col min="12806" max="12806" width="23" style="203" customWidth="1"/>
    <col min="12807" max="13041" width="8.85546875" style="203"/>
    <col min="13042" max="13042" width="4.42578125" style="203" customWidth="1"/>
    <col min="13043" max="13043" width="28.140625" style="203" customWidth="1"/>
    <col min="13044" max="13044" width="11.7109375" style="203" customWidth="1"/>
    <col min="13045" max="13045" width="11.85546875" style="203" customWidth="1"/>
    <col min="13046" max="13049" width="11" style="203" customWidth="1"/>
    <col min="13050" max="13050" width="12.7109375" style="203" customWidth="1"/>
    <col min="13051" max="13051" width="9.85546875" style="203" customWidth="1"/>
    <col min="13052" max="13052" width="14" style="203" customWidth="1"/>
    <col min="13053" max="13053" width="12" style="203" customWidth="1"/>
    <col min="13054" max="13054" width="11.7109375" style="203" customWidth="1"/>
    <col min="13055" max="13055" width="10.85546875" style="203" customWidth="1"/>
    <col min="13056" max="13057" width="11.42578125" style="203" customWidth="1"/>
    <col min="13058" max="13058" width="10.28515625" style="203" bestFit="1" customWidth="1"/>
    <col min="13059" max="13059" width="12.140625" style="203" customWidth="1"/>
    <col min="13060" max="13060" width="12.28515625" style="203" customWidth="1"/>
    <col min="13061" max="13061" width="17.140625" style="203" customWidth="1"/>
    <col min="13062" max="13062" width="23" style="203" customWidth="1"/>
    <col min="13063" max="13297" width="8.85546875" style="203"/>
    <col min="13298" max="13298" width="4.42578125" style="203" customWidth="1"/>
    <col min="13299" max="13299" width="28.140625" style="203" customWidth="1"/>
    <col min="13300" max="13300" width="11.7109375" style="203" customWidth="1"/>
    <col min="13301" max="13301" width="11.85546875" style="203" customWidth="1"/>
    <col min="13302" max="13305" width="11" style="203" customWidth="1"/>
    <col min="13306" max="13306" width="12.7109375" style="203" customWidth="1"/>
    <col min="13307" max="13307" width="9.85546875" style="203" customWidth="1"/>
    <col min="13308" max="13308" width="14" style="203" customWidth="1"/>
    <col min="13309" max="13309" width="12" style="203" customWidth="1"/>
    <col min="13310" max="13310" width="11.7109375" style="203" customWidth="1"/>
    <col min="13311" max="13311" width="10.85546875" style="203" customWidth="1"/>
    <col min="13312" max="13313" width="11.42578125" style="203" customWidth="1"/>
    <col min="13314" max="13314" width="10.28515625" style="203" bestFit="1" customWidth="1"/>
    <col min="13315" max="13315" width="12.140625" style="203" customWidth="1"/>
    <col min="13316" max="13316" width="12.28515625" style="203" customWidth="1"/>
    <col min="13317" max="13317" width="17.140625" style="203" customWidth="1"/>
    <col min="13318" max="13318" width="23" style="203" customWidth="1"/>
    <col min="13319" max="13553" width="8.85546875" style="203"/>
    <col min="13554" max="13554" width="4.42578125" style="203" customWidth="1"/>
    <col min="13555" max="13555" width="28.140625" style="203" customWidth="1"/>
    <col min="13556" max="13556" width="11.7109375" style="203" customWidth="1"/>
    <col min="13557" max="13557" width="11.85546875" style="203" customWidth="1"/>
    <col min="13558" max="13561" width="11" style="203" customWidth="1"/>
    <col min="13562" max="13562" width="12.7109375" style="203" customWidth="1"/>
    <col min="13563" max="13563" width="9.85546875" style="203" customWidth="1"/>
    <col min="13564" max="13564" width="14" style="203" customWidth="1"/>
    <col min="13565" max="13565" width="12" style="203" customWidth="1"/>
    <col min="13566" max="13566" width="11.7109375" style="203" customWidth="1"/>
    <col min="13567" max="13567" width="10.85546875" style="203" customWidth="1"/>
    <col min="13568" max="13569" width="11.42578125" style="203" customWidth="1"/>
    <col min="13570" max="13570" width="10.28515625" style="203" bestFit="1" customWidth="1"/>
    <col min="13571" max="13571" width="12.140625" style="203" customWidth="1"/>
    <col min="13572" max="13572" width="12.28515625" style="203" customWidth="1"/>
    <col min="13573" max="13573" width="17.140625" style="203" customWidth="1"/>
    <col min="13574" max="13574" width="23" style="203" customWidth="1"/>
    <col min="13575" max="13809" width="8.85546875" style="203"/>
    <col min="13810" max="13810" width="4.42578125" style="203" customWidth="1"/>
    <col min="13811" max="13811" width="28.140625" style="203" customWidth="1"/>
    <col min="13812" max="13812" width="11.7109375" style="203" customWidth="1"/>
    <col min="13813" max="13813" width="11.85546875" style="203" customWidth="1"/>
    <col min="13814" max="13817" width="11" style="203" customWidth="1"/>
    <col min="13818" max="13818" width="12.7109375" style="203" customWidth="1"/>
    <col min="13819" max="13819" width="9.85546875" style="203" customWidth="1"/>
    <col min="13820" max="13820" width="14" style="203" customWidth="1"/>
    <col min="13821" max="13821" width="12" style="203" customWidth="1"/>
    <col min="13822" max="13822" width="11.7109375" style="203" customWidth="1"/>
    <col min="13823" max="13823" width="10.85546875" style="203" customWidth="1"/>
    <col min="13824" max="13825" width="11.42578125" style="203" customWidth="1"/>
    <col min="13826" max="13826" width="10.28515625" style="203" bestFit="1" customWidth="1"/>
    <col min="13827" max="13827" width="12.140625" style="203" customWidth="1"/>
    <col min="13828" max="13828" width="12.28515625" style="203" customWidth="1"/>
    <col min="13829" max="13829" width="17.140625" style="203" customWidth="1"/>
    <col min="13830" max="13830" width="23" style="203" customWidth="1"/>
    <col min="13831" max="14065" width="8.85546875" style="203"/>
    <col min="14066" max="14066" width="4.42578125" style="203" customWidth="1"/>
    <col min="14067" max="14067" width="28.140625" style="203" customWidth="1"/>
    <col min="14068" max="14068" width="11.7109375" style="203" customWidth="1"/>
    <col min="14069" max="14069" width="11.85546875" style="203" customWidth="1"/>
    <col min="14070" max="14073" width="11" style="203" customWidth="1"/>
    <col min="14074" max="14074" width="12.7109375" style="203" customWidth="1"/>
    <col min="14075" max="14075" width="9.85546875" style="203" customWidth="1"/>
    <col min="14076" max="14076" width="14" style="203" customWidth="1"/>
    <col min="14077" max="14077" width="12" style="203" customWidth="1"/>
    <col min="14078" max="14078" width="11.7109375" style="203" customWidth="1"/>
    <col min="14079" max="14079" width="10.85546875" style="203" customWidth="1"/>
    <col min="14080" max="14081" width="11.42578125" style="203" customWidth="1"/>
    <col min="14082" max="14082" width="10.28515625" style="203" bestFit="1" customWidth="1"/>
    <col min="14083" max="14083" width="12.140625" style="203" customWidth="1"/>
    <col min="14084" max="14084" width="12.28515625" style="203" customWidth="1"/>
    <col min="14085" max="14085" width="17.140625" style="203" customWidth="1"/>
    <col min="14086" max="14086" width="23" style="203" customWidth="1"/>
    <col min="14087" max="14321" width="8.85546875" style="203"/>
    <col min="14322" max="14322" width="4.42578125" style="203" customWidth="1"/>
    <col min="14323" max="14323" width="28.140625" style="203" customWidth="1"/>
    <col min="14324" max="14324" width="11.7109375" style="203" customWidth="1"/>
    <col min="14325" max="14325" width="11.85546875" style="203" customWidth="1"/>
    <col min="14326" max="14329" width="11" style="203" customWidth="1"/>
    <col min="14330" max="14330" width="12.7109375" style="203" customWidth="1"/>
    <col min="14331" max="14331" width="9.85546875" style="203" customWidth="1"/>
    <col min="14332" max="14332" width="14" style="203" customWidth="1"/>
    <col min="14333" max="14333" width="12" style="203" customWidth="1"/>
    <col min="14334" max="14334" width="11.7109375" style="203" customWidth="1"/>
    <col min="14335" max="14335" width="10.85546875" style="203" customWidth="1"/>
    <col min="14336" max="14337" width="11.42578125" style="203" customWidth="1"/>
    <col min="14338" max="14338" width="10.28515625" style="203" bestFit="1" customWidth="1"/>
    <col min="14339" max="14339" width="12.140625" style="203" customWidth="1"/>
    <col min="14340" max="14340" width="12.28515625" style="203" customWidth="1"/>
    <col min="14341" max="14341" width="17.140625" style="203" customWidth="1"/>
    <col min="14342" max="14342" width="23" style="203" customWidth="1"/>
    <col min="14343" max="14577" width="8.85546875" style="203"/>
    <col min="14578" max="14578" width="4.42578125" style="203" customWidth="1"/>
    <col min="14579" max="14579" width="28.140625" style="203" customWidth="1"/>
    <col min="14580" max="14580" width="11.7109375" style="203" customWidth="1"/>
    <col min="14581" max="14581" width="11.85546875" style="203" customWidth="1"/>
    <col min="14582" max="14585" width="11" style="203" customWidth="1"/>
    <col min="14586" max="14586" width="12.7109375" style="203" customWidth="1"/>
    <col min="14587" max="14587" width="9.85546875" style="203" customWidth="1"/>
    <col min="14588" max="14588" width="14" style="203" customWidth="1"/>
    <col min="14589" max="14589" width="12" style="203" customWidth="1"/>
    <col min="14590" max="14590" width="11.7109375" style="203" customWidth="1"/>
    <col min="14591" max="14591" width="10.85546875" style="203" customWidth="1"/>
    <col min="14592" max="14593" width="11.42578125" style="203" customWidth="1"/>
    <col min="14594" max="14594" width="10.28515625" style="203" bestFit="1" customWidth="1"/>
    <col min="14595" max="14595" width="12.140625" style="203" customWidth="1"/>
    <col min="14596" max="14596" width="12.28515625" style="203" customWidth="1"/>
    <col min="14597" max="14597" width="17.140625" style="203" customWidth="1"/>
    <col min="14598" max="14598" width="23" style="203" customWidth="1"/>
    <col min="14599" max="14833" width="8.85546875" style="203"/>
    <col min="14834" max="14834" width="4.42578125" style="203" customWidth="1"/>
    <col min="14835" max="14835" width="28.140625" style="203" customWidth="1"/>
    <col min="14836" max="14836" width="11.7109375" style="203" customWidth="1"/>
    <col min="14837" max="14837" width="11.85546875" style="203" customWidth="1"/>
    <col min="14838" max="14841" width="11" style="203" customWidth="1"/>
    <col min="14842" max="14842" width="12.7109375" style="203" customWidth="1"/>
    <col min="14843" max="14843" width="9.85546875" style="203" customWidth="1"/>
    <col min="14844" max="14844" width="14" style="203" customWidth="1"/>
    <col min="14845" max="14845" width="12" style="203" customWidth="1"/>
    <col min="14846" max="14846" width="11.7109375" style="203" customWidth="1"/>
    <col min="14847" max="14847" width="10.85546875" style="203" customWidth="1"/>
    <col min="14848" max="14849" width="11.42578125" style="203" customWidth="1"/>
    <col min="14850" max="14850" width="10.28515625" style="203" bestFit="1" customWidth="1"/>
    <col min="14851" max="14851" width="12.140625" style="203" customWidth="1"/>
    <col min="14852" max="14852" width="12.28515625" style="203" customWidth="1"/>
    <col min="14853" max="14853" width="17.140625" style="203" customWidth="1"/>
    <col min="14854" max="14854" width="23" style="203" customWidth="1"/>
    <col min="14855" max="15089" width="8.85546875" style="203"/>
    <col min="15090" max="15090" width="4.42578125" style="203" customWidth="1"/>
    <col min="15091" max="15091" width="28.140625" style="203" customWidth="1"/>
    <col min="15092" max="15092" width="11.7109375" style="203" customWidth="1"/>
    <col min="15093" max="15093" width="11.85546875" style="203" customWidth="1"/>
    <col min="15094" max="15097" width="11" style="203" customWidth="1"/>
    <col min="15098" max="15098" width="12.7109375" style="203" customWidth="1"/>
    <col min="15099" max="15099" width="9.85546875" style="203" customWidth="1"/>
    <col min="15100" max="15100" width="14" style="203" customWidth="1"/>
    <col min="15101" max="15101" width="12" style="203" customWidth="1"/>
    <col min="15102" max="15102" width="11.7109375" style="203" customWidth="1"/>
    <col min="15103" max="15103" width="10.85546875" style="203" customWidth="1"/>
    <col min="15104" max="15105" width="11.42578125" style="203" customWidth="1"/>
    <col min="15106" max="15106" width="10.28515625" style="203" bestFit="1" customWidth="1"/>
    <col min="15107" max="15107" width="12.140625" style="203" customWidth="1"/>
    <col min="15108" max="15108" width="12.28515625" style="203" customWidth="1"/>
    <col min="15109" max="15109" width="17.140625" style="203" customWidth="1"/>
    <col min="15110" max="15110" width="23" style="203" customWidth="1"/>
    <col min="15111" max="15345" width="8.85546875" style="203"/>
    <col min="15346" max="15346" width="4.42578125" style="203" customWidth="1"/>
    <col min="15347" max="15347" width="28.140625" style="203" customWidth="1"/>
    <col min="15348" max="15348" width="11.7109375" style="203" customWidth="1"/>
    <col min="15349" max="15349" width="11.85546875" style="203" customWidth="1"/>
    <col min="15350" max="15353" width="11" style="203" customWidth="1"/>
    <col min="15354" max="15354" width="12.7109375" style="203" customWidth="1"/>
    <col min="15355" max="15355" width="9.85546875" style="203" customWidth="1"/>
    <col min="15356" max="15356" width="14" style="203" customWidth="1"/>
    <col min="15357" max="15357" width="12" style="203" customWidth="1"/>
    <col min="15358" max="15358" width="11.7109375" style="203" customWidth="1"/>
    <col min="15359" max="15359" width="10.85546875" style="203" customWidth="1"/>
    <col min="15360" max="15361" width="11.42578125" style="203" customWidth="1"/>
    <col min="15362" max="15362" width="10.28515625" style="203" bestFit="1" customWidth="1"/>
    <col min="15363" max="15363" width="12.140625" style="203" customWidth="1"/>
    <col min="15364" max="15364" width="12.28515625" style="203" customWidth="1"/>
    <col min="15365" max="15365" width="17.140625" style="203" customWidth="1"/>
    <col min="15366" max="15366" width="23" style="203" customWidth="1"/>
    <col min="15367" max="15601" width="8.85546875" style="203"/>
    <col min="15602" max="15602" width="4.42578125" style="203" customWidth="1"/>
    <col min="15603" max="15603" width="28.140625" style="203" customWidth="1"/>
    <col min="15604" max="15604" width="11.7109375" style="203" customWidth="1"/>
    <col min="15605" max="15605" width="11.85546875" style="203" customWidth="1"/>
    <col min="15606" max="15609" width="11" style="203" customWidth="1"/>
    <col min="15610" max="15610" width="12.7109375" style="203" customWidth="1"/>
    <col min="15611" max="15611" width="9.85546875" style="203" customWidth="1"/>
    <col min="15612" max="15612" width="14" style="203" customWidth="1"/>
    <col min="15613" max="15613" width="12" style="203" customWidth="1"/>
    <col min="15614" max="15614" width="11.7109375" style="203" customWidth="1"/>
    <col min="15615" max="15615" width="10.85546875" style="203" customWidth="1"/>
    <col min="15616" max="15617" width="11.42578125" style="203" customWidth="1"/>
    <col min="15618" max="15618" width="10.28515625" style="203" bestFit="1" customWidth="1"/>
    <col min="15619" max="15619" width="12.140625" style="203" customWidth="1"/>
    <col min="15620" max="15620" width="12.28515625" style="203" customWidth="1"/>
    <col min="15621" max="15621" width="17.140625" style="203" customWidth="1"/>
    <col min="15622" max="15622" width="23" style="203" customWidth="1"/>
    <col min="15623" max="15857" width="8.85546875" style="203"/>
    <col min="15858" max="15858" width="4.42578125" style="203" customWidth="1"/>
    <col min="15859" max="15859" width="28.140625" style="203" customWidth="1"/>
    <col min="15860" max="15860" width="11.7109375" style="203" customWidth="1"/>
    <col min="15861" max="15861" width="11.85546875" style="203" customWidth="1"/>
    <col min="15862" max="15865" width="11" style="203" customWidth="1"/>
    <col min="15866" max="15866" width="12.7109375" style="203" customWidth="1"/>
    <col min="15867" max="15867" width="9.85546875" style="203" customWidth="1"/>
    <col min="15868" max="15868" width="14" style="203" customWidth="1"/>
    <col min="15869" max="15869" width="12" style="203" customWidth="1"/>
    <col min="15870" max="15870" width="11.7109375" style="203" customWidth="1"/>
    <col min="15871" max="15871" width="10.85546875" style="203" customWidth="1"/>
    <col min="15872" max="15873" width="11.42578125" style="203" customWidth="1"/>
    <col min="15874" max="15874" width="10.28515625" style="203" bestFit="1" customWidth="1"/>
    <col min="15875" max="15875" width="12.140625" style="203" customWidth="1"/>
    <col min="15876" max="15876" width="12.28515625" style="203" customWidth="1"/>
    <col min="15877" max="15877" width="17.140625" style="203" customWidth="1"/>
    <col min="15878" max="15878" width="23" style="203" customWidth="1"/>
    <col min="15879" max="16113" width="8.85546875" style="203"/>
    <col min="16114" max="16114" width="4.42578125" style="203" customWidth="1"/>
    <col min="16115" max="16115" width="28.140625" style="203" customWidth="1"/>
    <col min="16116" max="16116" width="11.7109375" style="203" customWidth="1"/>
    <col min="16117" max="16117" width="11.85546875" style="203" customWidth="1"/>
    <col min="16118" max="16121" width="11" style="203" customWidth="1"/>
    <col min="16122" max="16122" width="12.7109375" style="203" customWidth="1"/>
    <col min="16123" max="16123" width="9.85546875" style="203" customWidth="1"/>
    <col min="16124" max="16124" width="14" style="203" customWidth="1"/>
    <col min="16125" max="16125" width="12" style="203" customWidth="1"/>
    <col min="16126" max="16126" width="11.7109375" style="203" customWidth="1"/>
    <col min="16127" max="16127" width="10.85546875" style="203" customWidth="1"/>
    <col min="16128" max="16129" width="11.42578125" style="203" customWidth="1"/>
    <col min="16130" max="16130" width="10.28515625" style="203" bestFit="1" customWidth="1"/>
    <col min="16131" max="16131" width="12.140625" style="203" customWidth="1"/>
    <col min="16132" max="16132" width="12.28515625" style="203" customWidth="1"/>
    <col min="16133" max="16133" width="17.140625" style="203" customWidth="1"/>
    <col min="16134" max="16134" width="23" style="203" customWidth="1"/>
    <col min="16135" max="16384" width="8.85546875" style="203"/>
  </cols>
  <sheetData>
    <row r="1" spans="1:19" ht="69" customHeight="1">
      <c r="A1" s="768" t="s">
        <v>7249</v>
      </c>
      <c r="B1" s="768"/>
      <c r="C1" s="768"/>
      <c r="D1" s="768"/>
      <c r="E1" s="769"/>
      <c r="F1" s="769"/>
      <c r="G1" s="202"/>
      <c r="H1" s="202"/>
      <c r="I1" s="202"/>
      <c r="J1" s="202"/>
      <c r="K1" s="202"/>
      <c r="L1" s="202"/>
      <c r="M1" s="202"/>
      <c r="N1" s="202"/>
      <c r="O1" s="202"/>
      <c r="P1" s="202"/>
      <c r="Q1" s="202"/>
      <c r="R1" s="202"/>
      <c r="S1" s="202"/>
    </row>
    <row r="2" spans="1:19" ht="16.5" customHeight="1">
      <c r="A2" s="770" t="s">
        <v>4891</v>
      </c>
      <c r="B2" s="770" t="s">
        <v>4892</v>
      </c>
      <c r="C2" s="770" t="s">
        <v>4914</v>
      </c>
      <c r="D2" s="770" t="s">
        <v>4893</v>
      </c>
      <c r="E2" s="770" t="s">
        <v>4894</v>
      </c>
      <c r="F2" s="770" t="s">
        <v>4895</v>
      </c>
    </row>
    <row r="3" spans="1:19" ht="17.25" customHeight="1">
      <c r="A3" s="770"/>
      <c r="B3" s="770"/>
      <c r="C3" s="770"/>
      <c r="D3" s="770"/>
      <c r="E3" s="770"/>
      <c r="F3" s="770"/>
    </row>
    <row r="4" spans="1:19">
      <c r="A4" s="361">
        <v>1</v>
      </c>
      <c r="B4" s="361">
        <v>2</v>
      </c>
      <c r="C4" s="361">
        <v>3</v>
      </c>
      <c r="D4" s="361">
        <v>4</v>
      </c>
      <c r="E4" s="361">
        <v>5</v>
      </c>
      <c r="F4" s="361">
        <v>6</v>
      </c>
    </row>
    <row r="5" spans="1:19" ht="33" customHeight="1">
      <c r="A5" s="362"/>
      <c r="B5" s="221" t="s">
        <v>4896</v>
      </c>
      <c r="C5" s="222">
        <f>SUM(C6:C16)</f>
        <v>43588346.104456879</v>
      </c>
      <c r="D5" s="223">
        <f>SUM(D6:D15)</f>
        <v>1</v>
      </c>
      <c r="E5" s="222">
        <f>SUM(E6:E16)</f>
        <v>1522</v>
      </c>
      <c r="F5" s="223">
        <f>SUM(F6:F15)</f>
        <v>1</v>
      </c>
      <c r="G5" s="204"/>
      <c r="H5" s="205"/>
      <c r="I5" s="206"/>
      <c r="J5" s="206"/>
      <c r="K5" s="206"/>
      <c r="L5" s="206"/>
      <c r="M5" s="206"/>
      <c r="N5" s="206"/>
      <c r="O5" s="206"/>
      <c r="P5" s="206"/>
      <c r="Q5" s="206"/>
      <c r="R5" s="206"/>
      <c r="S5" s="206"/>
    </row>
    <row r="6" spans="1:19">
      <c r="A6" s="219">
        <v>1</v>
      </c>
      <c r="B6" s="360" t="s">
        <v>4897</v>
      </c>
      <c r="C6" s="207">
        <f>SUMIFS(Сумма,Филиал,"=ОАО*",СпособЗакупки,"Открытый конкурс")</f>
        <v>28414965.245123453</v>
      </c>
      <c r="D6" s="208">
        <f>IF(C6=0,0,C6/C5)</f>
        <v>0.6518936317755365</v>
      </c>
      <c r="E6" s="207">
        <f>COUNTIFS(Сумма,"&gt;=0",Филиал,"=ОАО*",СпособЗакупки,"=Открытый конкурс")</f>
        <v>335</v>
      </c>
      <c r="F6" s="208">
        <f>IF(E6=0,0,E6/E5)</f>
        <v>0.22010512483574243</v>
      </c>
      <c r="G6" s="206"/>
      <c r="H6" s="205"/>
    </row>
    <row r="7" spans="1:19">
      <c r="A7" s="220">
        <v>2</v>
      </c>
      <c r="B7" s="210" t="s">
        <v>4898</v>
      </c>
      <c r="C7" s="207">
        <f>SUMIFS(Сумма,Филиал,"=ОАО*",СпособЗакупки,"Аукцион")</f>
        <v>160000</v>
      </c>
      <c r="D7" s="208">
        <f>IF(C7=0,0,C7/C5)</f>
        <v>3.6707059179664566E-3</v>
      </c>
      <c r="E7" s="207">
        <f>COUNTIFS(Сумма,"&gt;=0",Филиал,"=ОАО*",СпособЗакупки,"=Аукцион")</f>
        <v>2</v>
      </c>
      <c r="F7" s="208">
        <f>IF(E7=0,0,E7/E5)</f>
        <v>1.3140604467805519E-3</v>
      </c>
      <c r="G7" s="206"/>
      <c r="H7" s="205"/>
    </row>
    <row r="8" spans="1:19">
      <c r="A8" s="220">
        <v>3</v>
      </c>
      <c r="B8" s="210" t="s">
        <v>4899</v>
      </c>
      <c r="C8" s="207">
        <f>SUMIFS(Сумма,Филиал,"=ОАО*",СпособЗакупки,"Открытый запрос предложений")</f>
        <v>1911556.1492491681</v>
      </c>
      <c r="D8" s="208">
        <f>IF(C8=0,0,C8/C5)</f>
        <v>4.3854752934838079E-2</v>
      </c>
      <c r="E8" s="207">
        <f>COUNTIFS(Сумма,"&gt;=0",Филиал,"=ОАО*",СпособЗакупки,"=Открытый запрос предложений")</f>
        <v>508</v>
      </c>
      <c r="F8" s="208">
        <f>IF(E8=0,0,E8/E5)</f>
        <v>0.33377135348226017</v>
      </c>
      <c r="G8" s="206"/>
      <c r="H8" s="205"/>
    </row>
    <row r="9" spans="1:19">
      <c r="A9" s="220">
        <v>4</v>
      </c>
      <c r="B9" s="210" t="s">
        <v>4900</v>
      </c>
      <c r="C9" s="207">
        <f>SUMIFS(Сумма,Филиал,"=ОАО*",СпособЗакупки,"Закрытый конкурс")</f>
        <v>0</v>
      </c>
      <c r="D9" s="208">
        <f>IF(C9=0,0,C9/C5)</f>
        <v>0</v>
      </c>
      <c r="E9" s="207">
        <f>COUNTIFS(Сумма,"&gt;=0",Филиал,"=ОАО*",СпособЗакупки,"=Закрытый конкурс")</f>
        <v>0</v>
      </c>
      <c r="F9" s="208">
        <f>IF(E9=0,0,E9/E5)</f>
        <v>0</v>
      </c>
      <c r="G9" s="206"/>
      <c r="H9" s="205"/>
    </row>
    <row r="10" spans="1:19">
      <c r="A10" s="220">
        <v>4</v>
      </c>
      <c r="B10" s="210" t="s">
        <v>4901</v>
      </c>
      <c r="C10" s="207">
        <f>SUMIFS(Сумма,Филиал,"=ОАО*",СпособЗакупки,"Закрытый запрос предложений")</f>
        <v>0</v>
      </c>
      <c r="D10" s="208">
        <f>IF(C10=0,0,C10/C5)</f>
        <v>0</v>
      </c>
      <c r="E10" s="207">
        <f>COUNTIFS(Сумма,"&gt;=0",Филиал,"=ОАО*",СпособЗакупки,"=Закрытый запрос предложений")</f>
        <v>0</v>
      </c>
      <c r="F10" s="208">
        <f>IF(E10=0,0,E10/E5)</f>
        <v>0</v>
      </c>
      <c r="G10" s="206"/>
      <c r="H10" s="205"/>
    </row>
    <row r="11" spans="1:19">
      <c r="A11" s="219">
        <v>5</v>
      </c>
      <c r="B11" s="210" t="s">
        <v>4902</v>
      </c>
      <c r="C11" s="207">
        <f>SUMIFS(Сумма,Филиал,"=ОАО*",СпособЗакупки,"Открытый запрос цен")</f>
        <v>0</v>
      </c>
      <c r="D11" s="208">
        <f>IF(C11=0,0,C11/C5)</f>
        <v>0</v>
      </c>
      <c r="E11" s="207">
        <f>COUNTIFS(Сумма,"&gt;=0",Филиал,"=ОАО*",СпособЗакупки,"=Открытый запрос цен")</f>
        <v>0</v>
      </c>
      <c r="F11" s="208">
        <f>IF(E11=0,0,E11/E5)</f>
        <v>0</v>
      </c>
      <c r="G11" s="206"/>
      <c r="H11" s="205"/>
    </row>
    <row r="12" spans="1:19">
      <c r="A12" s="220">
        <v>6</v>
      </c>
      <c r="B12" s="210" t="s">
        <v>4903</v>
      </c>
      <c r="C12" s="207">
        <f>SUMIFS(Сумма,Филиал,"=ОАО*",СпособЗакупки,"Закрытый запрос цен")</f>
        <v>0</v>
      </c>
      <c r="D12" s="208">
        <f>IF(C12=0,0,C12/C5)</f>
        <v>0</v>
      </c>
      <c r="E12" s="207">
        <f>COUNTIFS(Сумма,"&gt;=0",Филиал,"=ОАО*",СпособЗакупки,"=Закрытый запрос цен")</f>
        <v>0</v>
      </c>
      <c r="F12" s="208">
        <f>IF(E12=0,0,E12/E5)</f>
        <v>0</v>
      </c>
      <c r="G12" s="206"/>
      <c r="H12" s="205"/>
    </row>
    <row r="13" spans="1:19">
      <c r="A13" s="220">
        <v>7</v>
      </c>
      <c r="B13" s="210" t="s">
        <v>4904</v>
      </c>
      <c r="C13" s="207">
        <f>SUMIFS(Сумма,Филиал,"=ОАО*",СпособЗакупки,"Закрытый запрос цен по результатам*")</f>
        <v>11362672.696654661</v>
      </c>
      <c r="D13" s="208">
        <f>IF(C13=0,0,C13/C5)</f>
        <v>0.26068143694703833</v>
      </c>
      <c r="E13" s="207">
        <f>COUNTIFS(Сумма,"&gt;=0",Филиал,"=ОАО*",СпособЗакупки,"=Закрытый запрос цен по результатам*")</f>
        <v>625</v>
      </c>
      <c r="F13" s="208">
        <f>IF(E13=0,0,E13/E5)</f>
        <v>0.41064388961892245</v>
      </c>
      <c r="G13" s="206"/>
      <c r="H13" s="205"/>
    </row>
    <row r="14" spans="1:19">
      <c r="A14" s="220">
        <v>8</v>
      </c>
      <c r="B14" s="360" t="s">
        <v>4905</v>
      </c>
      <c r="C14" s="211">
        <f>SUMIFS(Сумма,Филиал,"=ОАО*",СпособЗакупки,"Единственный источник")</f>
        <v>138424.0026826</v>
      </c>
      <c r="D14" s="208">
        <f>IF(C14=0,0,C14/C5)</f>
        <v>3.1757112864726528E-3</v>
      </c>
      <c r="E14" s="207">
        <f>COUNTIFS(Сумма,"&gt;=0",Филиал,"=ОАО*",СпособЗакупки,"=Единственный источник")</f>
        <v>35</v>
      </c>
      <c r="F14" s="208">
        <f>IF(E14=0,0,E14/E5)</f>
        <v>2.2996057818659658E-2</v>
      </c>
      <c r="G14" s="206"/>
      <c r="H14" s="205"/>
    </row>
    <row r="15" spans="1:19">
      <c r="A15" s="219">
        <v>9</v>
      </c>
      <c r="B15" s="210" t="s">
        <v>4906</v>
      </c>
      <c r="C15" s="207">
        <f>SUMIFS(Сумма,Филиал,"=ОАО*",СпособЗакупки,"Открытые конкурентные переговоры")</f>
        <v>1600728.0107470001</v>
      </c>
      <c r="D15" s="208">
        <f>IF(C15=0,0,C15/C5)</f>
        <v>3.6723761138148042E-2</v>
      </c>
      <c r="E15" s="207">
        <f>COUNTIFS(Сумма,"&gt;=0",Филиал,"=ОАО*",СпособЗакупки,"=Открытые конкурентные переговоры")</f>
        <v>17</v>
      </c>
      <c r="F15" s="208">
        <f>IF(E15=0,0,E15/E5)</f>
        <v>1.1169513797634692E-2</v>
      </c>
      <c r="G15" s="206"/>
      <c r="H15" s="205"/>
    </row>
    <row r="16" spans="1:19">
      <c r="A16" s="219">
        <v>9</v>
      </c>
      <c r="B16" s="210" t="s">
        <v>4907</v>
      </c>
      <c r="C16" s="207">
        <f>SUMIFS(Сумма,Филиал,"=ОАО*",СпособЗакупки,"Закрытые конкурентные переговоры")</f>
        <v>0</v>
      </c>
      <c r="D16" s="208">
        <f>IF(C16=0,0,C16/C6)</f>
        <v>0</v>
      </c>
      <c r="E16" s="207">
        <f>COUNTIFS(Сумма,"&gt;=0",Филиал,"=ОАО*",СпособЗакупки,"=Закрытые конкурентные переговоры")</f>
        <v>0</v>
      </c>
      <c r="F16" s="208">
        <f>IF(E16=0,0,E16/E6)</f>
        <v>0</v>
      </c>
      <c r="G16" s="206"/>
      <c r="H16" s="205"/>
    </row>
    <row r="17" spans="1:19">
      <c r="A17" s="220">
        <v>10</v>
      </c>
      <c r="B17" s="210" t="s">
        <v>4908</v>
      </c>
      <c r="C17" s="207">
        <f>SUMIFS(Сумма,Филиал,"=ОАО*",ВидЭТП,"Электронная*")</f>
        <v>43449922.101774246</v>
      </c>
      <c r="D17" s="208">
        <f>IF(C17=0,0,C17/C5)</f>
        <v>0.99682428871352657</v>
      </c>
      <c r="E17" s="207">
        <f>COUNTIFS(Сумма,"&gt;=0",Филиал,"=ОАО*",ВидЭТП,"Электронная*")</f>
        <v>1487</v>
      </c>
      <c r="F17" s="208">
        <f>IF(E17=0,0,E17/E5)</f>
        <v>0.97700394218134035</v>
      </c>
      <c r="G17" s="206"/>
      <c r="H17" s="205"/>
    </row>
    <row r="18" spans="1:19">
      <c r="A18" s="220">
        <v>11</v>
      </c>
      <c r="B18" s="210" t="s">
        <v>4909</v>
      </c>
      <c r="C18" s="207">
        <f>SUM(C6,C7,C8,C11,C13,C15)</f>
        <v>43449922.101774283</v>
      </c>
      <c r="D18" s="208">
        <f>IF(C18=0,0,C18/C5)</f>
        <v>0.99682428871352746</v>
      </c>
      <c r="E18" s="207">
        <f>SUM(E6:E8,E11,E13,E15)</f>
        <v>1487</v>
      </c>
      <c r="F18" s="208">
        <f>IF(E18=0,0,E18/E5)</f>
        <v>0.97700394218134035</v>
      </c>
      <c r="G18" s="206"/>
      <c r="H18" s="205"/>
    </row>
    <row r="19" spans="1:19">
      <c r="A19" s="212"/>
      <c r="B19" s="212"/>
      <c r="C19" s="213"/>
      <c r="D19" s="213"/>
      <c r="E19" s="213"/>
      <c r="F19" s="213"/>
      <c r="H19" s="205"/>
    </row>
    <row r="20" spans="1:19" ht="16.5" customHeight="1">
      <c r="A20" s="770" t="s">
        <v>4910</v>
      </c>
      <c r="B20" s="770" t="s">
        <v>496</v>
      </c>
      <c r="C20" s="770" t="s">
        <v>4914</v>
      </c>
      <c r="D20" s="770" t="s">
        <v>4893</v>
      </c>
      <c r="E20" s="770" t="s">
        <v>4894</v>
      </c>
      <c r="F20" s="770" t="s">
        <v>4895</v>
      </c>
    </row>
    <row r="21" spans="1:19" ht="17.25" customHeight="1">
      <c r="A21" s="770"/>
      <c r="B21" s="770"/>
      <c r="C21" s="770"/>
      <c r="D21" s="770"/>
      <c r="E21" s="770"/>
      <c r="F21" s="770"/>
    </row>
    <row r="22" spans="1:19">
      <c r="A22" s="361">
        <v>1</v>
      </c>
      <c r="B22" s="361">
        <v>2</v>
      </c>
      <c r="C22" s="361">
        <v>4</v>
      </c>
      <c r="D22" s="361">
        <v>11</v>
      </c>
      <c r="E22" s="361">
        <v>11</v>
      </c>
      <c r="F22" s="361">
        <v>11</v>
      </c>
    </row>
    <row r="23" spans="1:19" ht="33" customHeight="1">
      <c r="A23" s="362"/>
      <c r="B23" s="221" t="s">
        <v>4896</v>
      </c>
      <c r="C23" s="222">
        <f>SUM(C24:C31)</f>
        <v>43588346.104456864</v>
      </c>
      <c r="D23" s="223">
        <f>SUM(D24:D31)</f>
        <v>1</v>
      </c>
      <c r="E23" s="222">
        <f>SUM(E24:E31)</f>
        <v>1522</v>
      </c>
      <c r="F23" s="223">
        <f>SUM(F24:F31)</f>
        <v>1</v>
      </c>
      <c r="G23" s="206"/>
      <c r="H23" s="205"/>
      <c r="I23" s="206"/>
      <c r="J23" s="206"/>
      <c r="K23" s="206"/>
      <c r="L23" s="206"/>
      <c r="M23" s="206"/>
      <c r="N23" s="206"/>
      <c r="O23" s="206"/>
      <c r="P23" s="206"/>
      <c r="Q23" s="206"/>
      <c r="R23" s="206"/>
      <c r="S23" s="206"/>
    </row>
    <row r="24" spans="1:19" ht="38.25">
      <c r="A24" s="219">
        <v>1</v>
      </c>
      <c r="B24" s="210" t="s">
        <v>4911</v>
      </c>
      <c r="C24" s="207">
        <f>SUMIFS(Сумма,Филиал,"=ОАО*",ВД,"=1")</f>
        <v>9748554.0795991756</v>
      </c>
      <c r="D24" s="208">
        <f>IF(C24=0,0,C24/C23)</f>
        <v>0.22365046969750466</v>
      </c>
      <c r="E24" s="207">
        <f>COUNTIFS(Сумма,"&gt;=0",Филиал,"=ОАО*",ВД,"=1")</f>
        <v>193</v>
      </c>
      <c r="F24" s="208">
        <f>IF(E24=0,0,E24/E23)</f>
        <v>0.12680683311432325</v>
      </c>
      <c r="G24" s="206"/>
      <c r="H24" s="214"/>
    </row>
    <row r="25" spans="1:19" ht="38.25">
      <c r="A25" s="220">
        <v>2</v>
      </c>
      <c r="B25" s="210" t="s">
        <v>4912</v>
      </c>
      <c r="C25" s="207">
        <f>SUMIFS(Сумма,Филиал,"=ОАО*",ВД,"=2")</f>
        <v>20402939.35981961</v>
      </c>
      <c r="D25" s="208">
        <f>IF(C25=0,0,C25/C23)</f>
        <v>0.4680824390750038</v>
      </c>
      <c r="E25" s="207">
        <f>COUNTIFS(Филиал,"=ОАО*",ВД,"=2")</f>
        <v>529</v>
      </c>
      <c r="F25" s="208">
        <f>IF(E25=0,0,E25/E23)</f>
        <v>0.34756898817345599</v>
      </c>
      <c r="G25" s="206"/>
      <c r="H25" s="205"/>
    </row>
    <row r="26" spans="1:19" ht="38.25">
      <c r="A26" s="220">
        <v>3</v>
      </c>
      <c r="B26" s="210" t="s">
        <v>4913</v>
      </c>
      <c r="C26" s="207">
        <f>SUMIFS(Сумма,Филиал,"=ОАО*",ВД,"=3")</f>
        <v>5818008.4963162784</v>
      </c>
      <c r="D26" s="208">
        <f>IF(C26=0,0,C26/C23)</f>
        <v>0.13347623886379559</v>
      </c>
      <c r="E26" s="207">
        <f>COUNTIFS(Сумма,"&gt;=0",Филиал,"=ОАО*",ВД,"=3")</f>
        <v>445</v>
      </c>
      <c r="F26" s="208">
        <f>IF(E26=0,0,E26/E23)</f>
        <v>0.2923784494086728</v>
      </c>
      <c r="G26" s="206"/>
      <c r="H26" s="205"/>
    </row>
    <row r="27" spans="1:19">
      <c r="A27" s="220">
        <v>4</v>
      </c>
      <c r="B27" s="210" t="s">
        <v>497</v>
      </c>
      <c r="C27" s="207">
        <f>SUMIFS(Сумма,Филиал,"=ОАО*",ВД,"=4")</f>
        <v>2663204.3068999988</v>
      </c>
      <c r="D27" s="208">
        <f>IF(C27=0,0,C27/C23)</f>
        <v>6.1098998813072396E-2</v>
      </c>
      <c r="E27" s="207">
        <f>COUNTIFS(Сумма,"&gt;=0",Филиал,"=ОАО*",ВД,"=4")</f>
        <v>92</v>
      </c>
      <c r="F27" s="208">
        <f>IF(E27=0,0,E27/E23)</f>
        <v>6.0446780551905388E-2</v>
      </c>
      <c r="G27" s="206"/>
      <c r="H27" s="205"/>
    </row>
    <row r="28" spans="1:19">
      <c r="A28" s="220">
        <v>5</v>
      </c>
      <c r="B28" s="210" t="s">
        <v>2999</v>
      </c>
      <c r="C28" s="207">
        <f>SUMIFS(Сумма,Филиал,"=ОАО*",ВД,"=5")</f>
        <v>0</v>
      </c>
      <c r="D28" s="208">
        <f>IF(C28=0,0,C28/C23)</f>
        <v>0</v>
      </c>
      <c r="E28" s="207">
        <f>COUNTIFS(Сумма,"&gt;=0",Филиал,"=ОАО*",ВД,"=5")</f>
        <v>0</v>
      </c>
      <c r="F28" s="208">
        <f>IF(E28=0,0,E28/E23)</f>
        <v>0</v>
      </c>
      <c r="G28" s="206"/>
      <c r="H28" s="205"/>
    </row>
    <row r="29" spans="1:19">
      <c r="A29" s="219">
        <v>6</v>
      </c>
      <c r="B29" s="210" t="s">
        <v>352</v>
      </c>
      <c r="C29" s="207">
        <f>SUMIFS(Сумма,Филиал,"=ОАО*",ВД,"=6")</f>
        <v>78453.48</v>
      </c>
      <c r="D29" s="208">
        <f>IF(C29=0,0,C29/C23)</f>
        <v>1.7998728332566443E-3</v>
      </c>
      <c r="E29" s="207">
        <f>COUNTIFS(Сумма,"&gt;=0",Филиал,"=ОАО*",ВД,"=6")</f>
        <v>14</v>
      </c>
      <c r="F29" s="208">
        <f>IF(E29=0,0,E29/E23)</f>
        <v>9.1984231274638631E-3</v>
      </c>
      <c r="G29" s="206"/>
      <c r="H29" s="205"/>
    </row>
    <row r="30" spans="1:19">
      <c r="A30" s="220">
        <v>7</v>
      </c>
      <c r="B30" s="210" t="s">
        <v>3000</v>
      </c>
      <c r="C30" s="207">
        <f>SUMIFS(Сумма,Филиал,"=ОАО*",ВД,"=7")</f>
        <v>9500.0265999999992</v>
      </c>
      <c r="D30" s="208">
        <f>IF(C30=0,0,C30/C23)</f>
        <v>2.1794877413411728E-4</v>
      </c>
      <c r="E30" s="207">
        <f>COUNTIFS(Сумма,"&gt;=0",Филиал,"=ОАО*",ВД,"=7")</f>
        <v>31</v>
      </c>
      <c r="F30" s="208">
        <f>IF(E30=0,0,E30/E23)</f>
        <v>2.0367936925098553E-2</v>
      </c>
      <c r="G30" s="206"/>
      <c r="H30" s="205"/>
    </row>
    <row r="31" spans="1:19">
      <c r="A31" s="220">
        <v>8</v>
      </c>
      <c r="B31" s="210" t="s">
        <v>3001</v>
      </c>
      <c r="C31" s="207">
        <f>SUMIFS(Сумма,Филиал,"=ОАО*",ВД,"=8")</f>
        <v>4867686.3552218005</v>
      </c>
      <c r="D31" s="208">
        <f>IF(C31=0,0,C31/C23)</f>
        <v>0.11167403194323275</v>
      </c>
      <c r="E31" s="207">
        <f>COUNTIFS(Сумма,"&gt;=0",Филиал,"=ОАО*",ВД,"=8")</f>
        <v>218</v>
      </c>
      <c r="F31" s="208">
        <f>IF(E31=0,0,E31/E23)</f>
        <v>0.14323258869908015</v>
      </c>
      <c r="G31" s="206"/>
      <c r="H31" s="205"/>
    </row>
    <row r="32" spans="1:19">
      <c r="A32" s="215"/>
      <c r="B32" s="215"/>
      <c r="C32" s="216" t="str">
        <f>IF(C24+C25+C26+C27+C28+C29+C30+C31-C23=0,"","Ошибка")</f>
        <v/>
      </c>
      <c r="D32" s="216"/>
      <c r="E32" s="216"/>
      <c r="F32" s="216"/>
    </row>
    <row r="33" spans="1:19">
      <c r="B33" s="217" t="s">
        <v>3002</v>
      </c>
    </row>
    <row r="34" spans="1:19" ht="33" customHeight="1">
      <c r="A34" s="209"/>
      <c r="B34" s="210" t="s">
        <v>3003</v>
      </c>
      <c r="C34" s="207">
        <f>SUMIFS(СуммаУПЗ,ФилиалУПЗ,"=ОАО*")</f>
        <v>22614425.091209389</v>
      </c>
      <c r="D34" s="208"/>
      <c r="E34" s="207">
        <f>COUNTIF(ФилиалУПЗ,"=ОАО*")</f>
        <v>182</v>
      </c>
      <c r="F34" s="208"/>
      <c r="G34" s="204"/>
      <c r="H34" s="205"/>
      <c r="I34" s="206"/>
      <c r="J34" s="206"/>
      <c r="K34" s="206"/>
      <c r="L34" s="206"/>
      <c r="M34" s="206"/>
      <c r="N34" s="206"/>
      <c r="O34" s="206"/>
      <c r="P34" s="206"/>
      <c r="Q34" s="206"/>
      <c r="R34" s="206"/>
      <c r="S34" s="206"/>
    </row>
    <row r="38" spans="1:19">
      <c r="C38" s="218"/>
    </row>
    <row r="39" spans="1:19">
      <c r="C39" s="218"/>
    </row>
  </sheetData>
  <customSheetViews>
    <customSheetView guid="{266D8910-EE63-4F03-AD8E-1EA3FEBC0F85}" showPageBreaks="1" printArea="1">
      <selection activeCell="E26" sqref="E26:E31"/>
      <colBreaks count="1" manualBreakCount="1">
        <brk id="6" max="1048575" man="1"/>
      </colBreaks>
      <pageMargins left="0.70866141732283472" right="0.70866141732283472" top="0.74803149606299213" bottom="0.74803149606299213" header="0.31496062992125984" footer="0.31496062992125984"/>
      <printOptions horizontalCentered="1"/>
      <pageSetup paperSize="9" orientation="portrait" r:id="rId1"/>
    </customSheetView>
    <customSheetView guid="{97206D4B-39D2-4633-B258-544D059AB9B9}" showPageBreaks="1" printArea="1" topLeftCell="A4">
      <selection activeCell="E18" sqref="E18"/>
      <colBreaks count="1" manualBreakCount="1">
        <brk id="6" max="1048575" man="1"/>
      </colBreaks>
      <pageMargins left="0.70866141732283472" right="0.70866141732283472" top="0.74803149606299213" bottom="0.74803149606299213" header="0.31496062992125984" footer="0.31496062992125984"/>
      <printOptions horizontalCentered="1"/>
      <pageSetup paperSize="9" orientation="portrait" r:id="rId2"/>
    </customSheetView>
    <customSheetView guid="{EC8E82B3-7C73-4755-8915-0971BE19A77F}" showPageBreaks="1" printArea="1">
      <selection activeCell="M24" sqref="M24"/>
      <colBreaks count="1" manualBreakCount="1">
        <brk id="6" max="1048575" man="1"/>
      </colBreaks>
      <pageMargins left="0.70866141732283472" right="0.70866141732283472" top="0.74803149606299213" bottom="0.74803149606299213" header="0.31496062992125984" footer="0.31496062992125984"/>
      <printOptions horizontalCentered="1"/>
      <pageSetup paperSize="9" orientation="portrait" r:id="rId3"/>
    </customSheetView>
  </customSheetViews>
  <mergeCells count="13">
    <mergeCell ref="A1:F1"/>
    <mergeCell ref="E2:E3"/>
    <mergeCell ref="F2:F3"/>
    <mergeCell ref="A20:A21"/>
    <mergeCell ref="B20:B21"/>
    <mergeCell ref="C20:C21"/>
    <mergeCell ref="D20:D21"/>
    <mergeCell ref="E20:E21"/>
    <mergeCell ref="F20:F21"/>
    <mergeCell ref="A2:A3"/>
    <mergeCell ref="B2:B3"/>
    <mergeCell ref="C2:C3"/>
    <mergeCell ref="D2:D3"/>
  </mergeCells>
  <printOptions horizontalCentered="1"/>
  <pageMargins left="0.70866141732283472" right="0.70866141732283472" top="0.74803149606299213" bottom="0.74803149606299213" header="0.31496062992125984" footer="0.31496062992125984"/>
  <pageSetup paperSize="9" orientation="portrait" r:id="rId4"/>
  <colBreaks count="1" manualBreakCount="1">
    <brk id="6" max="1048575" man="1"/>
  </colBreaks>
  <ignoredErrors>
    <ignoredError sqref="E5:E18 E25:E31 D5 E24" formula="1"/>
  </ignoredErrors>
</worksheet>
</file>

<file path=xl/worksheets/sheet3.xml><?xml version="1.0" encoding="utf-8"?>
<worksheet xmlns="http://schemas.openxmlformats.org/spreadsheetml/2006/main" xmlns:r="http://schemas.openxmlformats.org/officeDocument/2006/relationships">
  <dimension ref="A1:DR189"/>
  <sheetViews>
    <sheetView zoomScale="85" zoomScaleNormal="85" workbookViewId="0">
      <pane xSplit="8" ySplit="5" topLeftCell="I6" activePane="bottomRight" state="frozen"/>
      <selection pane="topRight" activeCell="I1" sqref="I1"/>
      <selection pane="bottomLeft" activeCell="A6" sqref="A6"/>
      <selection pane="bottomRight" activeCell="D10" sqref="D10"/>
    </sheetView>
  </sheetViews>
  <sheetFormatPr defaultColWidth="9.140625" defaultRowHeight="15"/>
  <cols>
    <col min="1" max="1" width="9.140625" style="94"/>
    <col min="2" max="2" width="11.5703125" style="94" customWidth="1"/>
    <col min="3" max="3" width="15" style="94" customWidth="1"/>
    <col min="4" max="4" width="14.140625" style="94" customWidth="1"/>
    <col min="5" max="5" width="12.28515625" style="94" customWidth="1"/>
    <col min="6" max="6" width="12.140625" style="94" customWidth="1"/>
    <col min="7" max="7" width="14.42578125" style="94" customWidth="1"/>
    <col min="8" max="8" width="45.85546875" style="94" customWidth="1"/>
    <col min="9" max="10" width="17.7109375" style="94" customWidth="1"/>
    <col min="11" max="12" width="18.42578125" style="94" customWidth="1"/>
    <col min="13" max="13" width="15.42578125" style="94" customWidth="1"/>
    <col min="14" max="14" width="33.85546875" style="94" customWidth="1"/>
    <col min="15" max="15" width="17" style="94" customWidth="1"/>
    <col min="16" max="17" width="11.7109375" style="94" bestFit="1" customWidth="1"/>
    <col min="18" max="18" width="15.28515625" style="296" customWidth="1"/>
    <col min="19" max="19" width="15.85546875" style="94" customWidth="1"/>
    <col min="20" max="20" width="23.85546875" style="94" customWidth="1"/>
    <col min="21" max="21" width="17.140625" style="94" customWidth="1"/>
    <col min="22" max="22" width="15.140625" style="94" customWidth="1"/>
    <col min="23" max="23" width="14.7109375" style="94" customWidth="1"/>
    <col min="24" max="24" width="17.42578125" style="94" customWidth="1"/>
    <col min="25" max="121" width="9.140625" style="261"/>
    <col min="122" max="16384" width="9.140625" style="94"/>
  </cols>
  <sheetData>
    <row r="1" spans="1:121" s="297" customFormat="1" ht="51.75" customHeight="1">
      <c r="A1" s="297" t="s">
        <v>4133</v>
      </c>
    </row>
    <row r="2" spans="1:121" s="260" customFormat="1" ht="45" customHeight="1">
      <c r="A2" s="771" t="s">
        <v>41</v>
      </c>
      <c r="B2" s="771" t="s">
        <v>18</v>
      </c>
      <c r="C2" s="771" t="s">
        <v>20</v>
      </c>
      <c r="D2" s="771"/>
      <c r="E2" s="771" t="s">
        <v>43</v>
      </c>
      <c r="F2" s="771" t="s">
        <v>44</v>
      </c>
      <c r="G2" s="771" t="s">
        <v>21</v>
      </c>
      <c r="H2" s="771" t="s">
        <v>22</v>
      </c>
      <c r="I2" s="771" t="s">
        <v>133</v>
      </c>
      <c r="J2" s="771" t="s">
        <v>55</v>
      </c>
      <c r="K2" s="771"/>
      <c r="L2" s="771" t="s">
        <v>50</v>
      </c>
      <c r="M2" s="244"/>
      <c r="N2" s="771" t="s">
        <v>42</v>
      </c>
      <c r="O2" s="771"/>
      <c r="P2" s="771"/>
      <c r="Q2" s="771"/>
      <c r="R2" s="771"/>
      <c r="S2" s="771"/>
      <c r="T2" s="771"/>
      <c r="U2" s="771"/>
      <c r="V2" s="771"/>
      <c r="W2" s="771"/>
      <c r="X2" s="771" t="s">
        <v>57</v>
      </c>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row>
    <row r="3" spans="1:121" s="260" customFormat="1" ht="45.75" customHeight="1">
      <c r="A3" s="771"/>
      <c r="B3" s="771"/>
      <c r="C3" s="771" t="s">
        <v>134</v>
      </c>
      <c r="D3" s="771" t="s">
        <v>135</v>
      </c>
      <c r="E3" s="771"/>
      <c r="F3" s="771"/>
      <c r="G3" s="771"/>
      <c r="H3" s="771"/>
      <c r="I3" s="771"/>
      <c r="J3" s="771"/>
      <c r="K3" s="771"/>
      <c r="L3" s="771"/>
      <c r="M3" s="771" t="s">
        <v>51</v>
      </c>
      <c r="N3" s="771" t="s">
        <v>39</v>
      </c>
      <c r="O3" s="771" t="s">
        <v>40</v>
      </c>
      <c r="P3" s="771" t="s">
        <v>26</v>
      </c>
      <c r="Q3" s="771"/>
      <c r="R3" s="771" t="s">
        <v>46</v>
      </c>
      <c r="S3" s="771" t="s">
        <v>36</v>
      </c>
      <c r="T3" s="771"/>
      <c r="U3" s="773" t="s">
        <v>34</v>
      </c>
      <c r="V3" s="771" t="s">
        <v>31</v>
      </c>
      <c r="W3" s="772" t="s">
        <v>32</v>
      </c>
      <c r="X3" s="771"/>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row>
    <row r="4" spans="1:121" s="260" customFormat="1" ht="67.5" customHeight="1">
      <c r="A4" s="771"/>
      <c r="B4" s="771"/>
      <c r="C4" s="771"/>
      <c r="D4" s="771"/>
      <c r="E4" s="771"/>
      <c r="F4" s="771"/>
      <c r="G4" s="771"/>
      <c r="H4" s="771"/>
      <c r="I4" s="771"/>
      <c r="J4" s="244" t="s">
        <v>53</v>
      </c>
      <c r="K4" s="244" t="s">
        <v>54</v>
      </c>
      <c r="L4" s="771"/>
      <c r="M4" s="771"/>
      <c r="N4" s="771"/>
      <c r="O4" s="771"/>
      <c r="P4" s="244" t="s">
        <v>45</v>
      </c>
      <c r="Q4" s="244" t="s">
        <v>38</v>
      </c>
      <c r="R4" s="771"/>
      <c r="S4" s="244" t="s">
        <v>37</v>
      </c>
      <c r="T4" s="244" t="s">
        <v>27</v>
      </c>
      <c r="U4" s="773"/>
      <c r="V4" s="771"/>
      <c r="W4" s="772"/>
      <c r="X4" s="771"/>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9"/>
      <c r="CZ4" s="259"/>
      <c r="DA4" s="259"/>
      <c r="DB4" s="259"/>
      <c r="DC4" s="259"/>
      <c r="DD4" s="259"/>
      <c r="DE4" s="259"/>
      <c r="DF4" s="259"/>
      <c r="DG4" s="259"/>
      <c r="DH4" s="259"/>
      <c r="DI4" s="259"/>
      <c r="DJ4" s="259"/>
      <c r="DK4" s="259"/>
      <c r="DL4" s="259"/>
      <c r="DM4" s="259"/>
      <c r="DN4" s="259"/>
      <c r="DO4" s="259"/>
      <c r="DP4" s="259"/>
      <c r="DQ4" s="259"/>
    </row>
    <row r="5" spans="1:121" s="260" customFormat="1">
      <c r="A5" s="245">
        <v>1</v>
      </c>
      <c r="B5" s="245">
        <v>2</v>
      </c>
      <c r="C5" s="245">
        <v>3</v>
      </c>
      <c r="D5" s="245">
        <v>4</v>
      </c>
      <c r="E5" s="245">
        <v>6</v>
      </c>
      <c r="F5" s="245">
        <v>6.8</v>
      </c>
      <c r="G5" s="245">
        <v>8</v>
      </c>
      <c r="H5" s="245">
        <v>9.1999999999999993</v>
      </c>
      <c r="I5" s="245">
        <v>10.4</v>
      </c>
      <c r="J5" s="245">
        <v>11.6</v>
      </c>
      <c r="K5" s="245">
        <v>12.8</v>
      </c>
      <c r="L5" s="245">
        <v>14</v>
      </c>
      <c r="M5" s="245">
        <v>15.2</v>
      </c>
      <c r="N5" s="245">
        <v>16.399999999999999</v>
      </c>
      <c r="O5" s="245">
        <v>17.600000000000001</v>
      </c>
      <c r="P5" s="245">
        <v>18.8</v>
      </c>
      <c r="Q5" s="245">
        <v>20</v>
      </c>
      <c r="R5" s="245">
        <v>21.2</v>
      </c>
      <c r="S5" s="245">
        <v>22.4</v>
      </c>
      <c r="T5" s="245">
        <v>23.6</v>
      </c>
      <c r="U5" s="245">
        <v>24.8</v>
      </c>
      <c r="V5" s="245">
        <v>26</v>
      </c>
      <c r="W5" s="245">
        <v>27.2</v>
      </c>
      <c r="X5" s="245">
        <v>28.4</v>
      </c>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CY5" s="259"/>
      <c r="CZ5" s="259"/>
      <c r="DA5" s="259"/>
      <c r="DB5" s="259"/>
      <c r="DC5" s="259"/>
      <c r="DD5" s="259"/>
      <c r="DE5" s="259"/>
      <c r="DF5" s="259"/>
      <c r="DG5" s="259"/>
      <c r="DH5" s="259"/>
      <c r="DI5" s="259"/>
      <c r="DJ5" s="259"/>
      <c r="DK5" s="259"/>
      <c r="DL5" s="259"/>
      <c r="DM5" s="259"/>
      <c r="DN5" s="259"/>
      <c r="DO5" s="259"/>
      <c r="DP5" s="259"/>
      <c r="DQ5" s="259"/>
    </row>
    <row r="6" spans="1:121" s="260" customFormat="1" ht="93.75">
      <c r="A6" s="25">
        <v>8</v>
      </c>
      <c r="B6" s="38" t="s">
        <v>1751</v>
      </c>
      <c r="C6" s="38" t="s">
        <v>83</v>
      </c>
      <c r="D6" s="38" t="s">
        <v>242</v>
      </c>
      <c r="E6" s="38" t="s">
        <v>1752</v>
      </c>
      <c r="F6" s="38" t="s">
        <v>1753</v>
      </c>
      <c r="G6" s="63">
        <v>854290</v>
      </c>
      <c r="H6" s="60" t="s">
        <v>1754</v>
      </c>
      <c r="I6" s="29" t="s">
        <v>1755</v>
      </c>
      <c r="J6" s="23">
        <v>0</v>
      </c>
      <c r="K6" s="23">
        <v>0</v>
      </c>
      <c r="L6" s="38" t="s">
        <v>280</v>
      </c>
      <c r="M6" s="16" t="s">
        <v>888</v>
      </c>
      <c r="N6" s="16" t="s">
        <v>1756</v>
      </c>
      <c r="O6" s="16" t="s">
        <v>1757</v>
      </c>
      <c r="P6" s="38">
        <v>384</v>
      </c>
      <c r="Q6" s="38" t="s">
        <v>1758</v>
      </c>
      <c r="R6" s="38" t="s">
        <v>1759</v>
      </c>
      <c r="S6" s="38">
        <v>45</v>
      </c>
      <c r="T6" s="38" t="s">
        <v>547</v>
      </c>
      <c r="U6" s="52">
        <v>41785</v>
      </c>
      <c r="V6" s="52">
        <v>41785</v>
      </c>
      <c r="W6" s="52">
        <v>42150</v>
      </c>
      <c r="X6" s="60"/>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c r="CG6" s="259"/>
      <c r="CH6" s="259"/>
      <c r="CI6" s="259"/>
      <c r="CJ6" s="259"/>
      <c r="CK6" s="259"/>
      <c r="CL6" s="259"/>
      <c r="CM6" s="259"/>
      <c r="CN6" s="259"/>
      <c r="CO6" s="259"/>
      <c r="CP6" s="259"/>
      <c r="CQ6" s="259"/>
      <c r="CR6" s="259"/>
      <c r="CS6" s="259"/>
      <c r="CT6" s="259"/>
      <c r="CU6" s="259"/>
      <c r="CV6" s="259"/>
      <c r="CW6" s="259"/>
      <c r="CX6" s="259"/>
      <c r="CY6" s="259"/>
      <c r="CZ6" s="259"/>
      <c r="DA6" s="259"/>
      <c r="DB6" s="259"/>
      <c r="DC6" s="259"/>
      <c r="DD6" s="259"/>
      <c r="DE6" s="259"/>
      <c r="DF6" s="259"/>
      <c r="DG6" s="259"/>
      <c r="DH6" s="259"/>
      <c r="DI6" s="259"/>
      <c r="DJ6" s="259"/>
      <c r="DK6" s="259"/>
      <c r="DL6" s="259"/>
      <c r="DM6" s="259"/>
      <c r="DN6" s="259"/>
      <c r="DO6" s="259"/>
      <c r="DP6" s="259"/>
      <c r="DQ6" s="259"/>
    </row>
    <row r="7" spans="1:121" ht="93.75">
      <c r="A7" s="25">
        <v>8</v>
      </c>
      <c r="B7" s="247" t="s">
        <v>1760</v>
      </c>
      <c r="C7" s="38" t="s">
        <v>83</v>
      </c>
      <c r="D7" s="38" t="s">
        <v>160</v>
      </c>
      <c r="E7" s="38" t="s">
        <v>1761</v>
      </c>
      <c r="F7" s="38" t="s">
        <v>1762</v>
      </c>
      <c r="G7" s="11">
        <v>626082</v>
      </c>
      <c r="H7" s="16" t="s">
        <v>1763</v>
      </c>
      <c r="I7" s="29" t="s">
        <v>1755</v>
      </c>
      <c r="J7" s="23">
        <v>0</v>
      </c>
      <c r="K7" s="23">
        <v>0</v>
      </c>
      <c r="L7" s="38" t="s">
        <v>280</v>
      </c>
      <c r="M7" s="16" t="s">
        <v>1697</v>
      </c>
      <c r="N7" s="16" t="s">
        <v>1764</v>
      </c>
      <c r="O7" s="16" t="s">
        <v>1757</v>
      </c>
      <c r="P7" s="38">
        <v>384</v>
      </c>
      <c r="Q7" s="38" t="s">
        <v>1758</v>
      </c>
      <c r="R7" s="38" t="s">
        <v>1759</v>
      </c>
      <c r="S7" s="38">
        <v>45</v>
      </c>
      <c r="T7" s="38" t="s">
        <v>547</v>
      </c>
      <c r="U7" s="52">
        <v>41649</v>
      </c>
      <c r="V7" s="52">
        <v>41649</v>
      </c>
      <c r="W7" s="52">
        <v>42004</v>
      </c>
      <c r="X7" s="60"/>
    </row>
    <row r="8" spans="1:121" s="260" customFormat="1" ht="93.75">
      <c r="A8" s="25">
        <v>8</v>
      </c>
      <c r="B8" s="38" t="s">
        <v>596</v>
      </c>
      <c r="C8" s="38" t="s">
        <v>83</v>
      </c>
      <c r="D8" s="29" t="s">
        <v>597</v>
      </c>
      <c r="E8" s="29" t="s">
        <v>598</v>
      </c>
      <c r="F8" s="29">
        <v>4010000</v>
      </c>
      <c r="G8" s="63">
        <v>813056</v>
      </c>
      <c r="H8" s="60" t="s">
        <v>599</v>
      </c>
      <c r="I8" s="73" t="s">
        <v>600</v>
      </c>
      <c r="J8" s="23">
        <v>8606.6797897000797</v>
      </c>
      <c r="K8" s="34">
        <f t="shared" ref="K8:K26" si="0">J8*1.18</f>
        <v>10155.882151846094</v>
      </c>
      <c r="L8" s="38" t="s">
        <v>280</v>
      </c>
      <c r="M8" s="16" t="s">
        <v>601</v>
      </c>
      <c r="N8" s="16" t="s">
        <v>602</v>
      </c>
      <c r="O8" s="16" t="s">
        <v>171</v>
      </c>
      <c r="P8" s="25">
        <v>245</v>
      </c>
      <c r="Q8" s="25" t="s">
        <v>603</v>
      </c>
      <c r="R8" s="34">
        <v>2013012</v>
      </c>
      <c r="S8" s="25" t="s">
        <v>604</v>
      </c>
      <c r="T8" s="38" t="s">
        <v>605</v>
      </c>
      <c r="U8" s="33">
        <v>41640</v>
      </c>
      <c r="V8" s="33">
        <v>41640</v>
      </c>
      <c r="W8" s="52">
        <v>42004</v>
      </c>
      <c r="X8" s="60"/>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c r="CG8" s="259"/>
      <c r="CH8" s="259"/>
      <c r="CI8" s="259"/>
      <c r="CJ8" s="259"/>
      <c r="CK8" s="259"/>
      <c r="CL8" s="259"/>
      <c r="CM8" s="259"/>
      <c r="CN8" s="259"/>
      <c r="CO8" s="259"/>
      <c r="CP8" s="259"/>
      <c r="CQ8" s="259"/>
      <c r="CR8" s="259"/>
      <c r="CS8" s="259"/>
      <c r="CT8" s="259"/>
      <c r="CU8" s="259"/>
      <c r="CV8" s="259"/>
      <c r="CW8" s="259"/>
      <c r="CX8" s="259"/>
      <c r="CY8" s="259"/>
      <c r="CZ8" s="259"/>
      <c r="DA8" s="259"/>
      <c r="DB8" s="259"/>
      <c r="DC8" s="259"/>
      <c r="DD8" s="259"/>
      <c r="DE8" s="259"/>
      <c r="DF8" s="259"/>
      <c r="DG8" s="259"/>
      <c r="DH8" s="259"/>
      <c r="DI8" s="259"/>
      <c r="DJ8" s="259"/>
      <c r="DK8" s="259"/>
      <c r="DL8" s="259"/>
      <c r="DM8" s="259"/>
      <c r="DN8" s="259"/>
      <c r="DO8" s="259"/>
      <c r="DP8" s="259"/>
      <c r="DQ8" s="259"/>
    </row>
    <row r="9" spans="1:121" ht="93.75">
      <c r="A9" s="25">
        <v>8</v>
      </c>
      <c r="B9" s="38" t="s">
        <v>606</v>
      </c>
      <c r="C9" s="38" t="s">
        <v>83</v>
      </c>
      <c r="D9" s="29" t="s">
        <v>597</v>
      </c>
      <c r="E9" s="29" t="s">
        <v>598</v>
      </c>
      <c r="F9" s="29">
        <v>4010000</v>
      </c>
      <c r="G9" s="63">
        <v>813057</v>
      </c>
      <c r="H9" s="60" t="s">
        <v>607</v>
      </c>
      <c r="I9" s="73" t="s">
        <v>600</v>
      </c>
      <c r="J9" s="23">
        <v>7377.843075503999</v>
      </c>
      <c r="K9" s="34">
        <f t="shared" si="0"/>
        <v>8705.8548290947183</v>
      </c>
      <c r="L9" s="38" t="s">
        <v>280</v>
      </c>
      <c r="M9" s="16" t="s">
        <v>608</v>
      </c>
      <c r="N9" s="16" t="s">
        <v>609</v>
      </c>
      <c r="O9" s="16" t="s">
        <v>171</v>
      </c>
      <c r="P9" s="25">
        <v>245</v>
      </c>
      <c r="Q9" s="25" t="s">
        <v>603</v>
      </c>
      <c r="R9" s="23">
        <v>1725600</v>
      </c>
      <c r="S9" s="25" t="s">
        <v>604</v>
      </c>
      <c r="T9" s="38" t="s">
        <v>605</v>
      </c>
      <c r="U9" s="33">
        <v>41640</v>
      </c>
      <c r="V9" s="33">
        <v>41640</v>
      </c>
      <c r="W9" s="52">
        <v>42004</v>
      </c>
      <c r="X9" s="60"/>
    </row>
    <row r="10" spans="1:121" ht="56.25">
      <c r="A10" s="25">
        <v>8</v>
      </c>
      <c r="B10" s="38" t="s">
        <v>610</v>
      </c>
      <c r="C10" s="38" t="s">
        <v>83</v>
      </c>
      <c r="D10" s="29" t="s">
        <v>597</v>
      </c>
      <c r="E10" s="29" t="s">
        <v>598</v>
      </c>
      <c r="F10" s="29">
        <v>4010000</v>
      </c>
      <c r="G10" s="63">
        <v>813058</v>
      </c>
      <c r="H10" s="60" t="s">
        <v>611</v>
      </c>
      <c r="I10" s="73" t="s">
        <v>600</v>
      </c>
      <c r="J10" s="23">
        <v>8171.9574030588992</v>
      </c>
      <c r="K10" s="34">
        <f t="shared" si="0"/>
        <v>9642.9097356095008</v>
      </c>
      <c r="L10" s="38" t="s">
        <v>280</v>
      </c>
      <c r="M10" s="16" t="s">
        <v>612</v>
      </c>
      <c r="N10" s="16" t="s">
        <v>613</v>
      </c>
      <c r="O10" s="16" t="s">
        <v>171</v>
      </c>
      <c r="P10" s="25">
        <v>245</v>
      </c>
      <c r="Q10" s="25" t="s">
        <v>603</v>
      </c>
      <c r="R10" s="23">
        <v>1911335</v>
      </c>
      <c r="S10" s="25" t="s">
        <v>604</v>
      </c>
      <c r="T10" s="38" t="s">
        <v>605</v>
      </c>
      <c r="U10" s="33">
        <v>41640</v>
      </c>
      <c r="V10" s="33">
        <v>41640</v>
      </c>
      <c r="W10" s="52">
        <v>42004</v>
      </c>
      <c r="X10" s="60"/>
    </row>
    <row r="11" spans="1:121" ht="56.25">
      <c r="A11" s="25">
        <v>8</v>
      </c>
      <c r="B11" s="38" t="s">
        <v>614</v>
      </c>
      <c r="C11" s="38" t="s">
        <v>83</v>
      </c>
      <c r="D11" s="29" t="s">
        <v>597</v>
      </c>
      <c r="E11" s="29" t="s">
        <v>598</v>
      </c>
      <c r="F11" s="29">
        <v>4010000</v>
      </c>
      <c r="G11" s="63">
        <v>813055</v>
      </c>
      <c r="H11" s="60" t="s">
        <v>615</v>
      </c>
      <c r="I11" s="73" t="s">
        <v>600</v>
      </c>
      <c r="J11" s="23">
        <v>1393.2861684224997</v>
      </c>
      <c r="K11" s="34">
        <f t="shared" si="0"/>
        <v>1644.0776787385496</v>
      </c>
      <c r="L11" s="38" t="s">
        <v>280</v>
      </c>
      <c r="M11" s="16" t="s">
        <v>612</v>
      </c>
      <c r="N11" s="16" t="s">
        <v>616</v>
      </c>
      <c r="O11" s="16" t="s">
        <v>171</v>
      </c>
      <c r="P11" s="25">
        <v>245</v>
      </c>
      <c r="Q11" s="25" t="s">
        <v>603</v>
      </c>
      <c r="R11" s="23">
        <v>325875</v>
      </c>
      <c r="S11" s="25" t="s">
        <v>604</v>
      </c>
      <c r="T11" s="38" t="s">
        <v>605</v>
      </c>
      <c r="U11" s="33">
        <v>41640</v>
      </c>
      <c r="V11" s="33">
        <v>41640</v>
      </c>
      <c r="W11" s="52">
        <v>42004</v>
      </c>
      <c r="X11" s="60"/>
    </row>
    <row r="12" spans="1:121" ht="93.75">
      <c r="A12" s="25">
        <v>8</v>
      </c>
      <c r="B12" s="38" t="s">
        <v>617</v>
      </c>
      <c r="C12" s="38" t="s">
        <v>83</v>
      </c>
      <c r="D12" s="29" t="s">
        <v>597</v>
      </c>
      <c r="E12" s="29" t="s">
        <v>598</v>
      </c>
      <c r="F12" s="29">
        <v>4010000</v>
      </c>
      <c r="G12" s="63">
        <v>813059</v>
      </c>
      <c r="H12" s="60" t="s">
        <v>618</v>
      </c>
      <c r="I12" s="73" t="s">
        <v>600</v>
      </c>
      <c r="J12" s="23">
        <v>868.59821966103993</v>
      </c>
      <c r="K12" s="34">
        <f t="shared" si="0"/>
        <v>1024.945899200027</v>
      </c>
      <c r="L12" s="38" t="s">
        <v>280</v>
      </c>
      <c r="M12" s="16" t="s">
        <v>619</v>
      </c>
      <c r="N12" s="16" t="s">
        <v>620</v>
      </c>
      <c r="O12" s="16" t="s">
        <v>171</v>
      </c>
      <c r="P12" s="25">
        <v>245</v>
      </c>
      <c r="Q12" s="25" t="s">
        <v>603</v>
      </c>
      <c r="R12" s="23">
        <v>203156</v>
      </c>
      <c r="S12" s="25" t="s">
        <v>621</v>
      </c>
      <c r="T12" s="38" t="s">
        <v>605</v>
      </c>
      <c r="U12" s="33">
        <v>41640</v>
      </c>
      <c r="V12" s="33">
        <v>41640</v>
      </c>
      <c r="W12" s="52">
        <v>42004</v>
      </c>
      <c r="X12" s="60"/>
    </row>
    <row r="13" spans="1:121" ht="56.25">
      <c r="A13" s="25">
        <v>8</v>
      </c>
      <c r="B13" s="38" t="s">
        <v>622</v>
      </c>
      <c r="C13" s="38" t="s">
        <v>83</v>
      </c>
      <c r="D13" s="29" t="s">
        <v>597</v>
      </c>
      <c r="E13" s="29" t="s">
        <v>623</v>
      </c>
      <c r="F13" s="38">
        <v>4030201</v>
      </c>
      <c r="G13" s="63">
        <v>813045</v>
      </c>
      <c r="H13" s="60" t="s">
        <v>624</v>
      </c>
      <c r="I13" s="73" t="s">
        <v>625</v>
      </c>
      <c r="J13" s="23">
        <v>835.33128999999997</v>
      </c>
      <c r="K13" s="34">
        <f t="shared" si="0"/>
        <v>985.69092219999993</v>
      </c>
      <c r="L13" s="38" t="s">
        <v>280</v>
      </c>
      <c r="M13" s="16" t="s">
        <v>626</v>
      </c>
      <c r="N13" s="16" t="s">
        <v>627</v>
      </c>
      <c r="O13" s="16" t="s">
        <v>171</v>
      </c>
      <c r="P13" s="25">
        <v>233</v>
      </c>
      <c r="Q13" s="25" t="s">
        <v>628</v>
      </c>
      <c r="R13" s="23">
        <v>464.64</v>
      </c>
      <c r="S13" s="25" t="s">
        <v>629</v>
      </c>
      <c r="T13" s="38" t="s">
        <v>605</v>
      </c>
      <c r="U13" s="33">
        <v>41640</v>
      </c>
      <c r="V13" s="33">
        <v>41640</v>
      </c>
      <c r="W13" s="52">
        <v>42004</v>
      </c>
      <c r="X13" s="60"/>
    </row>
    <row r="14" spans="1:121" ht="56.25">
      <c r="A14" s="25">
        <v>8</v>
      </c>
      <c r="B14" s="38" t="s">
        <v>630</v>
      </c>
      <c r="C14" s="38" t="s">
        <v>83</v>
      </c>
      <c r="D14" s="29" t="s">
        <v>597</v>
      </c>
      <c r="E14" s="29" t="s">
        <v>623</v>
      </c>
      <c r="F14" s="38">
        <v>4030201</v>
      </c>
      <c r="G14" s="63">
        <v>813046</v>
      </c>
      <c r="H14" s="60" t="s">
        <v>631</v>
      </c>
      <c r="I14" s="73" t="s">
        <v>625</v>
      </c>
      <c r="J14" s="23">
        <v>1947.8489999999999</v>
      </c>
      <c r="K14" s="34">
        <f t="shared" si="0"/>
        <v>2298.46182</v>
      </c>
      <c r="L14" s="38" t="s">
        <v>280</v>
      </c>
      <c r="M14" s="16" t="s">
        <v>632</v>
      </c>
      <c r="N14" s="16" t="s">
        <v>633</v>
      </c>
      <c r="O14" s="16" t="s">
        <v>171</v>
      </c>
      <c r="P14" s="25">
        <v>233</v>
      </c>
      <c r="Q14" s="25" t="s">
        <v>628</v>
      </c>
      <c r="R14" s="34">
        <v>1026.74</v>
      </c>
      <c r="S14" s="25" t="s">
        <v>634</v>
      </c>
      <c r="T14" s="38" t="s">
        <v>605</v>
      </c>
      <c r="U14" s="33">
        <v>41640</v>
      </c>
      <c r="V14" s="33">
        <v>41640</v>
      </c>
      <c r="W14" s="52">
        <v>42004</v>
      </c>
      <c r="X14" s="60"/>
    </row>
    <row r="15" spans="1:121" ht="75">
      <c r="A15" s="25">
        <v>8</v>
      </c>
      <c r="B15" s="38" t="s">
        <v>635</v>
      </c>
      <c r="C15" s="38" t="s">
        <v>83</v>
      </c>
      <c r="D15" s="29" t="s">
        <v>597</v>
      </c>
      <c r="E15" s="29" t="s">
        <v>623</v>
      </c>
      <c r="F15" s="38">
        <v>4030201</v>
      </c>
      <c r="G15" s="63">
        <v>813047</v>
      </c>
      <c r="H15" s="60" t="s">
        <v>636</v>
      </c>
      <c r="I15" s="73" t="s">
        <v>625</v>
      </c>
      <c r="J15" s="23">
        <v>507.01362</v>
      </c>
      <c r="K15" s="34">
        <f t="shared" si="0"/>
        <v>598.27607160000002</v>
      </c>
      <c r="L15" s="38" t="s">
        <v>280</v>
      </c>
      <c r="M15" s="16" t="s">
        <v>637</v>
      </c>
      <c r="N15" s="16" t="s">
        <v>638</v>
      </c>
      <c r="O15" s="16" t="s">
        <v>171</v>
      </c>
      <c r="P15" s="25">
        <v>233</v>
      </c>
      <c r="Q15" s="25" t="s">
        <v>628</v>
      </c>
      <c r="R15" s="23">
        <v>315.93</v>
      </c>
      <c r="S15" s="25" t="s">
        <v>621</v>
      </c>
      <c r="T15" s="38" t="s">
        <v>605</v>
      </c>
      <c r="U15" s="33">
        <v>41640</v>
      </c>
      <c r="V15" s="33">
        <v>41640</v>
      </c>
      <c r="W15" s="52">
        <v>42004</v>
      </c>
      <c r="X15" s="60"/>
    </row>
    <row r="16" spans="1:121" ht="112.5">
      <c r="A16" s="25">
        <v>8</v>
      </c>
      <c r="B16" s="38" t="s">
        <v>639</v>
      </c>
      <c r="C16" s="38" t="s">
        <v>83</v>
      </c>
      <c r="D16" s="29" t="s">
        <v>597</v>
      </c>
      <c r="E16" s="29" t="s">
        <v>623</v>
      </c>
      <c r="F16" s="38">
        <v>4030201</v>
      </c>
      <c r="G16" s="63">
        <v>813048</v>
      </c>
      <c r="H16" s="60" t="s">
        <v>640</v>
      </c>
      <c r="I16" s="73" t="s">
        <v>625</v>
      </c>
      <c r="J16" s="23">
        <v>2967.1482700000001</v>
      </c>
      <c r="K16" s="34">
        <f t="shared" si="0"/>
        <v>3501.2349586</v>
      </c>
      <c r="L16" s="38" t="s">
        <v>280</v>
      </c>
      <c r="M16" s="16" t="s">
        <v>641</v>
      </c>
      <c r="N16" s="16" t="s">
        <v>642</v>
      </c>
      <c r="O16" s="16" t="s">
        <v>171</v>
      </c>
      <c r="P16" s="25">
        <v>233</v>
      </c>
      <c r="Q16" s="25" t="s">
        <v>628</v>
      </c>
      <c r="R16" s="23">
        <v>1647.97</v>
      </c>
      <c r="S16" s="25" t="s">
        <v>643</v>
      </c>
      <c r="T16" s="38" t="s">
        <v>547</v>
      </c>
      <c r="U16" s="33">
        <v>41640</v>
      </c>
      <c r="V16" s="33">
        <v>41640</v>
      </c>
      <c r="W16" s="52">
        <v>42004</v>
      </c>
      <c r="X16" s="60"/>
    </row>
    <row r="17" spans="1:121" ht="56.25">
      <c r="A17" s="25">
        <v>8</v>
      </c>
      <c r="B17" s="38" t="s">
        <v>644</v>
      </c>
      <c r="C17" s="38" t="s">
        <v>83</v>
      </c>
      <c r="D17" s="29" t="s">
        <v>597</v>
      </c>
      <c r="E17" s="29" t="s">
        <v>623</v>
      </c>
      <c r="F17" s="38">
        <v>4030201</v>
      </c>
      <c r="G17" s="63">
        <v>813049</v>
      </c>
      <c r="H17" s="60" t="s">
        <v>645</v>
      </c>
      <c r="I17" s="73" t="s">
        <v>625</v>
      </c>
      <c r="J17" s="23">
        <v>1551.9527335424002</v>
      </c>
      <c r="K17" s="34">
        <f t="shared" si="0"/>
        <v>1831.3042255800322</v>
      </c>
      <c r="L17" s="38" t="s">
        <v>280</v>
      </c>
      <c r="M17" s="16" t="s">
        <v>646</v>
      </c>
      <c r="N17" s="16" t="s">
        <v>647</v>
      </c>
      <c r="O17" s="16" t="s">
        <v>171</v>
      </c>
      <c r="P17" s="25">
        <v>233</v>
      </c>
      <c r="Q17" s="25" t="s">
        <v>628</v>
      </c>
      <c r="R17" s="23">
        <v>741.73</v>
      </c>
      <c r="S17" s="25" t="s">
        <v>648</v>
      </c>
      <c r="T17" s="38" t="s">
        <v>605</v>
      </c>
      <c r="U17" s="33">
        <v>41640</v>
      </c>
      <c r="V17" s="33">
        <v>41640</v>
      </c>
      <c r="W17" s="52">
        <v>42004</v>
      </c>
      <c r="X17" s="60"/>
    </row>
    <row r="18" spans="1:121" ht="56.25">
      <c r="A18" s="25">
        <v>8</v>
      </c>
      <c r="B18" s="38" t="s">
        <v>649</v>
      </c>
      <c r="C18" s="38" t="s">
        <v>83</v>
      </c>
      <c r="D18" s="29" t="s">
        <v>597</v>
      </c>
      <c r="E18" s="29" t="s">
        <v>623</v>
      </c>
      <c r="F18" s="38">
        <v>4030201</v>
      </c>
      <c r="G18" s="63">
        <v>813050</v>
      </c>
      <c r="H18" s="60" t="s">
        <v>650</v>
      </c>
      <c r="I18" s="73" t="s">
        <v>625</v>
      </c>
      <c r="J18" s="23">
        <v>1749.6301800000001</v>
      </c>
      <c r="K18" s="34">
        <f t="shared" si="0"/>
        <v>2064.5636124000002</v>
      </c>
      <c r="L18" s="38" t="s">
        <v>280</v>
      </c>
      <c r="M18" s="16" t="s">
        <v>651</v>
      </c>
      <c r="N18" s="16" t="s">
        <v>652</v>
      </c>
      <c r="O18" s="16" t="s">
        <v>171</v>
      </c>
      <c r="P18" s="25">
        <v>233</v>
      </c>
      <c r="Q18" s="25" t="s">
        <v>628</v>
      </c>
      <c r="R18" s="23">
        <v>1534.91</v>
      </c>
      <c r="S18" s="25" t="s">
        <v>621</v>
      </c>
      <c r="T18" s="38" t="s">
        <v>605</v>
      </c>
      <c r="U18" s="33">
        <v>41640</v>
      </c>
      <c r="V18" s="33">
        <v>41640</v>
      </c>
      <c r="W18" s="52">
        <v>42004</v>
      </c>
      <c r="X18" s="60"/>
    </row>
    <row r="19" spans="1:121" ht="75">
      <c r="A19" s="25">
        <v>8</v>
      </c>
      <c r="B19" s="38" t="s">
        <v>653</v>
      </c>
      <c r="C19" s="38" t="s">
        <v>83</v>
      </c>
      <c r="D19" s="29" t="s">
        <v>597</v>
      </c>
      <c r="E19" s="29" t="s">
        <v>623</v>
      </c>
      <c r="F19" s="38">
        <v>4030201</v>
      </c>
      <c r="G19" s="63">
        <v>813051</v>
      </c>
      <c r="H19" s="60" t="s">
        <v>654</v>
      </c>
      <c r="I19" s="73" t="s">
        <v>625</v>
      </c>
      <c r="J19" s="23">
        <v>1900.5359699999999</v>
      </c>
      <c r="K19" s="34">
        <f t="shared" si="0"/>
        <v>2242.6324445999999</v>
      </c>
      <c r="L19" s="38" t="s">
        <v>280</v>
      </c>
      <c r="M19" s="16" t="s">
        <v>655</v>
      </c>
      <c r="N19" s="16" t="s">
        <v>656</v>
      </c>
      <c r="O19" s="16" t="s">
        <v>171</v>
      </c>
      <c r="P19" s="25">
        <v>233</v>
      </c>
      <c r="Q19" s="25" t="s">
        <v>628</v>
      </c>
      <c r="R19" s="23">
        <v>1046.5</v>
      </c>
      <c r="S19" s="25" t="s">
        <v>657</v>
      </c>
      <c r="T19" s="38" t="s">
        <v>605</v>
      </c>
      <c r="U19" s="33">
        <v>41640</v>
      </c>
      <c r="V19" s="33">
        <v>41640</v>
      </c>
      <c r="W19" s="52">
        <v>42004</v>
      </c>
      <c r="X19" s="60"/>
    </row>
    <row r="20" spans="1:121" ht="56.25">
      <c r="A20" s="25">
        <v>8</v>
      </c>
      <c r="B20" s="38" t="s">
        <v>658</v>
      </c>
      <c r="C20" s="38" t="s">
        <v>83</v>
      </c>
      <c r="D20" s="29" t="s">
        <v>597</v>
      </c>
      <c r="E20" s="29" t="s">
        <v>623</v>
      </c>
      <c r="F20" s="38">
        <v>4030201</v>
      </c>
      <c r="G20" s="63">
        <v>813052</v>
      </c>
      <c r="H20" s="60" t="s">
        <v>659</v>
      </c>
      <c r="I20" s="73" t="s">
        <v>625</v>
      </c>
      <c r="J20" s="23">
        <v>453.75708672000002</v>
      </c>
      <c r="K20" s="34">
        <f t="shared" si="0"/>
        <v>535.43336232959996</v>
      </c>
      <c r="L20" s="38" t="s">
        <v>280</v>
      </c>
      <c r="M20" s="16" t="s">
        <v>660</v>
      </c>
      <c r="N20" s="16" t="s">
        <v>661</v>
      </c>
      <c r="O20" s="16" t="s">
        <v>171</v>
      </c>
      <c r="P20" s="25">
        <v>233</v>
      </c>
      <c r="Q20" s="25" t="s">
        <v>628</v>
      </c>
      <c r="R20" s="23">
        <v>642</v>
      </c>
      <c r="S20" s="25" t="s">
        <v>629</v>
      </c>
      <c r="T20" s="38" t="s">
        <v>605</v>
      </c>
      <c r="U20" s="33">
        <v>41640</v>
      </c>
      <c r="V20" s="33">
        <v>41640</v>
      </c>
      <c r="W20" s="52">
        <v>42004</v>
      </c>
      <c r="X20" s="60"/>
    </row>
    <row r="21" spans="1:121" ht="75">
      <c r="A21" s="25">
        <v>8</v>
      </c>
      <c r="B21" s="38" t="s">
        <v>662</v>
      </c>
      <c r="C21" s="38" t="s">
        <v>83</v>
      </c>
      <c r="D21" s="29" t="s">
        <v>597</v>
      </c>
      <c r="E21" s="29" t="s">
        <v>623</v>
      </c>
      <c r="F21" s="38">
        <v>4030201</v>
      </c>
      <c r="G21" s="63">
        <v>813053</v>
      </c>
      <c r="H21" s="60" t="s">
        <v>663</v>
      </c>
      <c r="I21" s="73" t="s">
        <v>625</v>
      </c>
      <c r="J21" s="23">
        <v>746.54714000000001</v>
      </c>
      <c r="K21" s="34">
        <f t="shared" si="0"/>
        <v>880.92562520000001</v>
      </c>
      <c r="L21" s="38" t="s">
        <v>280</v>
      </c>
      <c r="M21" s="16" t="s">
        <v>655</v>
      </c>
      <c r="N21" s="16" t="s">
        <v>664</v>
      </c>
      <c r="O21" s="16" t="s">
        <v>171</v>
      </c>
      <c r="P21" s="25">
        <v>233</v>
      </c>
      <c r="Q21" s="25" t="s">
        <v>628</v>
      </c>
      <c r="R21" s="23">
        <v>424.2</v>
      </c>
      <c r="S21" s="25" t="s">
        <v>657</v>
      </c>
      <c r="T21" s="38" t="s">
        <v>605</v>
      </c>
      <c r="U21" s="33">
        <v>41640</v>
      </c>
      <c r="V21" s="33">
        <v>41640</v>
      </c>
      <c r="W21" s="52">
        <v>42004</v>
      </c>
      <c r="X21" s="60"/>
    </row>
    <row r="22" spans="1:121" ht="56.25">
      <c r="A22" s="25">
        <v>8</v>
      </c>
      <c r="B22" s="38" t="s">
        <v>665</v>
      </c>
      <c r="C22" s="38" t="s">
        <v>83</v>
      </c>
      <c r="D22" s="29" t="s">
        <v>597</v>
      </c>
      <c r="E22" s="29" t="s">
        <v>623</v>
      </c>
      <c r="F22" s="38">
        <v>4030201</v>
      </c>
      <c r="G22" s="63">
        <v>813054</v>
      </c>
      <c r="H22" s="60" t="s">
        <v>666</v>
      </c>
      <c r="I22" s="73" t="s">
        <v>625</v>
      </c>
      <c r="J22" s="23">
        <v>650.95712000000003</v>
      </c>
      <c r="K22" s="34">
        <f t="shared" si="0"/>
        <v>768.12940160000005</v>
      </c>
      <c r="L22" s="38" t="s">
        <v>280</v>
      </c>
      <c r="M22" s="16" t="s">
        <v>667</v>
      </c>
      <c r="N22" s="16" t="s">
        <v>668</v>
      </c>
      <c r="O22" s="16" t="s">
        <v>171</v>
      </c>
      <c r="P22" s="25">
        <v>233</v>
      </c>
      <c r="Q22" s="25" t="s">
        <v>628</v>
      </c>
      <c r="R22" s="23">
        <v>407.42</v>
      </c>
      <c r="S22" s="25" t="s">
        <v>669</v>
      </c>
      <c r="T22" s="38" t="s">
        <v>547</v>
      </c>
      <c r="U22" s="33">
        <v>41640</v>
      </c>
      <c r="V22" s="33">
        <v>41640</v>
      </c>
      <c r="W22" s="52">
        <v>42004</v>
      </c>
      <c r="X22" s="60"/>
    </row>
    <row r="23" spans="1:121" ht="56.25">
      <c r="A23" s="25">
        <v>8</v>
      </c>
      <c r="B23" s="38" t="s">
        <v>1038</v>
      </c>
      <c r="C23" s="38" t="s">
        <v>83</v>
      </c>
      <c r="D23" s="29" t="s">
        <v>597</v>
      </c>
      <c r="E23" s="29" t="s">
        <v>957</v>
      </c>
      <c r="F23" s="38">
        <v>4000000</v>
      </c>
      <c r="G23" s="11">
        <v>813124</v>
      </c>
      <c r="H23" s="60" t="s">
        <v>1039</v>
      </c>
      <c r="I23" s="134" t="s">
        <v>1175</v>
      </c>
      <c r="J23" s="23">
        <v>961.19</v>
      </c>
      <c r="K23" s="34">
        <f>J23*1.18</f>
        <v>1134.2041999999999</v>
      </c>
      <c r="L23" s="38" t="s">
        <v>280</v>
      </c>
      <c r="M23" s="16" t="s">
        <v>888</v>
      </c>
      <c r="N23" s="16" t="s">
        <v>1039</v>
      </c>
      <c r="O23" s="16" t="s">
        <v>171</v>
      </c>
      <c r="P23" s="11" t="s">
        <v>987</v>
      </c>
      <c r="Q23" s="38" t="s">
        <v>82</v>
      </c>
      <c r="R23" s="29">
        <v>8.56</v>
      </c>
      <c r="S23" s="38">
        <v>46434</v>
      </c>
      <c r="T23" s="60" t="s">
        <v>961</v>
      </c>
      <c r="U23" s="248">
        <v>41652</v>
      </c>
      <c r="V23" s="248">
        <v>41652</v>
      </c>
      <c r="W23" s="52">
        <v>42004</v>
      </c>
      <c r="X23" s="60"/>
    </row>
    <row r="24" spans="1:121" s="260" customFormat="1" ht="75">
      <c r="A24" s="25">
        <v>8</v>
      </c>
      <c r="B24" s="38" t="s">
        <v>329</v>
      </c>
      <c r="C24" s="38" t="s">
        <v>83</v>
      </c>
      <c r="D24" s="38" t="s">
        <v>587</v>
      </c>
      <c r="E24" s="38" t="s">
        <v>330</v>
      </c>
      <c r="F24" s="38">
        <v>4010000</v>
      </c>
      <c r="G24" s="63">
        <v>825075</v>
      </c>
      <c r="H24" s="60" t="s">
        <v>331</v>
      </c>
      <c r="I24" s="25">
        <v>2010104</v>
      </c>
      <c r="J24" s="23">
        <v>3286.79</v>
      </c>
      <c r="K24" s="34">
        <f t="shared" si="0"/>
        <v>3878.4121999999998</v>
      </c>
      <c r="L24" s="38" t="s">
        <v>280</v>
      </c>
      <c r="M24" s="20" t="s">
        <v>332</v>
      </c>
      <c r="N24" s="20" t="s">
        <v>331</v>
      </c>
      <c r="O24" s="16" t="s">
        <v>171</v>
      </c>
      <c r="P24" s="25">
        <v>233</v>
      </c>
      <c r="Q24" s="25" t="s">
        <v>333</v>
      </c>
      <c r="R24" s="25">
        <v>3131.9</v>
      </c>
      <c r="S24" s="25">
        <v>46460</v>
      </c>
      <c r="T24" s="38" t="s">
        <v>258</v>
      </c>
      <c r="U24" s="33">
        <v>41640</v>
      </c>
      <c r="V24" s="33">
        <v>41640</v>
      </c>
      <c r="W24" s="52">
        <v>42004</v>
      </c>
      <c r="X24" s="60"/>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row>
    <row r="25" spans="1:121" ht="75">
      <c r="A25" s="25">
        <v>8</v>
      </c>
      <c r="B25" s="38" t="s">
        <v>334</v>
      </c>
      <c r="C25" s="38" t="s">
        <v>83</v>
      </c>
      <c r="D25" s="38" t="s">
        <v>587</v>
      </c>
      <c r="E25" s="38" t="s">
        <v>330</v>
      </c>
      <c r="F25" s="38">
        <v>4010000</v>
      </c>
      <c r="G25" s="63">
        <v>825076</v>
      </c>
      <c r="H25" s="60" t="s">
        <v>335</v>
      </c>
      <c r="I25" s="25">
        <v>2010104</v>
      </c>
      <c r="J25" s="23">
        <v>717.18</v>
      </c>
      <c r="K25" s="34">
        <f t="shared" si="0"/>
        <v>846.27239999999995</v>
      </c>
      <c r="L25" s="38" t="s">
        <v>280</v>
      </c>
      <c r="M25" s="20" t="s">
        <v>336</v>
      </c>
      <c r="N25" s="20" t="s">
        <v>335</v>
      </c>
      <c r="O25" s="16" t="s">
        <v>171</v>
      </c>
      <c r="P25" s="25">
        <v>233</v>
      </c>
      <c r="Q25" s="25" t="s">
        <v>333</v>
      </c>
      <c r="R25" s="25">
        <v>405</v>
      </c>
      <c r="S25" s="25">
        <v>46460</v>
      </c>
      <c r="T25" s="38" t="s">
        <v>258</v>
      </c>
      <c r="U25" s="33">
        <v>41640</v>
      </c>
      <c r="V25" s="33">
        <v>41640</v>
      </c>
      <c r="W25" s="52">
        <v>42004</v>
      </c>
      <c r="X25" s="60"/>
    </row>
    <row r="26" spans="1:121" ht="56.25">
      <c r="A26" s="25">
        <v>8</v>
      </c>
      <c r="B26" s="38" t="s">
        <v>337</v>
      </c>
      <c r="C26" s="38" t="s">
        <v>83</v>
      </c>
      <c r="D26" s="38" t="s">
        <v>587</v>
      </c>
      <c r="E26" s="38" t="s">
        <v>330</v>
      </c>
      <c r="F26" s="38">
        <v>4010000</v>
      </c>
      <c r="G26" s="63">
        <v>825074</v>
      </c>
      <c r="H26" s="60" t="s">
        <v>338</v>
      </c>
      <c r="I26" s="25">
        <v>2010104</v>
      </c>
      <c r="J26" s="23">
        <v>990.71</v>
      </c>
      <c r="K26" s="34">
        <f t="shared" si="0"/>
        <v>1169.0378000000001</v>
      </c>
      <c r="L26" s="38" t="s">
        <v>280</v>
      </c>
      <c r="M26" s="20" t="s">
        <v>339</v>
      </c>
      <c r="N26" s="20" t="s">
        <v>338</v>
      </c>
      <c r="O26" s="16" t="s">
        <v>171</v>
      </c>
      <c r="P26" s="25">
        <v>233</v>
      </c>
      <c r="Q26" s="25" t="s">
        <v>333</v>
      </c>
      <c r="R26" s="25">
        <v>697</v>
      </c>
      <c r="S26" s="25">
        <v>46460</v>
      </c>
      <c r="T26" s="38" t="s">
        <v>258</v>
      </c>
      <c r="U26" s="33">
        <v>41640</v>
      </c>
      <c r="V26" s="33">
        <v>41640</v>
      </c>
      <c r="W26" s="52">
        <v>42004</v>
      </c>
      <c r="X26" s="60"/>
    </row>
    <row r="27" spans="1:121" ht="93.75">
      <c r="A27" s="25">
        <v>8</v>
      </c>
      <c r="B27" s="38" t="s">
        <v>340</v>
      </c>
      <c r="C27" s="38" t="s">
        <v>83</v>
      </c>
      <c r="D27" s="38" t="s">
        <v>587</v>
      </c>
      <c r="E27" s="38" t="s">
        <v>341</v>
      </c>
      <c r="F27" s="38">
        <v>4110010</v>
      </c>
      <c r="G27" s="63">
        <v>825077</v>
      </c>
      <c r="H27" s="60" t="s">
        <v>342</v>
      </c>
      <c r="I27" s="68" t="s">
        <v>343</v>
      </c>
      <c r="J27" s="23">
        <v>873.93799999999999</v>
      </c>
      <c r="K27" s="23">
        <v>873.93799999999999</v>
      </c>
      <c r="L27" s="38" t="s">
        <v>280</v>
      </c>
      <c r="M27" s="20" t="s">
        <v>344</v>
      </c>
      <c r="N27" s="20" t="s">
        <v>342</v>
      </c>
      <c r="O27" s="16" t="s">
        <v>171</v>
      </c>
      <c r="P27" s="38" t="s">
        <v>345</v>
      </c>
      <c r="Q27" s="38" t="s">
        <v>346</v>
      </c>
      <c r="R27" s="38" t="s">
        <v>347</v>
      </c>
      <c r="S27" s="25">
        <v>46460</v>
      </c>
      <c r="T27" s="38" t="s">
        <v>258</v>
      </c>
      <c r="U27" s="33">
        <v>41640</v>
      </c>
      <c r="V27" s="33">
        <v>41640</v>
      </c>
      <c r="W27" s="52">
        <v>42004</v>
      </c>
      <c r="X27" s="60"/>
    </row>
    <row r="28" spans="1:121" ht="56.25">
      <c r="A28" s="25">
        <v>8</v>
      </c>
      <c r="B28" s="38" t="s">
        <v>277</v>
      </c>
      <c r="C28" s="38" t="s">
        <v>83</v>
      </c>
      <c r="D28" s="38" t="s">
        <v>588</v>
      </c>
      <c r="E28" s="45" t="s">
        <v>278</v>
      </c>
      <c r="F28" s="38">
        <v>6011030</v>
      </c>
      <c r="G28" s="63">
        <v>825096</v>
      </c>
      <c r="H28" s="60" t="s">
        <v>279</v>
      </c>
      <c r="I28" s="73" t="s">
        <v>276</v>
      </c>
      <c r="J28" s="23">
        <v>2000</v>
      </c>
      <c r="K28" s="23">
        <f t="shared" ref="K28:K48" si="1">J28*1.18</f>
        <v>2360</v>
      </c>
      <c r="L28" s="38" t="s">
        <v>280</v>
      </c>
      <c r="M28" s="20" t="s">
        <v>282</v>
      </c>
      <c r="N28" s="16" t="s">
        <v>279</v>
      </c>
      <c r="O28" s="16" t="s">
        <v>171</v>
      </c>
      <c r="P28" s="25">
        <v>796</v>
      </c>
      <c r="Q28" s="25" t="s">
        <v>256</v>
      </c>
      <c r="R28" s="25" t="s">
        <v>279</v>
      </c>
      <c r="S28" s="25">
        <v>46460</v>
      </c>
      <c r="T28" s="38" t="s">
        <v>258</v>
      </c>
      <c r="U28" s="33">
        <v>41640</v>
      </c>
      <c r="V28" s="33">
        <v>41640</v>
      </c>
      <c r="W28" s="52">
        <v>42004</v>
      </c>
      <c r="X28" s="60"/>
    </row>
    <row r="29" spans="1:121" ht="56.25">
      <c r="A29" s="25">
        <v>8</v>
      </c>
      <c r="B29" s="38" t="s">
        <v>283</v>
      </c>
      <c r="C29" s="38" t="s">
        <v>83</v>
      </c>
      <c r="D29" s="38" t="s">
        <v>589</v>
      </c>
      <c r="E29" s="38" t="s">
        <v>284</v>
      </c>
      <c r="F29" s="38">
        <v>6420000</v>
      </c>
      <c r="G29" s="63">
        <v>825079</v>
      </c>
      <c r="H29" s="60" t="s">
        <v>285</v>
      </c>
      <c r="I29" s="25">
        <v>201050104</v>
      </c>
      <c r="J29" s="23">
        <v>822.40859999999998</v>
      </c>
      <c r="K29" s="23">
        <f t="shared" si="1"/>
        <v>970.44214799999997</v>
      </c>
      <c r="L29" s="38" t="s">
        <v>280</v>
      </c>
      <c r="M29" s="20" t="s">
        <v>287</v>
      </c>
      <c r="N29" s="16" t="s">
        <v>285</v>
      </c>
      <c r="O29" s="16" t="s">
        <v>171</v>
      </c>
      <c r="P29" s="73" t="s">
        <v>288</v>
      </c>
      <c r="Q29" s="25" t="s">
        <v>289</v>
      </c>
      <c r="R29" s="38">
        <v>25191</v>
      </c>
      <c r="S29" s="25">
        <v>46460</v>
      </c>
      <c r="T29" s="38" t="s">
        <v>258</v>
      </c>
      <c r="U29" s="33">
        <v>41640</v>
      </c>
      <c r="V29" s="33">
        <v>41640</v>
      </c>
      <c r="W29" s="52">
        <v>42004</v>
      </c>
      <c r="X29" s="60"/>
    </row>
    <row r="30" spans="1:121" ht="56.25">
      <c r="A30" s="25">
        <v>8</v>
      </c>
      <c r="B30" s="38" t="s">
        <v>290</v>
      </c>
      <c r="C30" s="38" t="s">
        <v>83</v>
      </c>
      <c r="D30" s="38" t="s">
        <v>589</v>
      </c>
      <c r="E30" s="38" t="s">
        <v>284</v>
      </c>
      <c r="F30" s="38">
        <v>6420000</v>
      </c>
      <c r="G30" s="63">
        <v>825080</v>
      </c>
      <c r="H30" s="60" t="s">
        <v>285</v>
      </c>
      <c r="I30" s="25">
        <v>201050104</v>
      </c>
      <c r="J30" s="23">
        <v>461.47199999999998</v>
      </c>
      <c r="K30" s="23">
        <f t="shared" si="1"/>
        <v>544.53695999999991</v>
      </c>
      <c r="L30" s="38" t="s">
        <v>280</v>
      </c>
      <c r="M30" s="20" t="s">
        <v>287</v>
      </c>
      <c r="N30" s="16" t="s">
        <v>285</v>
      </c>
      <c r="O30" s="16" t="s">
        <v>171</v>
      </c>
      <c r="P30" s="73" t="s">
        <v>288</v>
      </c>
      <c r="Q30" s="25" t="s">
        <v>289</v>
      </c>
      <c r="R30" s="38">
        <v>18400</v>
      </c>
      <c r="S30" s="25">
        <v>46460</v>
      </c>
      <c r="T30" s="38" t="s">
        <v>258</v>
      </c>
      <c r="U30" s="33">
        <v>41640</v>
      </c>
      <c r="V30" s="33">
        <v>41640</v>
      </c>
      <c r="W30" s="52">
        <v>42004</v>
      </c>
      <c r="X30" s="60"/>
    </row>
    <row r="31" spans="1:121" ht="56.25">
      <c r="A31" s="25">
        <v>8</v>
      </c>
      <c r="B31" s="38" t="s">
        <v>291</v>
      </c>
      <c r="C31" s="38" t="s">
        <v>83</v>
      </c>
      <c r="D31" s="38" t="s">
        <v>589</v>
      </c>
      <c r="E31" s="38" t="s">
        <v>284</v>
      </c>
      <c r="F31" s="38">
        <v>6420000</v>
      </c>
      <c r="G31" s="63">
        <v>825081</v>
      </c>
      <c r="H31" s="60" t="s">
        <v>292</v>
      </c>
      <c r="I31" s="25">
        <v>201050104</v>
      </c>
      <c r="J31" s="23">
        <v>1716</v>
      </c>
      <c r="K31" s="23">
        <f t="shared" si="1"/>
        <v>2024.8799999999999</v>
      </c>
      <c r="L31" s="38" t="s">
        <v>280</v>
      </c>
      <c r="M31" s="20" t="s">
        <v>287</v>
      </c>
      <c r="N31" s="16" t="s">
        <v>292</v>
      </c>
      <c r="O31" s="16" t="s">
        <v>171</v>
      </c>
      <c r="P31" s="25">
        <v>796</v>
      </c>
      <c r="Q31" s="25" t="s">
        <v>256</v>
      </c>
      <c r="R31" s="38" t="s">
        <v>293</v>
      </c>
      <c r="S31" s="25">
        <v>46460</v>
      </c>
      <c r="T31" s="38" t="s">
        <v>258</v>
      </c>
      <c r="U31" s="33">
        <v>41640</v>
      </c>
      <c r="V31" s="33">
        <v>41640</v>
      </c>
      <c r="W31" s="52">
        <v>42004</v>
      </c>
      <c r="X31" s="60"/>
    </row>
    <row r="32" spans="1:121" ht="75">
      <c r="A32" s="25">
        <v>8</v>
      </c>
      <c r="B32" s="38" t="s">
        <v>294</v>
      </c>
      <c r="C32" s="38" t="s">
        <v>83</v>
      </c>
      <c r="D32" s="38" t="s">
        <v>589</v>
      </c>
      <c r="E32" s="38" t="s">
        <v>284</v>
      </c>
      <c r="F32" s="38">
        <v>6420000</v>
      </c>
      <c r="G32" s="63">
        <v>825082</v>
      </c>
      <c r="H32" s="60" t="s">
        <v>295</v>
      </c>
      <c r="I32" s="25">
        <v>201050104</v>
      </c>
      <c r="J32" s="23">
        <v>4557.6000000000004</v>
      </c>
      <c r="K32" s="23">
        <f t="shared" si="1"/>
        <v>5377.9679999999998</v>
      </c>
      <c r="L32" s="38" t="s">
        <v>280</v>
      </c>
      <c r="M32" s="20" t="s">
        <v>287</v>
      </c>
      <c r="N32" s="16" t="s">
        <v>295</v>
      </c>
      <c r="O32" s="16" t="s">
        <v>171</v>
      </c>
      <c r="P32" s="25">
        <v>796</v>
      </c>
      <c r="Q32" s="25" t="s">
        <v>256</v>
      </c>
      <c r="R32" s="38" t="s">
        <v>296</v>
      </c>
      <c r="S32" s="25">
        <v>46460</v>
      </c>
      <c r="T32" s="38" t="s">
        <v>258</v>
      </c>
      <c r="U32" s="33">
        <v>41640</v>
      </c>
      <c r="V32" s="33">
        <v>41640</v>
      </c>
      <c r="W32" s="52">
        <v>42004</v>
      </c>
      <c r="X32" s="60"/>
    </row>
    <row r="33" spans="1:121" ht="75">
      <c r="A33" s="25">
        <v>8</v>
      </c>
      <c r="B33" s="38" t="s">
        <v>297</v>
      </c>
      <c r="C33" s="38" t="s">
        <v>83</v>
      </c>
      <c r="D33" s="38" t="s">
        <v>589</v>
      </c>
      <c r="E33" s="38" t="s">
        <v>284</v>
      </c>
      <c r="F33" s="38">
        <v>6420000</v>
      </c>
      <c r="G33" s="63">
        <v>825083</v>
      </c>
      <c r="H33" s="60" t="s">
        <v>298</v>
      </c>
      <c r="I33" s="25">
        <v>201050104</v>
      </c>
      <c r="J33" s="23">
        <v>4857.6000000000004</v>
      </c>
      <c r="K33" s="23">
        <f t="shared" si="1"/>
        <v>5731.9679999999998</v>
      </c>
      <c r="L33" s="38" t="s">
        <v>280</v>
      </c>
      <c r="M33" s="20" t="s">
        <v>287</v>
      </c>
      <c r="N33" s="16" t="s">
        <v>298</v>
      </c>
      <c r="O33" s="16" t="s">
        <v>171</v>
      </c>
      <c r="P33" s="25">
        <v>796</v>
      </c>
      <c r="Q33" s="25" t="s">
        <v>256</v>
      </c>
      <c r="R33" s="38" t="s">
        <v>296</v>
      </c>
      <c r="S33" s="25">
        <v>46460</v>
      </c>
      <c r="T33" s="38" t="s">
        <v>258</v>
      </c>
      <c r="U33" s="33">
        <v>41640</v>
      </c>
      <c r="V33" s="33">
        <v>41640</v>
      </c>
      <c r="W33" s="52">
        <v>42004</v>
      </c>
      <c r="X33" s="60"/>
    </row>
    <row r="34" spans="1:121" ht="93.75">
      <c r="A34" s="25">
        <v>8</v>
      </c>
      <c r="B34" s="38" t="s">
        <v>299</v>
      </c>
      <c r="C34" s="38" t="s">
        <v>83</v>
      </c>
      <c r="D34" s="38" t="s">
        <v>589</v>
      </c>
      <c r="E34" s="38" t="s">
        <v>284</v>
      </c>
      <c r="F34" s="38">
        <v>6420000</v>
      </c>
      <c r="G34" s="63">
        <v>825084</v>
      </c>
      <c r="H34" s="60" t="s">
        <v>300</v>
      </c>
      <c r="I34" s="25">
        <v>201050104</v>
      </c>
      <c r="J34" s="23">
        <v>5928</v>
      </c>
      <c r="K34" s="23">
        <f t="shared" si="1"/>
        <v>6995.04</v>
      </c>
      <c r="L34" s="38" t="s">
        <v>280</v>
      </c>
      <c r="M34" s="20" t="s">
        <v>287</v>
      </c>
      <c r="N34" s="16" t="s">
        <v>300</v>
      </c>
      <c r="O34" s="16" t="s">
        <v>171</v>
      </c>
      <c r="P34" s="25">
        <v>796</v>
      </c>
      <c r="Q34" s="25" t="s">
        <v>256</v>
      </c>
      <c r="R34" s="38" t="s">
        <v>301</v>
      </c>
      <c r="S34" s="25">
        <v>46460</v>
      </c>
      <c r="T34" s="38" t="s">
        <v>258</v>
      </c>
      <c r="U34" s="33">
        <v>41640</v>
      </c>
      <c r="V34" s="33">
        <v>41640</v>
      </c>
      <c r="W34" s="52">
        <v>42004</v>
      </c>
      <c r="X34" s="60"/>
    </row>
    <row r="35" spans="1:121" ht="131.25">
      <c r="A35" s="25">
        <v>8</v>
      </c>
      <c r="B35" s="38" t="s">
        <v>302</v>
      </c>
      <c r="C35" s="38" t="s">
        <v>83</v>
      </c>
      <c r="D35" s="38" t="s">
        <v>589</v>
      </c>
      <c r="E35" s="38" t="s">
        <v>284</v>
      </c>
      <c r="F35" s="38">
        <v>6420000</v>
      </c>
      <c r="G35" s="63">
        <v>825085</v>
      </c>
      <c r="H35" s="60" t="s">
        <v>303</v>
      </c>
      <c r="I35" s="25">
        <v>201050104</v>
      </c>
      <c r="J35" s="23">
        <v>12286.8</v>
      </c>
      <c r="K35" s="23">
        <f t="shared" si="1"/>
        <v>14498.423999999999</v>
      </c>
      <c r="L35" s="38" t="s">
        <v>280</v>
      </c>
      <c r="M35" s="20" t="s">
        <v>287</v>
      </c>
      <c r="N35" s="16" t="s">
        <v>303</v>
      </c>
      <c r="O35" s="16" t="s">
        <v>171</v>
      </c>
      <c r="P35" s="25">
        <v>796</v>
      </c>
      <c r="Q35" s="25" t="s">
        <v>256</v>
      </c>
      <c r="R35" s="38" t="s">
        <v>304</v>
      </c>
      <c r="S35" s="25">
        <v>46460</v>
      </c>
      <c r="T35" s="38" t="s">
        <v>258</v>
      </c>
      <c r="U35" s="33">
        <v>41640</v>
      </c>
      <c r="V35" s="33">
        <v>41640</v>
      </c>
      <c r="W35" s="52">
        <v>42004</v>
      </c>
      <c r="X35" s="60"/>
    </row>
    <row r="36" spans="1:121" ht="93.75">
      <c r="A36" s="25">
        <v>8</v>
      </c>
      <c r="B36" s="38" t="s">
        <v>305</v>
      </c>
      <c r="C36" s="38" t="s">
        <v>83</v>
      </c>
      <c r="D36" s="38" t="s">
        <v>589</v>
      </c>
      <c r="E36" s="38" t="s">
        <v>284</v>
      </c>
      <c r="F36" s="38">
        <v>6420000</v>
      </c>
      <c r="G36" s="63">
        <v>825086</v>
      </c>
      <c r="H36" s="60" t="s">
        <v>306</v>
      </c>
      <c r="I36" s="25">
        <v>201050104</v>
      </c>
      <c r="J36" s="23">
        <v>3121.2</v>
      </c>
      <c r="K36" s="23">
        <f t="shared" si="1"/>
        <v>3683.0159999999996</v>
      </c>
      <c r="L36" s="38" t="s">
        <v>280</v>
      </c>
      <c r="M36" s="20" t="s">
        <v>287</v>
      </c>
      <c r="N36" s="16" t="s">
        <v>306</v>
      </c>
      <c r="O36" s="16" t="s">
        <v>171</v>
      </c>
      <c r="P36" s="25">
        <v>796</v>
      </c>
      <c r="Q36" s="25" t="s">
        <v>256</v>
      </c>
      <c r="R36" s="38" t="s">
        <v>307</v>
      </c>
      <c r="S36" s="25">
        <v>46460</v>
      </c>
      <c r="T36" s="38" t="s">
        <v>258</v>
      </c>
      <c r="U36" s="33">
        <v>41640</v>
      </c>
      <c r="V36" s="33">
        <v>41640</v>
      </c>
      <c r="W36" s="52">
        <v>42004</v>
      </c>
      <c r="X36" s="60"/>
    </row>
    <row r="37" spans="1:121" ht="93.75">
      <c r="A37" s="25">
        <v>8</v>
      </c>
      <c r="B37" s="38" t="s">
        <v>320</v>
      </c>
      <c r="C37" s="38" t="s">
        <v>83</v>
      </c>
      <c r="D37" s="38" t="s">
        <v>589</v>
      </c>
      <c r="E37" s="38" t="s">
        <v>284</v>
      </c>
      <c r="F37" s="38">
        <v>6420000</v>
      </c>
      <c r="G37" s="63">
        <v>825092</v>
      </c>
      <c r="H37" s="60" t="s">
        <v>300</v>
      </c>
      <c r="I37" s="25">
        <v>201050104</v>
      </c>
      <c r="J37" s="23">
        <v>7488</v>
      </c>
      <c r="K37" s="23">
        <f t="shared" si="1"/>
        <v>8835.84</v>
      </c>
      <c r="L37" s="38" t="s">
        <v>280</v>
      </c>
      <c r="M37" s="20" t="s">
        <v>287</v>
      </c>
      <c r="N37" s="16" t="s">
        <v>300</v>
      </c>
      <c r="O37" s="16" t="s">
        <v>171</v>
      </c>
      <c r="P37" s="25">
        <v>796</v>
      </c>
      <c r="Q37" s="25" t="s">
        <v>256</v>
      </c>
      <c r="R37" s="38" t="s">
        <v>321</v>
      </c>
      <c r="S37" s="25">
        <v>46460</v>
      </c>
      <c r="T37" s="38" t="s">
        <v>258</v>
      </c>
      <c r="U37" s="33">
        <v>41640</v>
      </c>
      <c r="V37" s="33">
        <v>41640</v>
      </c>
      <c r="W37" s="52">
        <v>42004</v>
      </c>
      <c r="X37" s="60"/>
    </row>
    <row r="38" spans="1:121" ht="93.75">
      <c r="A38" s="25">
        <v>8</v>
      </c>
      <c r="B38" s="38" t="s">
        <v>322</v>
      </c>
      <c r="C38" s="38" t="s">
        <v>83</v>
      </c>
      <c r="D38" s="38" t="s">
        <v>589</v>
      </c>
      <c r="E38" s="38" t="s">
        <v>284</v>
      </c>
      <c r="F38" s="38">
        <v>6420000</v>
      </c>
      <c r="G38" s="63">
        <v>825093</v>
      </c>
      <c r="H38" s="60" t="s">
        <v>300</v>
      </c>
      <c r="I38" s="25">
        <v>201050104</v>
      </c>
      <c r="J38" s="23">
        <v>7488</v>
      </c>
      <c r="K38" s="23">
        <f t="shared" si="1"/>
        <v>8835.84</v>
      </c>
      <c r="L38" s="38" t="s">
        <v>280</v>
      </c>
      <c r="M38" s="20" t="s">
        <v>287</v>
      </c>
      <c r="N38" s="16" t="s">
        <v>300</v>
      </c>
      <c r="O38" s="16" t="s">
        <v>171</v>
      </c>
      <c r="P38" s="25">
        <v>796</v>
      </c>
      <c r="Q38" s="25" t="s">
        <v>256</v>
      </c>
      <c r="R38" s="38" t="s">
        <v>323</v>
      </c>
      <c r="S38" s="25">
        <v>46460</v>
      </c>
      <c r="T38" s="38" t="s">
        <v>258</v>
      </c>
      <c r="U38" s="33">
        <v>41640</v>
      </c>
      <c r="V38" s="33">
        <v>41640</v>
      </c>
      <c r="W38" s="52">
        <v>42004</v>
      </c>
      <c r="X38" s="60"/>
    </row>
    <row r="39" spans="1:121" ht="93.75">
      <c r="A39" s="25">
        <v>8</v>
      </c>
      <c r="B39" s="38" t="s">
        <v>324</v>
      </c>
      <c r="C39" s="38" t="s">
        <v>83</v>
      </c>
      <c r="D39" s="38" t="s">
        <v>589</v>
      </c>
      <c r="E39" s="38" t="s">
        <v>284</v>
      </c>
      <c r="F39" s="38">
        <v>6420000</v>
      </c>
      <c r="G39" s="63">
        <v>825094</v>
      </c>
      <c r="H39" s="60" t="s">
        <v>303</v>
      </c>
      <c r="I39" s="25">
        <v>201050104</v>
      </c>
      <c r="J39" s="23">
        <v>2386.8000000000002</v>
      </c>
      <c r="K39" s="23">
        <f t="shared" si="1"/>
        <v>2816.424</v>
      </c>
      <c r="L39" s="38" t="s">
        <v>280</v>
      </c>
      <c r="M39" s="20" t="s">
        <v>287</v>
      </c>
      <c r="N39" s="16" t="s">
        <v>303</v>
      </c>
      <c r="O39" s="16" t="s">
        <v>171</v>
      </c>
      <c r="P39" s="25">
        <v>796</v>
      </c>
      <c r="Q39" s="25" t="s">
        <v>256</v>
      </c>
      <c r="R39" s="38" t="s">
        <v>325</v>
      </c>
      <c r="S39" s="25">
        <v>46460</v>
      </c>
      <c r="T39" s="38" t="s">
        <v>258</v>
      </c>
      <c r="U39" s="33">
        <v>41640</v>
      </c>
      <c r="V39" s="33">
        <v>41640</v>
      </c>
      <c r="W39" s="52">
        <v>42004</v>
      </c>
      <c r="X39" s="60"/>
    </row>
    <row r="40" spans="1:121" ht="112.5">
      <c r="A40" s="25">
        <v>8</v>
      </c>
      <c r="B40" s="38" t="s">
        <v>326</v>
      </c>
      <c r="C40" s="38" t="s">
        <v>83</v>
      </c>
      <c r="D40" s="38" t="s">
        <v>589</v>
      </c>
      <c r="E40" s="38" t="s">
        <v>284</v>
      </c>
      <c r="F40" s="38">
        <v>6420000</v>
      </c>
      <c r="G40" s="63">
        <v>825095</v>
      </c>
      <c r="H40" s="60" t="s">
        <v>327</v>
      </c>
      <c r="I40" s="25">
        <v>201050104</v>
      </c>
      <c r="J40" s="23">
        <v>6300</v>
      </c>
      <c r="K40" s="23">
        <f t="shared" si="1"/>
        <v>7434</v>
      </c>
      <c r="L40" s="38" t="s">
        <v>280</v>
      </c>
      <c r="M40" s="20" t="s">
        <v>287</v>
      </c>
      <c r="N40" s="16" t="s">
        <v>327</v>
      </c>
      <c r="O40" s="16" t="s">
        <v>171</v>
      </c>
      <c r="P40" s="25">
        <v>796</v>
      </c>
      <c r="Q40" s="25" t="s">
        <v>256</v>
      </c>
      <c r="R40" s="38" t="s">
        <v>328</v>
      </c>
      <c r="S40" s="25">
        <v>46460</v>
      </c>
      <c r="T40" s="38" t="s">
        <v>258</v>
      </c>
      <c r="U40" s="33">
        <v>41640</v>
      </c>
      <c r="V40" s="33">
        <v>41640</v>
      </c>
      <c r="W40" s="52">
        <v>42004</v>
      </c>
      <c r="X40" s="60"/>
    </row>
    <row r="41" spans="1:121" s="267" customFormat="1" ht="93.75">
      <c r="A41" s="25">
        <v>8</v>
      </c>
      <c r="B41" s="38" t="s">
        <v>3192</v>
      </c>
      <c r="C41" s="262" t="s">
        <v>83</v>
      </c>
      <c r="D41" s="38" t="s">
        <v>3193</v>
      </c>
      <c r="E41" s="29" t="s">
        <v>3194</v>
      </c>
      <c r="F41" s="29">
        <v>9440030</v>
      </c>
      <c r="G41" s="63">
        <v>842517</v>
      </c>
      <c r="H41" s="16" t="s">
        <v>3195</v>
      </c>
      <c r="I41" s="25">
        <v>2010104</v>
      </c>
      <c r="J41" s="263">
        <v>1851.25</v>
      </c>
      <c r="K41" s="263">
        <f t="shared" si="1"/>
        <v>2184.4749999999999</v>
      </c>
      <c r="L41" s="38" t="s">
        <v>280</v>
      </c>
      <c r="M41" s="16" t="s">
        <v>3196</v>
      </c>
      <c r="N41" s="16" t="s">
        <v>2994</v>
      </c>
      <c r="O41" s="16" t="s">
        <v>171</v>
      </c>
      <c r="P41" s="264" t="s">
        <v>3197</v>
      </c>
      <c r="Q41" s="262" t="s">
        <v>3198</v>
      </c>
      <c r="R41" s="265" t="s">
        <v>3199</v>
      </c>
      <c r="S41" s="262" t="s">
        <v>3200</v>
      </c>
      <c r="T41" s="262" t="s">
        <v>144</v>
      </c>
      <c r="U41" s="33">
        <v>41640</v>
      </c>
      <c r="V41" s="33">
        <v>41640</v>
      </c>
      <c r="W41" s="52">
        <v>42004</v>
      </c>
      <c r="X41" s="60"/>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c r="DM41" s="266"/>
      <c r="DN41" s="266"/>
      <c r="DO41" s="266"/>
      <c r="DP41" s="266"/>
      <c r="DQ41" s="266"/>
    </row>
    <row r="42" spans="1:121" s="237" customFormat="1" ht="56.25">
      <c r="A42" s="25">
        <v>8</v>
      </c>
      <c r="B42" s="68" t="s">
        <v>3201</v>
      </c>
      <c r="C42" s="262" t="s">
        <v>83</v>
      </c>
      <c r="D42" s="38" t="s">
        <v>3193</v>
      </c>
      <c r="E42" s="29" t="s">
        <v>3194</v>
      </c>
      <c r="F42" s="29">
        <v>9440030</v>
      </c>
      <c r="G42" s="63">
        <v>842518</v>
      </c>
      <c r="H42" s="16" t="s">
        <v>3202</v>
      </c>
      <c r="I42" s="25">
        <v>2010104</v>
      </c>
      <c r="J42" s="263">
        <v>628.86</v>
      </c>
      <c r="K42" s="263">
        <f t="shared" si="1"/>
        <v>742.0548</v>
      </c>
      <c r="L42" s="38" t="s">
        <v>280</v>
      </c>
      <c r="M42" s="16" t="s">
        <v>3203</v>
      </c>
      <c r="N42" s="16" t="s">
        <v>2994</v>
      </c>
      <c r="O42" s="16" t="s">
        <v>171</v>
      </c>
      <c r="P42" s="262">
        <v>233</v>
      </c>
      <c r="Q42" s="25" t="s">
        <v>628</v>
      </c>
      <c r="R42" s="265">
        <v>507</v>
      </c>
      <c r="S42" s="262" t="s">
        <v>3204</v>
      </c>
      <c r="T42" s="262" t="s">
        <v>142</v>
      </c>
      <c r="U42" s="33">
        <v>41640</v>
      </c>
      <c r="V42" s="33">
        <v>41640</v>
      </c>
      <c r="W42" s="52">
        <v>42004</v>
      </c>
      <c r="X42" s="60"/>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c r="BT42" s="268"/>
      <c r="BU42" s="268"/>
      <c r="BV42" s="268"/>
      <c r="BW42" s="268"/>
      <c r="BX42" s="268"/>
      <c r="BY42" s="268"/>
      <c r="BZ42" s="268"/>
      <c r="CA42" s="268"/>
      <c r="CB42" s="268"/>
      <c r="CC42" s="268"/>
      <c r="CD42" s="268"/>
      <c r="CE42" s="268"/>
      <c r="CF42" s="268"/>
      <c r="CG42" s="268"/>
      <c r="CH42" s="268"/>
      <c r="CI42" s="268"/>
      <c r="CJ42" s="268"/>
      <c r="CK42" s="268"/>
      <c r="CL42" s="268"/>
      <c r="CM42" s="268"/>
      <c r="CN42" s="268"/>
      <c r="CO42" s="268"/>
      <c r="CP42" s="268"/>
      <c r="CQ42" s="268"/>
      <c r="CR42" s="268"/>
      <c r="CS42" s="268"/>
      <c r="CT42" s="268"/>
      <c r="CU42" s="268"/>
      <c r="CV42" s="268"/>
      <c r="CW42" s="268"/>
      <c r="CX42" s="268"/>
      <c r="CY42" s="268"/>
      <c r="CZ42" s="268"/>
      <c r="DA42" s="268"/>
      <c r="DB42" s="268"/>
      <c r="DC42" s="268"/>
      <c r="DD42" s="268"/>
      <c r="DE42" s="268"/>
      <c r="DF42" s="268"/>
      <c r="DG42" s="268"/>
      <c r="DH42" s="268"/>
      <c r="DI42" s="268"/>
      <c r="DJ42" s="268"/>
      <c r="DK42" s="268"/>
      <c r="DL42" s="268"/>
      <c r="DM42" s="268"/>
      <c r="DN42" s="268"/>
      <c r="DO42" s="268"/>
      <c r="DP42" s="268"/>
      <c r="DQ42" s="268"/>
    </row>
    <row r="43" spans="1:121" s="237" customFormat="1" ht="93.75">
      <c r="A43" s="25">
        <v>8</v>
      </c>
      <c r="B43" s="38" t="s">
        <v>3205</v>
      </c>
      <c r="C43" s="262" t="s">
        <v>83</v>
      </c>
      <c r="D43" s="38" t="s">
        <v>3193</v>
      </c>
      <c r="E43" s="29" t="s">
        <v>1604</v>
      </c>
      <c r="F43" s="29">
        <v>9440030</v>
      </c>
      <c r="G43" s="63">
        <v>842519</v>
      </c>
      <c r="H43" s="16" t="s">
        <v>3206</v>
      </c>
      <c r="I43" s="25">
        <v>2010104</v>
      </c>
      <c r="J43" s="263">
        <v>4145.74</v>
      </c>
      <c r="K43" s="263">
        <f t="shared" si="1"/>
        <v>4891.9731999999995</v>
      </c>
      <c r="L43" s="38" t="s">
        <v>280</v>
      </c>
      <c r="M43" s="16" t="s">
        <v>3207</v>
      </c>
      <c r="N43" s="16" t="s">
        <v>2994</v>
      </c>
      <c r="O43" s="16" t="s">
        <v>171</v>
      </c>
      <c r="P43" s="262">
        <v>233</v>
      </c>
      <c r="Q43" s="25" t="s">
        <v>628</v>
      </c>
      <c r="R43" s="265">
        <v>2385.98</v>
      </c>
      <c r="S43" s="262" t="s">
        <v>3208</v>
      </c>
      <c r="T43" s="262" t="s">
        <v>149</v>
      </c>
      <c r="U43" s="33">
        <v>41640</v>
      </c>
      <c r="V43" s="33">
        <v>41640</v>
      </c>
      <c r="W43" s="52">
        <v>42004</v>
      </c>
      <c r="X43" s="60"/>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c r="BT43" s="268"/>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268"/>
      <c r="CR43" s="268"/>
      <c r="CS43" s="268"/>
      <c r="CT43" s="268"/>
      <c r="CU43" s="268"/>
      <c r="CV43" s="268"/>
      <c r="CW43" s="268"/>
      <c r="CX43" s="268"/>
      <c r="CY43" s="268"/>
      <c r="CZ43" s="268"/>
      <c r="DA43" s="268"/>
      <c r="DB43" s="268"/>
      <c r="DC43" s="268"/>
      <c r="DD43" s="268"/>
      <c r="DE43" s="268"/>
      <c r="DF43" s="268"/>
      <c r="DG43" s="268"/>
      <c r="DH43" s="268"/>
      <c r="DI43" s="268"/>
      <c r="DJ43" s="268"/>
      <c r="DK43" s="268"/>
      <c r="DL43" s="268"/>
      <c r="DM43" s="268"/>
      <c r="DN43" s="268"/>
      <c r="DO43" s="268"/>
      <c r="DP43" s="268"/>
      <c r="DQ43" s="268"/>
    </row>
    <row r="44" spans="1:121" s="237" customFormat="1" ht="112.5">
      <c r="A44" s="25">
        <v>8</v>
      </c>
      <c r="B44" s="38" t="s">
        <v>3209</v>
      </c>
      <c r="C44" s="262" t="s">
        <v>83</v>
      </c>
      <c r="D44" s="38" t="s">
        <v>3193</v>
      </c>
      <c r="E44" s="29" t="s">
        <v>1604</v>
      </c>
      <c r="F44" s="29">
        <v>9440030</v>
      </c>
      <c r="G44" s="63">
        <v>842520</v>
      </c>
      <c r="H44" s="16" t="s">
        <v>3210</v>
      </c>
      <c r="I44" s="25">
        <v>2010104</v>
      </c>
      <c r="J44" s="263">
        <v>2314.27</v>
      </c>
      <c r="K44" s="263">
        <f t="shared" si="1"/>
        <v>2730.8386</v>
      </c>
      <c r="L44" s="38" t="s">
        <v>280</v>
      </c>
      <c r="M44" s="16" t="s">
        <v>3211</v>
      </c>
      <c r="N44" s="16" t="s">
        <v>2994</v>
      </c>
      <c r="O44" s="16" t="s">
        <v>171</v>
      </c>
      <c r="P44" s="264" t="s">
        <v>3197</v>
      </c>
      <c r="Q44" s="262" t="s">
        <v>3198</v>
      </c>
      <c r="R44" s="265" t="s">
        <v>3212</v>
      </c>
      <c r="S44" s="262" t="s">
        <v>3213</v>
      </c>
      <c r="T44" s="262" t="s">
        <v>154</v>
      </c>
      <c r="U44" s="33">
        <v>41640</v>
      </c>
      <c r="V44" s="33">
        <v>41640</v>
      </c>
      <c r="W44" s="52">
        <v>42004</v>
      </c>
      <c r="X44" s="60"/>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c r="CT44" s="268"/>
      <c r="CU44" s="268"/>
      <c r="CV44" s="268"/>
      <c r="CW44" s="268"/>
      <c r="CX44" s="268"/>
      <c r="CY44" s="268"/>
      <c r="CZ44" s="268"/>
      <c r="DA44" s="268"/>
      <c r="DB44" s="268"/>
      <c r="DC44" s="268"/>
      <c r="DD44" s="268"/>
      <c r="DE44" s="268"/>
      <c r="DF44" s="268"/>
      <c r="DG44" s="268"/>
      <c r="DH44" s="268"/>
      <c r="DI44" s="268"/>
      <c r="DJ44" s="268"/>
      <c r="DK44" s="268"/>
      <c r="DL44" s="268"/>
      <c r="DM44" s="268"/>
      <c r="DN44" s="268"/>
      <c r="DO44" s="268"/>
      <c r="DP44" s="268"/>
      <c r="DQ44" s="268"/>
    </row>
    <row r="45" spans="1:121" s="237" customFormat="1" ht="56.25">
      <c r="A45" s="25">
        <v>8</v>
      </c>
      <c r="B45" s="38" t="s">
        <v>3214</v>
      </c>
      <c r="C45" s="262" t="s">
        <v>83</v>
      </c>
      <c r="D45" s="38" t="s">
        <v>3193</v>
      </c>
      <c r="E45" s="29" t="s">
        <v>1604</v>
      </c>
      <c r="F45" s="29">
        <v>9440030</v>
      </c>
      <c r="G45" s="63">
        <v>842522</v>
      </c>
      <c r="H45" s="16" t="s">
        <v>3215</v>
      </c>
      <c r="I45" s="25">
        <v>2010104</v>
      </c>
      <c r="J45" s="263">
        <v>471.31</v>
      </c>
      <c r="K45" s="263">
        <f t="shared" si="1"/>
        <v>556.14580000000001</v>
      </c>
      <c r="L45" s="38" t="s">
        <v>280</v>
      </c>
      <c r="M45" s="16" t="s">
        <v>3216</v>
      </c>
      <c r="N45" s="16" t="s">
        <v>2994</v>
      </c>
      <c r="O45" s="16" t="s">
        <v>171</v>
      </c>
      <c r="P45" s="262">
        <v>233</v>
      </c>
      <c r="Q45" s="25" t="s">
        <v>628</v>
      </c>
      <c r="R45" s="265">
        <v>298</v>
      </c>
      <c r="S45" s="262" t="s">
        <v>3204</v>
      </c>
      <c r="T45" s="262" t="s">
        <v>142</v>
      </c>
      <c r="U45" s="33">
        <v>41640</v>
      </c>
      <c r="V45" s="33">
        <v>41640</v>
      </c>
      <c r="W45" s="52">
        <v>42004</v>
      </c>
      <c r="X45" s="60"/>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268"/>
      <c r="CX45" s="268"/>
      <c r="CY45" s="268"/>
      <c r="CZ45" s="268"/>
      <c r="DA45" s="268"/>
      <c r="DB45" s="268"/>
      <c r="DC45" s="268"/>
      <c r="DD45" s="268"/>
      <c r="DE45" s="268"/>
      <c r="DF45" s="268"/>
      <c r="DG45" s="268"/>
      <c r="DH45" s="268"/>
      <c r="DI45" s="268"/>
      <c r="DJ45" s="268"/>
      <c r="DK45" s="268"/>
      <c r="DL45" s="268"/>
      <c r="DM45" s="268"/>
      <c r="DN45" s="268"/>
      <c r="DO45" s="268"/>
      <c r="DP45" s="268"/>
      <c r="DQ45" s="268"/>
    </row>
    <row r="46" spans="1:121" s="237" customFormat="1" ht="93.75">
      <c r="A46" s="25">
        <v>8</v>
      </c>
      <c r="B46" s="38" t="s">
        <v>3217</v>
      </c>
      <c r="C46" s="262" t="s">
        <v>83</v>
      </c>
      <c r="D46" s="38" t="s">
        <v>3193</v>
      </c>
      <c r="E46" s="29" t="s">
        <v>1604</v>
      </c>
      <c r="F46" s="29">
        <v>9440030</v>
      </c>
      <c r="G46" s="63">
        <v>842523</v>
      </c>
      <c r="H46" s="16" t="s">
        <v>3218</v>
      </c>
      <c r="I46" s="25">
        <v>2010104</v>
      </c>
      <c r="J46" s="263">
        <v>650.85</v>
      </c>
      <c r="K46" s="263">
        <f t="shared" si="1"/>
        <v>768.00300000000004</v>
      </c>
      <c r="L46" s="38" t="s">
        <v>280</v>
      </c>
      <c r="M46" s="16" t="s">
        <v>3219</v>
      </c>
      <c r="N46" s="16" t="s">
        <v>2994</v>
      </c>
      <c r="O46" s="16" t="s">
        <v>171</v>
      </c>
      <c r="P46" s="264" t="s">
        <v>3197</v>
      </c>
      <c r="Q46" s="262" t="s">
        <v>3198</v>
      </c>
      <c r="R46" s="265" t="s">
        <v>3220</v>
      </c>
      <c r="S46" s="262" t="s">
        <v>3221</v>
      </c>
      <c r="T46" s="262" t="s">
        <v>3222</v>
      </c>
      <c r="U46" s="33">
        <v>41640</v>
      </c>
      <c r="V46" s="33">
        <v>41640</v>
      </c>
      <c r="W46" s="52">
        <v>42004</v>
      </c>
      <c r="X46" s="60"/>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c r="BW46" s="268"/>
      <c r="BX46" s="268"/>
      <c r="BY46" s="268"/>
      <c r="BZ46" s="268"/>
      <c r="CA46" s="268"/>
      <c r="CB46" s="268"/>
      <c r="CC46" s="268"/>
      <c r="CD46" s="268"/>
      <c r="CE46" s="268"/>
      <c r="CF46" s="268"/>
      <c r="CG46" s="268"/>
      <c r="CH46" s="268"/>
      <c r="CI46" s="268"/>
      <c r="CJ46" s="268"/>
      <c r="CK46" s="268"/>
      <c r="CL46" s="268"/>
      <c r="CM46" s="268"/>
      <c r="CN46" s="268"/>
      <c r="CO46" s="268"/>
      <c r="CP46" s="268"/>
      <c r="CQ46" s="268"/>
      <c r="CR46" s="268"/>
      <c r="CS46" s="268"/>
      <c r="CT46" s="268"/>
      <c r="CU46" s="268"/>
      <c r="CV46" s="268"/>
      <c r="CW46" s="268"/>
      <c r="CX46" s="268"/>
      <c r="CY46" s="268"/>
      <c r="CZ46" s="268"/>
      <c r="DA46" s="268"/>
      <c r="DB46" s="268"/>
      <c r="DC46" s="268"/>
      <c r="DD46" s="268"/>
      <c r="DE46" s="268"/>
      <c r="DF46" s="268"/>
      <c r="DG46" s="268"/>
      <c r="DH46" s="268"/>
      <c r="DI46" s="268"/>
      <c r="DJ46" s="268"/>
      <c r="DK46" s="268"/>
      <c r="DL46" s="268"/>
      <c r="DM46" s="268"/>
      <c r="DN46" s="268"/>
      <c r="DO46" s="268"/>
      <c r="DP46" s="268"/>
      <c r="DQ46" s="268"/>
    </row>
    <row r="47" spans="1:121" s="237" customFormat="1" ht="75">
      <c r="A47" s="25">
        <v>8</v>
      </c>
      <c r="B47" s="38" t="s">
        <v>3223</v>
      </c>
      <c r="C47" s="262" t="s">
        <v>83</v>
      </c>
      <c r="D47" s="38" t="s">
        <v>3193</v>
      </c>
      <c r="E47" s="29" t="s">
        <v>1604</v>
      </c>
      <c r="F47" s="29">
        <v>9440030</v>
      </c>
      <c r="G47" s="63">
        <v>842524</v>
      </c>
      <c r="H47" s="16" t="s">
        <v>3224</v>
      </c>
      <c r="I47" s="25">
        <v>2010104</v>
      </c>
      <c r="J47" s="263">
        <v>430.4</v>
      </c>
      <c r="K47" s="263">
        <f t="shared" si="1"/>
        <v>507.87199999999996</v>
      </c>
      <c r="L47" s="38" t="s">
        <v>280</v>
      </c>
      <c r="M47" s="16" t="s">
        <v>3225</v>
      </c>
      <c r="N47" s="16" t="s">
        <v>2994</v>
      </c>
      <c r="O47" s="16" t="s">
        <v>171</v>
      </c>
      <c r="P47" s="262">
        <v>233</v>
      </c>
      <c r="Q47" s="25" t="s">
        <v>628</v>
      </c>
      <c r="R47" s="265">
        <v>246.4</v>
      </c>
      <c r="S47" s="262" t="s">
        <v>3226</v>
      </c>
      <c r="T47" s="262" t="s">
        <v>147</v>
      </c>
      <c r="U47" s="33">
        <v>41640</v>
      </c>
      <c r="V47" s="33">
        <v>41640</v>
      </c>
      <c r="W47" s="52">
        <v>42004</v>
      </c>
      <c r="X47" s="60"/>
      <c r="Y47" s="268"/>
      <c r="Z47" s="268"/>
      <c r="AA47" s="268"/>
      <c r="AB47" s="268"/>
      <c r="AC47" s="268"/>
      <c r="AD47" s="268"/>
      <c r="AE47" s="268"/>
      <c r="AF47" s="268"/>
      <c r="AG47" s="268"/>
      <c r="AH47" s="268"/>
      <c r="AI47" s="268"/>
      <c r="AJ47" s="268"/>
      <c r="AK47" s="268"/>
      <c r="AL47" s="268"/>
      <c r="AM47" s="268"/>
      <c r="AN47" s="268"/>
      <c r="AO47" s="268"/>
      <c r="AP47" s="268"/>
      <c r="AQ47" s="268"/>
      <c r="AR47" s="268"/>
      <c r="AS47" s="268"/>
      <c r="AT47" s="268"/>
      <c r="AU47" s="268"/>
      <c r="AV47" s="268"/>
      <c r="AW47" s="268"/>
      <c r="AX47" s="268"/>
      <c r="AY47" s="268"/>
      <c r="AZ47" s="268"/>
      <c r="BA47" s="268"/>
      <c r="BB47" s="268"/>
      <c r="BC47" s="268"/>
      <c r="BD47" s="268"/>
      <c r="BE47" s="268"/>
      <c r="BF47" s="268"/>
      <c r="BG47" s="268"/>
      <c r="BH47" s="268"/>
      <c r="BI47" s="268"/>
      <c r="BJ47" s="268"/>
      <c r="BK47" s="268"/>
      <c r="BL47" s="268"/>
      <c r="BM47" s="268"/>
      <c r="BN47" s="268"/>
      <c r="BO47" s="268"/>
      <c r="BP47" s="268"/>
      <c r="BQ47" s="268"/>
      <c r="BR47" s="268"/>
      <c r="BS47" s="268"/>
      <c r="BT47" s="268"/>
      <c r="BU47" s="268"/>
      <c r="BV47" s="268"/>
      <c r="BW47" s="268"/>
      <c r="BX47" s="268"/>
      <c r="BY47" s="268"/>
      <c r="BZ47" s="268"/>
      <c r="CA47" s="268"/>
      <c r="CB47" s="268"/>
      <c r="CC47" s="268"/>
      <c r="CD47" s="268"/>
      <c r="CE47" s="268"/>
      <c r="CF47" s="268"/>
      <c r="CG47" s="268"/>
      <c r="CH47" s="268"/>
      <c r="CI47" s="268"/>
      <c r="CJ47" s="268"/>
      <c r="CK47" s="268"/>
      <c r="CL47" s="268"/>
      <c r="CM47" s="268"/>
      <c r="CN47" s="268"/>
      <c r="CO47" s="268"/>
      <c r="CP47" s="268"/>
      <c r="CQ47" s="268"/>
      <c r="CR47" s="268"/>
      <c r="CS47" s="268"/>
      <c r="CT47" s="268"/>
      <c r="CU47" s="268"/>
      <c r="CV47" s="268"/>
      <c r="CW47" s="268"/>
      <c r="CX47" s="268"/>
      <c r="CY47" s="268"/>
      <c r="CZ47" s="268"/>
      <c r="DA47" s="268"/>
      <c r="DB47" s="268"/>
      <c r="DC47" s="268"/>
      <c r="DD47" s="268"/>
      <c r="DE47" s="268"/>
      <c r="DF47" s="268"/>
      <c r="DG47" s="268"/>
      <c r="DH47" s="268"/>
      <c r="DI47" s="268"/>
      <c r="DJ47" s="268"/>
      <c r="DK47" s="268"/>
      <c r="DL47" s="268"/>
      <c r="DM47" s="268"/>
      <c r="DN47" s="268"/>
      <c r="DO47" s="268"/>
      <c r="DP47" s="268"/>
      <c r="DQ47" s="268"/>
    </row>
    <row r="48" spans="1:121" s="237" customFormat="1" ht="93.75">
      <c r="A48" s="25">
        <v>8</v>
      </c>
      <c r="B48" s="38" t="s">
        <v>3227</v>
      </c>
      <c r="C48" s="262" t="s">
        <v>83</v>
      </c>
      <c r="D48" s="38" t="s">
        <v>3193</v>
      </c>
      <c r="E48" s="29" t="s">
        <v>3228</v>
      </c>
      <c r="F48" s="29">
        <v>9440010</v>
      </c>
      <c r="G48" s="63">
        <v>842521</v>
      </c>
      <c r="H48" s="16" t="s">
        <v>3229</v>
      </c>
      <c r="I48" s="25">
        <v>2010103</v>
      </c>
      <c r="J48" s="263">
        <v>32660.6</v>
      </c>
      <c r="K48" s="263">
        <f t="shared" si="1"/>
        <v>38539.507999999994</v>
      </c>
      <c r="L48" s="38" t="s">
        <v>280</v>
      </c>
      <c r="M48" s="16" t="s">
        <v>3230</v>
      </c>
      <c r="N48" s="255" t="s">
        <v>3231</v>
      </c>
      <c r="O48" s="16" t="s">
        <v>171</v>
      </c>
      <c r="P48" s="262">
        <v>245</v>
      </c>
      <c r="Q48" s="25" t="s">
        <v>915</v>
      </c>
      <c r="R48" s="265">
        <v>10500.003000000001</v>
      </c>
      <c r="S48" s="262" t="s">
        <v>3232</v>
      </c>
      <c r="T48" s="262" t="s">
        <v>605</v>
      </c>
      <c r="U48" s="33">
        <v>41640</v>
      </c>
      <c r="V48" s="33">
        <v>41640</v>
      </c>
      <c r="W48" s="52">
        <v>42004</v>
      </c>
      <c r="X48" s="60"/>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c r="CA48" s="268"/>
      <c r="CB48" s="268"/>
      <c r="CC48" s="268"/>
      <c r="CD48" s="268"/>
      <c r="CE48" s="268"/>
      <c r="CF48" s="268"/>
      <c r="CG48" s="268"/>
      <c r="CH48" s="268"/>
      <c r="CI48" s="268"/>
      <c r="CJ48" s="268"/>
      <c r="CK48" s="268"/>
      <c r="CL48" s="268"/>
      <c r="CM48" s="268"/>
      <c r="CN48" s="268"/>
      <c r="CO48" s="268"/>
      <c r="CP48" s="268"/>
      <c r="CQ48" s="268"/>
      <c r="CR48" s="268"/>
      <c r="CS48" s="268"/>
      <c r="CT48" s="268"/>
      <c r="CU48" s="268"/>
      <c r="CV48" s="268"/>
      <c r="CW48" s="268"/>
      <c r="CX48" s="268"/>
      <c r="CY48" s="268"/>
      <c r="CZ48" s="268"/>
      <c r="DA48" s="268"/>
      <c r="DB48" s="268"/>
      <c r="DC48" s="268"/>
      <c r="DD48" s="268"/>
      <c r="DE48" s="268"/>
      <c r="DF48" s="268"/>
      <c r="DG48" s="268"/>
      <c r="DH48" s="268"/>
      <c r="DI48" s="268"/>
      <c r="DJ48" s="268"/>
      <c r="DK48" s="268"/>
      <c r="DL48" s="268"/>
      <c r="DM48" s="268"/>
      <c r="DN48" s="268"/>
      <c r="DO48" s="268"/>
      <c r="DP48" s="268"/>
      <c r="DQ48" s="268"/>
    </row>
    <row r="49" spans="1:121" ht="131.25">
      <c r="A49" s="25">
        <v>8</v>
      </c>
      <c r="B49" s="38" t="s">
        <v>150</v>
      </c>
      <c r="C49" s="38" t="s">
        <v>83</v>
      </c>
      <c r="D49" s="38" t="s">
        <v>136</v>
      </c>
      <c r="E49" s="38" t="s">
        <v>137</v>
      </c>
      <c r="F49" s="38">
        <v>7010020</v>
      </c>
      <c r="G49" s="63" t="s">
        <v>3247</v>
      </c>
      <c r="H49" s="60" t="s">
        <v>553</v>
      </c>
      <c r="I49" s="73" t="s">
        <v>138</v>
      </c>
      <c r="J49" s="23">
        <v>932.18399999999997</v>
      </c>
      <c r="K49" s="23">
        <v>932.18399999999997</v>
      </c>
      <c r="L49" s="38" t="s">
        <v>280</v>
      </c>
      <c r="M49" s="16" t="s">
        <v>151</v>
      </c>
      <c r="N49" s="16" t="s">
        <v>3245</v>
      </c>
      <c r="O49" s="16" t="s">
        <v>171</v>
      </c>
      <c r="P49" s="73" t="s">
        <v>140</v>
      </c>
      <c r="Q49" s="25" t="s">
        <v>3246</v>
      </c>
      <c r="R49" s="25" t="s">
        <v>152</v>
      </c>
      <c r="S49" s="64" t="s">
        <v>153</v>
      </c>
      <c r="T49" s="38" t="s">
        <v>154</v>
      </c>
      <c r="U49" s="52">
        <v>41832</v>
      </c>
      <c r="V49" s="52">
        <v>41852</v>
      </c>
      <c r="W49" s="52">
        <v>42185</v>
      </c>
      <c r="X49" s="60"/>
    </row>
    <row r="50" spans="1:121" ht="131.25">
      <c r="A50" s="25">
        <v>8</v>
      </c>
      <c r="B50" s="38" t="s">
        <v>155</v>
      </c>
      <c r="C50" s="38" t="s">
        <v>83</v>
      </c>
      <c r="D50" s="38" t="s">
        <v>136</v>
      </c>
      <c r="E50" s="38" t="s">
        <v>137</v>
      </c>
      <c r="F50" s="38">
        <v>7010020</v>
      </c>
      <c r="G50" s="63">
        <v>842618</v>
      </c>
      <c r="H50" s="60" t="s">
        <v>554</v>
      </c>
      <c r="I50" s="25">
        <v>20105110</v>
      </c>
      <c r="J50" s="23">
        <v>2566.08</v>
      </c>
      <c r="K50" s="23">
        <v>2566.08</v>
      </c>
      <c r="L50" s="38" t="s">
        <v>280</v>
      </c>
      <c r="M50" s="16" t="s">
        <v>156</v>
      </c>
      <c r="N50" s="16" t="s">
        <v>3245</v>
      </c>
      <c r="O50" s="16" t="s">
        <v>171</v>
      </c>
      <c r="P50" s="73" t="s">
        <v>140</v>
      </c>
      <c r="Q50" s="25" t="s">
        <v>3246</v>
      </c>
      <c r="R50" s="25" t="s">
        <v>157</v>
      </c>
      <c r="S50" s="64" t="s">
        <v>158</v>
      </c>
      <c r="T50" s="38" t="s">
        <v>159</v>
      </c>
      <c r="U50" s="52">
        <v>41863</v>
      </c>
      <c r="V50" s="52">
        <v>41883</v>
      </c>
      <c r="W50" s="52">
        <v>42185</v>
      </c>
      <c r="X50" s="60"/>
    </row>
    <row r="51" spans="1:121" s="260" customFormat="1" ht="281.25">
      <c r="A51" s="25">
        <v>8</v>
      </c>
      <c r="B51" s="38" t="s">
        <v>3277</v>
      </c>
      <c r="C51" s="38" t="s">
        <v>83</v>
      </c>
      <c r="D51" s="38" t="s">
        <v>3278</v>
      </c>
      <c r="E51" s="38" t="s">
        <v>3250</v>
      </c>
      <c r="F51" s="38">
        <v>6400000</v>
      </c>
      <c r="G51" s="11">
        <v>842552</v>
      </c>
      <c r="H51" s="59" t="s">
        <v>3279</v>
      </c>
      <c r="I51" s="73" t="s">
        <v>3280</v>
      </c>
      <c r="J51" s="23">
        <v>900</v>
      </c>
      <c r="K51" s="23">
        <f t="shared" ref="K51:K64" si="2">J51*1.18</f>
        <v>1062</v>
      </c>
      <c r="L51" s="38" t="s">
        <v>280</v>
      </c>
      <c r="M51" s="16" t="s">
        <v>3281</v>
      </c>
      <c r="N51" s="16" t="s">
        <v>3282</v>
      </c>
      <c r="O51" s="16" t="s">
        <v>3283</v>
      </c>
      <c r="P51" s="25">
        <v>796</v>
      </c>
      <c r="Q51" s="25" t="s">
        <v>3254</v>
      </c>
      <c r="R51" s="25">
        <v>1</v>
      </c>
      <c r="S51" s="25">
        <v>46239</v>
      </c>
      <c r="T51" s="38" t="s">
        <v>3255</v>
      </c>
      <c r="U51" s="52">
        <v>41789</v>
      </c>
      <c r="V51" s="52">
        <v>41791</v>
      </c>
      <c r="W51" s="52">
        <v>42155</v>
      </c>
      <c r="X51" s="60"/>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c r="CG51" s="259"/>
      <c r="CH51" s="259"/>
      <c r="CI51" s="259"/>
      <c r="CJ51" s="259"/>
      <c r="CK51" s="259"/>
      <c r="CL51" s="259"/>
      <c r="CM51" s="259"/>
      <c r="CN51" s="259"/>
      <c r="CO51" s="259"/>
      <c r="CP51" s="259"/>
      <c r="CQ51" s="259"/>
      <c r="CR51" s="259"/>
      <c r="CS51" s="259"/>
      <c r="CT51" s="259"/>
      <c r="CU51" s="259"/>
      <c r="CV51" s="259"/>
      <c r="CW51" s="259"/>
      <c r="CX51" s="259"/>
      <c r="CY51" s="259"/>
      <c r="CZ51" s="259"/>
      <c r="DA51" s="259"/>
      <c r="DB51" s="259"/>
      <c r="DC51" s="259"/>
      <c r="DD51" s="259"/>
      <c r="DE51" s="259"/>
      <c r="DF51" s="259"/>
      <c r="DG51" s="259"/>
      <c r="DH51" s="259"/>
      <c r="DI51" s="259"/>
      <c r="DJ51" s="259"/>
      <c r="DK51" s="259"/>
      <c r="DL51" s="259"/>
      <c r="DM51" s="259"/>
      <c r="DN51" s="259"/>
      <c r="DO51" s="259"/>
      <c r="DP51" s="259"/>
      <c r="DQ51" s="259"/>
    </row>
    <row r="52" spans="1:121" ht="111" customHeight="1">
      <c r="A52" s="25">
        <v>8</v>
      </c>
      <c r="B52" s="38" t="s">
        <v>3284</v>
      </c>
      <c r="C52" s="38" t="s">
        <v>83</v>
      </c>
      <c r="D52" s="38" t="s">
        <v>3278</v>
      </c>
      <c r="E52" s="38" t="s">
        <v>3250</v>
      </c>
      <c r="F52" s="38">
        <v>6400000</v>
      </c>
      <c r="G52" s="11">
        <v>842554</v>
      </c>
      <c r="H52" s="59" t="s">
        <v>3285</v>
      </c>
      <c r="I52" s="73" t="s">
        <v>3280</v>
      </c>
      <c r="J52" s="23">
        <v>853.31</v>
      </c>
      <c r="K52" s="23">
        <f t="shared" si="2"/>
        <v>1006.9057999999999</v>
      </c>
      <c r="L52" s="38" t="s">
        <v>280</v>
      </c>
      <c r="M52" s="16" t="s">
        <v>923</v>
      </c>
      <c r="N52" s="16" t="s">
        <v>3286</v>
      </c>
      <c r="O52" s="16" t="s">
        <v>3287</v>
      </c>
      <c r="P52" s="25">
        <v>796</v>
      </c>
      <c r="Q52" s="25" t="s">
        <v>3254</v>
      </c>
      <c r="R52" s="25">
        <v>1</v>
      </c>
      <c r="S52" s="25">
        <v>46239</v>
      </c>
      <c r="T52" s="38" t="s">
        <v>3255</v>
      </c>
      <c r="U52" s="52">
        <v>41635</v>
      </c>
      <c r="V52" s="33">
        <v>41640</v>
      </c>
      <c r="W52" s="52">
        <v>42004</v>
      </c>
      <c r="X52" s="60"/>
    </row>
    <row r="53" spans="1:121" ht="111" customHeight="1">
      <c r="A53" s="25">
        <v>8</v>
      </c>
      <c r="B53" s="38" t="s">
        <v>3288</v>
      </c>
      <c r="C53" s="38" t="s">
        <v>83</v>
      </c>
      <c r="D53" s="38" t="s">
        <v>3278</v>
      </c>
      <c r="E53" s="38" t="s">
        <v>3250</v>
      </c>
      <c r="F53" s="38">
        <v>6400000</v>
      </c>
      <c r="G53" s="11">
        <v>842556</v>
      </c>
      <c r="H53" s="59" t="s">
        <v>3289</v>
      </c>
      <c r="I53" s="73" t="s">
        <v>3280</v>
      </c>
      <c r="J53" s="23">
        <v>1264.21</v>
      </c>
      <c r="K53" s="23">
        <f t="shared" si="2"/>
        <v>1491.7677999999999</v>
      </c>
      <c r="L53" s="38" t="s">
        <v>280</v>
      </c>
      <c r="M53" s="16" t="s">
        <v>287</v>
      </c>
      <c r="N53" s="16" t="s">
        <v>3290</v>
      </c>
      <c r="O53" s="16" t="s">
        <v>3287</v>
      </c>
      <c r="P53" s="25">
        <v>796</v>
      </c>
      <c r="Q53" s="25" t="s">
        <v>3254</v>
      </c>
      <c r="R53" s="25">
        <v>1</v>
      </c>
      <c r="S53" s="25">
        <v>46239</v>
      </c>
      <c r="T53" s="38" t="s">
        <v>3255</v>
      </c>
      <c r="U53" s="52">
        <v>41635</v>
      </c>
      <c r="V53" s="33">
        <v>41640</v>
      </c>
      <c r="W53" s="52">
        <v>42004</v>
      </c>
      <c r="X53" s="60"/>
    </row>
    <row r="54" spans="1:121" ht="113.25" customHeight="1">
      <c r="A54" s="25">
        <v>8</v>
      </c>
      <c r="B54" s="38" t="s">
        <v>3291</v>
      </c>
      <c r="C54" s="38" t="s">
        <v>83</v>
      </c>
      <c r="D54" s="38" t="s">
        <v>3278</v>
      </c>
      <c r="E54" s="38" t="s">
        <v>3250</v>
      </c>
      <c r="F54" s="38">
        <v>6400000</v>
      </c>
      <c r="G54" s="11">
        <v>842561</v>
      </c>
      <c r="H54" s="59" t="s">
        <v>3292</v>
      </c>
      <c r="I54" s="73" t="s">
        <v>3280</v>
      </c>
      <c r="J54" s="23">
        <v>1478.4</v>
      </c>
      <c r="K54" s="23">
        <f t="shared" si="2"/>
        <v>1744.5119999999999</v>
      </c>
      <c r="L54" s="38" t="s">
        <v>280</v>
      </c>
      <c r="M54" s="16" t="s">
        <v>287</v>
      </c>
      <c r="N54" s="16" t="s">
        <v>3293</v>
      </c>
      <c r="O54" s="16" t="s">
        <v>3287</v>
      </c>
      <c r="P54" s="25">
        <v>796</v>
      </c>
      <c r="Q54" s="25" t="s">
        <v>3254</v>
      </c>
      <c r="R54" s="25">
        <v>1</v>
      </c>
      <c r="S54" s="25">
        <v>46239</v>
      </c>
      <c r="T54" s="38" t="s">
        <v>3255</v>
      </c>
      <c r="U54" s="52">
        <v>41726</v>
      </c>
      <c r="V54" s="52">
        <v>41791</v>
      </c>
      <c r="W54" s="52">
        <v>42155</v>
      </c>
      <c r="X54" s="60"/>
    </row>
    <row r="55" spans="1:121" s="270" customFormat="1" ht="120" customHeight="1">
      <c r="A55" s="25">
        <v>8</v>
      </c>
      <c r="B55" s="38" t="s">
        <v>1599</v>
      </c>
      <c r="C55" s="38" t="s">
        <v>83</v>
      </c>
      <c r="D55" s="38" t="s">
        <v>1571</v>
      </c>
      <c r="E55" s="38" t="s">
        <v>696</v>
      </c>
      <c r="F55" s="38">
        <v>3520556</v>
      </c>
      <c r="G55" s="11">
        <v>854292</v>
      </c>
      <c r="H55" s="60" t="s">
        <v>1600</v>
      </c>
      <c r="I55" s="38">
        <v>20105010201</v>
      </c>
      <c r="J55" s="36">
        <v>9185.4560000000001</v>
      </c>
      <c r="K55" s="36">
        <f t="shared" si="2"/>
        <v>10838.83808</v>
      </c>
      <c r="L55" s="38" t="s">
        <v>280</v>
      </c>
      <c r="M55" s="16" t="s">
        <v>6116</v>
      </c>
      <c r="N55" s="16" t="s">
        <v>1600</v>
      </c>
      <c r="O55" s="16" t="s">
        <v>1480</v>
      </c>
      <c r="P55" s="38">
        <v>8</v>
      </c>
      <c r="Q55" s="38" t="s">
        <v>82</v>
      </c>
      <c r="R55" s="38">
        <v>247.4</v>
      </c>
      <c r="S55" s="38">
        <v>45</v>
      </c>
      <c r="T55" s="38" t="s">
        <v>512</v>
      </c>
      <c r="U55" s="33">
        <v>41640</v>
      </c>
      <c r="V55" s="33">
        <v>41640</v>
      </c>
      <c r="W55" s="52">
        <v>42004</v>
      </c>
      <c r="X55" s="16" t="s">
        <v>1601</v>
      </c>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69"/>
      <c r="BO55" s="269"/>
      <c r="BP55" s="269"/>
      <c r="BQ55" s="269"/>
      <c r="BR55" s="269"/>
      <c r="BS55" s="269"/>
      <c r="BT55" s="269"/>
      <c r="BU55" s="269"/>
      <c r="BV55" s="269"/>
      <c r="BW55" s="269"/>
      <c r="BX55" s="269"/>
      <c r="BY55" s="269"/>
      <c r="BZ55" s="269"/>
      <c r="CA55" s="269"/>
      <c r="CB55" s="269"/>
      <c r="CC55" s="269"/>
      <c r="CD55" s="269"/>
      <c r="CE55" s="269"/>
      <c r="CF55" s="269"/>
      <c r="CG55" s="269"/>
      <c r="CH55" s="269"/>
      <c r="CI55" s="269"/>
      <c r="CJ55" s="269"/>
      <c r="CK55" s="269"/>
      <c r="CL55" s="269"/>
      <c r="CM55" s="269"/>
      <c r="CN55" s="269"/>
      <c r="CO55" s="269"/>
      <c r="CP55" s="269"/>
      <c r="CQ55" s="269"/>
      <c r="CR55" s="269"/>
      <c r="CS55" s="269"/>
      <c r="CT55" s="269"/>
      <c r="CU55" s="269"/>
      <c r="CV55" s="269"/>
      <c r="CW55" s="269"/>
      <c r="CX55" s="269"/>
      <c r="CY55" s="269"/>
      <c r="CZ55" s="269"/>
      <c r="DA55" s="269"/>
      <c r="DB55" s="269"/>
      <c r="DC55" s="269"/>
      <c r="DD55" s="269"/>
      <c r="DE55" s="269"/>
      <c r="DF55" s="269"/>
      <c r="DG55" s="269"/>
      <c r="DH55" s="269"/>
      <c r="DI55" s="269"/>
      <c r="DJ55" s="269"/>
      <c r="DK55" s="269"/>
      <c r="DL55" s="269"/>
      <c r="DM55" s="269"/>
      <c r="DN55" s="269"/>
      <c r="DO55" s="269"/>
      <c r="DP55" s="269"/>
      <c r="DQ55" s="269"/>
    </row>
    <row r="56" spans="1:121" s="270" customFormat="1" ht="113.25" customHeight="1">
      <c r="A56" s="25">
        <v>8</v>
      </c>
      <c r="B56" s="38" t="s">
        <v>1602</v>
      </c>
      <c r="C56" s="38" t="s">
        <v>83</v>
      </c>
      <c r="D56" s="38" t="s">
        <v>1603</v>
      </c>
      <c r="E56" s="38" t="s">
        <v>1604</v>
      </c>
      <c r="F56" s="38">
        <v>4030000</v>
      </c>
      <c r="G56" s="11">
        <v>852735</v>
      </c>
      <c r="H56" s="60" t="s">
        <v>1605</v>
      </c>
      <c r="I56" s="38">
        <v>20105140702</v>
      </c>
      <c r="J56" s="34">
        <v>12781.97</v>
      </c>
      <c r="K56" s="36">
        <f t="shared" si="2"/>
        <v>15082.724599999998</v>
      </c>
      <c r="L56" s="38" t="s">
        <v>280</v>
      </c>
      <c r="M56" s="16" t="s">
        <v>1606</v>
      </c>
      <c r="N56" s="16" t="s">
        <v>1607</v>
      </c>
      <c r="O56" s="16" t="s">
        <v>1608</v>
      </c>
      <c r="P56" s="38">
        <v>233</v>
      </c>
      <c r="Q56" s="38" t="s">
        <v>628</v>
      </c>
      <c r="R56" s="68">
        <v>8200</v>
      </c>
      <c r="S56" s="38">
        <v>45</v>
      </c>
      <c r="T56" s="38" t="s">
        <v>512</v>
      </c>
      <c r="U56" s="33">
        <v>41640</v>
      </c>
      <c r="V56" s="33">
        <v>41640</v>
      </c>
      <c r="W56" s="52">
        <v>42004</v>
      </c>
      <c r="X56" s="60" t="s">
        <v>5309</v>
      </c>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c r="CC56" s="269"/>
      <c r="CD56" s="269"/>
      <c r="CE56" s="269"/>
      <c r="CF56" s="269"/>
      <c r="CG56" s="269"/>
      <c r="CH56" s="269"/>
      <c r="CI56" s="269"/>
      <c r="CJ56" s="269"/>
      <c r="CK56" s="269"/>
      <c r="CL56" s="269"/>
      <c r="CM56" s="269"/>
      <c r="CN56" s="269"/>
      <c r="CO56" s="269"/>
      <c r="CP56" s="269"/>
      <c r="CQ56" s="269"/>
      <c r="CR56" s="269"/>
      <c r="CS56" s="269"/>
      <c r="CT56" s="269"/>
      <c r="CU56" s="269"/>
      <c r="CV56" s="269"/>
      <c r="CW56" s="269"/>
      <c r="CX56" s="269"/>
      <c r="CY56" s="269"/>
      <c r="CZ56" s="269"/>
      <c r="DA56" s="269"/>
      <c r="DB56" s="269"/>
      <c r="DC56" s="269"/>
      <c r="DD56" s="269"/>
      <c r="DE56" s="269"/>
      <c r="DF56" s="269"/>
      <c r="DG56" s="269"/>
      <c r="DH56" s="269"/>
      <c r="DI56" s="269"/>
      <c r="DJ56" s="269"/>
      <c r="DK56" s="269"/>
      <c r="DL56" s="269"/>
      <c r="DM56" s="269"/>
      <c r="DN56" s="269"/>
      <c r="DO56" s="269"/>
      <c r="DP56" s="269"/>
      <c r="DQ56" s="269"/>
    </row>
    <row r="57" spans="1:121" s="270" customFormat="1" ht="159.75" customHeight="1">
      <c r="A57" s="25">
        <v>8</v>
      </c>
      <c r="B57" s="38" t="s">
        <v>1609</v>
      </c>
      <c r="C57" s="38" t="s">
        <v>83</v>
      </c>
      <c r="D57" s="38" t="s">
        <v>1603</v>
      </c>
      <c r="E57" s="38" t="s">
        <v>1604</v>
      </c>
      <c r="F57" s="38">
        <v>4030000</v>
      </c>
      <c r="G57" s="11">
        <v>852732</v>
      </c>
      <c r="H57" s="60" t="s">
        <v>1610</v>
      </c>
      <c r="I57" s="38">
        <v>20105140702</v>
      </c>
      <c r="J57" s="34">
        <v>21126.38</v>
      </c>
      <c r="K57" s="36">
        <f t="shared" si="2"/>
        <v>24929.128400000001</v>
      </c>
      <c r="L57" s="38" t="s">
        <v>280</v>
      </c>
      <c r="M57" s="16" t="s">
        <v>895</v>
      </c>
      <c r="N57" s="16" t="s">
        <v>1611</v>
      </c>
      <c r="O57" s="16" t="s">
        <v>1608</v>
      </c>
      <c r="P57" s="38">
        <v>233</v>
      </c>
      <c r="Q57" s="38" t="s">
        <v>628</v>
      </c>
      <c r="R57" s="68">
        <v>17498</v>
      </c>
      <c r="S57" s="38">
        <v>45</v>
      </c>
      <c r="T57" s="38" t="s">
        <v>512</v>
      </c>
      <c r="U57" s="33">
        <v>41640</v>
      </c>
      <c r="V57" s="33">
        <v>41640</v>
      </c>
      <c r="W57" s="52">
        <v>42004</v>
      </c>
      <c r="X57" s="60" t="s">
        <v>5309</v>
      </c>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269"/>
      <c r="CC57" s="269"/>
      <c r="CD57" s="269"/>
      <c r="CE57" s="269"/>
      <c r="CF57" s="269"/>
      <c r="CG57" s="269"/>
      <c r="CH57" s="269"/>
      <c r="CI57" s="269"/>
      <c r="CJ57" s="269"/>
      <c r="CK57" s="269"/>
      <c r="CL57" s="269"/>
      <c r="CM57" s="269"/>
      <c r="CN57" s="269"/>
      <c r="CO57" s="269"/>
      <c r="CP57" s="269"/>
      <c r="CQ57" s="269"/>
      <c r="CR57" s="269"/>
      <c r="CS57" s="269"/>
      <c r="CT57" s="269"/>
      <c r="CU57" s="269"/>
      <c r="CV57" s="269"/>
      <c r="CW57" s="269"/>
      <c r="CX57" s="269"/>
      <c r="CY57" s="269"/>
      <c r="CZ57" s="269"/>
      <c r="DA57" s="269"/>
      <c r="DB57" s="269"/>
      <c r="DC57" s="269"/>
      <c r="DD57" s="269"/>
      <c r="DE57" s="269"/>
      <c r="DF57" s="269"/>
      <c r="DG57" s="269"/>
      <c r="DH57" s="269"/>
      <c r="DI57" s="269"/>
      <c r="DJ57" s="269"/>
      <c r="DK57" s="269"/>
      <c r="DL57" s="269"/>
      <c r="DM57" s="269"/>
      <c r="DN57" s="269"/>
      <c r="DO57" s="269"/>
      <c r="DP57" s="269"/>
      <c r="DQ57" s="269"/>
    </row>
    <row r="58" spans="1:121" s="270" customFormat="1" ht="157.5" customHeight="1">
      <c r="A58" s="25">
        <v>8</v>
      </c>
      <c r="B58" s="38" t="s">
        <v>1612</v>
      </c>
      <c r="C58" s="38" t="s">
        <v>83</v>
      </c>
      <c r="D58" s="38" t="s">
        <v>1603</v>
      </c>
      <c r="E58" s="38" t="s">
        <v>1613</v>
      </c>
      <c r="F58" s="38">
        <v>4110100</v>
      </c>
      <c r="G58" s="11">
        <v>852733</v>
      </c>
      <c r="H58" s="60" t="s">
        <v>1614</v>
      </c>
      <c r="I58" s="38">
        <v>20105140702</v>
      </c>
      <c r="J58" s="34">
        <v>5011.25</v>
      </c>
      <c r="K58" s="36">
        <f t="shared" si="2"/>
        <v>5913.2749999999996</v>
      </c>
      <c r="L58" s="38" t="s">
        <v>280</v>
      </c>
      <c r="M58" s="16" t="s">
        <v>1615</v>
      </c>
      <c r="N58" s="16" t="s">
        <v>1616</v>
      </c>
      <c r="O58" s="16" t="s">
        <v>1617</v>
      </c>
      <c r="P58" s="38">
        <v>113</v>
      </c>
      <c r="Q58" s="38" t="s">
        <v>902</v>
      </c>
      <c r="R58" s="38">
        <v>103</v>
      </c>
      <c r="S58" s="38">
        <v>45</v>
      </c>
      <c r="T58" s="38" t="s">
        <v>512</v>
      </c>
      <c r="U58" s="51">
        <f t="shared" ref="U58:U69" si="3">V58</f>
        <v>41640</v>
      </c>
      <c r="V58" s="33">
        <v>41640</v>
      </c>
      <c r="W58" s="52">
        <v>42004</v>
      </c>
      <c r="X58" s="60" t="s">
        <v>5309</v>
      </c>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c r="CC58" s="269"/>
      <c r="CD58" s="269"/>
      <c r="CE58" s="269"/>
      <c r="CF58" s="269"/>
      <c r="CG58" s="269"/>
      <c r="CH58" s="269"/>
      <c r="CI58" s="269"/>
      <c r="CJ58" s="269"/>
      <c r="CK58" s="269"/>
      <c r="CL58" s="269"/>
      <c r="CM58" s="269"/>
      <c r="CN58" s="269"/>
      <c r="CO58" s="269"/>
      <c r="CP58" s="269"/>
      <c r="CQ58" s="269"/>
      <c r="CR58" s="269"/>
      <c r="CS58" s="269"/>
      <c r="CT58" s="269"/>
      <c r="CU58" s="269"/>
      <c r="CV58" s="269"/>
      <c r="CW58" s="269"/>
      <c r="CX58" s="269"/>
      <c r="CY58" s="269"/>
      <c r="CZ58" s="269"/>
      <c r="DA58" s="269"/>
      <c r="DB58" s="269"/>
      <c r="DC58" s="269"/>
      <c r="DD58" s="269"/>
      <c r="DE58" s="269"/>
      <c r="DF58" s="269"/>
      <c r="DG58" s="269"/>
      <c r="DH58" s="269"/>
      <c r="DI58" s="269"/>
      <c r="DJ58" s="269"/>
      <c r="DK58" s="269"/>
      <c r="DL58" s="269"/>
      <c r="DM58" s="269"/>
      <c r="DN58" s="269"/>
      <c r="DO58" s="269"/>
      <c r="DP58" s="269"/>
      <c r="DQ58" s="269"/>
    </row>
    <row r="59" spans="1:121" s="272" customFormat="1" ht="124.5" customHeight="1">
      <c r="A59" s="25">
        <v>8</v>
      </c>
      <c r="B59" s="46" t="s">
        <v>1618</v>
      </c>
      <c r="C59" s="38" t="s">
        <v>83</v>
      </c>
      <c r="D59" s="38" t="s">
        <v>1619</v>
      </c>
      <c r="E59" s="38">
        <v>70</v>
      </c>
      <c r="F59" s="38">
        <v>70</v>
      </c>
      <c r="G59" s="74" t="s">
        <v>1620</v>
      </c>
      <c r="H59" s="16" t="s">
        <v>1621</v>
      </c>
      <c r="I59" s="249" t="s">
        <v>1274</v>
      </c>
      <c r="J59" s="250">
        <v>12666.28</v>
      </c>
      <c r="K59" s="36">
        <f t="shared" si="2"/>
        <v>14946.2104</v>
      </c>
      <c r="L59" s="38" t="s">
        <v>280</v>
      </c>
      <c r="M59" s="19" t="s">
        <v>1622</v>
      </c>
      <c r="N59" s="16" t="s">
        <v>1623</v>
      </c>
      <c r="O59" s="16" t="s">
        <v>1624</v>
      </c>
      <c r="P59" s="251" t="s">
        <v>140</v>
      </c>
      <c r="Q59" s="38" t="s">
        <v>141</v>
      </c>
      <c r="R59" s="46" t="s">
        <v>1625</v>
      </c>
      <c r="S59" s="38">
        <v>45</v>
      </c>
      <c r="T59" s="38" t="s">
        <v>512</v>
      </c>
      <c r="U59" s="51">
        <f t="shared" si="3"/>
        <v>41913</v>
      </c>
      <c r="V59" s="52">
        <v>41913</v>
      </c>
      <c r="W59" s="52">
        <v>42247</v>
      </c>
      <c r="X59" s="252" t="s">
        <v>1626</v>
      </c>
      <c r="Y59" s="271"/>
      <c r="Z59" s="271"/>
      <c r="AA59" s="271"/>
      <c r="AB59" s="271"/>
      <c r="AC59" s="271"/>
      <c r="AD59" s="271"/>
      <c r="AE59" s="271"/>
      <c r="AF59" s="271"/>
      <c r="AG59" s="271"/>
      <c r="AH59" s="271"/>
      <c r="AI59" s="271"/>
      <c r="AJ59" s="271"/>
      <c r="AK59" s="271"/>
      <c r="AL59" s="271"/>
      <c r="AM59" s="271"/>
      <c r="AN59" s="271"/>
      <c r="AO59" s="271"/>
      <c r="AP59" s="271"/>
      <c r="AQ59" s="271"/>
      <c r="AR59" s="271"/>
      <c r="AS59" s="271"/>
      <c r="AT59" s="271"/>
      <c r="AU59" s="271"/>
      <c r="AV59" s="271"/>
      <c r="AW59" s="271"/>
      <c r="AX59" s="271"/>
      <c r="AY59" s="271"/>
      <c r="AZ59" s="271"/>
      <c r="BA59" s="271"/>
      <c r="BB59" s="271"/>
      <c r="BC59" s="271"/>
      <c r="BD59" s="271"/>
      <c r="BE59" s="271"/>
      <c r="BF59" s="271"/>
      <c r="BG59" s="271"/>
      <c r="BH59" s="271"/>
      <c r="BI59" s="271"/>
      <c r="BJ59" s="271"/>
      <c r="BK59" s="271"/>
      <c r="BL59" s="271"/>
      <c r="BM59" s="271"/>
      <c r="BN59" s="271"/>
      <c r="BO59" s="271"/>
      <c r="BP59" s="271"/>
      <c r="BQ59" s="271"/>
      <c r="BR59" s="271"/>
      <c r="BS59" s="271"/>
      <c r="BT59" s="271"/>
      <c r="BU59" s="271"/>
      <c r="BV59" s="271"/>
      <c r="BW59" s="271"/>
      <c r="BX59" s="271"/>
      <c r="BY59" s="271"/>
      <c r="BZ59" s="271"/>
      <c r="CA59" s="271"/>
      <c r="CB59" s="271"/>
      <c r="CC59" s="271"/>
      <c r="CD59" s="271"/>
      <c r="CE59" s="271"/>
      <c r="CF59" s="271"/>
      <c r="CG59" s="271"/>
      <c r="CH59" s="271"/>
      <c r="CI59" s="271"/>
      <c r="CJ59" s="271"/>
      <c r="CK59" s="271"/>
      <c r="CL59" s="271"/>
      <c r="CM59" s="271"/>
      <c r="CN59" s="271"/>
      <c r="CO59" s="271"/>
      <c r="CP59" s="271"/>
      <c r="CQ59" s="271"/>
      <c r="CR59" s="271"/>
      <c r="CS59" s="271"/>
      <c r="CT59" s="271"/>
      <c r="CU59" s="271"/>
      <c r="CV59" s="271"/>
      <c r="CW59" s="271"/>
      <c r="CX59" s="271"/>
      <c r="CY59" s="271"/>
      <c r="CZ59" s="271"/>
      <c r="DA59" s="271"/>
      <c r="DB59" s="271"/>
      <c r="DC59" s="271"/>
      <c r="DD59" s="271"/>
      <c r="DE59" s="271"/>
      <c r="DF59" s="271"/>
      <c r="DG59" s="271"/>
      <c r="DH59" s="271"/>
      <c r="DI59" s="271"/>
      <c r="DJ59" s="271"/>
      <c r="DK59" s="271"/>
      <c r="DL59" s="271"/>
      <c r="DM59" s="271"/>
      <c r="DN59" s="271"/>
      <c r="DO59" s="271"/>
      <c r="DP59" s="271"/>
      <c r="DQ59" s="271"/>
    </row>
    <row r="60" spans="1:121" s="272" customFormat="1" ht="90" customHeight="1">
      <c r="A60" s="25">
        <v>8</v>
      </c>
      <c r="B60" s="46" t="s">
        <v>1627</v>
      </c>
      <c r="C60" s="38" t="s">
        <v>83</v>
      </c>
      <c r="D60" s="38" t="s">
        <v>1619</v>
      </c>
      <c r="E60" s="38">
        <v>70</v>
      </c>
      <c r="F60" s="38">
        <v>70</v>
      </c>
      <c r="G60" s="74" t="s">
        <v>1628</v>
      </c>
      <c r="H60" s="16" t="s">
        <v>1629</v>
      </c>
      <c r="I60" s="249" t="s">
        <v>1274</v>
      </c>
      <c r="J60" s="250">
        <v>28073.166000000001</v>
      </c>
      <c r="K60" s="36">
        <f t="shared" si="2"/>
        <v>33126.335879999999</v>
      </c>
      <c r="L60" s="38" t="s">
        <v>280</v>
      </c>
      <c r="M60" s="19" t="s">
        <v>1630</v>
      </c>
      <c r="N60" s="16" t="s">
        <v>1629</v>
      </c>
      <c r="O60" s="16" t="s">
        <v>1631</v>
      </c>
      <c r="P60" s="251" t="s">
        <v>140</v>
      </c>
      <c r="Q60" s="38" t="s">
        <v>141</v>
      </c>
      <c r="R60" s="46" t="s">
        <v>1632</v>
      </c>
      <c r="S60" s="38">
        <v>45</v>
      </c>
      <c r="T60" s="38" t="s">
        <v>512</v>
      </c>
      <c r="U60" s="51">
        <f t="shared" si="3"/>
        <v>41671</v>
      </c>
      <c r="V60" s="51">
        <v>41671</v>
      </c>
      <c r="W60" s="52">
        <v>42004</v>
      </c>
      <c r="X60" s="252" t="s">
        <v>1633</v>
      </c>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c r="CD60" s="271"/>
      <c r="CE60" s="271"/>
      <c r="CF60" s="271"/>
      <c r="CG60" s="271"/>
      <c r="CH60" s="271"/>
      <c r="CI60" s="271"/>
      <c r="CJ60" s="271"/>
      <c r="CK60" s="271"/>
      <c r="CL60" s="271"/>
      <c r="CM60" s="271"/>
      <c r="CN60" s="271"/>
      <c r="CO60" s="271"/>
      <c r="CP60" s="271"/>
      <c r="CQ60" s="271"/>
      <c r="CR60" s="271"/>
      <c r="CS60" s="271"/>
      <c r="CT60" s="271"/>
      <c r="CU60" s="271"/>
      <c r="CV60" s="271"/>
      <c r="CW60" s="271"/>
      <c r="CX60" s="271"/>
      <c r="CY60" s="271"/>
      <c r="CZ60" s="271"/>
      <c r="DA60" s="271"/>
      <c r="DB60" s="271"/>
      <c r="DC60" s="271"/>
      <c r="DD60" s="271"/>
      <c r="DE60" s="271"/>
      <c r="DF60" s="271"/>
      <c r="DG60" s="271"/>
      <c r="DH60" s="271"/>
      <c r="DI60" s="271"/>
      <c r="DJ60" s="271"/>
      <c r="DK60" s="271"/>
      <c r="DL60" s="271"/>
      <c r="DM60" s="271"/>
      <c r="DN60" s="271"/>
      <c r="DO60" s="271"/>
      <c r="DP60" s="271"/>
      <c r="DQ60" s="271"/>
    </row>
    <row r="61" spans="1:121" s="272" customFormat="1" ht="108.75" customHeight="1">
      <c r="A61" s="25">
        <v>8</v>
      </c>
      <c r="B61" s="46" t="s">
        <v>1634</v>
      </c>
      <c r="C61" s="38" t="s">
        <v>83</v>
      </c>
      <c r="D61" s="38" t="s">
        <v>1619</v>
      </c>
      <c r="E61" s="38">
        <v>70</v>
      </c>
      <c r="F61" s="38">
        <v>70</v>
      </c>
      <c r="G61" s="74" t="s">
        <v>1635</v>
      </c>
      <c r="H61" s="16" t="s">
        <v>1636</v>
      </c>
      <c r="I61" s="249" t="s">
        <v>1274</v>
      </c>
      <c r="J61" s="250">
        <v>13829.77094</v>
      </c>
      <c r="K61" s="36">
        <f t="shared" si="2"/>
        <v>16319.1297092</v>
      </c>
      <c r="L61" s="38" t="s">
        <v>280</v>
      </c>
      <c r="M61" s="19" t="s">
        <v>1637</v>
      </c>
      <c r="N61" s="16" t="s">
        <v>1638</v>
      </c>
      <c r="O61" s="16" t="s">
        <v>1639</v>
      </c>
      <c r="P61" s="251" t="s">
        <v>140</v>
      </c>
      <c r="Q61" s="38" t="s">
        <v>141</v>
      </c>
      <c r="R61" s="46" t="s">
        <v>1640</v>
      </c>
      <c r="S61" s="38">
        <v>45</v>
      </c>
      <c r="T61" s="38" t="s">
        <v>512</v>
      </c>
      <c r="U61" s="51">
        <f t="shared" si="3"/>
        <v>41640</v>
      </c>
      <c r="V61" s="33">
        <v>41640</v>
      </c>
      <c r="W61" s="52">
        <v>42004</v>
      </c>
      <c r="X61" s="252" t="s">
        <v>1641</v>
      </c>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c r="CD61" s="271"/>
      <c r="CE61" s="271"/>
      <c r="CF61" s="271"/>
      <c r="CG61" s="271"/>
      <c r="CH61" s="271"/>
      <c r="CI61" s="271"/>
      <c r="CJ61" s="271"/>
      <c r="CK61" s="271"/>
      <c r="CL61" s="271"/>
      <c r="CM61" s="271"/>
      <c r="CN61" s="271"/>
      <c r="CO61" s="271"/>
      <c r="CP61" s="271"/>
      <c r="CQ61" s="271"/>
      <c r="CR61" s="271"/>
      <c r="CS61" s="271"/>
      <c r="CT61" s="271"/>
      <c r="CU61" s="271"/>
      <c r="CV61" s="271"/>
      <c r="CW61" s="271"/>
      <c r="CX61" s="271"/>
      <c r="CY61" s="271"/>
      <c r="CZ61" s="271"/>
      <c r="DA61" s="271"/>
      <c r="DB61" s="271"/>
      <c r="DC61" s="271"/>
      <c r="DD61" s="271"/>
      <c r="DE61" s="271"/>
      <c r="DF61" s="271"/>
      <c r="DG61" s="271"/>
      <c r="DH61" s="271"/>
      <c r="DI61" s="271"/>
      <c r="DJ61" s="271"/>
      <c r="DK61" s="271"/>
      <c r="DL61" s="271"/>
      <c r="DM61" s="271"/>
      <c r="DN61" s="271"/>
      <c r="DO61" s="271"/>
      <c r="DP61" s="271"/>
      <c r="DQ61" s="271"/>
    </row>
    <row r="62" spans="1:121" s="272" customFormat="1" ht="117" customHeight="1">
      <c r="A62" s="25">
        <v>8</v>
      </c>
      <c r="B62" s="46" t="s">
        <v>1642</v>
      </c>
      <c r="C62" s="38" t="s">
        <v>83</v>
      </c>
      <c r="D62" s="38" t="s">
        <v>1619</v>
      </c>
      <c r="E62" s="38">
        <v>70</v>
      </c>
      <c r="F62" s="38">
        <v>70</v>
      </c>
      <c r="G62" s="74" t="s">
        <v>1643</v>
      </c>
      <c r="H62" s="16" t="s">
        <v>1644</v>
      </c>
      <c r="I62" s="249" t="s">
        <v>1274</v>
      </c>
      <c r="J62" s="250">
        <v>23827.896000000001</v>
      </c>
      <c r="K62" s="36">
        <f t="shared" si="2"/>
        <v>28116.917279999998</v>
      </c>
      <c r="L62" s="38" t="s">
        <v>280</v>
      </c>
      <c r="M62" s="19" t="s">
        <v>895</v>
      </c>
      <c r="N62" s="16" t="s">
        <v>1645</v>
      </c>
      <c r="O62" s="16" t="s">
        <v>1639</v>
      </c>
      <c r="P62" s="251" t="s">
        <v>140</v>
      </c>
      <c r="Q62" s="38" t="s">
        <v>141</v>
      </c>
      <c r="R62" s="46" t="s">
        <v>1646</v>
      </c>
      <c r="S62" s="38">
        <v>45</v>
      </c>
      <c r="T62" s="38" t="s">
        <v>512</v>
      </c>
      <c r="U62" s="51">
        <f t="shared" si="3"/>
        <v>41640</v>
      </c>
      <c r="V62" s="33">
        <v>41640</v>
      </c>
      <c r="W62" s="52">
        <v>42004</v>
      </c>
      <c r="X62" s="252" t="s">
        <v>1647</v>
      </c>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c r="CB62" s="271"/>
      <c r="CC62" s="271"/>
      <c r="CD62" s="271"/>
      <c r="CE62" s="271"/>
      <c r="CF62" s="271"/>
      <c r="CG62" s="271"/>
      <c r="CH62" s="271"/>
      <c r="CI62" s="271"/>
      <c r="CJ62" s="271"/>
      <c r="CK62" s="271"/>
      <c r="CL62" s="271"/>
      <c r="CM62" s="271"/>
      <c r="CN62" s="271"/>
      <c r="CO62" s="271"/>
      <c r="CP62" s="271"/>
      <c r="CQ62" s="271"/>
      <c r="CR62" s="271"/>
      <c r="CS62" s="271"/>
      <c r="CT62" s="271"/>
      <c r="CU62" s="271"/>
      <c r="CV62" s="271"/>
      <c r="CW62" s="271"/>
      <c r="CX62" s="271"/>
      <c r="CY62" s="271"/>
      <c r="CZ62" s="271"/>
      <c r="DA62" s="271"/>
      <c r="DB62" s="271"/>
      <c r="DC62" s="271"/>
      <c r="DD62" s="271"/>
      <c r="DE62" s="271"/>
      <c r="DF62" s="271"/>
      <c r="DG62" s="271"/>
      <c r="DH62" s="271"/>
      <c r="DI62" s="271"/>
      <c r="DJ62" s="271"/>
      <c r="DK62" s="271"/>
      <c r="DL62" s="271"/>
      <c r="DM62" s="271"/>
      <c r="DN62" s="271"/>
      <c r="DO62" s="271"/>
      <c r="DP62" s="271"/>
      <c r="DQ62" s="271"/>
    </row>
    <row r="63" spans="1:121" s="272" customFormat="1" ht="123.75" customHeight="1">
      <c r="A63" s="25">
        <v>8</v>
      </c>
      <c r="B63" s="46" t="s">
        <v>1648</v>
      </c>
      <c r="C63" s="38" t="s">
        <v>83</v>
      </c>
      <c r="D63" s="38" t="s">
        <v>1619</v>
      </c>
      <c r="E63" s="38">
        <v>70</v>
      </c>
      <c r="F63" s="38">
        <v>70</v>
      </c>
      <c r="G63" s="74" t="s">
        <v>1649</v>
      </c>
      <c r="H63" s="16" t="s">
        <v>1650</v>
      </c>
      <c r="I63" s="249" t="s">
        <v>1274</v>
      </c>
      <c r="J63" s="250">
        <v>52567.199999999997</v>
      </c>
      <c r="K63" s="36">
        <f t="shared" si="2"/>
        <v>62029.295999999995</v>
      </c>
      <c r="L63" s="38" t="s">
        <v>280</v>
      </c>
      <c r="M63" s="19" t="s">
        <v>1651</v>
      </c>
      <c r="N63" s="16" t="s">
        <v>1650</v>
      </c>
      <c r="O63" s="16" t="s">
        <v>1639</v>
      </c>
      <c r="P63" s="251" t="s">
        <v>140</v>
      </c>
      <c r="Q63" s="38" t="s">
        <v>141</v>
      </c>
      <c r="R63" s="46" t="s">
        <v>1652</v>
      </c>
      <c r="S63" s="38">
        <v>45</v>
      </c>
      <c r="T63" s="38" t="s">
        <v>512</v>
      </c>
      <c r="U63" s="51">
        <f t="shared" si="3"/>
        <v>41640</v>
      </c>
      <c r="V63" s="33">
        <v>41640</v>
      </c>
      <c r="W63" s="52">
        <v>42004</v>
      </c>
      <c r="X63" s="252" t="s">
        <v>1653</v>
      </c>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c r="CB63" s="271"/>
      <c r="CC63" s="271"/>
      <c r="CD63" s="271"/>
      <c r="CE63" s="271"/>
      <c r="CF63" s="271"/>
      <c r="CG63" s="271"/>
      <c r="CH63" s="271"/>
      <c r="CI63" s="271"/>
      <c r="CJ63" s="271"/>
      <c r="CK63" s="271"/>
      <c r="CL63" s="271"/>
      <c r="CM63" s="271"/>
      <c r="CN63" s="271"/>
      <c r="CO63" s="271"/>
      <c r="CP63" s="271"/>
      <c r="CQ63" s="271"/>
      <c r="CR63" s="271"/>
      <c r="CS63" s="271"/>
      <c r="CT63" s="271"/>
      <c r="CU63" s="271"/>
      <c r="CV63" s="271"/>
      <c r="CW63" s="271"/>
      <c r="CX63" s="271"/>
      <c r="CY63" s="271"/>
      <c r="CZ63" s="271"/>
      <c r="DA63" s="271"/>
      <c r="DB63" s="271"/>
      <c r="DC63" s="271"/>
      <c r="DD63" s="271"/>
      <c r="DE63" s="271"/>
      <c r="DF63" s="271"/>
      <c r="DG63" s="271"/>
      <c r="DH63" s="271"/>
      <c r="DI63" s="271"/>
      <c r="DJ63" s="271"/>
      <c r="DK63" s="271"/>
      <c r="DL63" s="271"/>
      <c r="DM63" s="271"/>
      <c r="DN63" s="271"/>
      <c r="DO63" s="271"/>
      <c r="DP63" s="271"/>
      <c r="DQ63" s="271"/>
    </row>
    <row r="64" spans="1:121" s="272" customFormat="1" ht="116.25" customHeight="1">
      <c r="A64" s="25">
        <v>8</v>
      </c>
      <c r="B64" s="46" t="s">
        <v>1654</v>
      </c>
      <c r="C64" s="38" t="s">
        <v>83</v>
      </c>
      <c r="D64" s="38" t="s">
        <v>1619</v>
      </c>
      <c r="E64" s="38">
        <v>70</v>
      </c>
      <c r="F64" s="38">
        <v>70</v>
      </c>
      <c r="G64" s="74" t="s">
        <v>1655</v>
      </c>
      <c r="H64" s="16" t="s">
        <v>1656</v>
      </c>
      <c r="I64" s="249" t="s">
        <v>1274</v>
      </c>
      <c r="J64" s="250">
        <v>18716.28</v>
      </c>
      <c r="K64" s="36">
        <f t="shared" si="2"/>
        <v>22085.210399999996</v>
      </c>
      <c r="L64" s="38" t="s">
        <v>280</v>
      </c>
      <c r="M64" s="19" t="s">
        <v>1657</v>
      </c>
      <c r="N64" s="16" t="s">
        <v>1656</v>
      </c>
      <c r="O64" s="16" t="s">
        <v>1658</v>
      </c>
      <c r="P64" s="251" t="s">
        <v>140</v>
      </c>
      <c r="Q64" s="38" t="s">
        <v>141</v>
      </c>
      <c r="R64" s="46" t="s">
        <v>1659</v>
      </c>
      <c r="S64" s="38">
        <v>45</v>
      </c>
      <c r="T64" s="38" t="s">
        <v>512</v>
      </c>
      <c r="U64" s="51">
        <f t="shared" si="3"/>
        <v>41730</v>
      </c>
      <c r="V64" s="51">
        <v>41730</v>
      </c>
      <c r="W64" s="51">
        <v>42063</v>
      </c>
      <c r="X64" s="252" t="s">
        <v>1660</v>
      </c>
      <c r="Y64" s="271"/>
      <c r="Z64" s="271"/>
      <c r="AA64" s="271"/>
      <c r="AB64" s="271"/>
      <c r="AC64" s="271"/>
      <c r="AD64" s="271"/>
      <c r="AE64" s="271"/>
      <c r="AF64" s="271"/>
      <c r="AG64" s="271"/>
      <c r="AH64" s="271"/>
      <c r="AI64" s="271"/>
      <c r="AJ64" s="271"/>
      <c r="AK64" s="271"/>
      <c r="AL64" s="271"/>
      <c r="AM64" s="271"/>
      <c r="AN64" s="271"/>
      <c r="AO64" s="271"/>
      <c r="AP64" s="271"/>
      <c r="AQ64" s="271"/>
      <c r="AR64" s="271"/>
      <c r="AS64" s="271"/>
      <c r="AT64" s="271"/>
      <c r="AU64" s="271"/>
      <c r="AV64" s="271"/>
      <c r="AW64" s="271"/>
      <c r="AX64" s="271"/>
      <c r="AY64" s="271"/>
      <c r="AZ64" s="271"/>
      <c r="BA64" s="271"/>
      <c r="BB64" s="271"/>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A64" s="271"/>
      <c r="CB64" s="271"/>
      <c r="CC64" s="271"/>
      <c r="CD64" s="271"/>
      <c r="CE64" s="271"/>
      <c r="CF64" s="271"/>
      <c r="CG64" s="271"/>
      <c r="CH64" s="271"/>
      <c r="CI64" s="271"/>
      <c r="CJ64" s="271"/>
      <c r="CK64" s="271"/>
      <c r="CL64" s="271"/>
      <c r="CM64" s="271"/>
      <c r="CN64" s="271"/>
      <c r="CO64" s="271"/>
      <c r="CP64" s="271"/>
      <c r="CQ64" s="271"/>
      <c r="CR64" s="271"/>
      <c r="CS64" s="271"/>
      <c r="CT64" s="271"/>
      <c r="CU64" s="271"/>
      <c r="CV64" s="271"/>
      <c r="CW64" s="271"/>
      <c r="CX64" s="271"/>
      <c r="CY64" s="271"/>
      <c r="CZ64" s="271"/>
      <c r="DA64" s="271"/>
      <c r="DB64" s="271"/>
      <c r="DC64" s="271"/>
      <c r="DD64" s="271"/>
      <c r="DE64" s="271"/>
      <c r="DF64" s="271"/>
      <c r="DG64" s="271"/>
      <c r="DH64" s="271"/>
      <c r="DI64" s="271"/>
      <c r="DJ64" s="271"/>
      <c r="DK64" s="271"/>
      <c r="DL64" s="271"/>
      <c r="DM64" s="271"/>
      <c r="DN64" s="271"/>
      <c r="DO64" s="271"/>
      <c r="DP64" s="271"/>
      <c r="DQ64" s="271"/>
    </row>
    <row r="65" spans="1:121" s="272" customFormat="1" ht="123" customHeight="1">
      <c r="A65" s="25">
        <v>8</v>
      </c>
      <c r="B65" s="46" t="s">
        <v>1661</v>
      </c>
      <c r="C65" s="38" t="s">
        <v>83</v>
      </c>
      <c r="D65" s="38" t="s">
        <v>1619</v>
      </c>
      <c r="E65" s="38">
        <v>70</v>
      </c>
      <c r="F65" s="38">
        <v>70</v>
      </c>
      <c r="G65" s="74" t="s">
        <v>1662</v>
      </c>
      <c r="H65" s="16" t="s">
        <v>1663</v>
      </c>
      <c r="I65" s="249" t="s">
        <v>1274</v>
      </c>
      <c r="J65" s="250">
        <v>29440.331999999999</v>
      </c>
      <c r="K65" s="250">
        <v>29440.331999999999</v>
      </c>
      <c r="L65" s="38" t="s">
        <v>280</v>
      </c>
      <c r="M65" s="19" t="s">
        <v>1664</v>
      </c>
      <c r="N65" s="16" t="s">
        <v>1665</v>
      </c>
      <c r="O65" s="16" t="s">
        <v>1658</v>
      </c>
      <c r="P65" s="251" t="s">
        <v>140</v>
      </c>
      <c r="Q65" s="38" t="s">
        <v>141</v>
      </c>
      <c r="R65" s="46" t="s">
        <v>1666</v>
      </c>
      <c r="S65" s="38">
        <v>45</v>
      </c>
      <c r="T65" s="38" t="s">
        <v>512</v>
      </c>
      <c r="U65" s="51">
        <f t="shared" si="3"/>
        <v>41640</v>
      </c>
      <c r="V65" s="33">
        <v>41640</v>
      </c>
      <c r="W65" s="52">
        <v>42004</v>
      </c>
      <c r="X65" s="252" t="s">
        <v>1667</v>
      </c>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c r="CB65" s="271"/>
      <c r="CC65" s="271"/>
      <c r="CD65" s="271"/>
      <c r="CE65" s="271"/>
      <c r="CF65" s="271"/>
      <c r="CG65" s="271"/>
      <c r="CH65" s="271"/>
      <c r="CI65" s="271"/>
      <c r="CJ65" s="271"/>
      <c r="CK65" s="271"/>
      <c r="CL65" s="271"/>
      <c r="CM65" s="271"/>
      <c r="CN65" s="271"/>
      <c r="CO65" s="271"/>
      <c r="CP65" s="271"/>
      <c r="CQ65" s="271"/>
      <c r="CR65" s="271"/>
      <c r="CS65" s="271"/>
      <c r="CT65" s="271"/>
      <c r="CU65" s="271"/>
      <c r="CV65" s="271"/>
      <c r="CW65" s="271"/>
      <c r="CX65" s="271"/>
      <c r="CY65" s="271"/>
      <c r="CZ65" s="271"/>
      <c r="DA65" s="271"/>
      <c r="DB65" s="271"/>
      <c r="DC65" s="271"/>
      <c r="DD65" s="271"/>
      <c r="DE65" s="271"/>
      <c r="DF65" s="271"/>
      <c r="DG65" s="271"/>
      <c r="DH65" s="271"/>
      <c r="DI65" s="271"/>
      <c r="DJ65" s="271"/>
      <c r="DK65" s="271"/>
      <c r="DL65" s="271"/>
      <c r="DM65" s="271"/>
      <c r="DN65" s="271"/>
      <c r="DO65" s="271"/>
      <c r="DP65" s="271"/>
      <c r="DQ65" s="271"/>
    </row>
    <row r="66" spans="1:121" s="272" customFormat="1" ht="110.25" customHeight="1">
      <c r="A66" s="25">
        <v>8</v>
      </c>
      <c r="B66" s="46" t="s">
        <v>1668</v>
      </c>
      <c r="C66" s="38" t="s">
        <v>83</v>
      </c>
      <c r="D66" s="38" t="s">
        <v>1619</v>
      </c>
      <c r="E66" s="38">
        <v>70</v>
      </c>
      <c r="F66" s="38">
        <v>70</v>
      </c>
      <c r="G66" s="74" t="s">
        <v>1669</v>
      </c>
      <c r="H66" s="16" t="s">
        <v>1670</v>
      </c>
      <c r="I66" s="249" t="s">
        <v>1274</v>
      </c>
      <c r="J66" s="250">
        <v>22932.09432</v>
      </c>
      <c r="K66" s="250">
        <f t="shared" ref="K66:K77" si="4">J66*1.18</f>
        <v>27059.871297599999</v>
      </c>
      <c r="L66" s="38" t="s">
        <v>280</v>
      </c>
      <c r="M66" s="19" t="s">
        <v>1671</v>
      </c>
      <c r="N66" s="16" t="s">
        <v>1672</v>
      </c>
      <c r="O66" s="16" t="s">
        <v>1639</v>
      </c>
      <c r="P66" s="251" t="s">
        <v>140</v>
      </c>
      <c r="Q66" s="38" t="s">
        <v>141</v>
      </c>
      <c r="R66" s="46" t="s">
        <v>1673</v>
      </c>
      <c r="S66" s="38">
        <v>45</v>
      </c>
      <c r="T66" s="38" t="s">
        <v>512</v>
      </c>
      <c r="U66" s="51">
        <f t="shared" si="3"/>
        <v>41640</v>
      </c>
      <c r="V66" s="33">
        <v>41640</v>
      </c>
      <c r="W66" s="52">
        <v>42004</v>
      </c>
      <c r="X66" s="252" t="s">
        <v>1674</v>
      </c>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c r="CB66" s="271"/>
      <c r="CC66" s="271"/>
      <c r="CD66" s="271"/>
      <c r="CE66" s="271"/>
      <c r="CF66" s="271"/>
      <c r="CG66" s="271"/>
      <c r="CH66" s="271"/>
      <c r="CI66" s="271"/>
      <c r="CJ66" s="271"/>
      <c r="CK66" s="271"/>
      <c r="CL66" s="271"/>
      <c r="CM66" s="271"/>
      <c r="CN66" s="271"/>
      <c r="CO66" s="271"/>
      <c r="CP66" s="271"/>
      <c r="CQ66" s="271"/>
      <c r="CR66" s="271"/>
      <c r="CS66" s="271"/>
      <c r="CT66" s="271"/>
      <c r="CU66" s="271"/>
      <c r="CV66" s="271"/>
      <c r="CW66" s="271"/>
      <c r="CX66" s="271"/>
      <c r="CY66" s="271"/>
      <c r="CZ66" s="271"/>
      <c r="DA66" s="271"/>
      <c r="DB66" s="271"/>
      <c r="DC66" s="271"/>
      <c r="DD66" s="271"/>
      <c r="DE66" s="271"/>
      <c r="DF66" s="271"/>
      <c r="DG66" s="271"/>
      <c r="DH66" s="271"/>
      <c r="DI66" s="271"/>
      <c r="DJ66" s="271"/>
      <c r="DK66" s="271"/>
      <c r="DL66" s="271"/>
      <c r="DM66" s="271"/>
      <c r="DN66" s="271"/>
      <c r="DO66" s="271"/>
      <c r="DP66" s="271"/>
      <c r="DQ66" s="271"/>
    </row>
    <row r="67" spans="1:121" s="272" customFormat="1" ht="75">
      <c r="A67" s="25">
        <v>8</v>
      </c>
      <c r="B67" s="46" t="s">
        <v>1675</v>
      </c>
      <c r="C67" s="38" t="s">
        <v>83</v>
      </c>
      <c r="D67" s="38" t="s">
        <v>1619</v>
      </c>
      <c r="E67" s="38">
        <v>70</v>
      </c>
      <c r="F67" s="38">
        <v>70</v>
      </c>
      <c r="G67" s="74" t="s">
        <v>1676</v>
      </c>
      <c r="H67" s="16" t="s">
        <v>1677</v>
      </c>
      <c r="I67" s="249" t="s">
        <v>1274</v>
      </c>
      <c r="J67" s="250">
        <v>16545.650000000001</v>
      </c>
      <c r="K67" s="250">
        <f t="shared" si="4"/>
        <v>19523.867000000002</v>
      </c>
      <c r="L67" s="38" t="s">
        <v>280</v>
      </c>
      <c r="M67" s="19" t="s">
        <v>1678</v>
      </c>
      <c r="N67" s="16" t="s">
        <v>1677</v>
      </c>
      <c r="O67" s="16" t="s">
        <v>1679</v>
      </c>
      <c r="P67" s="251" t="s">
        <v>140</v>
      </c>
      <c r="Q67" s="38" t="s">
        <v>141</v>
      </c>
      <c r="R67" s="46" t="s">
        <v>1680</v>
      </c>
      <c r="S67" s="38">
        <v>45</v>
      </c>
      <c r="T67" s="38" t="s">
        <v>512</v>
      </c>
      <c r="U67" s="51">
        <f t="shared" si="3"/>
        <v>41852</v>
      </c>
      <c r="V67" s="51">
        <v>41852</v>
      </c>
      <c r="W67" s="51">
        <v>42185</v>
      </c>
      <c r="X67" s="252" t="s">
        <v>1681</v>
      </c>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c r="CB67" s="271"/>
      <c r="CC67" s="271"/>
      <c r="CD67" s="271"/>
      <c r="CE67" s="271"/>
      <c r="CF67" s="271"/>
      <c r="CG67" s="271"/>
      <c r="CH67" s="271"/>
      <c r="CI67" s="271"/>
      <c r="CJ67" s="271"/>
      <c r="CK67" s="271"/>
      <c r="CL67" s="271"/>
      <c r="CM67" s="271"/>
      <c r="CN67" s="271"/>
      <c r="CO67" s="271"/>
      <c r="CP67" s="271"/>
      <c r="CQ67" s="271"/>
      <c r="CR67" s="271"/>
      <c r="CS67" s="271"/>
      <c r="CT67" s="271"/>
      <c r="CU67" s="271"/>
      <c r="CV67" s="271"/>
      <c r="CW67" s="271"/>
      <c r="CX67" s="271"/>
      <c r="CY67" s="271"/>
      <c r="CZ67" s="271"/>
      <c r="DA67" s="271"/>
      <c r="DB67" s="271"/>
      <c r="DC67" s="271"/>
      <c r="DD67" s="271"/>
      <c r="DE67" s="271"/>
      <c r="DF67" s="271"/>
      <c r="DG67" s="271"/>
      <c r="DH67" s="271"/>
      <c r="DI67" s="271"/>
      <c r="DJ67" s="271"/>
      <c r="DK67" s="271"/>
      <c r="DL67" s="271"/>
      <c r="DM67" s="271"/>
      <c r="DN67" s="271"/>
      <c r="DO67" s="271"/>
      <c r="DP67" s="271"/>
      <c r="DQ67" s="271"/>
    </row>
    <row r="68" spans="1:121" s="272" customFormat="1" ht="93.75">
      <c r="A68" s="25">
        <v>8</v>
      </c>
      <c r="B68" s="46" t="s">
        <v>1682</v>
      </c>
      <c r="C68" s="38" t="s">
        <v>83</v>
      </c>
      <c r="D68" s="38" t="s">
        <v>1619</v>
      </c>
      <c r="E68" s="38">
        <v>70</v>
      </c>
      <c r="F68" s="38">
        <v>70</v>
      </c>
      <c r="G68" s="74" t="s">
        <v>1683</v>
      </c>
      <c r="H68" s="16" t="s">
        <v>1684</v>
      </c>
      <c r="I68" s="249" t="s">
        <v>1274</v>
      </c>
      <c r="J68" s="250">
        <v>17739.259999999998</v>
      </c>
      <c r="K68" s="250">
        <f t="shared" si="4"/>
        <v>20932.326799999995</v>
      </c>
      <c r="L68" s="38" t="s">
        <v>280</v>
      </c>
      <c r="M68" s="19" t="s">
        <v>1685</v>
      </c>
      <c r="N68" s="16" t="s">
        <v>1684</v>
      </c>
      <c r="O68" s="16" t="s">
        <v>1679</v>
      </c>
      <c r="P68" s="251" t="s">
        <v>140</v>
      </c>
      <c r="Q68" s="38" t="s">
        <v>141</v>
      </c>
      <c r="R68" s="46" t="s">
        <v>1686</v>
      </c>
      <c r="S68" s="38">
        <v>45</v>
      </c>
      <c r="T68" s="38" t="s">
        <v>512</v>
      </c>
      <c r="U68" s="51">
        <f t="shared" si="3"/>
        <v>41944</v>
      </c>
      <c r="V68" s="51">
        <v>41944</v>
      </c>
      <c r="W68" s="51">
        <v>42277</v>
      </c>
      <c r="X68" s="252" t="s">
        <v>1687</v>
      </c>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c r="CB68" s="271"/>
      <c r="CC68" s="271"/>
      <c r="CD68" s="271"/>
      <c r="CE68" s="271"/>
      <c r="CF68" s="271"/>
      <c r="CG68" s="271"/>
      <c r="CH68" s="271"/>
      <c r="CI68" s="271"/>
      <c r="CJ68" s="271"/>
      <c r="CK68" s="271"/>
      <c r="CL68" s="271"/>
      <c r="CM68" s="271"/>
      <c r="CN68" s="271"/>
      <c r="CO68" s="271"/>
      <c r="CP68" s="271"/>
      <c r="CQ68" s="271"/>
      <c r="CR68" s="271"/>
      <c r="CS68" s="271"/>
      <c r="CT68" s="271"/>
      <c r="CU68" s="271"/>
      <c r="CV68" s="271"/>
      <c r="CW68" s="271"/>
      <c r="CX68" s="271"/>
      <c r="CY68" s="271"/>
      <c r="CZ68" s="271"/>
      <c r="DA68" s="271"/>
      <c r="DB68" s="271"/>
      <c r="DC68" s="271"/>
      <c r="DD68" s="271"/>
      <c r="DE68" s="271"/>
      <c r="DF68" s="271"/>
      <c r="DG68" s="271"/>
      <c r="DH68" s="271"/>
      <c r="DI68" s="271"/>
      <c r="DJ68" s="271"/>
      <c r="DK68" s="271"/>
      <c r="DL68" s="271"/>
      <c r="DM68" s="271"/>
      <c r="DN68" s="271"/>
      <c r="DO68" s="271"/>
      <c r="DP68" s="271"/>
      <c r="DQ68" s="271"/>
    </row>
    <row r="69" spans="1:121" s="272" customFormat="1" ht="111.75" customHeight="1">
      <c r="A69" s="25">
        <v>8</v>
      </c>
      <c r="B69" s="46" t="s">
        <v>1688</v>
      </c>
      <c r="C69" s="38" t="s">
        <v>83</v>
      </c>
      <c r="D69" s="38" t="s">
        <v>1619</v>
      </c>
      <c r="E69" s="38">
        <v>70</v>
      </c>
      <c r="F69" s="38">
        <v>70</v>
      </c>
      <c r="G69" s="74" t="s">
        <v>1689</v>
      </c>
      <c r="H69" s="16" t="s">
        <v>1690</v>
      </c>
      <c r="I69" s="249" t="s">
        <v>1274</v>
      </c>
      <c r="J69" s="250">
        <v>61978.29</v>
      </c>
      <c r="K69" s="250">
        <f t="shared" si="4"/>
        <v>73134.382199999993</v>
      </c>
      <c r="L69" s="38" t="s">
        <v>280</v>
      </c>
      <c r="M69" s="19" t="s">
        <v>1622</v>
      </c>
      <c r="N69" s="16" t="s">
        <v>1691</v>
      </c>
      <c r="O69" s="16" t="s">
        <v>1639</v>
      </c>
      <c r="P69" s="251" t="s">
        <v>140</v>
      </c>
      <c r="Q69" s="38" t="s">
        <v>141</v>
      </c>
      <c r="R69" s="46" t="s">
        <v>1692</v>
      </c>
      <c r="S69" s="38">
        <v>45</v>
      </c>
      <c r="T69" s="38" t="s">
        <v>512</v>
      </c>
      <c r="U69" s="51">
        <f t="shared" si="3"/>
        <v>41944</v>
      </c>
      <c r="V69" s="51">
        <v>41944</v>
      </c>
      <c r="W69" s="51">
        <v>42277</v>
      </c>
      <c r="X69" s="252" t="s">
        <v>1693</v>
      </c>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c r="CB69" s="271"/>
      <c r="CC69" s="271"/>
      <c r="CD69" s="271"/>
      <c r="CE69" s="271"/>
      <c r="CF69" s="271"/>
      <c r="CG69" s="271"/>
      <c r="CH69" s="271"/>
      <c r="CI69" s="271"/>
      <c r="CJ69" s="271"/>
      <c r="CK69" s="271"/>
      <c r="CL69" s="271"/>
      <c r="CM69" s="271"/>
      <c r="CN69" s="271"/>
      <c r="CO69" s="271"/>
      <c r="CP69" s="271"/>
      <c r="CQ69" s="271"/>
      <c r="CR69" s="271"/>
      <c r="CS69" s="271"/>
      <c r="CT69" s="271"/>
      <c r="CU69" s="271"/>
      <c r="CV69" s="271"/>
      <c r="CW69" s="271"/>
      <c r="CX69" s="271"/>
      <c r="CY69" s="271"/>
      <c r="CZ69" s="271"/>
      <c r="DA69" s="271"/>
      <c r="DB69" s="271"/>
      <c r="DC69" s="271"/>
      <c r="DD69" s="271"/>
      <c r="DE69" s="271"/>
      <c r="DF69" s="271"/>
      <c r="DG69" s="271"/>
      <c r="DH69" s="271"/>
      <c r="DI69" s="271"/>
      <c r="DJ69" s="271"/>
      <c r="DK69" s="271"/>
      <c r="DL69" s="271"/>
      <c r="DM69" s="271"/>
      <c r="DN69" s="271"/>
      <c r="DO69" s="271"/>
      <c r="DP69" s="271"/>
      <c r="DQ69" s="271"/>
    </row>
    <row r="70" spans="1:121" s="272" customFormat="1" ht="138.75" customHeight="1">
      <c r="A70" s="25">
        <v>8</v>
      </c>
      <c r="B70" s="38" t="s">
        <v>1694</v>
      </c>
      <c r="C70" s="38" t="s">
        <v>83</v>
      </c>
      <c r="D70" s="38" t="s">
        <v>1695</v>
      </c>
      <c r="E70" s="38" t="s">
        <v>1696</v>
      </c>
      <c r="F70" s="38">
        <v>2211611</v>
      </c>
      <c r="G70" s="11">
        <v>854296</v>
      </c>
      <c r="H70" s="60" t="s">
        <v>3795</v>
      </c>
      <c r="I70" s="45">
        <v>201020204</v>
      </c>
      <c r="J70" s="34">
        <v>12744.83</v>
      </c>
      <c r="K70" s="250">
        <f t="shared" si="4"/>
        <v>15038.899399999998</v>
      </c>
      <c r="L70" s="38" t="s">
        <v>280</v>
      </c>
      <c r="M70" s="16" t="s">
        <v>1697</v>
      </c>
      <c r="N70" s="16" t="s">
        <v>1698</v>
      </c>
      <c r="O70" s="16" t="s">
        <v>1699</v>
      </c>
      <c r="P70" s="38">
        <v>796</v>
      </c>
      <c r="Q70" s="38" t="s">
        <v>419</v>
      </c>
      <c r="R70" s="38">
        <v>1000</v>
      </c>
      <c r="S70" s="38">
        <v>45</v>
      </c>
      <c r="T70" s="38" t="s">
        <v>512</v>
      </c>
      <c r="U70" s="51">
        <v>41653</v>
      </c>
      <c r="V70" s="51">
        <v>41659</v>
      </c>
      <c r="W70" s="51">
        <v>41883</v>
      </c>
      <c r="X70" s="60"/>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1"/>
      <c r="BD70" s="271"/>
      <c r="BE70" s="271"/>
      <c r="BF70" s="271"/>
      <c r="BG70" s="271"/>
      <c r="BH70" s="271"/>
      <c r="BI70" s="271"/>
      <c r="BJ70" s="271"/>
      <c r="BK70" s="271"/>
      <c r="BL70" s="271"/>
      <c r="BM70" s="271"/>
      <c r="BN70" s="271"/>
      <c r="BO70" s="271"/>
      <c r="BP70" s="271"/>
      <c r="BQ70" s="271"/>
      <c r="BR70" s="271"/>
      <c r="BS70" s="271"/>
      <c r="BT70" s="271"/>
      <c r="BU70" s="271"/>
      <c r="BV70" s="271"/>
      <c r="BW70" s="271"/>
      <c r="BX70" s="271"/>
      <c r="BY70" s="271"/>
      <c r="BZ70" s="271"/>
      <c r="CA70" s="271"/>
      <c r="CB70" s="271"/>
      <c r="CC70" s="271"/>
      <c r="CD70" s="271"/>
      <c r="CE70" s="271"/>
      <c r="CF70" s="271"/>
      <c r="CG70" s="271"/>
      <c r="CH70" s="271"/>
      <c r="CI70" s="271"/>
      <c r="CJ70" s="271"/>
      <c r="CK70" s="271"/>
      <c r="CL70" s="271"/>
      <c r="CM70" s="271"/>
      <c r="CN70" s="271"/>
      <c r="CO70" s="271"/>
      <c r="CP70" s="271"/>
      <c r="CQ70" s="271"/>
      <c r="CR70" s="271"/>
      <c r="CS70" s="271"/>
      <c r="CT70" s="271"/>
      <c r="CU70" s="271"/>
      <c r="CV70" s="271"/>
      <c r="CW70" s="271"/>
      <c r="CX70" s="271"/>
      <c r="CY70" s="271"/>
      <c r="CZ70" s="271"/>
      <c r="DA70" s="271"/>
      <c r="DB70" s="271"/>
      <c r="DC70" s="271"/>
      <c r="DD70" s="271"/>
      <c r="DE70" s="271"/>
      <c r="DF70" s="271"/>
      <c r="DG70" s="271"/>
      <c r="DH70" s="271"/>
      <c r="DI70" s="271"/>
      <c r="DJ70" s="271"/>
      <c r="DK70" s="271"/>
      <c r="DL70" s="271"/>
      <c r="DM70" s="271"/>
      <c r="DN70" s="271"/>
      <c r="DO70" s="271"/>
      <c r="DP70" s="271"/>
      <c r="DQ70" s="271"/>
    </row>
    <row r="71" spans="1:121" s="272" customFormat="1" ht="108.75" customHeight="1">
      <c r="A71" s="25">
        <v>8</v>
      </c>
      <c r="B71" s="38" t="s">
        <v>1700</v>
      </c>
      <c r="C71" s="38" t="s">
        <v>83</v>
      </c>
      <c r="D71" s="38" t="s">
        <v>1695</v>
      </c>
      <c r="E71" s="38" t="s">
        <v>1696</v>
      </c>
      <c r="F71" s="38">
        <v>2211611</v>
      </c>
      <c r="G71" s="11">
        <v>854296</v>
      </c>
      <c r="H71" s="60" t="s">
        <v>3796</v>
      </c>
      <c r="I71" s="38">
        <v>201020204</v>
      </c>
      <c r="J71" s="34">
        <v>115977.95</v>
      </c>
      <c r="K71" s="250">
        <f t="shared" si="4"/>
        <v>136853.981</v>
      </c>
      <c r="L71" s="38" t="s">
        <v>280</v>
      </c>
      <c r="M71" s="16" t="s">
        <v>1697</v>
      </c>
      <c r="N71" s="16" t="s">
        <v>1698</v>
      </c>
      <c r="O71" s="16" t="s">
        <v>1699</v>
      </c>
      <c r="P71" s="38">
        <v>796</v>
      </c>
      <c r="Q71" s="38" t="s">
        <v>419</v>
      </c>
      <c r="R71" s="38">
        <v>9100</v>
      </c>
      <c r="S71" s="38">
        <v>45</v>
      </c>
      <c r="T71" s="38" t="s">
        <v>512</v>
      </c>
      <c r="U71" s="51">
        <v>41730</v>
      </c>
      <c r="V71" s="51">
        <v>41730</v>
      </c>
      <c r="W71" s="51">
        <v>42003</v>
      </c>
      <c r="X71" s="60"/>
      <c r="Y71" s="271"/>
      <c r="Z71" s="271"/>
      <c r="AA71" s="271"/>
      <c r="AB71" s="271"/>
      <c r="AC71" s="271"/>
      <c r="AD71" s="271"/>
      <c r="AE71" s="271"/>
      <c r="AF71" s="271"/>
      <c r="AG71" s="271"/>
      <c r="AH71" s="271"/>
      <c r="AI71" s="271"/>
      <c r="AJ71" s="271"/>
      <c r="AK71" s="271"/>
      <c r="AL71" s="271"/>
      <c r="AM71" s="271"/>
      <c r="AN71" s="271"/>
      <c r="AO71" s="271"/>
      <c r="AP71" s="271"/>
      <c r="AQ71" s="271"/>
      <c r="AR71" s="271"/>
      <c r="AS71" s="271"/>
      <c r="AT71" s="271"/>
      <c r="AU71" s="271"/>
      <c r="AV71" s="271"/>
      <c r="AW71" s="271"/>
      <c r="AX71" s="271"/>
      <c r="AY71" s="271"/>
      <c r="AZ71" s="271"/>
      <c r="BA71" s="271"/>
      <c r="BB71" s="271"/>
      <c r="BC71" s="271"/>
      <c r="BD71" s="271"/>
      <c r="BE71" s="271"/>
      <c r="BF71" s="271"/>
      <c r="BG71" s="271"/>
      <c r="BH71" s="271"/>
      <c r="BI71" s="271"/>
      <c r="BJ71" s="271"/>
      <c r="BK71" s="271"/>
      <c r="BL71" s="271"/>
      <c r="BM71" s="271"/>
      <c r="BN71" s="271"/>
      <c r="BO71" s="271"/>
      <c r="BP71" s="271"/>
      <c r="BQ71" s="271"/>
      <c r="BR71" s="271"/>
      <c r="BS71" s="271"/>
      <c r="BT71" s="271"/>
      <c r="BU71" s="271"/>
      <c r="BV71" s="271"/>
      <c r="BW71" s="271"/>
      <c r="BX71" s="271"/>
      <c r="BY71" s="271"/>
      <c r="BZ71" s="271"/>
      <c r="CA71" s="271"/>
      <c r="CB71" s="271"/>
      <c r="CC71" s="271"/>
      <c r="CD71" s="271"/>
      <c r="CE71" s="271"/>
      <c r="CF71" s="271"/>
      <c r="CG71" s="271"/>
      <c r="CH71" s="271"/>
      <c r="CI71" s="271"/>
      <c r="CJ71" s="271"/>
      <c r="CK71" s="271"/>
      <c r="CL71" s="271"/>
      <c r="CM71" s="271"/>
      <c r="CN71" s="271"/>
      <c r="CO71" s="271"/>
      <c r="CP71" s="271"/>
      <c r="CQ71" s="271"/>
      <c r="CR71" s="271"/>
      <c r="CS71" s="271"/>
      <c r="CT71" s="271"/>
      <c r="CU71" s="271"/>
      <c r="CV71" s="271"/>
      <c r="CW71" s="271"/>
      <c r="CX71" s="271"/>
      <c r="CY71" s="271"/>
      <c r="CZ71" s="271"/>
      <c r="DA71" s="271"/>
      <c r="DB71" s="271"/>
      <c r="DC71" s="271"/>
      <c r="DD71" s="271"/>
      <c r="DE71" s="271"/>
      <c r="DF71" s="271"/>
      <c r="DG71" s="271"/>
      <c r="DH71" s="271"/>
      <c r="DI71" s="271"/>
      <c r="DJ71" s="271"/>
      <c r="DK71" s="271"/>
      <c r="DL71" s="271"/>
      <c r="DM71" s="271"/>
      <c r="DN71" s="271"/>
      <c r="DO71" s="271"/>
      <c r="DP71" s="271"/>
      <c r="DQ71" s="271"/>
    </row>
    <row r="72" spans="1:121" s="267" customFormat="1" ht="112.5">
      <c r="A72" s="25">
        <v>8</v>
      </c>
      <c r="B72" s="253" t="s">
        <v>1526</v>
      </c>
      <c r="C72" s="38" t="s">
        <v>83</v>
      </c>
      <c r="D72" s="253" t="s">
        <v>1522</v>
      </c>
      <c r="E72" s="38" t="s">
        <v>1527</v>
      </c>
      <c r="F72" s="38">
        <v>9010000</v>
      </c>
      <c r="G72" s="254">
        <v>853573</v>
      </c>
      <c r="H72" s="18" t="s">
        <v>1528</v>
      </c>
      <c r="I72" s="73" t="s">
        <v>1530</v>
      </c>
      <c r="J72" s="40">
        <v>1008.5</v>
      </c>
      <c r="K72" s="250">
        <f t="shared" si="4"/>
        <v>1190.03</v>
      </c>
      <c r="L72" s="38" t="s">
        <v>280</v>
      </c>
      <c r="M72" s="16" t="s">
        <v>906</v>
      </c>
      <c r="N72" s="255" t="s">
        <v>1529</v>
      </c>
      <c r="O72" s="16" t="s">
        <v>1531</v>
      </c>
      <c r="P72" s="25">
        <v>113</v>
      </c>
      <c r="Q72" s="38" t="s">
        <v>902</v>
      </c>
      <c r="R72" s="25">
        <v>3000</v>
      </c>
      <c r="S72" s="68">
        <v>45</v>
      </c>
      <c r="T72" s="38" t="s">
        <v>512</v>
      </c>
      <c r="U72" s="33">
        <v>41640</v>
      </c>
      <c r="V72" s="52">
        <v>41730</v>
      </c>
      <c r="W72" s="52">
        <v>42004</v>
      </c>
      <c r="X72" s="60"/>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c r="DM72" s="266"/>
      <c r="DN72" s="266"/>
      <c r="DO72" s="266"/>
      <c r="DP72" s="266"/>
      <c r="DQ72" s="266"/>
    </row>
    <row r="73" spans="1:121" ht="93.75">
      <c r="A73" s="25">
        <v>8</v>
      </c>
      <c r="B73" s="38" t="s">
        <v>3004</v>
      </c>
      <c r="C73" s="38" t="s">
        <v>83</v>
      </c>
      <c r="D73" s="38" t="s">
        <v>3005</v>
      </c>
      <c r="E73" s="38" t="s">
        <v>349</v>
      </c>
      <c r="F73" s="38">
        <v>3222</v>
      </c>
      <c r="G73" s="63">
        <v>853599</v>
      </c>
      <c r="H73" s="60" t="s">
        <v>3006</v>
      </c>
      <c r="I73" s="38">
        <v>201020204</v>
      </c>
      <c r="J73" s="23">
        <v>573145</v>
      </c>
      <c r="K73" s="250">
        <f t="shared" si="4"/>
        <v>676311.1</v>
      </c>
      <c r="L73" s="38" t="s">
        <v>280</v>
      </c>
      <c r="M73" s="16" t="s">
        <v>1344</v>
      </c>
      <c r="N73" s="16" t="s">
        <v>3006</v>
      </c>
      <c r="O73" s="16" t="s">
        <v>1480</v>
      </c>
      <c r="P73" s="73" t="s">
        <v>987</v>
      </c>
      <c r="Q73" s="25" t="s">
        <v>82</v>
      </c>
      <c r="R73" s="25">
        <v>4876</v>
      </c>
      <c r="S73" s="25">
        <v>45</v>
      </c>
      <c r="T73" s="38" t="s">
        <v>512</v>
      </c>
      <c r="U73" s="33">
        <v>41640</v>
      </c>
      <c r="V73" s="33">
        <v>41640</v>
      </c>
      <c r="W73" s="52">
        <v>42004</v>
      </c>
      <c r="X73" s="75"/>
    </row>
    <row r="74" spans="1:121" ht="93.75">
      <c r="A74" s="25">
        <v>8</v>
      </c>
      <c r="B74" s="43" t="s">
        <v>3007</v>
      </c>
      <c r="C74" s="38" t="s">
        <v>83</v>
      </c>
      <c r="D74" s="38" t="s">
        <v>3005</v>
      </c>
      <c r="E74" s="38" t="s">
        <v>3008</v>
      </c>
      <c r="F74" s="38">
        <v>3222</v>
      </c>
      <c r="G74" s="63">
        <v>853600</v>
      </c>
      <c r="H74" s="60" t="s">
        <v>3797</v>
      </c>
      <c r="I74" s="38">
        <v>201020204</v>
      </c>
      <c r="J74" s="23">
        <v>3060</v>
      </c>
      <c r="K74" s="250">
        <f t="shared" si="4"/>
        <v>3610.7999999999997</v>
      </c>
      <c r="L74" s="38" t="s">
        <v>280</v>
      </c>
      <c r="M74" s="16" t="s">
        <v>3009</v>
      </c>
      <c r="N74" s="16" t="s">
        <v>3797</v>
      </c>
      <c r="O74" s="16" t="s">
        <v>1480</v>
      </c>
      <c r="P74" s="73" t="s">
        <v>987</v>
      </c>
      <c r="Q74" s="25" t="s">
        <v>82</v>
      </c>
      <c r="R74" s="25">
        <v>50.95</v>
      </c>
      <c r="S74" s="256">
        <v>45</v>
      </c>
      <c r="T74" s="38" t="s">
        <v>512</v>
      </c>
      <c r="U74" s="33">
        <v>41640</v>
      </c>
      <c r="V74" s="33">
        <v>41640</v>
      </c>
      <c r="W74" s="52">
        <v>42004</v>
      </c>
      <c r="X74" s="75"/>
    </row>
    <row r="75" spans="1:121" ht="93.75">
      <c r="A75" s="25">
        <v>8</v>
      </c>
      <c r="B75" s="43" t="s">
        <v>3010</v>
      </c>
      <c r="C75" s="38" t="s">
        <v>83</v>
      </c>
      <c r="D75" s="38" t="s">
        <v>3005</v>
      </c>
      <c r="E75" s="38" t="s">
        <v>3008</v>
      </c>
      <c r="F75" s="38">
        <v>3222</v>
      </c>
      <c r="G75" s="63">
        <v>853601</v>
      </c>
      <c r="H75" s="60" t="s">
        <v>3011</v>
      </c>
      <c r="I75" s="38">
        <v>201020204</v>
      </c>
      <c r="J75" s="23">
        <v>1704</v>
      </c>
      <c r="K75" s="250">
        <f t="shared" si="4"/>
        <v>2010.7199999999998</v>
      </c>
      <c r="L75" s="38" t="s">
        <v>280</v>
      </c>
      <c r="M75" s="16" t="s">
        <v>3009</v>
      </c>
      <c r="N75" s="16" t="s">
        <v>3011</v>
      </c>
      <c r="O75" s="16" t="s">
        <v>1480</v>
      </c>
      <c r="P75" s="73" t="s">
        <v>987</v>
      </c>
      <c r="Q75" s="25" t="s">
        <v>82</v>
      </c>
      <c r="R75" s="25">
        <v>28.4</v>
      </c>
      <c r="S75" s="256">
        <v>45</v>
      </c>
      <c r="T75" s="38" t="s">
        <v>512</v>
      </c>
      <c r="U75" s="33">
        <v>41640</v>
      </c>
      <c r="V75" s="33">
        <v>41640</v>
      </c>
      <c r="W75" s="52">
        <v>42004</v>
      </c>
      <c r="X75" s="75"/>
    </row>
    <row r="76" spans="1:121" ht="93.75">
      <c r="A76" s="25">
        <v>8</v>
      </c>
      <c r="B76" s="38" t="s">
        <v>3012</v>
      </c>
      <c r="C76" s="38" t="s">
        <v>83</v>
      </c>
      <c r="D76" s="38" t="s">
        <v>3005</v>
      </c>
      <c r="E76" s="38" t="s">
        <v>349</v>
      </c>
      <c r="F76" s="38">
        <v>3222</v>
      </c>
      <c r="G76" s="63">
        <v>853602</v>
      </c>
      <c r="H76" s="60" t="s">
        <v>3013</v>
      </c>
      <c r="I76" s="38">
        <v>201020204</v>
      </c>
      <c r="J76" s="37">
        <v>12764</v>
      </c>
      <c r="K76" s="250">
        <f t="shared" si="4"/>
        <v>15061.519999999999</v>
      </c>
      <c r="L76" s="38" t="s">
        <v>280</v>
      </c>
      <c r="M76" s="16" t="s">
        <v>3009</v>
      </c>
      <c r="N76" s="16" t="s">
        <v>3013</v>
      </c>
      <c r="O76" s="16" t="s">
        <v>1480</v>
      </c>
      <c r="P76" s="73" t="s">
        <v>987</v>
      </c>
      <c r="Q76" s="25" t="s">
        <v>82</v>
      </c>
      <c r="R76" s="25">
        <v>88</v>
      </c>
      <c r="S76" s="256">
        <v>45</v>
      </c>
      <c r="T76" s="38" t="s">
        <v>512</v>
      </c>
      <c r="U76" s="33">
        <v>41640</v>
      </c>
      <c r="V76" s="33">
        <v>41640</v>
      </c>
      <c r="W76" s="52">
        <v>42004</v>
      </c>
      <c r="X76" s="75"/>
    </row>
    <row r="77" spans="1:121" ht="93.75">
      <c r="A77" s="25">
        <v>8</v>
      </c>
      <c r="B77" s="38" t="s">
        <v>3014</v>
      </c>
      <c r="C77" s="38" t="s">
        <v>83</v>
      </c>
      <c r="D77" s="38" t="s">
        <v>3005</v>
      </c>
      <c r="E77" s="38" t="s">
        <v>349</v>
      </c>
      <c r="F77" s="38">
        <v>3222</v>
      </c>
      <c r="G77" s="63">
        <v>853603</v>
      </c>
      <c r="H77" s="60" t="s">
        <v>3015</v>
      </c>
      <c r="I77" s="38">
        <v>201020204</v>
      </c>
      <c r="J77" s="34">
        <v>2483</v>
      </c>
      <c r="K77" s="250">
        <f t="shared" si="4"/>
        <v>2929.94</v>
      </c>
      <c r="L77" s="38" t="s">
        <v>280</v>
      </c>
      <c r="M77" s="16" t="s">
        <v>3016</v>
      </c>
      <c r="N77" s="16" t="s">
        <v>3015</v>
      </c>
      <c r="O77" s="16" t="s">
        <v>1480</v>
      </c>
      <c r="P77" s="73" t="s">
        <v>987</v>
      </c>
      <c r="Q77" s="25" t="s">
        <v>82</v>
      </c>
      <c r="R77" s="25">
        <v>77.364999999999995</v>
      </c>
      <c r="S77" s="256">
        <v>45</v>
      </c>
      <c r="T77" s="38" t="s">
        <v>512</v>
      </c>
      <c r="U77" s="33">
        <v>41640</v>
      </c>
      <c r="V77" s="33">
        <v>41640</v>
      </c>
      <c r="W77" s="52">
        <v>42004</v>
      </c>
      <c r="X77" s="75"/>
    </row>
    <row r="78" spans="1:121" ht="112.5">
      <c r="A78" s="25">
        <v>8</v>
      </c>
      <c r="B78" s="38" t="s">
        <v>1554</v>
      </c>
      <c r="C78" s="38" t="s">
        <v>83</v>
      </c>
      <c r="D78" s="38" t="s">
        <v>1549</v>
      </c>
      <c r="E78" s="38" t="s">
        <v>1555</v>
      </c>
      <c r="F78" s="38">
        <v>2219125</v>
      </c>
      <c r="G78" s="11">
        <v>854169</v>
      </c>
      <c r="H78" s="60" t="s">
        <v>1556</v>
      </c>
      <c r="I78" s="249" t="s">
        <v>1557</v>
      </c>
      <c r="J78" s="34">
        <v>34332.99</v>
      </c>
      <c r="K78" s="34">
        <v>34332.99</v>
      </c>
      <c r="L78" s="38" t="s">
        <v>280</v>
      </c>
      <c r="M78" s="16" t="s">
        <v>3017</v>
      </c>
      <c r="N78" s="16" t="s">
        <v>3018</v>
      </c>
      <c r="O78" s="16" t="s">
        <v>1480</v>
      </c>
      <c r="P78" s="38">
        <v>796</v>
      </c>
      <c r="Q78" s="38" t="s">
        <v>94</v>
      </c>
      <c r="R78" s="38">
        <v>1415</v>
      </c>
      <c r="S78" s="38">
        <v>45</v>
      </c>
      <c r="T78" s="38" t="s">
        <v>512</v>
      </c>
      <c r="U78" s="51">
        <v>41624</v>
      </c>
      <c r="V78" s="33">
        <v>41640</v>
      </c>
      <c r="W78" s="52">
        <v>42004</v>
      </c>
      <c r="X78" s="60"/>
    </row>
    <row r="79" spans="1:121" ht="56.25">
      <c r="A79" s="25">
        <v>8</v>
      </c>
      <c r="B79" s="38" t="s">
        <v>3019</v>
      </c>
      <c r="C79" s="38" t="s">
        <v>83</v>
      </c>
      <c r="D79" s="38" t="s">
        <v>3020</v>
      </c>
      <c r="E79" s="38">
        <v>40</v>
      </c>
      <c r="F79" s="38"/>
      <c r="G79" s="63">
        <v>854155</v>
      </c>
      <c r="H79" s="60" t="s">
        <v>3021</v>
      </c>
      <c r="I79" s="25">
        <v>2010101</v>
      </c>
      <c r="J79" s="34">
        <v>29306.493999999999</v>
      </c>
      <c r="K79" s="34">
        <f t="shared" ref="K79:K94" si="5">J79*1.18</f>
        <v>34581.662919999995</v>
      </c>
      <c r="L79" s="38" t="s">
        <v>280</v>
      </c>
      <c r="M79" s="16" t="s">
        <v>3022</v>
      </c>
      <c r="N79" s="16" t="s">
        <v>3023</v>
      </c>
      <c r="O79" s="16" t="s">
        <v>1480</v>
      </c>
      <c r="P79" s="25">
        <v>245</v>
      </c>
      <c r="Q79" s="25" t="s">
        <v>3024</v>
      </c>
      <c r="R79" s="23">
        <v>6900000</v>
      </c>
      <c r="S79" s="25">
        <v>45</v>
      </c>
      <c r="T79" s="38" t="s">
        <v>512</v>
      </c>
      <c r="U79" s="33">
        <v>41640</v>
      </c>
      <c r="V79" s="33">
        <v>41640</v>
      </c>
      <c r="W79" s="52">
        <v>42004</v>
      </c>
      <c r="X79" s="60"/>
    </row>
    <row r="80" spans="1:121" s="275" customFormat="1" ht="93.75">
      <c r="A80" s="25">
        <v>8</v>
      </c>
      <c r="B80" s="96" t="s">
        <v>1240</v>
      </c>
      <c r="C80" s="96" t="s">
        <v>83</v>
      </c>
      <c r="D80" s="96" t="s">
        <v>3364</v>
      </c>
      <c r="E80" s="79" t="s">
        <v>689</v>
      </c>
      <c r="F80" s="79">
        <v>9430000</v>
      </c>
      <c r="G80" s="160">
        <v>641304</v>
      </c>
      <c r="H80" s="100" t="s">
        <v>1241</v>
      </c>
      <c r="I80" s="101" t="s">
        <v>690</v>
      </c>
      <c r="J80" s="76">
        <v>4068</v>
      </c>
      <c r="K80" s="76">
        <f t="shared" si="5"/>
        <v>4800.24</v>
      </c>
      <c r="L80" s="38" t="s">
        <v>280</v>
      </c>
      <c r="M80" s="83" t="s">
        <v>3304</v>
      </c>
      <c r="N80" s="99" t="s">
        <v>1241</v>
      </c>
      <c r="O80" s="273" t="s">
        <v>171</v>
      </c>
      <c r="P80" s="101" t="s">
        <v>288</v>
      </c>
      <c r="Q80" s="77" t="s">
        <v>717</v>
      </c>
      <c r="R80" s="77">
        <v>1</v>
      </c>
      <c r="S80" s="101" t="s">
        <v>1176</v>
      </c>
      <c r="T80" s="162" t="s">
        <v>547</v>
      </c>
      <c r="U80" s="33">
        <v>41640</v>
      </c>
      <c r="V80" s="33">
        <v>41640</v>
      </c>
      <c r="W80" s="52">
        <v>42004</v>
      </c>
      <c r="X80" s="80"/>
      <c r="Y80" s="274"/>
      <c r="Z80" s="274"/>
      <c r="AA80" s="274"/>
      <c r="AB80" s="274"/>
      <c r="AC80" s="274"/>
      <c r="AD80" s="274"/>
      <c r="AE80" s="274"/>
      <c r="AF80" s="274"/>
      <c r="AG80" s="274"/>
      <c r="AH80" s="274"/>
      <c r="AI80" s="274"/>
      <c r="AJ80" s="274"/>
      <c r="AK80" s="274"/>
      <c r="AL80" s="274"/>
      <c r="AM80" s="274"/>
      <c r="AN80" s="274"/>
      <c r="AO80" s="274"/>
      <c r="AP80" s="274"/>
      <c r="AQ80" s="274"/>
      <c r="AR80" s="274"/>
      <c r="AS80" s="274"/>
      <c r="AT80" s="274"/>
      <c r="AU80" s="274"/>
      <c r="AV80" s="274"/>
      <c r="AW80" s="274"/>
      <c r="AX80" s="274"/>
      <c r="AY80" s="274"/>
      <c r="AZ80" s="274"/>
      <c r="BA80" s="274"/>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74"/>
      <c r="CD80" s="274"/>
      <c r="CE80" s="274"/>
      <c r="CF80" s="274"/>
      <c r="CG80" s="274"/>
      <c r="CH80" s="274"/>
      <c r="CI80" s="274"/>
      <c r="CJ80" s="274"/>
      <c r="CK80" s="274"/>
      <c r="CL80" s="274"/>
      <c r="CM80" s="274"/>
      <c r="CN80" s="274"/>
      <c r="CO80" s="274"/>
      <c r="CP80" s="274"/>
      <c r="CQ80" s="274"/>
      <c r="CR80" s="274"/>
      <c r="CS80" s="274"/>
      <c r="CT80" s="274"/>
      <c r="CU80" s="274"/>
      <c r="CV80" s="274"/>
      <c r="CW80" s="274"/>
      <c r="CX80" s="274"/>
      <c r="CY80" s="274"/>
      <c r="CZ80" s="274"/>
      <c r="DA80" s="274"/>
      <c r="DB80" s="274"/>
      <c r="DC80" s="274"/>
      <c r="DD80" s="274"/>
      <c r="DE80" s="274"/>
      <c r="DF80" s="274"/>
      <c r="DG80" s="274"/>
      <c r="DH80" s="274"/>
      <c r="DI80" s="274"/>
      <c r="DJ80" s="274"/>
      <c r="DK80" s="274"/>
      <c r="DL80" s="274"/>
      <c r="DM80" s="274"/>
      <c r="DN80" s="274"/>
      <c r="DO80" s="274"/>
      <c r="DP80" s="274"/>
      <c r="DQ80" s="274"/>
    </row>
    <row r="81" spans="1:122" s="275" customFormat="1" ht="112.5">
      <c r="A81" s="25">
        <v>8</v>
      </c>
      <c r="B81" s="96" t="s">
        <v>1242</v>
      </c>
      <c r="C81" s="96" t="s">
        <v>83</v>
      </c>
      <c r="D81" s="96" t="s">
        <v>3364</v>
      </c>
      <c r="E81" s="79" t="s">
        <v>689</v>
      </c>
      <c r="F81" s="79">
        <v>9430000</v>
      </c>
      <c r="G81" s="160">
        <v>641308</v>
      </c>
      <c r="H81" s="100" t="s">
        <v>1243</v>
      </c>
      <c r="I81" s="101" t="s">
        <v>690</v>
      </c>
      <c r="J81" s="76">
        <v>65200</v>
      </c>
      <c r="K81" s="76">
        <f t="shared" si="5"/>
        <v>76936</v>
      </c>
      <c r="L81" s="38" t="s">
        <v>280</v>
      </c>
      <c r="M81" s="83" t="s">
        <v>3305</v>
      </c>
      <c r="N81" s="99" t="s">
        <v>1243</v>
      </c>
      <c r="O81" s="273" t="s">
        <v>171</v>
      </c>
      <c r="P81" s="101" t="s">
        <v>288</v>
      </c>
      <c r="Q81" s="77" t="s">
        <v>717</v>
      </c>
      <c r="R81" s="77">
        <v>1</v>
      </c>
      <c r="S81" s="101" t="s">
        <v>1176</v>
      </c>
      <c r="T81" s="162" t="s">
        <v>547</v>
      </c>
      <c r="U81" s="33">
        <v>41640</v>
      </c>
      <c r="V81" s="33">
        <v>41640</v>
      </c>
      <c r="W81" s="52">
        <v>42004</v>
      </c>
      <c r="X81" s="80"/>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c r="DF81" s="274"/>
      <c r="DG81" s="274"/>
      <c r="DH81" s="274"/>
      <c r="DI81" s="274"/>
      <c r="DJ81" s="274"/>
      <c r="DK81" s="274"/>
      <c r="DL81" s="274"/>
      <c r="DM81" s="274"/>
      <c r="DN81" s="274"/>
      <c r="DO81" s="274"/>
      <c r="DP81" s="274"/>
      <c r="DQ81" s="274"/>
    </row>
    <row r="82" spans="1:122" s="275" customFormat="1" ht="56.25">
      <c r="A82" s="25">
        <v>8</v>
      </c>
      <c r="B82" s="96" t="s">
        <v>1244</v>
      </c>
      <c r="C82" s="96" t="s">
        <v>83</v>
      </c>
      <c r="D82" s="96" t="s">
        <v>3364</v>
      </c>
      <c r="E82" s="79" t="s">
        <v>689</v>
      </c>
      <c r="F82" s="79">
        <v>9430000</v>
      </c>
      <c r="G82" s="160">
        <v>641313</v>
      </c>
      <c r="H82" s="100" t="s">
        <v>1245</v>
      </c>
      <c r="I82" s="101" t="s">
        <v>690</v>
      </c>
      <c r="J82" s="76">
        <v>24200</v>
      </c>
      <c r="K82" s="76">
        <f t="shared" si="5"/>
        <v>28556</v>
      </c>
      <c r="L82" s="38" t="s">
        <v>280</v>
      </c>
      <c r="M82" s="83" t="s">
        <v>3306</v>
      </c>
      <c r="N82" s="99" t="s">
        <v>1245</v>
      </c>
      <c r="O82" s="273" t="s">
        <v>171</v>
      </c>
      <c r="P82" s="101">
        <v>796</v>
      </c>
      <c r="Q82" s="77" t="s">
        <v>419</v>
      </c>
      <c r="R82" s="77">
        <v>1</v>
      </c>
      <c r="S82" s="101" t="s">
        <v>1176</v>
      </c>
      <c r="T82" s="162" t="s">
        <v>547</v>
      </c>
      <c r="U82" s="33">
        <v>41640</v>
      </c>
      <c r="V82" s="33">
        <v>41640</v>
      </c>
      <c r="W82" s="52">
        <v>42004</v>
      </c>
      <c r="X82" s="80"/>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274"/>
      <c r="DC82" s="274"/>
      <c r="DD82" s="274"/>
      <c r="DE82" s="274"/>
      <c r="DF82" s="274"/>
      <c r="DG82" s="274"/>
      <c r="DH82" s="274"/>
      <c r="DI82" s="274"/>
      <c r="DJ82" s="274"/>
      <c r="DK82" s="274"/>
      <c r="DL82" s="274"/>
      <c r="DM82" s="274"/>
      <c r="DN82" s="274"/>
      <c r="DO82" s="274"/>
      <c r="DP82" s="274"/>
      <c r="DQ82" s="274"/>
    </row>
    <row r="83" spans="1:122" s="275" customFormat="1" ht="112.5">
      <c r="A83" s="25">
        <v>8</v>
      </c>
      <c r="B83" s="96" t="s">
        <v>1266</v>
      </c>
      <c r="C83" s="96" t="s">
        <v>83</v>
      </c>
      <c r="D83" s="96" t="s">
        <v>3364</v>
      </c>
      <c r="E83" s="79" t="s">
        <v>689</v>
      </c>
      <c r="F83" s="79">
        <v>9430000</v>
      </c>
      <c r="G83" s="160">
        <v>641318</v>
      </c>
      <c r="H83" s="100" t="s">
        <v>1267</v>
      </c>
      <c r="I83" s="101" t="s">
        <v>690</v>
      </c>
      <c r="J83" s="76">
        <v>458</v>
      </c>
      <c r="K83" s="76">
        <f t="shared" si="5"/>
        <v>540.43999999999994</v>
      </c>
      <c r="L83" s="38" t="s">
        <v>280</v>
      </c>
      <c r="M83" s="83" t="s">
        <v>3305</v>
      </c>
      <c r="N83" s="99" t="s">
        <v>1267</v>
      </c>
      <c r="O83" s="83" t="s">
        <v>171</v>
      </c>
      <c r="P83" s="101">
        <v>796</v>
      </c>
      <c r="Q83" s="77" t="s">
        <v>419</v>
      </c>
      <c r="R83" s="77">
        <v>83</v>
      </c>
      <c r="S83" s="101" t="s">
        <v>1176</v>
      </c>
      <c r="T83" s="162" t="s">
        <v>547</v>
      </c>
      <c r="U83" s="33">
        <v>41640</v>
      </c>
      <c r="V83" s="33">
        <v>41640</v>
      </c>
      <c r="W83" s="52">
        <v>42004</v>
      </c>
      <c r="X83" s="80"/>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c r="CB83" s="274"/>
      <c r="CC83" s="274"/>
      <c r="CD83" s="274"/>
      <c r="CE83" s="274"/>
      <c r="CF83" s="274"/>
      <c r="CG83" s="274"/>
      <c r="CH83" s="274"/>
      <c r="CI83" s="274"/>
      <c r="CJ83" s="274"/>
      <c r="CK83" s="274"/>
      <c r="CL83" s="274"/>
      <c r="CM83" s="274"/>
      <c r="CN83" s="274"/>
      <c r="CO83" s="274"/>
      <c r="CP83" s="274"/>
      <c r="CQ83" s="274"/>
      <c r="CR83" s="274"/>
      <c r="CS83" s="274"/>
      <c r="CT83" s="274"/>
      <c r="CU83" s="274"/>
      <c r="CV83" s="274"/>
      <c r="CW83" s="274"/>
      <c r="CX83" s="274"/>
      <c r="CY83" s="274"/>
      <c r="CZ83" s="274"/>
      <c r="DA83" s="274"/>
      <c r="DB83" s="274"/>
      <c r="DC83" s="274"/>
      <c r="DD83" s="274"/>
      <c r="DE83" s="274"/>
      <c r="DF83" s="274"/>
      <c r="DG83" s="274"/>
      <c r="DH83" s="274"/>
      <c r="DI83" s="274"/>
      <c r="DJ83" s="274"/>
      <c r="DK83" s="274"/>
      <c r="DL83" s="274"/>
      <c r="DM83" s="274"/>
      <c r="DN83" s="274"/>
      <c r="DO83" s="274"/>
      <c r="DP83" s="274"/>
      <c r="DQ83" s="274"/>
    </row>
    <row r="84" spans="1:122" s="275" customFormat="1" ht="112.5">
      <c r="A84" s="25">
        <v>8</v>
      </c>
      <c r="B84" s="96" t="s">
        <v>1272</v>
      </c>
      <c r="C84" s="96" t="s">
        <v>83</v>
      </c>
      <c r="D84" s="96" t="s">
        <v>3309</v>
      </c>
      <c r="E84" s="79" t="s">
        <v>917</v>
      </c>
      <c r="F84" s="79">
        <v>9430000</v>
      </c>
      <c r="G84" s="160">
        <v>641337</v>
      </c>
      <c r="H84" s="100" t="s">
        <v>1273</v>
      </c>
      <c r="I84" s="101" t="s">
        <v>1274</v>
      </c>
      <c r="J84" s="76">
        <v>2277.54</v>
      </c>
      <c r="K84" s="76">
        <f t="shared" si="5"/>
        <v>2687.4971999999998</v>
      </c>
      <c r="L84" s="38" t="s">
        <v>280</v>
      </c>
      <c r="M84" s="83" t="s">
        <v>3310</v>
      </c>
      <c r="N84" s="99" t="s">
        <v>1273</v>
      </c>
      <c r="O84" s="83" t="s">
        <v>171</v>
      </c>
      <c r="P84" s="101" t="s">
        <v>140</v>
      </c>
      <c r="Q84" s="77" t="s">
        <v>737</v>
      </c>
      <c r="R84" s="77">
        <v>378.6</v>
      </c>
      <c r="S84" s="101" t="s">
        <v>1176</v>
      </c>
      <c r="T84" s="162" t="s">
        <v>547</v>
      </c>
      <c r="U84" s="97">
        <v>41913</v>
      </c>
      <c r="V84" s="52">
        <v>41913</v>
      </c>
      <c r="W84" s="52">
        <v>42247</v>
      </c>
      <c r="X84" s="80"/>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4"/>
      <c r="CB84" s="274"/>
      <c r="CC84" s="274"/>
      <c r="CD84" s="274"/>
      <c r="CE84" s="274"/>
      <c r="CF84" s="274"/>
      <c r="CG84" s="274"/>
      <c r="CH84" s="274"/>
      <c r="CI84" s="274"/>
      <c r="CJ84" s="274"/>
      <c r="CK84" s="274"/>
      <c r="CL84" s="274"/>
      <c r="CM84" s="274"/>
      <c r="CN84" s="274"/>
      <c r="CO84" s="274"/>
      <c r="CP84" s="274"/>
      <c r="CQ84" s="274"/>
      <c r="CR84" s="274"/>
      <c r="CS84" s="274"/>
      <c r="CT84" s="274"/>
      <c r="CU84" s="274"/>
      <c r="CV84" s="274"/>
      <c r="CW84" s="274"/>
      <c r="CX84" s="274"/>
      <c r="CY84" s="274"/>
      <c r="CZ84" s="274"/>
      <c r="DA84" s="274"/>
      <c r="DB84" s="274"/>
      <c r="DC84" s="274"/>
      <c r="DD84" s="274"/>
      <c r="DE84" s="274"/>
      <c r="DF84" s="274"/>
      <c r="DG84" s="274"/>
      <c r="DH84" s="274"/>
      <c r="DI84" s="274"/>
      <c r="DJ84" s="274"/>
      <c r="DK84" s="274"/>
      <c r="DL84" s="274"/>
      <c r="DM84" s="274"/>
      <c r="DN84" s="274"/>
      <c r="DO84" s="274"/>
      <c r="DP84" s="274"/>
      <c r="DQ84" s="274"/>
    </row>
    <row r="85" spans="1:122" s="275" customFormat="1" ht="112.5">
      <c r="A85" s="25">
        <v>8</v>
      </c>
      <c r="B85" s="96" t="s">
        <v>1275</v>
      </c>
      <c r="C85" s="96" t="s">
        <v>83</v>
      </c>
      <c r="D85" s="96" t="s">
        <v>3309</v>
      </c>
      <c r="E85" s="79" t="s">
        <v>917</v>
      </c>
      <c r="F85" s="79">
        <v>9430000</v>
      </c>
      <c r="G85" s="160">
        <v>641339</v>
      </c>
      <c r="H85" s="100" t="s">
        <v>1276</v>
      </c>
      <c r="I85" s="101" t="s">
        <v>1274</v>
      </c>
      <c r="J85" s="76">
        <v>817.77</v>
      </c>
      <c r="K85" s="76">
        <f t="shared" si="5"/>
        <v>964.96859999999992</v>
      </c>
      <c r="L85" s="38" t="s">
        <v>280</v>
      </c>
      <c r="M85" s="83" t="s">
        <v>3311</v>
      </c>
      <c r="N85" s="99" t="s">
        <v>1276</v>
      </c>
      <c r="O85" s="83" t="s">
        <v>171</v>
      </c>
      <c r="P85" s="101" t="s">
        <v>140</v>
      </c>
      <c r="Q85" s="77" t="s">
        <v>737</v>
      </c>
      <c r="R85" s="77">
        <v>166.8</v>
      </c>
      <c r="S85" s="101" t="s">
        <v>1176</v>
      </c>
      <c r="T85" s="162" t="s">
        <v>547</v>
      </c>
      <c r="U85" s="97">
        <v>41883</v>
      </c>
      <c r="V85" s="52">
        <v>41883</v>
      </c>
      <c r="W85" s="97">
        <v>42216</v>
      </c>
      <c r="X85" s="80"/>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c r="CB85" s="274"/>
      <c r="CC85" s="274"/>
      <c r="CD85" s="274"/>
      <c r="CE85" s="274"/>
      <c r="CF85" s="274"/>
      <c r="CG85" s="274"/>
      <c r="CH85" s="274"/>
      <c r="CI85" s="274"/>
      <c r="CJ85" s="274"/>
      <c r="CK85" s="274"/>
      <c r="CL85" s="274"/>
      <c r="CM85" s="274"/>
      <c r="CN85" s="274"/>
      <c r="CO85" s="274"/>
      <c r="CP85" s="274"/>
      <c r="CQ85" s="274"/>
      <c r="CR85" s="274"/>
      <c r="CS85" s="274"/>
      <c r="CT85" s="274"/>
      <c r="CU85" s="274"/>
      <c r="CV85" s="274"/>
      <c r="CW85" s="274"/>
      <c r="CX85" s="274"/>
      <c r="CY85" s="274"/>
      <c r="CZ85" s="274"/>
      <c r="DA85" s="274"/>
      <c r="DB85" s="274"/>
      <c r="DC85" s="274"/>
      <c r="DD85" s="274"/>
      <c r="DE85" s="274"/>
      <c r="DF85" s="274"/>
      <c r="DG85" s="274"/>
      <c r="DH85" s="274"/>
      <c r="DI85" s="274"/>
      <c r="DJ85" s="274"/>
      <c r="DK85" s="274"/>
      <c r="DL85" s="274"/>
      <c r="DM85" s="274"/>
      <c r="DN85" s="274"/>
      <c r="DO85" s="274"/>
      <c r="DP85" s="274"/>
      <c r="DQ85" s="274"/>
    </row>
    <row r="86" spans="1:122" s="260" customFormat="1" ht="56.25">
      <c r="A86" s="25">
        <v>8</v>
      </c>
      <c r="B86" s="38" t="s">
        <v>885</v>
      </c>
      <c r="C86" s="38" t="s">
        <v>83</v>
      </c>
      <c r="D86" s="38" t="s">
        <v>927</v>
      </c>
      <c r="E86" s="38" t="s">
        <v>886</v>
      </c>
      <c r="F86" s="38">
        <v>4521000</v>
      </c>
      <c r="G86" s="11">
        <v>38500</v>
      </c>
      <c r="H86" s="60" t="s">
        <v>887</v>
      </c>
      <c r="I86" s="38">
        <v>201020204</v>
      </c>
      <c r="J86" s="23">
        <v>5838</v>
      </c>
      <c r="K86" s="23">
        <f t="shared" si="5"/>
        <v>6888.8399999999992</v>
      </c>
      <c r="L86" s="38" t="s">
        <v>280</v>
      </c>
      <c r="M86" s="16" t="s">
        <v>888</v>
      </c>
      <c r="N86" s="16" t="s">
        <v>889</v>
      </c>
      <c r="O86" s="16" t="s">
        <v>171</v>
      </c>
      <c r="P86" s="45" t="s">
        <v>288</v>
      </c>
      <c r="Q86" s="38" t="s">
        <v>717</v>
      </c>
      <c r="R86" s="25">
        <v>1</v>
      </c>
      <c r="S86" s="38">
        <v>45</v>
      </c>
      <c r="T86" s="38" t="s">
        <v>547</v>
      </c>
      <c r="U86" s="33">
        <v>41640</v>
      </c>
      <c r="V86" s="33">
        <v>41640</v>
      </c>
      <c r="W86" s="52">
        <v>42004</v>
      </c>
      <c r="X86" s="60"/>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c r="CG86" s="259"/>
      <c r="CH86" s="259"/>
      <c r="CI86" s="259"/>
      <c r="CJ86" s="259"/>
      <c r="CK86" s="259"/>
      <c r="CL86" s="259"/>
      <c r="CM86" s="259"/>
      <c r="CN86" s="259"/>
      <c r="CO86" s="259"/>
      <c r="CP86" s="259"/>
      <c r="CQ86" s="259"/>
      <c r="CR86" s="259"/>
      <c r="CS86" s="259"/>
      <c r="CT86" s="259"/>
      <c r="CU86" s="259"/>
      <c r="CV86" s="259"/>
      <c r="CW86" s="259"/>
      <c r="CX86" s="259"/>
      <c r="CY86" s="259"/>
      <c r="CZ86" s="259"/>
      <c r="DA86" s="259"/>
      <c r="DB86" s="259"/>
      <c r="DC86" s="259"/>
      <c r="DD86" s="259"/>
      <c r="DE86" s="259"/>
      <c r="DF86" s="259"/>
      <c r="DG86" s="259"/>
      <c r="DH86" s="259"/>
      <c r="DI86" s="259"/>
      <c r="DJ86" s="259"/>
      <c r="DK86" s="259"/>
      <c r="DL86" s="259"/>
      <c r="DM86" s="259"/>
      <c r="DN86" s="259"/>
      <c r="DO86" s="259"/>
      <c r="DP86" s="259"/>
      <c r="DQ86" s="259"/>
    </row>
    <row r="87" spans="1:122" ht="56.25">
      <c r="A87" s="25">
        <v>8</v>
      </c>
      <c r="B87" s="38" t="s">
        <v>890</v>
      </c>
      <c r="C87" s="38" t="s">
        <v>83</v>
      </c>
      <c r="D87" s="38" t="s">
        <v>927</v>
      </c>
      <c r="E87" s="38" t="s">
        <v>886</v>
      </c>
      <c r="F87" s="38">
        <v>4521000</v>
      </c>
      <c r="G87" s="11">
        <v>38501</v>
      </c>
      <c r="H87" s="60" t="s">
        <v>891</v>
      </c>
      <c r="I87" s="38">
        <v>201020204</v>
      </c>
      <c r="J87" s="23">
        <v>1639.9</v>
      </c>
      <c r="K87" s="23">
        <f t="shared" si="5"/>
        <v>1935.0820000000001</v>
      </c>
      <c r="L87" s="38" t="s">
        <v>280</v>
      </c>
      <c r="M87" s="16" t="s">
        <v>888</v>
      </c>
      <c r="N87" s="16" t="s">
        <v>892</v>
      </c>
      <c r="O87" s="16" t="s">
        <v>171</v>
      </c>
      <c r="P87" s="45" t="s">
        <v>288</v>
      </c>
      <c r="Q87" s="38" t="s">
        <v>717</v>
      </c>
      <c r="R87" s="25">
        <v>1</v>
      </c>
      <c r="S87" s="38">
        <v>45</v>
      </c>
      <c r="T87" s="38" t="s">
        <v>547</v>
      </c>
      <c r="U87" s="33">
        <v>41640</v>
      </c>
      <c r="V87" s="33">
        <v>41640</v>
      </c>
      <c r="W87" s="52">
        <v>42004</v>
      </c>
      <c r="X87" s="60"/>
    </row>
    <row r="88" spans="1:122" ht="56.25">
      <c r="A88" s="25">
        <v>8</v>
      </c>
      <c r="B88" s="38" t="s">
        <v>893</v>
      </c>
      <c r="C88" s="38" t="s">
        <v>83</v>
      </c>
      <c r="D88" s="38" t="s">
        <v>859</v>
      </c>
      <c r="E88" s="38" t="s">
        <v>623</v>
      </c>
      <c r="F88" s="38">
        <v>4030000</v>
      </c>
      <c r="G88" s="11">
        <v>38502</v>
      </c>
      <c r="H88" s="60" t="s">
        <v>894</v>
      </c>
      <c r="I88" s="38">
        <v>2010104</v>
      </c>
      <c r="J88" s="23">
        <v>4920.03</v>
      </c>
      <c r="K88" s="23">
        <f t="shared" si="5"/>
        <v>5805.6353999999992</v>
      </c>
      <c r="L88" s="38" t="s">
        <v>280</v>
      </c>
      <c r="M88" s="16" t="s">
        <v>895</v>
      </c>
      <c r="N88" s="16" t="s">
        <v>896</v>
      </c>
      <c r="O88" s="16" t="s">
        <v>171</v>
      </c>
      <c r="P88" s="38">
        <v>233</v>
      </c>
      <c r="Q88" s="38" t="s">
        <v>628</v>
      </c>
      <c r="R88" s="25">
        <v>1</v>
      </c>
      <c r="S88" s="38">
        <v>45</v>
      </c>
      <c r="T88" s="38" t="s">
        <v>547</v>
      </c>
      <c r="U88" s="33">
        <v>41640</v>
      </c>
      <c r="V88" s="33">
        <v>41640</v>
      </c>
      <c r="W88" s="52">
        <v>42004</v>
      </c>
      <c r="X88" s="60"/>
    </row>
    <row r="89" spans="1:122" ht="93.75">
      <c r="A89" s="25">
        <v>8</v>
      </c>
      <c r="B89" s="38" t="s">
        <v>897</v>
      </c>
      <c r="C89" s="38" t="s">
        <v>83</v>
      </c>
      <c r="D89" s="38" t="s">
        <v>859</v>
      </c>
      <c r="E89" s="38" t="s">
        <v>898</v>
      </c>
      <c r="F89" s="38">
        <v>4110010</v>
      </c>
      <c r="G89" s="11">
        <v>38503</v>
      </c>
      <c r="H89" s="255" t="s">
        <v>899</v>
      </c>
      <c r="I89" s="38">
        <v>2010105</v>
      </c>
      <c r="J89" s="23">
        <v>470.14</v>
      </c>
      <c r="K89" s="23">
        <f t="shared" si="5"/>
        <v>554.76519999999994</v>
      </c>
      <c r="L89" s="38" t="s">
        <v>280</v>
      </c>
      <c r="M89" s="16" t="s">
        <v>900</v>
      </c>
      <c r="N89" s="16" t="s">
        <v>901</v>
      </c>
      <c r="O89" s="16" t="s">
        <v>171</v>
      </c>
      <c r="P89" s="38">
        <v>113</v>
      </c>
      <c r="Q89" s="38" t="s">
        <v>902</v>
      </c>
      <c r="R89" s="25">
        <v>1</v>
      </c>
      <c r="S89" s="38">
        <v>45</v>
      </c>
      <c r="T89" s="38" t="s">
        <v>547</v>
      </c>
      <c r="U89" s="33">
        <v>41640</v>
      </c>
      <c r="V89" s="33">
        <v>41640</v>
      </c>
      <c r="W89" s="52">
        <v>42004</v>
      </c>
      <c r="X89" s="60"/>
    </row>
    <row r="90" spans="1:122" ht="56.25">
      <c r="A90" s="25">
        <v>8</v>
      </c>
      <c r="B90" s="38" t="s">
        <v>903</v>
      </c>
      <c r="C90" s="38" t="s">
        <v>83</v>
      </c>
      <c r="D90" s="38" t="s">
        <v>859</v>
      </c>
      <c r="E90" s="38" t="s">
        <v>904</v>
      </c>
      <c r="F90" s="38">
        <v>3513321</v>
      </c>
      <c r="G90" s="11">
        <v>38504</v>
      </c>
      <c r="H90" s="255" t="s">
        <v>905</v>
      </c>
      <c r="I90" s="38">
        <v>201020204</v>
      </c>
      <c r="J90" s="23">
        <v>453.35</v>
      </c>
      <c r="K90" s="23">
        <f t="shared" si="5"/>
        <v>534.95299999999997</v>
      </c>
      <c r="L90" s="38" t="s">
        <v>280</v>
      </c>
      <c r="M90" s="16" t="s">
        <v>906</v>
      </c>
      <c r="N90" s="16" t="s">
        <v>907</v>
      </c>
      <c r="O90" s="16" t="s">
        <v>171</v>
      </c>
      <c r="P90" s="38">
        <v>113</v>
      </c>
      <c r="Q90" s="38" t="s">
        <v>902</v>
      </c>
      <c r="R90" s="25">
        <v>1</v>
      </c>
      <c r="S90" s="38">
        <v>45</v>
      </c>
      <c r="T90" s="38" t="s">
        <v>547</v>
      </c>
      <c r="U90" s="33">
        <v>41640</v>
      </c>
      <c r="V90" s="33">
        <v>41640</v>
      </c>
      <c r="W90" s="52">
        <v>42004</v>
      </c>
      <c r="X90" s="60"/>
    </row>
    <row r="91" spans="1:122" ht="112.5">
      <c r="A91" s="25">
        <v>8</v>
      </c>
      <c r="B91" s="38" t="s">
        <v>908</v>
      </c>
      <c r="C91" s="38" t="s">
        <v>83</v>
      </c>
      <c r="D91" s="38" t="s">
        <v>859</v>
      </c>
      <c r="E91" s="38" t="s">
        <v>623</v>
      </c>
      <c r="F91" s="38">
        <v>4030000</v>
      </c>
      <c r="G91" s="11">
        <v>38505</v>
      </c>
      <c r="H91" s="60" t="s">
        <v>894</v>
      </c>
      <c r="I91" s="38">
        <v>2010104</v>
      </c>
      <c r="J91" s="23">
        <v>1957.39</v>
      </c>
      <c r="K91" s="23">
        <f t="shared" si="5"/>
        <v>2309.7202000000002</v>
      </c>
      <c r="L91" s="38" t="s">
        <v>280</v>
      </c>
      <c r="M91" s="16" t="s">
        <v>909</v>
      </c>
      <c r="N91" s="16" t="s">
        <v>896</v>
      </c>
      <c r="O91" s="16" t="s">
        <v>171</v>
      </c>
      <c r="P91" s="38">
        <v>233</v>
      </c>
      <c r="Q91" s="38" t="s">
        <v>628</v>
      </c>
      <c r="R91" s="25">
        <v>1</v>
      </c>
      <c r="S91" s="38">
        <v>45</v>
      </c>
      <c r="T91" s="38" t="s">
        <v>547</v>
      </c>
      <c r="U91" s="33">
        <v>41640</v>
      </c>
      <c r="V91" s="33">
        <v>41640</v>
      </c>
      <c r="W91" s="52">
        <v>42004</v>
      </c>
      <c r="X91" s="60"/>
    </row>
    <row r="92" spans="1:122" ht="93.75">
      <c r="A92" s="25">
        <v>8</v>
      </c>
      <c r="B92" s="38" t="s">
        <v>910</v>
      </c>
      <c r="C92" s="38" t="s">
        <v>83</v>
      </c>
      <c r="D92" s="38" t="s">
        <v>859</v>
      </c>
      <c r="E92" s="38" t="s">
        <v>911</v>
      </c>
      <c r="F92" s="38">
        <v>4010010</v>
      </c>
      <c r="G92" s="11">
        <v>38506</v>
      </c>
      <c r="H92" s="60" t="s">
        <v>912</v>
      </c>
      <c r="I92" s="38">
        <v>2010103</v>
      </c>
      <c r="J92" s="23">
        <v>15495.2</v>
      </c>
      <c r="K92" s="23">
        <f t="shared" si="5"/>
        <v>18284.335999999999</v>
      </c>
      <c r="L92" s="38" t="s">
        <v>280</v>
      </c>
      <c r="M92" s="16" t="s">
        <v>913</v>
      </c>
      <c r="N92" s="16" t="s">
        <v>914</v>
      </c>
      <c r="O92" s="16" t="s">
        <v>171</v>
      </c>
      <c r="P92" s="38">
        <v>245</v>
      </c>
      <c r="Q92" s="38" t="s">
        <v>915</v>
      </c>
      <c r="R92" s="25">
        <v>1</v>
      </c>
      <c r="S92" s="38">
        <v>45</v>
      </c>
      <c r="T92" s="38" t="s">
        <v>547</v>
      </c>
      <c r="U92" s="33">
        <v>41640</v>
      </c>
      <c r="V92" s="33">
        <v>41640</v>
      </c>
      <c r="W92" s="52">
        <v>42004</v>
      </c>
      <c r="X92" s="60"/>
    </row>
    <row r="93" spans="1:122" ht="75">
      <c r="A93" s="25">
        <v>8</v>
      </c>
      <c r="B93" s="38" t="s">
        <v>916</v>
      </c>
      <c r="C93" s="38" t="s">
        <v>83</v>
      </c>
      <c r="D93" s="38" t="s">
        <v>859</v>
      </c>
      <c r="E93" s="38" t="s">
        <v>917</v>
      </c>
      <c r="F93" s="38">
        <v>4526298</v>
      </c>
      <c r="G93" s="11">
        <v>38507</v>
      </c>
      <c r="H93" s="255" t="s">
        <v>918</v>
      </c>
      <c r="I93" s="276">
        <v>201051101</v>
      </c>
      <c r="J93" s="23">
        <v>816.32</v>
      </c>
      <c r="K93" s="23">
        <f t="shared" si="5"/>
        <v>963.25760000000002</v>
      </c>
      <c r="L93" s="38" t="s">
        <v>280</v>
      </c>
      <c r="M93" s="16" t="s">
        <v>919</v>
      </c>
      <c r="N93" s="16" t="s">
        <v>920</v>
      </c>
      <c r="O93" s="16" t="s">
        <v>171</v>
      </c>
      <c r="P93" s="45" t="s">
        <v>140</v>
      </c>
      <c r="Q93" s="38" t="s">
        <v>737</v>
      </c>
      <c r="R93" s="25">
        <v>1</v>
      </c>
      <c r="S93" s="38">
        <v>45</v>
      </c>
      <c r="T93" s="38" t="s">
        <v>547</v>
      </c>
      <c r="U93" s="33">
        <v>41640</v>
      </c>
      <c r="V93" s="33">
        <v>41640</v>
      </c>
      <c r="W93" s="52">
        <v>42004</v>
      </c>
      <c r="X93" s="60"/>
    </row>
    <row r="94" spans="1:122" ht="56.25">
      <c r="A94" s="25">
        <v>8</v>
      </c>
      <c r="B94" s="38" t="s">
        <v>921</v>
      </c>
      <c r="C94" s="38" t="s">
        <v>83</v>
      </c>
      <c r="D94" s="38" t="s">
        <v>815</v>
      </c>
      <c r="E94" s="38" t="s">
        <v>886</v>
      </c>
      <c r="F94" s="38">
        <v>4521000</v>
      </c>
      <c r="G94" s="11">
        <v>38509</v>
      </c>
      <c r="H94" s="277" t="s">
        <v>922</v>
      </c>
      <c r="I94" s="276">
        <v>20105010201</v>
      </c>
      <c r="J94" s="23">
        <v>5332.49</v>
      </c>
      <c r="K94" s="23">
        <f t="shared" si="5"/>
        <v>6292.3381999999992</v>
      </c>
      <c r="L94" s="38" t="s">
        <v>280</v>
      </c>
      <c r="M94" s="16" t="s">
        <v>923</v>
      </c>
      <c r="N94" s="16" t="s">
        <v>924</v>
      </c>
      <c r="O94" s="16" t="s">
        <v>171</v>
      </c>
      <c r="P94" s="45" t="s">
        <v>288</v>
      </c>
      <c r="Q94" s="38" t="s">
        <v>717</v>
      </c>
      <c r="R94" s="25">
        <v>1</v>
      </c>
      <c r="S94" s="38">
        <v>45</v>
      </c>
      <c r="T94" s="38" t="s">
        <v>547</v>
      </c>
      <c r="U94" s="33">
        <v>41640</v>
      </c>
      <c r="V94" s="33">
        <v>41640</v>
      </c>
      <c r="W94" s="52">
        <v>42004</v>
      </c>
      <c r="X94" s="60"/>
    </row>
    <row r="95" spans="1:122" ht="56.25">
      <c r="A95" s="25">
        <v>8</v>
      </c>
      <c r="B95" s="38" t="s">
        <v>881</v>
      </c>
      <c r="C95" s="38" t="s">
        <v>83</v>
      </c>
      <c r="D95" s="38" t="s">
        <v>859</v>
      </c>
      <c r="E95" s="38" t="s">
        <v>882</v>
      </c>
      <c r="F95" s="38">
        <v>2219125</v>
      </c>
      <c r="G95" s="11">
        <v>38510</v>
      </c>
      <c r="H95" s="277" t="s">
        <v>883</v>
      </c>
      <c r="I95" s="38">
        <v>2010510</v>
      </c>
      <c r="J95" s="23">
        <v>1730.16</v>
      </c>
      <c r="K95" s="23">
        <v>1730.16</v>
      </c>
      <c r="L95" s="38" t="s">
        <v>280</v>
      </c>
      <c r="M95" s="16" t="s">
        <v>884</v>
      </c>
      <c r="N95" s="16" t="s">
        <v>883</v>
      </c>
      <c r="O95" s="16" t="s">
        <v>171</v>
      </c>
      <c r="P95" s="38">
        <v>796</v>
      </c>
      <c r="Q95" s="38" t="s">
        <v>419</v>
      </c>
      <c r="R95" s="25">
        <v>54</v>
      </c>
      <c r="S95" s="38">
        <v>45</v>
      </c>
      <c r="T95" s="38" t="s">
        <v>547</v>
      </c>
      <c r="U95" s="52">
        <v>41639</v>
      </c>
      <c r="V95" s="33">
        <v>41640</v>
      </c>
      <c r="W95" s="52">
        <v>42004</v>
      </c>
      <c r="X95" s="60"/>
    </row>
    <row r="96" spans="1:122" s="280" customFormat="1" ht="75">
      <c r="A96" s="25">
        <v>8</v>
      </c>
      <c r="B96" s="38" t="s">
        <v>1701</v>
      </c>
      <c r="C96" s="38" t="s">
        <v>83</v>
      </c>
      <c r="D96" s="38" t="s">
        <v>1702</v>
      </c>
      <c r="E96" s="38" t="s">
        <v>917</v>
      </c>
      <c r="F96" s="38">
        <v>7000000</v>
      </c>
      <c r="G96" s="11">
        <v>625946</v>
      </c>
      <c r="H96" s="60" t="s">
        <v>1703</v>
      </c>
      <c r="I96" s="38">
        <v>201051101</v>
      </c>
      <c r="J96" s="23">
        <v>20380.689999999999</v>
      </c>
      <c r="K96" s="23">
        <f t="shared" ref="K96:K114" si="6">J96*1.18</f>
        <v>24049.214199999999</v>
      </c>
      <c r="L96" s="38" t="s">
        <v>280</v>
      </c>
      <c r="M96" s="16" t="s">
        <v>1704</v>
      </c>
      <c r="N96" s="16" t="s">
        <v>1703</v>
      </c>
      <c r="O96" s="16" t="s">
        <v>171</v>
      </c>
      <c r="P96" s="38">
        <v>55</v>
      </c>
      <c r="Q96" s="25" t="s">
        <v>141</v>
      </c>
      <c r="R96" s="25" t="s">
        <v>1705</v>
      </c>
      <c r="S96" s="25">
        <v>45260</v>
      </c>
      <c r="T96" s="38" t="s">
        <v>1706</v>
      </c>
      <c r="U96" s="52">
        <v>41699</v>
      </c>
      <c r="V96" s="52">
        <v>41699</v>
      </c>
      <c r="W96" s="52">
        <v>42035</v>
      </c>
      <c r="X96" s="60"/>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78"/>
      <c r="BJ96" s="278"/>
      <c r="BK96" s="278"/>
      <c r="BL96" s="278"/>
      <c r="BM96" s="278"/>
      <c r="BN96" s="278"/>
      <c r="BO96" s="278"/>
      <c r="BP96" s="278"/>
      <c r="BQ96" s="278"/>
      <c r="BR96" s="278"/>
      <c r="BS96" s="278"/>
      <c r="BT96" s="278"/>
      <c r="BU96" s="278"/>
      <c r="BV96" s="278"/>
      <c r="BW96" s="278"/>
      <c r="BX96" s="278"/>
      <c r="BY96" s="278"/>
      <c r="BZ96" s="278"/>
      <c r="CA96" s="278"/>
      <c r="CB96" s="278"/>
      <c r="CC96" s="278"/>
      <c r="CD96" s="278"/>
      <c r="CE96" s="278"/>
      <c r="CF96" s="278"/>
      <c r="CG96" s="278"/>
      <c r="CH96" s="278"/>
      <c r="CI96" s="278"/>
      <c r="CJ96" s="278"/>
      <c r="CK96" s="278"/>
      <c r="CL96" s="278"/>
      <c r="CM96" s="278"/>
      <c r="CN96" s="278"/>
      <c r="CO96" s="278"/>
      <c r="CP96" s="278"/>
      <c r="CQ96" s="278"/>
      <c r="CR96" s="278"/>
      <c r="CS96" s="278"/>
      <c r="CT96" s="278"/>
      <c r="CU96" s="278"/>
      <c r="CV96" s="278"/>
      <c r="CW96" s="278"/>
      <c r="CX96" s="278"/>
      <c r="CY96" s="278"/>
      <c r="CZ96" s="278"/>
      <c r="DA96" s="278"/>
      <c r="DB96" s="278"/>
      <c r="DC96" s="278"/>
      <c r="DD96" s="278"/>
      <c r="DE96" s="278"/>
      <c r="DF96" s="278"/>
      <c r="DG96" s="278"/>
      <c r="DH96" s="278"/>
      <c r="DI96" s="278"/>
      <c r="DJ96" s="278"/>
      <c r="DK96" s="278"/>
      <c r="DL96" s="278"/>
      <c r="DM96" s="278"/>
      <c r="DN96" s="278"/>
      <c r="DO96" s="278"/>
      <c r="DP96" s="278"/>
      <c r="DQ96" s="278"/>
      <c r="DR96" s="279"/>
    </row>
    <row r="97" spans="1:122" s="283" customFormat="1" ht="168.75">
      <c r="A97" s="25">
        <v>8</v>
      </c>
      <c r="B97" s="38" t="s">
        <v>1707</v>
      </c>
      <c r="C97" s="38" t="s">
        <v>83</v>
      </c>
      <c r="D97" s="38" t="s">
        <v>1702</v>
      </c>
      <c r="E97" s="38" t="s">
        <v>3313</v>
      </c>
      <c r="F97" s="38">
        <v>7000000</v>
      </c>
      <c r="G97" s="11">
        <v>625947</v>
      </c>
      <c r="H97" s="60" t="s">
        <v>1708</v>
      </c>
      <c r="I97" s="38">
        <v>201051101</v>
      </c>
      <c r="J97" s="23">
        <v>2478.14</v>
      </c>
      <c r="K97" s="23">
        <f t="shared" si="6"/>
        <v>2924.2051999999999</v>
      </c>
      <c r="L97" s="38" t="s">
        <v>280</v>
      </c>
      <c r="M97" s="16" t="s">
        <v>1709</v>
      </c>
      <c r="N97" s="16" t="s">
        <v>1708</v>
      </c>
      <c r="O97" s="16" t="s">
        <v>171</v>
      </c>
      <c r="P97" s="38">
        <v>55</v>
      </c>
      <c r="Q97" s="25" t="s">
        <v>141</v>
      </c>
      <c r="R97" s="25">
        <v>108.4</v>
      </c>
      <c r="S97" s="25">
        <v>45260</v>
      </c>
      <c r="T97" s="38" t="s">
        <v>1706</v>
      </c>
      <c r="U97" s="52">
        <v>41699</v>
      </c>
      <c r="V97" s="52">
        <v>41699</v>
      </c>
      <c r="W97" s="52">
        <v>42035</v>
      </c>
      <c r="X97" s="60"/>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81"/>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81"/>
      <c r="CJ97" s="281"/>
      <c r="CK97" s="281"/>
      <c r="CL97" s="281"/>
      <c r="CM97" s="281"/>
      <c r="CN97" s="281"/>
      <c r="CO97" s="281"/>
      <c r="CP97" s="281"/>
      <c r="CQ97" s="281"/>
      <c r="CR97" s="281"/>
      <c r="CS97" s="281"/>
      <c r="CT97" s="281"/>
      <c r="CU97" s="281"/>
      <c r="CV97" s="281"/>
      <c r="CW97" s="281"/>
      <c r="CX97" s="281"/>
      <c r="CY97" s="281"/>
      <c r="CZ97" s="281"/>
      <c r="DA97" s="281"/>
      <c r="DB97" s="281"/>
      <c r="DC97" s="281"/>
      <c r="DD97" s="281"/>
      <c r="DE97" s="281"/>
      <c r="DF97" s="281"/>
      <c r="DG97" s="281"/>
      <c r="DH97" s="281"/>
      <c r="DI97" s="281"/>
      <c r="DJ97" s="281"/>
      <c r="DK97" s="281"/>
      <c r="DL97" s="281"/>
      <c r="DM97" s="281"/>
      <c r="DN97" s="281"/>
      <c r="DO97" s="281"/>
      <c r="DP97" s="281"/>
      <c r="DQ97" s="281"/>
      <c r="DR97" s="282"/>
    </row>
    <row r="98" spans="1:122" s="283" customFormat="1" ht="168.75">
      <c r="A98" s="25">
        <v>8</v>
      </c>
      <c r="B98" s="38" t="s">
        <v>1710</v>
      </c>
      <c r="C98" s="38" t="s">
        <v>83</v>
      </c>
      <c r="D98" s="38" t="s">
        <v>1702</v>
      </c>
      <c r="E98" s="38" t="s">
        <v>3313</v>
      </c>
      <c r="F98" s="38">
        <v>7000000</v>
      </c>
      <c r="G98" s="11">
        <v>625948</v>
      </c>
      <c r="H98" s="60" t="s">
        <v>1711</v>
      </c>
      <c r="I98" s="38">
        <v>201051101</v>
      </c>
      <c r="J98" s="23">
        <v>8548.01</v>
      </c>
      <c r="K98" s="23">
        <f t="shared" si="6"/>
        <v>10086.6518</v>
      </c>
      <c r="L98" s="38" t="s">
        <v>280</v>
      </c>
      <c r="M98" s="16" t="s">
        <v>1709</v>
      </c>
      <c r="N98" s="16" t="s">
        <v>1711</v>
      </c>
      <c r="O98" s="16" t="s">
        <v>171</v>
      </c>
      <c r="P98" s="38">
        <v>55</v>
      </c>
      <c r="Q98" s="25" t="s">
        <v>141</v>
      </c>
      <c r="R98" s="25">
        <v>415.9</v>
      </c>
      <c r="S98" s="25">
        <v>45260</v>
      </c>
      <c r="T98" s="38" t="s">
        <v>1706</v>
      </c>
      <c r="U98" s="52">
        <v>41852</v>
      </c>
      <c r="V98" s="52">
        <v>41852</v>
      </c>
      <c r="W98" s="52">
        <v>42185</v>
      </c>
      <c r="X98" s="60"/>
      <c r="Y98" s="281"/>
      <c r="Z98" s="281"/>
      <c r="AA98" s="281"/>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81"/>
      <c r="CJ98" s="281"/>
      <c r="CK98" s="281"/>
      <c r="CL98" s="281"/>
      <c r="CM98" s="281"/>
      <c r="CN98" s="281"/>
      <c r="CO98" s="281"/>
      <c r="CP98" s="281"/>
      <c r="CQ98" s="281"/>
      <c r="CR98" s="281"/>
      <c r="CS98" s="281"/>
      <c r="CT98" s="281"/>
      <c r="CU98" s="281"/>
      <c r="CV98" s="281"/>
      <c r="CW98" s="281"/>
      <c r="CX98" s="281"/>
      <c r="CY98" s="281"/>
      <c r="CZ98" s="281"/>
      <c r="DA98" s="281"/>
      <c r="DB98" s="281"/>
      <c r="DC98" s="281"/>
      <c r="DD98" s="281"/>
      <c r="DE98" s="281"/>
      <c r="DF98" s="281"/>
      <c r="DG98" s="281"/>
      <c r="DH98" s="281"/>
      <c r="DI98" s="281"/>
      <c r="DJ98" s="281"/>
      <c r="DK98" s="281"/>
      <c r="DL98" s="281"/>
      <c r="DM98" s="281"/>
      <c r="DN98" s="281"/>
      <c r="DO98" s="281"/>
      <c r="DP98" s="281"/>
      <c r="DQ98" s="281"/>
      <c r="DR98" s="282"/>
    </row>
    <row r="99" spans="1:122" s="283" customFormat="1" ht="56.25">
      <c r="A99" s="25">
        <v>8</v>
      </c>
      <c r="B99" s="38" t="s">
        <v>1712</v>
      </c>
      <c r="C99" s="38" t="s">
        <v>83</v>
      </c>
      <c r="D99" s="38" t="s">
        <v>1702</v>
      </c>
      <c r="E99" s="38" t="s">
        <v>917</v>
      </c>
      <c r="F99" s="38">
        <v>7000000</v>
      </c>
      <c r="G99" s="11">
        <v>625950</v>
      </c>
      <c r="H99" s="60" t="s">
        <v>1713</v>
      </c>
      <c r="I99" s="38">
        <v>201051101</v>
      </c>
      <c r="J99" s="23">
        <v>3560.99</v>
      </c>
      <c r="K99" s="23">
        <f t="shared" si="6"/>
        <v>4201.9681999999993</v>
      </c>
      <c r="L99" s="38" t="s">
        <v>280</v>
      </c>
      <c r="M99" s="16" t="s">
        <v>1704</v>
      </c>
      <c r="N99" s="16" t="s">
        <v>1713</v>
      </c>
      <c r="O99" s="16" t="s">
        <v>171</v>
      </c>
      <c r="P99" s="38">
        <v>796</v>
      </c>
      <c r="Q99" s="25" t="s">
        <v>368</v>
      </c>
      <c r="R99" s="25">
        <v>41</v>
      </c>
      <c r="S99" s="25">
        <v>45260</v>
      </c>
      <c r="T99" s="38" t="s">
        <v>1706</v>
      </c>
      <c r="U99" s="52">
        <v>41699</v>
      </c>
      <c r="V99" s="52">
        <v>41699</v>
      </c>
      <c r="W99" s="52">
        <v>42035</v>
      </c>
      <c r="X99" s="60"/>
      <c r="Y99" s="281"/>
      <c r="Z99" s="281"/>
      <c r="AA99" s="281"/>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c r="BM99" s="281"/>
      <c r="BN99" s="281"/>
      <c r="BO99" s="281"/>
      <c r="BP99" s="281"/>
      <c r="BQ99" s="281"/>
      <c r="BR99" s="281"/>
      <c r="BS99" s="281"/>
      <c r="BT99" s="281"/>
      <c r="BU99" s="281"/>
      <c r="BV99" s="281"/>
      <c r="BW99" s="281"/>
      <c r="BX99" s="281"/>
      <c r="BY99" s="281"/>
      <c r="BZ99" s="281"/>
      <c r="CA99" s="281"/>
      <c r="CB99" s="281"/>
      <c r="CC99" s="281"/>
      <c r="CD99" s="281"/>
      <c r="CE99" s="281"/>
      <c r="CF99" s="281"/>
      <c r="CG99" s="281"/>
      <c r="CH99" s="281"/>
      <c r="CI99" s="281"/>
      <c r="CJ99" s="281"/>
      <c r="CK99" s="281"/>
      <c r="CL99" s="281"/>
      <c r="CM99" s="281"/>
      <c r="CN99" s="281"/>
      <c r="CO99" s="281"/>
      <c r="CP99" s="281"/>
      <c r="CQ99" s="281"/>
      <c r="CR99" s="281"/>
      <c r="CS99" s="281"/>
      <c r="CT99" s="281"/>
      <c r="CU99" s="281"/>
      <c r="CV99" s="281"/>
      <c r="CW99" s="281"/>
      <c r="CX99" s="281"/>
      <c r="CY99" s="281"/>
      <c r="CZ99" s="281"/>
      <c r="DA99" s="281"/>
      <c r="DB99" s="281"/>
      <c r="DC99" s="281"/>
      <c r="DD99" s="281"/>
      <c r="DE99" s="281"/>
      <c r="DF99" s="281"/>
      <c r="DG99" s="281"/>
      <c r="DH99" s="281"/>
      <c r="DI99" s="281"/>
      <c r="DJ99" s="281"/>
      <c r="DK99" s="281"/>
      <c r="DL99" s="281"/>
      <c r="DM99" s="281"/>
      <c r="DN99" s="281"/>
      <c r="DO99" s="281"/>
      <c r="DP99" s="281"/>
      <c r="DQ99" s="281"/>
      <c r="DR99" s="282"/>
    </row>
    <row r="100" spans="1:122" s="283" customFormat="1" ht="75">
      <c r="A100" s="25">
        <v>8</v>
      </c>
      <c r="B100" s="38" t="s">
        <v>1714</v>
      </c>
      <c r="C100" s="38" t="s">
        <v>83</v>
      </c>
      <c r="D100" s="38" t="s">
        <v>1702</v>
      </c>
      <c r="E100" s="38" t="s">
        <v>917</v>
      </c>
      <c r="F100" s="38">
        <v>7000000</v>
      </c>
      <c r="G100" s="11">
        <v>625951</v>
      </c>
      <c r="H100" s="60" t="s">
        <v>1715</v>
      </c>
      <c r="I100" s="38">
        <v>201051101</v>
      </c>
      <c r="J100" s="23">
        <v>97168.95</v>
      </c>
      <c r="K100" s="23">
        <f t="shared" si="6"/>
        <v>114659.36099999999</v>
      </c>
      <c r="L100" s="38" t="s">
        <v>280</v>
      </c>
      <c r="M100" s="16" t="s">
        <v>1704</v>
      </c>
      <c r="N100" s="16" t="s">
        <v>1715</v>
      </c>
      <c r="O100" s="16" t="s">
        <v>171</v>
      </c>
      <c r="P100" s="38">
        <v>55</v>
      </c>
      <c r="Q100" s="25" t="s">
        <v>141</v>
      </c>
      <c r="R100" s="25" t="s">
        <v>1716</v>
      </c>
      <c r="S100" s="25">
        <v>45260</v>
      </c>
      <c r="T100" s="38" t="s">
        <v>1706</v>
      </c>
      <c r="U100" s="52">
        <v>41699</v>
      </c>
      <c r="V100" s="52">
        <v>41699</v>
      </c>
      <c r="W100" s="52">
        <v>42035</v>
      </c>
      <c r="X100" s="60"/>
      <c r="Y100" s="281"/>
      <c r="Z100" s="281"/>
      <c r="AA100" s="281"/>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281"/>
      <c r="CJ100" s="281"/>
      <c r="CK100" s="281"/>
      <c r="CL100" s="281"/>
      <c r="CM100" s="281"/>
      <c r="CN100" s="281"/>
      <c r="CO100" s="281"/>
      <c r="CP100" s="281"/>
      <c r="CQ100" s="281"/>
      <c r="CR100" s="281"/>
      <c r="CS100" s="281"/>
      <c r="CT100" s="281"/>
      <c r="CU100" s="281"/>
      <c r="CV100" s="281"/>
      <c r="CW100" s="281"/>
      <c r="CX100" s="281"/>
      <c r="CY100" s="281"/>
      <c r="CZ100" s="281"/>
      <c r="DA100" s="281"/>
      <c r="DB100" s="281"/>
      <c r="DC100" s="281"/>
      <c r="DD100" s="281"/>
      <c r="DE100" s="281"/>
      <c r="DF100" s="281"/>
      <c r="DG100" s="281"/>
      <c r="DH100" s="281"/>
      <c r="DI100" s="281"/>
      <c r="DJ100" s="281"/>
      <c r="DK100" s="281"/>
      <c r="DL100" s="281"/>
      <c r="DM100" s="281"/>
      <c r="DN100" s="281"/>
      <c r="DO100" s="281"/>
      <c r="DP100" s="281"/>
      <c r="DQ100" s="281"/>
      <c r="DR100" s="282"/>
    </row>
    <row r="101" spans="1:122" s="283" customFormat="1" ht="105" customHeight="1">
      <c r="A101" s="25">
        <v>8</v>
      </c>
      <c r="B101" s="38" t="s">
        <v>1717</v>
      </c>
      <c r="C101" s="38" t="s">
        <v>83</v>
      </c>
      <c r="D101" s="38" t="s">
        <v>1702</v>
      </c>
      <c r="E101" s="38" t="s">
        <v>3314</v>
      </c>
      <c r="F101" s="38">
        <v>7000000</v>
      </c>
      <c r="G101" s="11">
        <v>625952</v>
      </c>
      <c r="H101" s="60" t="s">
        <v>1718</v>
      </c>
      <c r="I101" s="38">
        <v>201051101</v>
      </c>
      <c r="J101" s="34">
        <v>1151.53</v>
      </c>
      <c r="K101" s="23">
        <f t="shared" si="6"/>
        <v>1358.8054</v>
      </c>
      <c r="L101" s="38" t="s">
        <v>280</v>
      </c>
      <c r="M101" s="16" t="s">
        <v>1719</v>
      </c>
      <c r="N101" s="16" t="s">
        <v>1718</v>
      </c>
      <c r="O101" s="16" t="s">
        <v>171</v>
      </c>
      <c r="P101" s="38">
        <v>55</v>
      </c>
      <c r="Q101" s="25" t="s">
        <v>141</v>
      </c>
      <c r="R101" s="38">
        <v>71.3</v>
      </c>
      <c r="S101" s="38">
        <v>45260</v>
      </c>
      <c r="T101" s="38" t="s">
        <v>1706</v>
      </c>
      <c r="U101" s="52">
        <v>41699</v>
      </c>
      <c r="V101" s="52">
        <v>41699</v>
      </c>
      <c r="W101" s="52">
        <v>42035</v>
      </c>
      <c r="X101" s="60"/>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81"/>
      <c r="CJ101" s="281"/>
      <c r="CK101" s="281"/>
      <c r="CL101" s="281"/>
      <c r="CM101" s="281"/>
      <c r="CN101" s="281"/>
      <c r="CO101" s="281"/>
      <c r="CP101" s="281"/>
      <c r="CQ101" s="281"/>
      <c r="CR101" s="281"/>
      <c r="CS101" s="281"/>
      <c r="CT101" s="281"/>
      <c r="CU101" s="281"/>
      <c r="CV101" s="281"/>
      <c r="CW101" s="281"/>
      <c r="CX101" s="281"/>
      <c r="CY101" s="281"/>
      <c r="CZ101" s="281"/>
      <c r="DA101" s="281"/>
      <c r="DB101" s="281"/>
      <c r="DC101" s="281"/>
      <c r="DD101" s="281"/>
      <c r="DE101" s="281"/>
      <c r="DF101" s="281"/>
      <c r="DG101" s="281"/>
      <c r="DH101" s="281"/>
      <c r="DI101" s="281"/>
      <c r="DJ101" s="281"/>
      <c r="DK101" s="281"/>
      <c r="DL101" s="281"/>
      <c r="DM101" s="281"/>
      <c r="DN101" s="281"/>
      <c r="DO101" s="281"/>
      <c r="DP101" s="281"/>
      <c r="DQ101" s="281"/>
      <c r="DR101" s="282"/>
    </row>
    <row r="102" spans="1:122" s="283" customFormat="1" ht="56.25">
      <c r="A102" s="25">
        <v>8</v>
      </c>
      <c r="B102" s="38" t="s">
        <v>1720</v>
      </c>
      <c r="C102" s="38" t="s">
        <v>83</v>
      </c>
      <c r="D102" s="38" t="s">
        <v>1702</v>
      </c>
      <c r="E102" s="38" t="s">
        <v>917</v>
      </c>
      <c r="F102" s="38">
        <v>7000000</v>
      </c>
      <c r="G102" s="11">
        <v>625953</v>
      </c>
      <c r="H102" s="60" t="s">
        <v>1721</v>
      </c>
      <c r="I102" s="38">
        <v>201051101</v>
      </c>
      <c r="J102" s="34">
        <v>1060.21</v>
      </c>
      <c r="K102" s="23">
        <f t="shared" si="6"/>
        <v>1251.0478000000001</v>
      </c>
      <c r="L102" s="38" t="s">
        <v>280</v>
      </c>
      <c r="M102" s="16" t="s">
        <v>1704</v>
      </c>
      <c r="N102" s="16" t="s">
        <v>1721</v>
      </c>
      <c r="O102" s="16" t="s">
        <v>171</v>
      </c>
      <c r="P102" s="38">
        <v>796</v>
      </c>
      <c r="Q102" s="25" t="s">
        <v>368</v>
      </c>
      <c r="R102" s="38">
        <v>11</v>
      </c>
      <c r="S102" s="38">
        <v>45260</v>
      </c>
      <c r="T102" s="38" t="s">
        <v>1706</v>
      </c>
      <c r="U102" s="52">
        <v>41699</v>
      </c>
      <c r="V102" s="52">
        <v>41699</v>
      </c>
      <c r="W102" s="52">
        <v>42035</v>
      </c>
      <c r="X102" s="60"/>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281"/>
      <c r="CC102" s="281"/>
      <c r="CD102" s="281"/>
      <c r="CE102" s="281"/>
      <c r="CF102" s="281"/>
      <c r="CG102" s="281"/>
      <c r="CH102" s="281"/>
      <c r="CI102" s="281"/>
      <c r="CJ102" s="281"/>
      <c r="CK102" s="281"/>
      <c r="CL102" s="281"/>
      <c r="CM102" s="281"/>
      <c r="CN102" s="281"/>
      <c r="CO102" s="281"/>
      <c r="CP102" s="281"/>
      <c r="CQ102" s="281"/>
      <c r="CR102" s="281"/>
      <c r="CS102" s="281"/>
      <c r="CT102" s="281"/>
      <c r="CU102" s="281"/>
      <c r="CV102" s="281"/>
      <c r="CW102" s="281"/>
      <c r="CX102" s="281"/>
      <c r="CY102" s="281"/>
      <c r="CZ102" s="281"/>
      <c r="DA102" s="281"/>
      <c r="DB102" s="281"/>
      <c r="DC102" s="281"/>
      <c r="DD102" s="281"/>
      <c r="DE102" s="281"/>
      <c r="DF102" s="281"/>
      <c r="DG102" s="281"/>
      <c r="DH102" s="281"/>
      <c r="DI102" s="281"/>
      <c r="DJ102" s="281"/>
      <c r="DK102" s="281"/>
      <c r="DL102" s="281"/>
      <c r="DM102" s="281"/>
      <c r="DN102" s="281"/>
      <c r="DO102" s="281"/>
      <c r="DP102" s="281"/>
      <c r="DQ102" s="281"/>
      <c r="DR102" s="282"/>
    </row>
    <row r="103" spans="1:122" s="283" customFormat="1" ht="120.75" customHeight="1">
      <c r="A103" s="25">
        <v>8</v>
      </c>
      <c r="B103" s="38" t="s">
        <v>1722</v>
      </c>
      <c r="C103" s="38" t="s">
        <v>83</v>
      </c>
      <c r="D103" s="38" t="s">
        <v>1702</v>
      </c>
      <c r="E103" s="38" t="s">
        <v>3314</v>
      </c>
      <c r="F103" s="38">
        <v>7000000</v>
      </c>
      <c r="G103" s="11">
        <v>625954</v>
      </c>
      <c r="H103" s="60" t="s">
        <v>1723</v>
      </c>
      <c r="I103" s="38">
        <v>201051101</v>
      </c>
      <c r="J103" s="34">
        <v>3004.72</v>
      </c>
      <c r="K103" s="23">
        <f t="shared" si="6"/>
        <v>3545.5695999999994</v>
      </c>
      <c r="L103" s="38" t="s">
        <v>280</v>
      </c>
      <c r="M103" s="16" t="s">
        <v>1719</v>
      </c>
      <c r="N103" s="16" t="s">
        <v>1723</v>
      </c>
      <c r="O103" s="16" t="s">
        <v>171</v>
      </c>
      <c r="P103" s="38">
        <v>55</v>
      </c>
      <c r="Q103" s="25" t="s">
        <v>141</v>
      </c>
      <c r="R103" s="38">
        <v>158.19999999999999</v>
      </c>
      <c r="S103" s="38">
        <v>45260</v>
      </c>
      <c r="T103" s="38" t="s">
        <v>1706</v>
      </c>
      <c r="U103" s="97">
        <v>41883</v>
      </c>
      <c r="V103" s="52">
        <v>41883</v>
      </c>
      <c r="W103" s="97">
        <v>42216</v>
      </c>
      <c r="X103" s="60"/>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81"/>
      <c r="CJ103" s="281"/>
      <c r="CK103" s="281"/>
      <c r="CL103" s="281"/>
      <c r="CM103" s="281"/>
      <c r="CN103" s="281"/>
      <c r="CO103" s="281"/>
      <c r="CP103" s="281"/>
      <c r="CQ103" s="281"/>
      <c r="CR103" s="281"/>
      <c r="CS103" s="281"/>
      <c r="CT103" s="281"/>
      <c r="CU103" s="281"/>
      <c r="CV103" s="281"/>
      <c r="CW103" s="281"/>
      <c r="CX103" s="281"/>
      <c r="CY103" s="281"/>
      <c r="CZ103" s="281"/>
      <c r="DA103" s="281"/>
      <c r="DB103" s="281"/>
      <c r="DC103" s="281"/>
      <c r="DD103" s="281"/>
      <c r="DE103" s="281"/>
      <c r="DF103" s="281"/>
      <c r="DG103" s="281"/>
      <c r="DH103" s="281"/>
      <c r="DI103" s="281"/>
      <c r="DJ103" s="281"/>
      <c r="DK103" s="281"/>
      <c r="DL103" s="281"/>
      <c r="DM103" s="281"/>
      <c r="DN103" s="281"/>
      <c r="DO103" s="281"/>
      <c r="DP103" s="281"/>
      <c r="DQ103" s="281"/>
      <c r="DR103" s="282"/>
    </row>
    <row r="104" spans="1:122" s="283" customFormat="1" ht="56.25">
      <c r="A104" s="25">
        <v>8</v>
      </c>
      <c r="B104" s="38" t="s">
        <v>1724</v>
      </c>
      <c r="C104" s="38" t="s">
        <v>83</v>
      </c>
      <c r="D104" s="38" t="s">
        <v>1702</v>
      </c>
      <c r="E104" s="38" t="s">
        <v>3315</v>
      </c>
      <c r="F104" s="38">
        <v>7000000</v>
      </c>
      <c r="G104" s="11">
        <v>625955</v>
      </c>
      <c r="H104" s="60" t="s">
        <v>1725</v>
      </c>
      <c r="I104" s="38">
        <v>201051101</v>
      </c>
      <c r="J104" s="34">
        <v>53209.21</v>
      </c>
      <c r="K104" s="23">
        <f t="shared" si="6"/>
        <v>62786.867799999993</v>
      </c>
      <c r="L104" s="38" t="s">
        <v>280</v>
      </c>
      <c r="M104" s="16" t="s">
        <v>1726</v>
      </c>
      <c r="N104" s="16" t="s">
        <v>1725</v>
      </c>
      <c r="O104" s="16" t="s">
        <v>171</v>
      </c>
      <c r="P104" s="38">
        <v>55</v>
      </c>
      <c r="Q104" s="25" t="s">
        <v>141</v>
      </c>
      <c r="R104" s="38" t="s">
        <v>1727</v>
      </c>
      <c r="S104" s="38">
        <v>45260</v>
      </c>
      <c r="T104" s="38" t="s">
        <v>1706</v>
      </c>
      <c r="U104" s="51">
        <v>41967</v>
      </c>
      <c r="V104" s="51">
        <v>41967</v>
      </c>
      <c r="W104" s="51">
        <v>42300</v>
      </c>
      <c r="X104" s="60"/>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81"/>
      <c r="CC104" s="281"/>
      <c r="CD104" s="281"/>
      <c r="CE104" s="281"/>
      <c r="CF104" s="281"/>
      <c r="CG104" s="281"/>
      <c r="CH104" s="281"/>
      <c r="CI104" s="281"/>
      <c r="CJ104" s="281"/>
      <c r="CK104" s="281"/>
      <c r="CL104" s="281"/>
      <c r="CM104" s="281"/>
      <c r="CN104" s="281"/>
      <c r="CO104" s="281"/>
      <c r="CP104" s="281"/>
      <c r="CQ104" s="281"/>
      <c r="CR104" s="281"/>
      <c r="CS104" s="281"/>
      <c r="CT104" s="281"/>
      <c r="CU104" s="281"/>
      <c r="CV104" s="281"/>
      <c r="CW104" s="281"/>
      <c r="CX104" s="281"/>
      <c r="CY104" s="281"/>
      <c r="CZ104" s="281"/>
      <c r="DA104" s="281"/>
      <c r="DB104" s="281"/>
      <c r="DC104" s="281"/>
      <c r="DD104" s="281"/>
      <c r="DE104" s="281"/>
      <c r="DF104" s="281"/>
      <c r="DG104" s="281"/>
      <c r="DH104" s="281"/>
      <c r="DI104" s="281"/>
      <c r="DJ104" s="281"/>
      <c r="DK104" s="281"/>
      <c r="DL104" s="281"/>
      <c r="DM104" s="281"/>
      <c r="DN104" s="281"/>
      <c r="DO104" s="281"/>
      <c r="DP104" s="281"/>
      <c r="DQ104" s="281"/>
      <c r="DR104" s="282"/>
    </row>
    <row r="105" spans="1:122" s="283" customFormat="1" ht="56.25">
      <c r="A105" s="25">
        <v>8</v>
      </c>
      <c r="B105" s="38" t="s">
        <v>1728</v>
      </c>
      <c r="C105" s="38" t="s">
        <v>83</v>
      </c>
      <c r="D105" s="38" t="s">
        <v>1702</v>
      </c>
      <c r="E105" s="38" t="s">
        <v>3316</v>
      </c>
      <c r="F105" s="38">
        <v>7000000</v>
      </c>
      <c r="G105" s="11">
        <v>625957</v>
      </c>
      <c r="H105" s="60" t="s">
        <v>1729</v>
      </c>
      <c r="I105" s="38">
        <v>201051101</v>
      </c>
      <c r="J105" s="34">
        <v>1396.02</v>
      </c>
      <c r="K105" s="23">
        <f t="shared" si="6"/>
        <v>1647.3036</v>
      </c>
      <c r="L105" s="38" t="s">
        <v>280</v>
      </c>
      <c r="M105" s="16" t="s">
        <v>1730</v>
      </c>
      <c r="N105" s="16" t="s">
        <v>1729</v>
      </c>
      <c r="O105" s="16" t="s">
        <v>171</v>
      </c>
      <c r="P105" s="38">
        <v>55</v>
      </c>
      <c r="Q105" s="25" t="s">
        <v>141</v>
      </c>
      <c r="R105" s="38">
        <v>70.430000000000007</v>
      </c>
      <c r="S105" s="38">
        <v>45260</v>
      </c>
      <c r="T105" s="38" t="s">
        <v>1706</v>
      </c>
      <c r="U105" s="51">
        <v>41821</v>
      </c>
      <c r="V105" s="51">
        <v>41821</v>
      </c>
      <c r="W105" s="51">
        <v>42155</v>
      </c>
      <c r="X105" s="60"/>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81"/>
      <c r="CC105" s="281"/>
      <c r="CD105" s="281"/>
      <c r="CE105" s="281"/>
      <c r="CF105" s="281"/>
      <c r="CG105" s="281"/>
      <c r="CH105" s="281"/>
      <c r="CI105" s="281"/>
      <c r="CJ105" s="281"/>
      <c r="CK105" s="281"/>
      <c r="CL105" s="281"/>
      <c r="CM105" s="281"/>
      <c r="CN105" s="281"/>
      <c r="CO105" s="281"/>
      <c r="CP105" s="281"/>
      <c r="CQ105" s="281"/>
      <c r="CR105" s="281"/>
      <c r="CS105" s="281"/>
      <c r="CT105" s="281"/>
      <c r="CU105" s="281"/>
      <c r="CV105" s="281"/>
      <c r="CW105" s="281"/>
      <c r="CX105" s="281"/>
      <c r="CY105" s="281"/>
      <c r="CZ105" s="281"/>
      <c r="DA105" s="281"/>
      <c r="DB105" s="281"/>
      <c r="DC105" s="281"/>
      <c r="DD105" s="281"/>
      <c r="DE105" s="281"/>
      <c r="DF105" s="281"/>
      <c r="DG105" s="281"/>
      <c r="DH105" s="281"/>
      <c r="DI105" s="281"/>
      <c r="DJ105" s="281"/>
      <c r="DK105" s="281"/>
      <c r="DL105" s="281"/>
      <c r="DM105" s="281"/>
      <c r="DN105" s="281"/>
      <c r="DO105" s="281"/>
      <c r="DP105" s="281"/>
      <c r="DQ105" s="281"/>
      <c r="DR105" s="282"/>
    </row>
    <row r="106" spans="1:122" s="283" customFormat="1" ht="75">
      <c r="A106" s="25">
        <v>8</v>
      </c>
      <c r="B106" s="38" t="s">
        <v>1731</v>
      </c>
      <c r="C106" s="38" t="s">
        <v>83</v>
      </c>
      <c r="D106" s="38" t="s">
        <v>1702</v>
      </c>
      <c r="E106" s="38" t="s">
        <v>917</v>
      </c>
      <c r="F106" s="38">
        <v>7000000</v>
      </c>
      <c r="G106" s="11">
        <v>625958</v>
      </c>
      <c r="H106" s="60" t="s">
        <v>1732</v>
      </c>
      <c r="I106" s="38">
        <v>201051101</v>
      </c>
      <c r="J106" s="34">
        <v>6978.97</v>
      </c>
      <c r="K106" s="23">
        <f t="shared" si="6"/>
        <v>8235.1846000000005</v>
      </c>
      <c r="L106" s="38" t="s">
        <v>280</v>
      </c>
      <c r="M106" s="16" t="s">
        <v>1704</v>
      </c>
      <c r="N106" s="16" t="s">
        <v>1732</v>
      </c>
      <c r="O106" s="16" t="s">
        <v>171</v>
      </c>
      <c r="P106" s="38">
        <v>55</v>
      </c>
      <c r="Q106" s="25" t="s">
        <v>141</v>
      </c>
      <c r="R106" s="38">
        <v>437.7</v>
      </c>
      <c r="S106" s="38">
        <v>45260</v>
      </c>
      <c r="T106" s="38" t="s">
        <v>1706</v>
      </c>
      <c r="U106" s="52">
        <v>41699</v>
      </c>
      <c r="V106" s="52">
        <v>41699</v>
      </c>
      <c r="W106" s="52">
        <v>42035</v>
      </c>
      <c r="X106" s="60"/>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81"/>
      <c r="CC106" s="281"/>
      <c r="CD106" s="281"/>
      <c r="CE106" s="281"/>
      <c r="CF106" s="281"/>
      <c r="CG106" s="281"/>
      <c r="CH106" s="281"/>
      <c r="CI106" s="281"/>
      <c r="CJ106" s="281"/>
      <c r="CK106" s="281"/>
      <c r="CL106" s="281"/>
      <c r="CM106" s="281"/>
      <c r="CN106" s="281"/>
      <c r="CO106" s="281"/>
      <c r="CP106" s="281"/>
      <c r="CQ106" s="281"/>
      <c r="CR106" s="281"/>
      <c r="CS106" s="281"/>
      <c r="CT106" s="281"/>
      <c r="CU106" s="281"/>
      <c r="CV106" s="281"/>
      <c r="CW106" s="281"/>
      <c r="CX106" s="281"/>
      <c r="CY106" s="281"/>
      <c r="CZ106" s="281"/>
      <c r="DA106" s="281"/>
      <c r="DB106" s="281"/>
      <c r="DC106" s="281"/>
      <c r="DD106" s="281"/>
      <c r="DE106" s="281"/>
      <c r="DF106" s="281"/>
      <c r="DG106" s="281"/>
      <c r="DH106" s="281"/>
      <c r="DI106" s="281"/>
      <c r="DJ106" s="281"/>
      <c r="DK106" s="281"/>
      <c r="DL106" s="281"/>
      <c r="DM106" s="281"/>
      <c r="DN106" s="281"/>
      <c r="DO106" s="281"/>
      <c r="DP106" s="281"/>
      <c r="DQ106" s="281"/>
      <c r="DR106" s="282"/>
    </row>
    <row r="107" spans="1:122" s="283" customFormat="1" ht="93.75">
      <c r="A107" s="25">
        <v>8</v>
      </c>
      <c r="B107" s="38" t="s">
        <v>1733</v>
      </c>
      <c r="C107" s="38" t="s">
        <v>83</v>
      </c>
      <c r="D107" s="38" t="s">
        <v>1702</v>
      </c>
      <c r="E107" s="38" t="s">
        <v>886</v>
      </c>
      <c r="F107" s="38">
        <v>7000000</v>
      </c>
      <c r="G107" s="11">
        <v>625960</v>
      </c>
      <c r="H107" s="60" t="s">
        <v>1734</v>
      </c>
      <c r="I107" s="38">
        <v>201051101</v>
      </c>
      <c r="J107" s="34">
        <v>6458.22</v>
      </c>
      <c r="K107" s="23">
        <f t="shared" si="6"/>
        <v>7620.6995999999999</v>
      </c>
      <c r="L107" s="38" t="s">
        <v>280</v>
      </c>
      <c r="M107" s="16" t="s">
        <v>1735</v>
      </c>
      <c r="N107" s="16" t="s">
        <v>1734</v>
      </c>
      <c r="O107" s="16" t="s">
        <v>171</v>
      </c>
      <c r="P107" s="38">
        <v>55</v>
      </c>
      <c r="Q107" s="25" t="s">
        <v>141</v>
      </c>
      <c r="R107" s="38">
        <v>463.9</v>
      </c>
      <c r="S107" s="38">
        <v>45260</v>
      </c>
      <c r="T107" s="38" t="s">
        <v>1706</v>
      </c>
      <c r="U107" s="51">
        <v>41852</v>
      </c>
      <c r="V107" s="51">
        <v>41852</v>
      </c>
      <c r="W107" s="51">
        <v>42185</v>
      </c>
      <c r="X107" s="60"/>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c r="BM107" s="281"/>
      <c r="BN107" s="281"/>
      <c r="BO107" s="281"/>
      <c r="BP107" s="281"/>
      <c r="BQ107" s="281"/>
      <c r="BR107" s="281"/>
      <c r="BS107" s="281"/>
      <c r="BT107" s="281"/>
      <c r="BU107" s="281"/>
      <c r="BV107" s="281"/>
      <c r="BW107" s="281"/>
      <c r="BX107" s="281"/>
      <c r="BY107" s="281"/>
      <c r="BZ107" s="281"/>
      <c r="CA107" s="281"/>
      <c r="CB107" s="281"/>
      <c r="CC107" s="281"/>
      <c r="CD107" s="281"/>
      <c r="CE107" s="281"/>
      <c r="CF107" s="281"/>
      <c r="CG107" s="281"/>
      <c r="CH107" s="281"/>
      <c r="CI107" s="281"/>
      <c r="CJ107" s="281"/>
      <c r="CK107" s="281"/>
      <c r="CL107" s="281"/>
      <c r="CM107" s="281"/>
      <c r="CN107" s="281"/>
      <c r="CO107" s="281"/>
      <c r="CP107" s="281"/>
      <c r="CQ107" s="281"/>
      <c r="CR107" s="281"/>
      <c r="CS107" s="281"/>
      <c r="CT107" s="281"/>
      <c r="CU107" s="281"/>
      <c r="CV107" s="281"/>
      <c r="CW107" s="281"/>
      <c r="CX107" s="281"/>
      <c r="CY107" s="281"/>
      <c r="CZ107" s="281"/>
      <c r="DA107" s="281"/>
      <c r="DB107" s="281"/>
      <c r="DC107" s="281"/>
      <c r="DD107" s="281"/>
      <c r="DE107" s="281"/>
      <c r="DF107" s="281"/>
      <c r="DG107" s="281"/>
      <c r="DH107" s="281"/>
      <c r="DI107" s="281"/>
      <c r="DJ107" s="281"/>
      <c r="DK107" s="281"/>
      <c r="DL107" s="281"/>
      <c r="DM107" s="281"/>
      <c r="DN107" s="281"/>
      <c r="DO107" s="281"/>
      <c r="DP107" s="281"/>
      <c r="DQ107" s="281"/>
      <c r="DR107" s="282"/>
    </row>
    <row r="108" spans="1:122" s="283" customFormat="1" ht="93.75" customHeight="1">
      <c r="A108" s="25">
        <v>8</v>
      </c>
      <c r="B108" s="38" t="s">
        <v>1736</v>
      </c>
      <c r="C108" s="38" t="s">
        <v>83</v>
      </c>
      <c r="D108" s="38" t="s">
        <v>1702</v>
      </c>
      <c r="E108" s="38" t="s">
        <v>3314</v>
      </c>
      <c r="F108" s="38">
        <v>7000000</v>
      </c>
      <c r="G108" s="11">
        <v>625965</v>
      </c>
      <c r="H108" s="60" t="s">
        <v>1737</v>
      </c>
      <c r="I108" s="38">
        <v>201051101</v>
      </c>
      <c r="J108" s="34">
        <v>930.57</v>
      </c>
      <c r="K108" s="23">
        <f t="shared" si="6"/>
        <v>1098.0726</v>
      </c>
      <c r="L108" s="38" t="s">
        <v>280</v>
      </c>
      <c r="M108" s="16" t="s">
        <v>1719</v>
      </c>
      <c r="N108" s="16" t="s">
        <v>1738</v>
      </c>
      <c r="O108" s="16" t="s">
        <v>171</v>
      </c>
      <c r="P108" s="38">
        <v>796</v>
      </c>
      <c r="Q108" s="25" t="s">
        <v>368</v>
      </c>
      <c r="R108" s="38">
        <v>11</v>
      </c>
      <c r="S108" s="38">
        <v>45260</v>
      </c>
      <c r="T108" s="38" t="s">
        <v>1706</v>
      </c>
      <c r="U108" s="51">
        <v>41974</v>
      </c>
      <c r="V108" s="51">
        <v>41974</v>
      </c>
      <c r="W108" s="51">
        <v>42369</v>
      </c>
      <c r="X108" s="60"/>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81"/>
      <c r="CC108" s="281"/>
      <c r="CD108" s="281"/>
      <c r="CE108" s="281"/>
      <c r="CF108" s="281"/>
      <c r="CG108" s="281"/>
      <c r="CH108" s="281"/>
      <c r="CI108" s="281"/>
      <c r="CJ108" s="281"/>
      <c r="CK108" s="281"/>
      <c r="CL108" s="281"/>
      <c r="CM108" s="281"/>
      <c r="CN108" s="281"/>
      <c r="CO108" s="281"/>
      <c r="CP108" s="281"/>
      <c r="CQ108" s="281"/>
      <c r="CR108" s="281"/>
      <c r="CS108" s="281"/>
      <c r="CT108" s="281"/>
      <c r="CU108" s="281"/>
      <c r="CV108" s="281"/>
      <c r="CW108" s="281"/>
      <c r="CX108" s="281"/>
      <c r="CY108" s="281"/>
      <c r="CZ108" s="281"/>
      <c r="DA108" s="281"/>
      <c r="DB108" s="281"/>
      <c r="DC108" s="281"/>
      <c r="DD108" s="281"/>
      <c r="DE108" s="281"/>
      <c r="DF108" s="281"/>
      <c r="DG108" s="281"/>
      <c r="DH108" s="281"/>
      <c r="DI108" s="281"/>
      <c r="DJ108" s="281"/>
      <c r="DK108" s="281"/>
      <c r="DL108" s="281"/>
      <c r="DM108" s="281"/>
      <c r="DN108" s="281"/>
      <c r="DO108" s="281"/>
      <c r="DP108" s="281"/>
      <c r="DQ108" s="281"/>
      <c r="DR108" s="282"/>
    </row>
    <row r="109" spans="1:122" s="283" customFormat="1" ht="98.25" customHeight="1">
      <c r="A109" s="25">
        <v>8</v>
      </c>
      <c r="B109" s="38" t="s">
        <v>1739</v>
      </c>
      <c r="C109" s="38" t="s">
        <v>83</v>
      </c>
      <c r="D109" s="38" t="s">
        <v>1702</v>
      </c>
      <c r="E109" s="38" t="s">
        <v>3314</v>
      </c>
      <c r="F109" s="38">
        <v>7000000</v>
      </c>
      <c r="G109" s="11">
        <v>625967</v>
      </c>
      <c r="H109" s="60" t="s">
        <v>1740</v>
      </c>
      <c r="I109" s="38">
        <v>201051101</v>
      </c>
      <c r="J109" s="34">
        <v>5241.46</v>
      </c>
      <c r="K109" s="23">
        <f t="shared" si="6"/>
        <v>6184.9227999999994</v>
      </c>
      <c r="L109" s="38" t="s">
        <v>280</v>
      </c>
      <c r="M109" s="16" t="s">
        <v>1719</v>
      </c>
      <c r="N109" s="16" t="s">
        <v>1740</v>
      </c>
      <c r="O109" s="16" t="s">
        <v>171</v>
      </c>
      <c r="P109" s="38">
        <v>55</v>
      </c>
      <c r="Q109" s="25" t="s">
        <v>141</v>
      </c>
      <c r="R109" s="38">
        <v>324.54000000000002</v>
      </c>
      <c r="S109" s="38">
        <v>45260</v>
      </c>
      <c r="T109" s="38" t="s">
        <v>1706</v>
      </c>
      <c r="U109" s="52">
        <v>41699</v>
      </c>
      <c r="V109" s="52">
        <v>41699</v>
      </c>
      <c r="W109" s="52">
        <v>42035</v>
      </c>
      <c r="X109" s="60"/>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281"/>
      <c r="BQ109" s="281"/>
      <c r="BR109" s="281"/>
      <c r="BS109" s="281"/>
      <c r="BT109" s="281"/>
      <c r="BU109" s="281"/>
      <c r="BV109" s="281"/>
      <c r="BW109" s="281"/>
      <c r="BX109" s="281"/>
      <c r="BY109" s="281"/>
      <c r="BZ109" s="281"/>
      <c r="CA109" s="281"/>
      <c r="CB109" s="281"/>
      <c r="CC109" s="281"/>
      <c r="CD109" s="281"/>
      <c r="CE109" s="281"/>
      <c r="CF109" s="281"/>
      <c r="CG109" s="281"/>
      <c r="CH109" s="281"/>
      <c r="CI109" s="281"/>
      <c r="CJ109" s="281"/>
      <c r="CK109" s="281"/>
      <c r="CL109" s="281"/>
      <c r="CM109" s="281"/>
      <c r="CN109" s="281"/>
      <c r="CO109" s="281"/>
      <c r="CP109" s="281"/>
      <c r="CQ109" s="281"/>
      <c r="CR109" s="281"/>
      <c r="CS109" s="281"/>
      <c r="CT109" s="281"/>
      <c r="CU109" s="281"/>
      <c r="CV109" s="281"/>
      <c r="CW109" s="281"/>
      <c r="CX109" s="281"/>
      <c r="CY109" s="281"/>
      <c r="CZ109" s="281"/>
      <c r="DA109" s="281"/>
      <c r="DB109" s="281"/>
      <c r="DC109" s="281"/>
      <c r="DD109" s="281"/>
      <c r="DE109" s="281"/>
      <c r="DF109" s="281"/>
      <c r="DG109" s="281"/>
      <c r="DH109" s="281"/>
      <c r="DI109" s="281"/>
      <c r="DJ109" s="281"/>
      <c r="DK109" s="281"/>
      <c r="DL109" s="281"/>
      <c r="DM109" s="281"/>
      <c r="DN109" s="281"/>
      <c r="DO109" s="281"/>
      <c r="DP109" s="281"/>
      <c r="DQ109" s="281"/>
      <c r="DR109" s="282"/>
    </row>
    <row r="110" spans="1:122" s="286" customFormat="1" ht="75">
      <c r="A110" s="25">
        <v>8</v>
      </c>
      <c r="B110" s="38" t="s">
        <v>1741</v>
      </c>
      <c r="C110" s="38" t="s">
        <v>83</v>
      </c>
      <c r="D110" s="38" t="s">
        <v>1702</v>
      </c>
      <c r="E110" s="38" t="s">
        <v>886</v>
      </c>
      <c r="F110" s="38">
        <v>7000000</v>
      </c>
      <c r="G110" s="11">
        <v>625969</v>
      </c>
      <c r="H110" s="60" t="s">
        <v>1742</v>
      </c>
      <c r="I110" s="25">
        <v>201051101</v>
      </c>
      <c r="J110" s="23">
        <v>1491.83</v>
      </c>
      <c r="K110" s="23">
        <f t="shared" si="6"/>
        <v>1760.3593999999998</v>
      </c>
      <c r="L110" s="38" t="s">
        <v>280</v>
      </c>
      <c r="M110" s="16" t="s">
        <v>1704</v>
      </c>
      <c r="N110" s="16" t="s">
        <v>1742</v>
      </c>
      <c r="O110" s="16" t="s">
        <v>171</v>
      </c>
      <c r="P110" s="25">
        <v>55</v>
      </c>
      <c r="Q110" s="25" t="s">
        <v>141</v>
      </c>
      <c r="R110" s="25">
        <v>104.8</v>
      </c>
      <c r="S110" s="25">
        <v>45260</v>
      </c>
      <c r="T110" s="38" t="s">
        <v>1706</v>
      </c>
      <c r="U110" s="52">
        <v>41699</v>
      </c>
      <c r="V110" s="52">
        <v>41699</v>
      </c>
      <c r="W110" s="52">
        <v>42035</v>
      </c>
      <c r="X110" s="60"/>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c r="BA110" s="284"/>
      <c r="BB110" s="284"/>
      <c r="BC110" s="284"/>
      <c r="BD110" s="284"/>
      <c r="BE110" s="284"/>
      <c r="BF110" s="284"/>
      <c r="BG110" s="284"/>
      <c r="BH110" s="284"/>
      <c r="BI110" s="284"/>
      <c r="BJ110" s="284"/>
      <c r="BK110" s="284"/>
      <c r="BL110" s="284"/>
      <c r="BM110" s="284"/>
      <c r="BN110" s="284"/>
      <c r="BO110" s="284"/>
      <c r="BP110" s="284"/>
      <c r="BQ110" s="284"/>
      <c r="BR110" s="284"/>
      <c r="BS110" s="284"/>
      <c r="BT110" s="284"/>
      <c r="BU110" s="284"/>
      <c r="BV110" s="284"/>
      <c r="BW110" s="284"/>
      <c r="BX110" s="284"/>
      <c r="BY110" s="284"/>
      <c r="BZ110" s="284"/>
      <c r="CA110" s="284"/>
      <c r="CB110" s="284"/>
      <c r="CC110" s="284"/>
      <c r="CD110" s="284"/>
      <c r="CE110" s="284"/>
      <c r="CF110" s="284"/>
      <c r="CG110" s="284"/>
      <c r="CH110" s="284"/>
      <c r="CI110" s="284"/>
      <c r="CJ110" s="284"/>
      <c r="CK110" s="284"/>
      <c r="CL110" s="284"/>
      <c r="CM110" s="284"/>
      <c r="CN110" s="284"/>
      <c r="CO110" s="284"/>
      <c r="CP110" s="284"/>
      <c r="CQ110" s="284"/>
      <c r="CR110" s="284"/>
      <c r="CS110" s="284"/>
      <c r="CT110" s="284"/>
      <c r="CU110" s="284"/>
      <c r="CV110" s="284"/>
      <c r="CW110" s="284"/>
      <c r="CX110" s="284"/>
      <c r="CY110" s="284"/>
      <c r="CZ110" s="284"/>
      <c r="DA110" s="284"/>
      <c r="DB110" s="284"/>
      <c r="DC110" s="284"/>
      <c r="DD110" s="284"/>
      <c r="DE110" s="284"/>
      <c r="DF110" s="284"/>
      <c r="DG110" s="284"/>
      <c r="DH110" s="284"/>
      <c r="DI110" s="284"/>
      <c r="DJ110" s="284"/>
      <c r="DK110" s="284"/>
      <c r="DL110" s="284"/>
      <c r="DM110" s="284"/>
      <c r="DN110" s="284"/>
      <c r="DO110" s="284"/>
      <c r="DP110" s="284"/>
      <c r="DQ110" s="284"/>
      <c r="DR110" s="285"/>
    </row>
    <row r="111" spans="1:122" s="286" customFormat="1" ht="56.25">
      <c r="A111" s="25">
        <v>8</v>
      </c>
      <c r="B111" s="38" t="s">
        <v>1743</v>
      </c>
      <c r="C111" s="38" t="s">
        <v>83</v>
      </c>
      <c r="D111" s="38" t="s">
        <v>1702</v>
      </c>
      <c r="E111" s="38" t="s">
        <v>1286</v>
      </c>
      <c r="F111" s="38">
        <v>7000000</v>
      </c>
      <c r="G111" s="11">
        <v>625975</v>
      </c>
      <c r="H111" s="60" t="s">
        <v>1744</v>
      </c>
      <c r="I111" s="25">
        <v>201051101</v>
      </c>
      <c r="J111" s="23">
        <v>25170</v>
      </c>
      <c r="K111" s="23">
        <f t="shared" si="6"/>
        <v>29700.6</v>
      </c>
      <c r="L111" s="38" t="s">
        <v>280</v>
      </c>
      <c r="M111" s="16" t="s">
        <v>1745</v>
      </c>
      <c r="N111" s="16" t="s">
        <v>1744</v>
      </c>
      <c r="O111" s="16" t="s">
        <v>171</v>
      </c>
      <c r="P111" s="25">
        <v>55</v>
      </c>
      <c r="Q111" s="25" t="s">
        <v>141</v>
      </c>
      <c r="R111" s="25" t="s">
        <v>1746</v>
      </c>
      <c r="S111" s="25">
        <v>45260</v>
      </c>
      <c r="T111" s="38" t="s">
        <v>1747</v>
      </c>
      <c r="U111" s="97">
        <v>41883</v>
      </c>
      <c r="V111" s="52">
        <v>41883</v>
      </c>
      <c r="W111" s="97">
        <v>42216</v>
      </c>
      <c r="X111" s="60"/>
      <c r="Y111" s="284"/>
      <c r="Z111" s="284"/>
      <c r="AA111" s="284"/>
      <c r="AB111" s="284"/>
      <c r="AC111" s="284"/>
      <c r="AD111" s="284"/>
      <c r="AE111" s="284"/>
      <c r="AF111" s="284"/>
      <c r="AG111" s="284"/>
      <c r="AH111" s="284"/>
      <c r="AI111" s="284"/>
      <c r="AJ111" s="284"/>
      <c r="AK111" s="284"/>
      <c r="AL111" s="284"/>
      <c r="AM111" s="284"/>
      <c r="AN111" s="284"/>
      <c r="AO111" s="284"/>
      <c r="AP111" s="284"/>
      <c r="AQ111" s="284"/>
      <c r="AR111" s="284"/>
      <c r="AS111" s="284"/>
      <c r="AT111" s="284"/>
      <c r="AU111" s="284"/>
      <c r="AV111" s="284"/>
      <c r="AW111" s="284"/>
      <c r="AX111" s="284"/>
      <c r="AY111" s="284"/>
      <c r="AZ111" s="284"/>
      <c r="BA111" s="284"/>
      <c r="BB111" s="284"/>
      <c r="BC111" s="284"/>
      <c r="BD111" s="284"/>
      <c r="BE111" s="284"/>
      <c r="BF111" s="284"/>
      <c r="BG111" s="284"/>
      <c r="BH111" s="284"/>
      <c r="BI111" s="284"/>
      <c r="BJ111" s="284"/>
      <c r="BK111" s="284"/>
      <c r="BL111" s="284"/>
      <c r="BM111" s="284"/>
      <c r="BN111" s="284"/>
      <c r="BO111" s="284"/>
      <c r="BP111" s="284"/>
      <c r="BQ111" s="284"/>
      <c r="BR111" s="284"/>
      <c r="BS111" s="284"/>
      <c r="BT111" s="284"/>
      <c r="BU111" s="284"/>
      <c r="BV111" s="284"/>
      <c r="BW111" s="284"/>
      <c r="BX111" s="284"/>
      <c r="BY111" s="284"/>
      <c r="BZ111" s="284"/>
      <c r="CA111" s="284"/>
      <c r="CB111" s="284"/>
      <c r="CC111" s="284"/>
      <c r="CD111" s="284"/>
      <c r="CE111" s="284"/>
      <c r="CF111" s="284"/>
      <c r="CG111" s="284"/>
      <c r="CH111" s="284"/>
      <c r="CI111" s="284"/>
      <c r="CJ111" s="284"/>
      <c r="CK111" s="284"/>
      <c r="CL111" s="284"/>
      <c r="CM111" s="284"/>
      <c r="CN111" s="284"/>
      <c r="CO111" s="284"/>
      <c r="CP111" s="284"/>
      <c r="CQ111" s="284"/>
      <c r="CR111" s="284"/>
      <c r="CS111" s="284"/>
      <c r="CT111" s="284"/>
      <c r="CU111" s="284"/>
      <c r="CV111" s="284"/>
      <c r="CW111" s="284"/>
      <c r="CX111" s="284"/>
      <c r="CY111" s="284"/>
      <c r="CZ111" s="284"/>
      <c r="DA111" s="284"/>
      <c r="DB111" s="284"/>
      <c r="DC111" s="284"/>
      <c r="DD111" s="284"/>
      <c r="DE111" s="284"/>
      <c r="DF111" s="284"/>
      <c r="DG111" s="284"/>
      <c r="DH111" s="284"/>
      <c r="DI111" s="284"/>
      <c r="DJ111" s="284"/>
      <c r="DK111" s="284"/>
      <c r="DL111" s="284"/>
      <c r="DM111" s="284"/>
      <c r="DN111" s="284"/>
      <c r="DO111" s="284"/>
      <c r="DP111" s="284"/>
      <c r="DQ111" s="284"/>
      <c r="DR111" s="285"/>
    </row>
    <row r="112" spans="1:122" s="286" customFormat="1" ht="75">
      <c r="A112" s="25">
        <v>8</v>
      </c>
      <c r="B112" s="38" t="s">
        <v>6114</v>
      </c>
      <c r="C112" s="38" t="s">
        <v>83</v>
      </c>
      <c r="D112" s="38" t="s">
        <v>1702</v>
      </c>
      <c r="E112" s="38" t="s">
        <v>3316</v>
      </c>
      <c r="F112" s="38">
        <v>7000000</v>
      </c>
      <c r="G112" s="11">
        <v>626699</v>
      </c>
      <c r="H112" s="60" t="s">
        <v>6115</v>
      </c>
      <c r="I112" s="25">
        <v>201051102</v>
      </c>
      <c r="J112" s="23">
        <v>313699.34000000003</v>
      </c>
      <c r="K112" s="23">
        <f>J112*1.18</f>
        <v>370165.22120000003</v>
      </c>
      <c r="L112" s="38" t="s">
        <v>280</v>
      </c>
      <c r="M112" s="16" t="s">
        <v>1730</v>
      </c>
      <c r="N112" s="16" t="s">
        <v>6115</v>
      </c>
      <c r="O112" s="16" t="s">
        <v>171</v>
      </c>
      <c r="P112" s="25">
        <v>796</v>
      </c>
      <c r="Q112" s="25" t="s">
        <v>368</v>
      </c>
      <c r="R112" s="25">
        <v>29</v>
      </c>
      <c r="S112" s="25">
        <v>45260</v>
      </c>
      <c r="T112" s="38" t="s">
        <v>1750</v>
      </c>
      <c r="U112" s="97">
        <v>41699</v>
      </c>
      <c r="V112" s="52">
        <v>41699</v>
      </c>
      <c r="W112" s="97">
        <v>42035</v>
      </c>
      <c r="X112" s="60"/>
      <c r="Y112" s="284"/>
      <c r="Z112" s="284"/>
      <c r="AA112" s="284"/>
      <c r="AB112" s="284"/>
      <c r="AC112" s="284"/>
      <c r="AD112" s="284"/>
      <c r="AE112" s="284"/>
      <c r="AF112" s="284"/>
      <c r="AG112" s="284"/>
      <c r="AH112" s="284"/>
      <c r="AI112" s="284"/>
      <c r="AJ112" s="284"/>
      <c r="AK112" s="284"/>
      <c r="AL112" s="284"/>
      <c r="AM112" s="284"/>
      <c r="AN112" s="284"/>
      <c r="AO112" s="284"/>
      <c r="AP112" s="284"/>
      <c r="AQ112" s="284"/>
      <c r="AR112" s="284"/>
      <c r="AS112" s="284"/>
      <c r="AT112" s="284"/>
      <c r="AU112" s="284"/>
      <c r="AV112" s="284"/>
      <c r="AW112" s="284"/>
      <c r="AX112" s="284"/>
      <c r="AY112" s="284"/>
      <c r="AZ112" s="284"/>
      <c r="BA112" s="284"/>
      <c r="BB112" s="284"/>
      <c r="BC112" s="284"/>
      <c r="BD112" s="284"/>
      <c r="BE112" s="284"/>
      <c r="BF112" s="284"/>
      <c r="BG112" s="284"/>
      <c r="BH112" s="284"/>
      <c r="BI112" s="284"/>
      <c r="BJ112" s="284"/>
      <c r="BK112" s="284"/>
      <c r="BL112" s="284"/>
      <c r="BM112" s="284"/>
      <c r="BN112" s="284"/>
      <c r="BO112" s="284"/>
      <c r="BP112" s="284"/>
      <c r="BQ112" s="284"/>
      <c r="BR112" s="284"/>
      <c r="BS112" s="284"/>
      <c r="BT112" s="284"/>
      <c r="BU112" s="284"/>
      <c r="BV112" s="284"/>
      <c r="BW112" s="284"/>
      <c r="BX112" s="284"/>
      <c r="BY112" s="284"/>
      <c r="BZ112" s="284"/>
      <c r="CA112" s="284"/>
      <c r="CB112" s="284"/>
      <c r="CC112" s="284"/>
      <c r="CD112" s="284"/>
      <c r="CE112" s="284"/>
      <c r="CF112" s="284"/>
      <c r="CG112" s="284"/>
      <c r="CH112" s="284"/>
      <c r="CI112" s="284"/>
      <c r="CJ112" s="284"/>
      <c r="CK112" s="284"/>
      <c r="CL112" s="284"/>
      <c r="CM112" s="284"/>
      <c r="CN112" s="284"/>
      <c r="CO112" s="284"/>
      <c r="CP112" s="284"/>
      <c r="CQ112" s="284"/>
      <c r="CR112" s="284"/>
      <c r="CS112" s="284"/>
      <c r="CT112" s="284"/>
      <c r="CU112" s="284"/>
      <c r="CV112" s="284"/>
      <c r="CW112" s="284"/>
      <c r="CX112" s="284"/>
      <c r="CY112" s="284"/>
      <c r="CZ112" s="284"/>
      <c r="DA112" s="284"/>
      <c r="DB112" s="284"/>
      <c r="DC112" s="284"/>
      <c r="DD112" s="284"/>
      <c r="DE112" s="284"/>
      <c r="DF112" s="284"/>
      <c r="DG112" s="284"/>
      <c r="DH112" s="284"/>
      <c r="DI112" s="284"/>
      <c r="DJ112" s="284"/>
      <c r="DK112" s="284"/>
      <c r="DL112" s="284"/>
      <c r="DM112" s="284"/>
      <c r="DN112" s="284"/>
      <c r="DO112" s="284"/>
      <c r="DP112" s="284"/>
      <c r="DQ112" s="284"/>
      <c r="DR112" s="285"/>
    </row>
    <row r="113" spans="1:122" s="286" customFormat="1" ht="75">
      <c r="A113" s="25">
        <v>8</v>
      </c>
      <c r="B113" s="38" t="s">
        <v>1748</v>
      </c>
      <c r="C113" s="38" t="s">
        <v>83</v>
      </c>
      <c r="D113" s="38" t="s">
        <v>1702</v>
      </c>
      <c r="E113" s="38" t="s">
        <v>3316</v>
      </c>
      <c r="F113" s="38">
        <v>7000000</v>
      </c>
      <c r="G113" s="11">
        <v>625961</v>
      </c>
      <c r="H113" s="60" t="s">
        <v>1749</v>
      </c>
      <c r="I113" s="25">
        <v>201051102</v>
      </c>
      <c r="J113" s="23">
        <v>121845.6</v>
      </c>
      <c r="K113" s="23">
        <f t="shared" si="6"/>
        <v>143777.80799999999</v>
      </c>
      <c r="L113" s="38" t="s">
        <v>280</v>
      </c>
      <c r="M113" s="16" t="s">
        <v>1730</v>
      </c>
      <c r="N113" s="16" t="s">
        <v>1749</v>
      </c>
      <c r="O113" s="16" t="s">
        <v>171</v>
      </c>
      <c r="P113" s="25">
        <v>796</v>
      </c>
      <c r="Q113" s="25" t="s">
        <v>368</v>
      </c>
      <c r="R113" s="25">
        <v>29</v>
      </c>
      <c r="S113" s="25">
        <v>45260</v>
      </c>
      <c r="T113" s="38" t="s">
        <v>1750</v>
      </c>
      <c r="U113" s="51">
        <v>41852</v>
      </c>
      <c r="V113" s="51">
        <v>41852</v>
      </c>
      <c r="W113" s="51">
        <v>42185</v>
      </c>
      <c r="X113" s="60"/>
      <c r="Y113" s="284"/>
      <c r="Z113" s="284"/>
      <c r="AA113" s="284"/>
      <c r="AB113" s="284"/>
      <c r="AC113" s="284"/>
      <c r="AD113" s="284"/>
      <c r="AE113" s="284"/>
      <c r="AF113" s="284"/>
      <c r="AG113" s="284"/>
      <c r="AH113" s="284"/>
      <c r="AI113" s="284"/>
      <c r="AJ113" s="284"/>
      <c r="AK113" s="284"/>
      <c r="AL113" s="284"/>
      <c r="AM113" s="284"/>
      <c r="AN113" s="284"/>
      <c r="AO113" s="284"/>
      <c r="AP113" s="284"/>
      <c r="AQ113" s="284"/>
      <c r="AR113" s="284"/>
      <c r="AS113" s="284"/>
      <c r="AT113" s="284"/>
      <c r="AU113" s="284"/>
      <c r="AV113" s="284"/>
      <c r="AW113" s="284"/>
      <c r="AX113" s="284"/>
      <c r="AY113" s="284"/>
      <c r="AZ113" s="284"/>
      <c r="BA113" s="284"/>
      <c r="BB113" s="284"/>
      <c r="BC113" s="284"/>
      <c r="BD113" s="284"/>
      <c r="BE113" s="284"/>
      <c r="BF113" s="284"/>
      <c r="BG113" s="284"/>
      <c r="BH113" s="284"/>
      <c r="BI113" s="284"/>
      <c r="BJ113" s="284"/>
      <c r="BK113" s="284"/>
      <c r="BL113" s="284"/>
      <c r="BM113" s="284"/>
      <c r="BN113" s="284"/>
      <c r="BO113" s="284"/>
      <c r="BP113" s="284"/>
      <c r="BQ113" s="284"/>
      <c r="BR113" s="284"/>
      <c r="BS113" s="284"/>
      <c r="BT113" s="284"/>
      <c r="BU113" s="284"/>
      <c r="BV113" s="284"/>
      <c r="BW113" s="284"/>
      <c r="BX113" s="284"/>
      <c r="BY113" s="284"/>
      <c r="BZ113" s="284"/>
      <c r="CA113" s="284"/>
      <c r="CB113" s="284"/>
      <c r="CC113" s="284"/>
      <c r="CD113" s="284"/>
      <c r="CE113" s="284"/>
      <c r="CF113" s="284"/>
      <c r="CG113" s="284"/>
      <c r="CH113" s="284"/>
      <c r="CI113" s="284"/>
      <c r="CJ113" s="284"/>
      <c r="CK113" s="284"/>
      <c r="CL113" s="284"/>
      <c r="CM113" s="284"/>
      <c r="CN113" s="284"/>
      <c r="CO113" s="284"/>
      <c r="CP113" s="284"/>
      <c r="CQ113" s="284"/>
      <c r="CR113" s="284"/>
      <c r="CS113" s="284"/>
      <c r="CT113" s="284"/>
      <c r="CU113" s="284"/>
      <c r="CV113" s="284"/>
      <c r="CW113" s="284"/>
      <c r="CX113" s="284"/>
      <c r="CY113" s="284"/>
      <c r="CZ113" s="284"/>
      <c r="DA113" s="284"/>
      <c r="DB113" s="284"/>
      <c r="DC113" s="284"/>
      <c r="DD113" s="284"/>
      <c r="DE113" s="284"/>
      <c r="DF113" s="284"/>
      <c r="DG113" s="284"/>
      <c r="DH113" s="284"/>
      <c r="DI113" s="284"/>
      <c r="DJ113" s="284"/>
      <c r="DK113" s="284"/>
      <c r="DL113" s="284"/>
      <c r="DM113" s="284"/>
      <c r="DN113" s="284"/>
      <c r="DO113" s="284"/>
      <c r="DP113" s="284"/>
      <c r="DQ113" s="284"/>
      <c r="DR113" s="285"/>
    </row>
    <row r="114" spans="1:122" s="260" customFormat="1" ht="187.5">
      <c r="A114" s="25">
        <v>8</v>
      </c>
      <c r="B114" s="38" t="s">
        <v>515</v>
      </c>
      <c r="C114" s="38" t="s">
        <v>83</v>
      </c>
      <c r="D114" s="38" t="s">
        <v>516</v>
      </c>
      <c r="E114" s="38" t="s">
        <v>349</v>
      </c>
      <c r="F114" s="38">
        <v>4010000</v>
      </c>
      <c r="G114" s="63">
        <v>625985</v>
      </c>
      <c r="H114" s="60" t="s">
        <v>517</v>
      </c>
      <c r="I114" s="257" t="s">
        <v>505</v>
      </c>
      <c r="J114" s="23">
        <v>16812147.289999999</v>
      </c>
      <c r="K114" s="23">
        <f t="shared" si="6"/>
        <v>19838333.802199997</v>
      </c>
      <c r="L114" s="38" t="s">
        <v>280</v>
      </c>
      <c r="M114" s="16" t="s">
        <v>518</v>
      </c>
      <c r="N114" s="16" t="s">
        <v>517</v>
      </c>
      <c r="O114" s="16" t="s">
        <v>519</v>
      </c>
      <c r="P114" s="25">
        <v>796</v>
      </c>
      <c r="Q114" s="38" t="s">
        <v>94</v>
      </c>
      <c r="R114" s="25">
        <v>1</v>
      </c>
      <c r="S114" s="25">
        <v>45</v>
      </c>
      <c r="T114" s="38" t="s">
        <v>512</v>
      </c>
      <c r="U114" s="33">
        <v>41640</v>
      </c>
      <c r="V114" s="33">
        <v>41640</v>
      </c>
      <c r="W114" s="52">
        <v>42004</v>
      </c>
      <c r="X114" s="60"/>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c r="CG114" s="259"/>
      <c r="CH114" s="259"/>
      <c r="CI114" s="259"/>
      <c r="CJ114" s="259"/>
      <c r="CK114" s="259"/>
      <c r="CL114" s="259"/>
      <c r="CM114" s="259"/>
      <c r="CN114" s="259"/>
      <c r="CO114" s="259"/>
      <c r="CP114" s="259"/>
      <c r="CQ114" s="259"/>
      <c r="CR114" s="259"/>
      <c r="CS114" s="259"/>
      <c r="CT114" s="259"/>
      <c r="CU114" s="259"/>
      <c r="CV114" s="259"/>
      <c r="CW114" s="259"/>
      <c r="CX114" s="259"/>
      <c r="CY114" s="259"/>
      <c r="CZ114" s="259"/>
      <c r="DA114" s="259"/>
      <c r="DB114" s="259"/>
      <c r="DC114" s="259"/>
      <c r="DD114" s="259"/>
      <c r="DE114" s="259"/>
      <c r="DF114" s="259"/>
      <c r="DG114" s="259"/>
      <c r="DH114" s="259"/>
      <c r="DI114" s="259"/>
      <c r="DJ114" s="259"/>
      <c r="DK114" s="259"/>
      <c r="DL114" s="259"/>
      <c r="DM114" s="259"/>
      <c r="DN114" s="259"/>
      <c r="DO114" s="259"/>
      <c r="DP114" s="259"/>
      <c r="DQ114" s="259"/>
    </row>
    <row r="115" spans="1:122" s="267" customFormat="1" ht="225">
      <c r="A115" s="25">
        <v>8</v>
      </c>
      <c r="B115" s="38" t="s">
        <v>361</v>
      </c>
      <c r="C115" s="38" t="s">
        <v>83</v>
      </c>
      <c r="D115" s="38" t="s">
        <v>362</v>
      </c>
      <c r="E115" s="38" t="s">
        <v>363</v>
      </c>
      <c r="F115" s="45">
        <v>7000000</v>
      </c>
      <c r="G115" s="11">
        <v>625915</v>
      </c>
      <c r="H115" s="60" t="s">
        <v>364</v>
      </c>
      <c r="I115" s="73" t="s">
        <v>365</v>
      </c>
      <c r="J115" s="23">
        <v>5000</v>
      </c>
      <c r="K115" s="23">
        <v>5000</v>
      </c>
      <c r="L115" s="38" t="s">
        <v>280</v>
      </c>
      <c r="M115" s="16" t="s">
        <v>366</v>
      </c>
      <c r="N115" s="16" t="s">
        <v>367</v>
      </c>
      <c r="O115" s="16" t="s">
        <v>171</v>
      </c>
      <c r="P115" s="38">
        <v>796</v>
      </c>
      <c r="Q115" s="38" t="s">
        <v>368</v>
      </c>
      <c r="R115" s="38">
        <v>1</v>
      </c>
      <c r="S115" s="45" t="s">
        <v>369</v>
      </c>
      <c r="T115" s="38" t="s">
        <v>926</v>
      </c>
      <c r="U115" s="33">
        <v>41640</v>
      </c>
      <c r="V115" s="33">
        <v>41640</v>
      </c>
      <c r="W115" s="52">
        <v>42004</v>
      </c>
      <c r="X115" s="60"/>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c r="DM115" s="266"/>
      <c r="DN115" s="266"/>
      <c r="DO115" s="266"/>
      <c r="DP115" s="266"/>
      <c r="DQ115" s="266"/>
    </row>
    <row r="116" spans="1:122" s="288" customFormat="1" ht="75">
      <c r="A116" s="25">
        <v>8</v>
      </c>
      <c r="B116" s="38" t="s">
        <v>370</v>
      </c>
      <c r="C116" s="38" t="s">
        <v>83</v>
      </c>
      <c r="D116" s="38" t="s">
        <v>362</v>
      </c>
      <c r="E116" s="38" t="s">
        <v>371</v>
      </c>
      <c r="F116" s="45">
        <v>7000000</v>
      </c>
      <c r="G116" s="11">
        <v>625933</v>
      </c>
      <c r="H116" s="60" t="s">
        <v>372</v>
      </c>
      <c r="I116" s="73" t="s">
        <v>373</v>
      </c>
      <c r="J116" s="34">
        <v>15000</v>
      </c>
      <c r="K116" s="34">
        <f t="shared" ref="K116:K148" si="7">J116*1.18</f>
        <v>17700</v>
      </c>
      <c r="L116" s="38" t="s">
        <v>280</v>
      </c>
      <c r="M116" s="16" t="s">
        <v>374</v>
      </c>
      <c r="N116" s="16" t="s">
        <v>372</v>
      </c>
      <c r="O116" s="16" t="s">
        <v>171</v>
      </c>
      <c r="P116" s="38">
        <v>796</v>
      </c>
      <c r="Q116" s="38" t="s">
        <v>368</v>
      </c>
      <c r="R116" s="38">
        <v>1</v>
      </c>
      <c r="S116" s="45" t="s">
        <v>3854</v>
      </c>
      <c r="T116" s="38" t="s">
        <v>3855</v>
      </c>
      <c r="U116" s="33">
        <v>41640</v>
      </c>
      <c r="V116" s="33">
        <v>41640</v>
      </c>
      <c r="W116" s="52">
        <v>42004</v>
      </c>
      <c r="X116" s="60"/>
      <c r="Y116" s="287"/>
      <c r="Z116" s="287"/>
      <c r="AA116" s="287"/>
      <c r="AB116" s="287"/>
      <c r="AC116" s="287"/>
      <c r="AD116" s="287"/>
      <c r="AE116" s="287"/>
      <c r="AF116" s="287"/>
      <c r="AG116" s="287"/>
      <c r="AH116" s="287"/>
      <c r="AI116" s="287"/>
      <c r="AJ116" s="287"/>
      <c r="AK116" s="287"/>
      <c r="AL116" s="287"/>
      <c r="AM116" s="287"/>
      <c r="AN116" s="287"/>
      <c r="AO116" s="287"/>
      <c r="AP116" s="287"/>
      <c r="AQ116" s="287"/>
      <c r="AR116" s="287"/>
      <c r="AS116" s="287"/>
      <c r="AT116" s="287"/>
      <c r="AU116" s="287"/>
      <c r="AV116" s="287"/>
      <c r="AW116" s="287"/>
      <c r="AX116" s="287"/>
      <c r="AY116" s="287"/>
      <c r="AZ116" s="287"/>
      <c r="BA116" s="287"/>
      <c r="BB116" s="287"/>
      <c r="BC116" s="287"/>
      <c r="BD116" s="287"/>
      <c r="BE116" s="287"/>
      <c r="BF116" s="287"/>
      <c r="BG116" s="287"/>
      <c r="BH116" s="287"/>
      <c r="BI116" s="287"/>
      <c r="BJ116" s="287"/>
      <c r="BK116" s="287"/>
      <c r="BL116" s="287"/>
      <c r="BM116" s="287"/>
      <c r="BN116" s="287"/>
      <c r="BO116" s="287"/>
      <c r="BP116" s="287"/>
      <c r="BQ116" s="287"/>
      <c r="BR116" s="287"/>
      <c r="BS116" s="287"/>
      <c r="BT116" s="287"/>
      <c r="BU116" s="287"/>
      <c r="BV116" s="287"/>
      <c r="BW116" s="287"/>
      <c r="BX116" s="287"/>
      <c r="BY116" s="287"/>
      <c r="BZ116" s="287"/>
      <c r="CA116" s="287"/>
      <c r="CB116" s="287"/>
      <c r="CC116" s="287"/>
      <c r="CD116" s="287"/>
      <c r="CE116" s="287"/>
      <c r="CF116" s="287"/>
      <c r="CG116" s="287"/>
      <c r="CH116" s="287"/>
      <c r="CI116" s="287"/>
      <c r="CJ116" s="287"/>
      <c r="CK116" s="287"/>
      <c r="CL116" s="287"/>
      <c r="CM116" s="287"/>
      <c r="CN116" s="287"/>
      <c r="CO116" s="287"/>
      <c r="CP116" s="287"/>
      <c r="CQ116" s="287"/>
      <c r="CR116" s="287"/>
      <c r="CS116" s="287"/>
      <c r="CT116" s="287"/>
      <c r="CU116" s="287"/>
      <c r="CV116" s="287"/>
      <c r="CW116" s="287"/>
      <c r="CX116" s="287"/>
      <c r="CY116" s="287"/>
      <c r="CZ116" s="287"/>
      <c r="DA116" s="287"/>
      <c r="DB116" s="287"/>
      <c r="DC116" s="287"/>
      <c r="DD116" s="287"/>
      <c r="DE116" s="287"/>
      <c r="DF116" s="287"/>
      <c r="DG116" s="287"/>
      <c r="DH116" s="287"/>
      <c r="DI116" s="287"/>
      <c r="DJ116" s="287"/>
      <c r="DK116" s="287"/>
      <c r="DL116" s="287"/>
      <c r="DM116" s="287"/>
      <c r="DN116" s="287"/>
      <c r="DO116" s="287"/>
      <c r="DP116" s="287"/>
      <c r="DQ116" s="287"/>
    </row>
    <row r="117" spans="1:122" s="288" customFormat="1" ht="112.5">
      <c r="A117" s="25">
        <v>8</v>
      </c>
      <c r="B117" s="38" t="s">
        <v>375</v>
      </c>
      <c r="C117" s="38" t="s">
        <v>83</v>
      </c>
      <c r="D117" s="38" t="s">
        <v>362</v>
      </c>
      <c r="E117" s="38" t="s">
        <v>376</v>
      </c>
      <c r="F117" s="45">
        <v>7000000</v>
      </c>
      <c r="G117" s="11">
        <v>625930</v>
      </c>
      <c r="H117" s="60" t="s">
        <v>372</v>
      </c>
      <c r="I117" s="73" t="s">
        <v>373</v>
      </c>
      <c r="J117" s="34">
        <v>30000</v>
      </c>
      <c r="K117" s="34">
        <f t="shared" si="7"/>
        <v>35400</v>
      </c>
      <c r="L117" s="38" t="s">
        <v>280</v>
      </c>
      <c r="M117" s="16" t="s">
        <v>377</v>
      </c>
      <c r="N117" s="16" t="s">
        <v>372</v>
      </c>
      <c r="O117" s="16" t="s">
        <v>171</v>
      </c>
      <c r="P117" s="38">
        <v>796</v>
      </c>
      <c r="Q117" s="38" t="s">
        <v>368</v>
      </c>
      <c r="R117" s="38">
        <v>1</v>
      </c>
      <c r="S117" s="45" t="s">
        <v>369</v>
      </c>
      <c r="T117" s="38" t="s">
        <v>926</v>
      </c>
      <c r="U117" s="33">
        <v>41640</v>
      </c>
      <c r="V117" s="33">
        <v>41640</v>
      </c>
      <c r="W117" s="52">
        <v>42004</v>
      </c>
      <c r="X117" s="60"/>
      <c r="Y117" s="287"/>
      <c r="Z117" s="287"/>
      <c r="AA117" s="287"/>
      <c r="AB117" s="287"/>
      <c r="AC117" s="287"/>
      <c r="AD117" s="287"/>
      <c r="AE117" s="287"/>
      <c r="AF117" s="287"/>
      <c r="AG117" s="287"/>
      <c r="AH117" s="287"/>
      <c r="AI117" s="287"/>
      <c r="AJ117" s="287"/>
      <c r="AK117" s="287"/>
      <c r="AL117" s="287"/>
      <c r="AM117" s="287"/>
      <c r="AN117" s="287"/>
      <c r="AO117" s="287"/>
      <c r="AP117" s="287"/>
      <c r="AQ117" s="287"/>
      <c r="AR117" s="287"/>
      <c r="AS117" s="287"/>
      <c r="AT117" s="287"/>
      <c r="AU117" s="287"/>
      <c r="AV117" s="287"/>
      <c r="AW117" s="287"/>
      <c r="AX117" s="287"/>
      <c r="AY117" s="287"/>
      <c r="AZ117" s="287"/>
      <c r="BA117" s="287"/>
      <c r="BB117" s="287"/>
      <c r="BC117" s="287"/>
      <c r="BD117" s="287"/>
      <c r="BE117" s="287"/>
      <c r="BF117" s="287"/>
      <c r="BG117" s="287"/>
      <c r="BH117" s="287"/>
      <c r="BI117" s="287"/>
      <c r="BJ117" s="287"/>
      <c r="BK117" s="287"/>
      <c r="BL117" s="287"/>
      <c r="BM117" s="287"/>
      <c r="BN117" s="287"/>
      <c r="BO117" s="287"/>
      <c r="BP117" s="287"/>
      <c r="BQ117" s="287"/>
      <c r="BR117" s="287"/>
      <c r="BS117" s="287"/>
      <c r="BT117" s="287"/>
      <c r="BU117" s="287"/>
      <c r="BV117" s="287"/>
      <c r="BW117" s="287"/>
      <c r="BX117" s="287"/>
      <c r="BY117" s="287"/>
      <c r="BZ117" s="287"/>
      <c r="CA117" s="287"/>
      <c r="CB117" s="287"/>
      <c r="CC117" s="287"/>
      <c r="CD117" s="287"/>
      <c r="CE117" s="287"/>
      <c r="CF117" s="287"/>
      <c r="CG117" s="287"/>
      <c r="CH117" s="287"/>
      <c r="CI117" s="287"/>
      <c r="CJ117" s="287"/>
      <c r="CK117" s="287"/>
      <c r="CL117" s="287"/>
      <c r="CM117" s="287"/>
      <c r="CN117" s="287"/>
      <c r="CO117" s="287"/>
      <c r="CP117" s="287"/>
      <c r="CQ117" s="287"/>
      <c r="CR117" s="287"/>
      <c r="CS117" s="287"/>
      <c r="CT117" s="287"/>
      <c r="CU117" s="287"/>
      <c r="CV117" s="287"/>
      <c r="CW117" s="287"/>
      <c r="CX117" s="287"/>
      <c r="CY117" s="287"/>
      <c r="CZ117" s="287"/>
      <c r="DA117" s="287"/>
      <c r="DB117" s="287"/>
      <c r="DC117" s="287"/>
      <c r="DD117" s="287"/>
      <c r="DE117" s="287"/>
      <c r="DF117" s="287"/>
      <c r="DG117" s="287"/>
      <c r="DH117" s="287"/>
      <c r="DI117" s="287"/>
      <c r="DJ117" s="287"/>
      <c r="DK117" s="287"/>
      <c r="DL117" s="287"/>
      <c r="DM117" s="287"/>
      <c r="DN117" s="287"/>
      <c r="DO117" s="287"/>
      <c r="DP117" s="287"/>
      <c r="DQ117" s="287"/>
    </row>
    <row r="118" spans="1:122" s="288" customFormat="1" ht="75">
      <c r="A118" s="25">
        <v>8</v>
      </c>
      <c r="B118" s="38" t="s">
        <v>378</v>
      </c>
      <c r="C118" s="38" t="s">
        <v>83</v>
      </c>
      <c r="D118" s="38" t="s">
        <v>362</v>
      </c>
      <c r="E118" s="38" t="s">
        <v>379</v>
      </c>
      <c r="F118" s="45">
        <v>7000000</v>
      </c>
      <c r="G118" s="11">
        <v>625931</v>
      </c>
      <c r="H118" s="60" t="s">
        <v>380</v>
      </c>
      <c r="I118" s="73" t="s">
        <v>373</v>
      </c>
      <c r="J118" s="34">
        <v>1500</v>
      </c>
      <c r="K118" s="34">
        <f t="shared" si="7"/>
        <v>1770</v>
      </c>
      <c r="L118" s="38" t="s">
        <v>280</v>
      </c>
      <c r="M118" s="16" t="s">
        <v>381</v>
      </c>
      <c r="N118" s="16" t="s">
        <v>380</v>
      </c>
      <c r="O118" s="16" t="s">
        <v>171</v>
      </c>
      <c r="P118" s="38">
        <v>796</v>
      </c>
      <c r="Q118" s="38" t="s">
        <v>368</v>
      </c>
      <c r="R118" s="38">
        <v>1</v>
      </c>
      <c r="S118" s="45" t="s">
        <v>3854</v>
      </c>
      <c r="T118" s="38" t="s">
        <v>3855</v>
      </c>
      <c r="U118" s="33">
        <v>41640</v>
      </c>
      <c r="V118" s="33">
        <v>41640</v>
      </c>
      <c r="W118" s="52">
        <v>42004</v>
      </c>
      <c r="X118" s="60"/>
      <c r="Y118" s="287"/>
      <c r="Z118" s="287"/>
      <c r="AA118" s="287"/>
      <c r="AB118" s="287"/>
      <c r="AC118" s="287"/>
      <c r="AD118" s="287"/>
      <c r="AE118" s="287"/>
      <c r="AF118" s="287"/>
      <c r="AG118" s="287"/>
      <c r="AH118" s="287"/>
      <c r="AI118" s="287"/>
      <c r="AJ118" s="287"/>
      <c r="AK118" s="287"/>
      <c r="AL118" s="287"/>
      <c r="AM118" s="287"/>
      <c r="AN118" s="287"/>
      <c r="AO118" s="287"/>
      <c r="AP118" s="287"/>
      <c r="AQ118" s="287"/>
      <c r="AR118" s="287"/>
      <c r="AS118" s="287"/>
      <c r="AT118" s="287"/>
      <c r="AU118" s="287"/>
      <c r="AV118" s="287"/>
      <c r="AW118" s="287"/>
      <c r="AX118" s="287"/>
      <c r="AY118" s="287"/>
      <c r="AZ118" s="287"/>
      <c r="BA118" s="287"/>
      <c r="BB118" s="287"/>
      <c r="BC118" s="287"/>
      <c r="BD118" s="287"/>
      <c r="BE118" s="287"/>
      <c r="BF118" s="287"/>
      <c r="BG118" s="287"/>
      <c r="BH118" s="287"/>
      <c r="BI118" s="287"/>
      <c r="BJ118" s="287"/>
      <c r="BK118" s="287"/>
      <c r="BL118" s="287"/>
      <c r="BM118" s="287"/>
      <c r="BN118" s="287"/>
      <c r="BO118" s="287"/>
      <c r="BP118" s="287"/>
      <c r="BQ118" s="287"/>
      <c r="BR118" s="287"/>
      <c r="BS118" s="287"/>
      <c r="BT118" s="287"/>
      <c r="BU118" s="287"/>
      <c r="BV118" s="287"/>
      <c r="BW118" s="287"/>
      <c r="BX118" s="287"/>
      <c r="BY118" s="287"/>
      <c r="BZ118" s="287"/>
      <c r="CA118" s="287"/>
      <c r="CB118" s="287"/>
      <c r="CC118" s="287"/>
      <c r="CD118" s="287"/>
      <c r="CE118" s="287"/>
      <c r="CF118" s="287"/>
      <c r="CG118" s="287"/>
      <c r="CH118" s="287"/>
      <c r="CI118" s="287"/>
      <c r="CJ118" s="287"/>
      <c r="CK118" s="287"/>
      <c r="CL118" s="287"/>
      <c r="CM118" s="287"/>
      <c r="CN118" s="287"/>
      <c r="CO118" s="287"/>
      <c r="CP118" s="287"/>
      <c r="CQ118" s="287"/>
      <c r="CR118" s="287"/>
      <c r="CS118" s="287"/>
      <c r="CT118" s="287"/>
      <c r="CU118" s="287"/>
      <c r="CV118" s="287"/>
      <c r="CW118" s="287"/>
      <c r="CX118" s="287"/>
      <c r="CY118" s="287"/>
      <c r="CZ118" s="287"/>
      <c r="DA118" s="287"/>
      <c r="DB118" s="287"/>
      <c r="DC118" s="287"/>
      <c r="DD118" s="287"/>
      <c r="DE118" s="287"/>
      <c r="DF118" s="287"/>
      <c r="DG118" s="287"/>
      <c r="DH118" s="287"/>
      <c r="DI118" s="287"/>
      <c r="DJ118" s="287"/>
      <c r="DK118" s="287"/>
      <c r="DL118" s="287"/>
      <c r="DM118" s="287"/>
      <c r="DN118" s="287"/>
      <c r="DO118" s="287"/>
      <c r="DP118" s="287"/>
      <c r="DQ118" s="287"/>
    </row>
    <row r="119" spans="1:122" s="291" customFormat="1" ht="93.75">
      <c r="A119" s="25">
        <v>8</v>
      </c>
      <c r="B119" s="289" t="s">
        <v>382</v>
      </c>
      <c r="C119" s="38" t="s">
        <v>83</v>
      </c>
      <c r="D119" s="38" t="s">
        <v>362</v>
      </c>
      <c r="E119" s="38" t="s">
        <v>371</v>
      </c>
      <c r="F119" s="45">
        <v>7000000</v>
      </c>
      <c r="G119" s="11">
        <v>625938</v>
      </c>
      <c r="H119" s="60" t="s">
        <v>383</v>
      </c>
      <c r="I119" s="73" t="s">
        <v>373</v>
      </c>
      <c r="J119" s="34">
        <v>20000</v>
      </c>
      <c r="K119" s="34">
        <f t="shared" si="7"/>
        <v>23600</v>
      </c>
      <c r="L119" s="38" t="s">
        <v>280</v>
      </c>
      <c r="M119" s="16" t="s">
        <v>384</v>
      </c>
      <c r="N119" s="16" t="s">
        <v>383</v>
      </c>
      <c r="O119" s="16" t="s">
        <v>171</v>
      </c>
      <c r="P119" s="38">
        <v>796</v>
      </c>
      <c r="Q119" s="38" t="s">
        <v>368</v>
      </c>
      <c r="R119" s="38">
        <v>1</v>
      </c>
      <c r="S119" s="45" t="s">
        <v>3856</v>
      </c>
      <c r="T119" s="38" t="s">
        <v>3857</v>
      </c>
      <c r="U119" s="33">
        <v>41640</v>
      </c>
      <c r="V119" s="33">
        <v>41640</v>
      </c>
      <c r="W119" s="52">
        <v>42004</v>
      </c>
      <c r="X119" s="6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c r="DI119" s="290"/>
      <c r="DJ119" s="290"/>
      <c r="DK119" s="290"/>
      <c r="DL119" s="290"/>
      <c r="DM119" s="290"/>
      <c r="DN119" s="290"/>
      <c r="DO119" s="290"/>
      <c r="DP119" s="290"/>
      <c r="DQ119" s="290"/>
    </row>
    <row r="120" spans="1:122" s="291" customFormat="1" ht="112.5">
      <c r="A120" s="25">
        <v>8</v>
      </c>
      <c r="B120" s="289" t="s">
        <v>3385</v>
      </c>
      <c r="C120" s="38" t="s">
        <v>83</v>
      </c>
      <c r="D120" s="38" t="s">
        <v>3386</v>
      </c>
      <c r="E120" s="38" t="s">
        <v>917</v>
      </c>
      <c r="F120" s="45">
        <v>4526298</v>
      </c>
      <c r="G120" s="11">
        <v>860004</v>
      </c>
      <c r="H120" s="60" t="s">
        <v>1116</v>
      </c>
      <c r="I120" s="73">
        <v>201051101</v>
      </c>
      <c r="J120" s="34">
        <v>1225.1483050847457</v>
      </c>
      <c r="K120" s="34">
        <f t="shared" si="7"/>
        <v>1445.675</v>
      </c>
      <c r="L120" s="38" t="s">
        <v>280</v>
      </c>
      <c r="M120" s="16" t="s">
        <v>1117</v>
      </c>
      <c r="N120" s="16" t="s">
        <v>920</v>
      </c>
      <c r="O120" s="16" t="s">
        <v>171</v>
      </c>
      <c r="P120" s="38" t="s">
        <v>140</v>
      </c>
      <c r="Q120" s="38" t="s">
        <v>737</v>
      </c>
      <c r="R120" s="38">
        <v>289.39999999999998</v>
      </c>
      <c r="S120" s="45">
        <v>46</v>
      </c>
      <c r="T120" s="38" t="s">
        <v>1118</v>
      </c>
      <c r="U120" s="33">
        <v>41852</v>
      </c>
      <c r="V120" s="33">
        <v>41852</v>
      </c>
      <c r="W120" s="52">
        <v>42185</v>
      </c>
      <c r="X120" s="60"/>
      <c r="Y120" s="290"/>
      <c r="Z120" s="290"/>
      <c r="AA120" s="290"/>
      <c r="AB120" s="290"/>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c r="BN120" s="290"/>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c r="DI120" s="290"/>
      <c r="DJ120" s="290"/>
      <c r="DK120" s="290"/>
      <c r="DL120" s="290"/>
      <c r="DM120" s="290"/>
      <c r="DN120" s="290"/>
      <c r="DO120" s="290"/>
      <c r="DP120" s="290"/>
      <c r="DQ120" s="290"/>
    </row>
    <row r="121" spans="1:122" s="291" customFormat="1" ht="112.5">
      <c r="A121" s="25">
        <v>8</v>
      </c>
      <c r="B121" s="289" t="s">
        <v>3387</v>
      </c>
      <c r="C121" s="38" t="s">
        <v>83</v>
      </c>
      <c r="D121" s="38" t="s">
        <v>3386</v>
      </c>
      <c r="E121" s="38" t="s">
        <v>917</v>
      </c>
      <c r="F121" s="45">
        <v>4526298</v>
      </c>
      <c r="G121" s="11">
        <v>860005</v>
      </c>
      <c r="H121" s="60" t="s">
        <v>1119</v>
      </c>
      <c r="I121" s="73">
        <v>201051101</v>
      </c>
      <c r="J121" s="34">
        <v>447.4576271186441</v>
      </c>
      <c r="K121" s="34">
        <f t="shared" si="7"/>
        <v>528</v>
      </c>
      <c r="L121" s="38" t="s">
        <v>280</v>
      </c>
      <c r="M121" s="16" t="s">
        <v>1120</v>
      </c>
      <c r="N121" s="16" t="s">
        <v>920</v>
      </c>
      <c r="O121" s="16" t="s">
        <v>171</v>
      </c>
      <c r="P121" s="38" t="s">
        <v>140</v>
      </c>
      <c r="Q121" s="38" t="s">
        <v>737</v>
      </c>
      <c r="R121" s="38">
        <v>64.400000000000006</v>
      </c>
      <c r="S121" s="45">
        <v>46</v>
      </c>
      <c r="T121" s="38" t="s">
        <v>1118</v>
      </c>
      <c r="U121" s="33">
        <v>41852</v>
      </c>
      <c r="V121" s="33">
        <v>41852</v>
      </c>
      <c r="W121" s="52">
        <v>42185</v>
      </c>
      <c r="X121" s="60"/>
      <c r="Y121" s="290"/>
      <c r="Z121" s="290"/>
      <c r="AA121" s="290"/>
      <c r="AB121" s="290"/>
      <c r="AC121" s="290"/>
      <c r="AD121" s="290"/>
      <c r="AE121" s="290"/>
      <c r="AF121" s="290"/>
      <c r="AG121" s="290"/>
      <c r="AH121" s="290"/>
      <c r="AI121" s="290"/>
      <c r="AJ121" s="290"/>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c r="BG121" s="290"/>
      <c r="BH121" s="290"/>
      <c r="BI121" s="290"/>
      <c r="BJ121" s="290"/>
      <c r="BK121" s="290"/>
      <c r="BL121" s="290"/>
      <c r="BM121" s="290"/>
      <c r="BN121" s="290"/>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c r="DI121" s="290"/>
      <c r="DJ121" s="290"/>
      <c r="DK121" s="290"/>
      <c r="DL121" s="290"/>
      <c r="DM121" s="290"/>
      <c r="DN121" s="290"/>
      <c r="DO121" s="290"/>
      <c r="DP121" s="290"/>
      <c r="DQ121" s="290"/>
    </row>
    <row r="122" spans="1:122" s="291" customFormat="1" ht="112.5">
      <c r="A122" s="25">
        <v>8</v>
      </c>
      <c r="B122" s="289" t="s">
        <v>3388</v>
      </c>
      <c r="C122" s="38" t="s">
        <v>83</v>
      </c>
      <c r="D122" s="38" t="s">
        <v>3386</v>
      </c>
      <c r="E122" s="38" t="s">
        <v>917</v>
      </c>
      <c r="F122" s="45">
        <v>4526298</v>
      </c>
      <c r="G122" s="11">
        <v>860006</v>
      </c>
      <c r="H122" s="60" t="s">
        <v>1121</v>
      </c>
      <c r="I122" s="73">
        <v>201051101</v>
      </c>
      <c r="J122" s="34">
        <v>566.5</v>
      </c>
      <c r="K122" s="34">
        <f t="shared" si="7"/>
        <v>668.46999999999991</v>
      </c>
      <c r="L122" s="38" t="s">
        <v>280</v>
      </c>
      <c r="M122" s="16" t="s">
        <v>1122</v>
      </c>
      <c r="N122" s="16" t="s">
        <v>920</v>
      </c>
      <c r="O122" s="16" t="s">
        <v>171</v>
      </c>
      <c r="P122" s="38" t="s">
        <v>140</v>
      </c>
      <c r="Q122" s="38" t="s">
        <v>737</v>
      </c>
      <c r="R122" s="38">
        <v>73.5</v>
      </c>
      <c r="S122" s="45">
        <v>46</v>
      </c>
      <c r="T122" s="38" t="s">
        <v>1118</v>
      </c>
      <c r="U122" s="33">
        <v>41760</v>
      </c>
      <c r="V122" s="33">
        <v>41760</v>
      </c>
      <c r="W122" s="52">
        <v>42094</v>
      </c>
      <c r="X122" s="60"/>
      <c r="Y122" s="290"/>
      <c r="Z122" s="290"/>
      <c r="AA122" s="290"/>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c r="BG122" s="290"/>
      <c r="BH122" s="290"/>
      <c r="BI122" s="290"/>
      <c r="BJ122" s="290"/>
      <c r="BK122" s="290"/>
      <c r="BL122" s="290"/>
      <c r="BM122" s="290"/>
      <c r="BN122" s="290"/>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c r="DI122" s="290"/>
      <c r="DJ122" s="290"/>
      <c r="DK122" s="290"/>
      <c r="DL122" s="290"/>
      <c r="DM122" s="290"/>
      <c r="DN122" s="290"/>
      <c r="DO122" s="290"/>
      <c r="DP122" s="290"/>
      <c r="DQ122" s="290"/>
    </row>
    <row r="123" spans="1:122" s="291" customFormat="1" ht="112.5">
      <c r="A123" s="25">
        <v>8</v>
      </c>
      <c r="B123" s="289" t="s">
        <v>3389</v>
      </c>
      <c r="C123" s="38" t="s">
        <v>83</v>
      </c>
      <c r="D123" s="38" t="s">
        <v>3386</v>
      </c>
      <c r="E123" s="38" t="s">
        <v>917</v>
      </c>
      <c r="F123" s="45">
        <v>4526298</v>
      </c>
      <c r="G123" s="11">
        <v>860007</v>
      </c>
      <c r="H123" s="60" t="s">
        <v>1123</v>
      </c>
      <c r="I123" s="73">
        <v>201051101</v>
      </c>
      <c r="J123" s="34">
        <v>736.15410000000008</v>
      </c>
      <c r="K123" s="34">
        <f t="shared" si="7"/>
        <v>868.6618380000001</v>
      </c>
      <c r="L123" s="38" t="s">
        <v>280</v>
      </c>
      <c r="M123" s="16" t="s">
        <v>1124</v>
      </c>
      <c r="N123" s="16" t="s">
        <v>920</v>
      </c>
      <c r="O123" s="16" t="s">
        <v>171</v>
      </c>
      <c r="P123" s="38" t="s">
        <v>140</v>
      </c>
      <c r="Q123" s="38" t="s">
        <v>737</v>
      </c>
      <c r="R123" s="38">
        <v>124.2</v>
      </c>
      <c r="S123" s="45">
        <v>46</v>
      </c>
      <c r="T123" s="38" t="s">
        <v>1118</v>
      </c>
      <c r="U123" s="33">
        <v>41671</v>
      </c>
      <c r="V123" s="33">
        <v>41671</v>
      </c>
      <c r="W123" s="52">
        <v>42004</v>
      </c>
      <c r="X123" s="60"/>
      <c r="Y123" s="290"/>
      <c r="Z123" s="290"/>
      <c r="AA123" s="290"/>
      <c r="AB123" s="290"/>
      <c r="AC123" s="290"/>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c r="BG123" s="290"/>
      <c r="BH123" s="290"/>
      <c r="BI123" s="290"/>
      <c r="BJ123" s="290"/>
      <c r="BK123" s="290"/>
      <c r="BL123" s="290"/>
      <c r="BM123" s="290"/>
      <c r="BN123" s="290"/>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c r="DI123" s="290"/>
      <c r="DJ123" s="290"/>
      <c r="DK123" s="290"/>
      <c r="DL123" s="290"/>
      <c r="DM123" s="290"/>
      <c r="DN123" s="290"/>
      <c r="DO123" s="290"/>
      <c r="DP123" s="290"/>
      <c r="DQ123" s="290"/>
    </row>
    <row r="124" spans="1:122" s="291" customFormat="1" ht="112.5">
      <c r="A124" s="25">
        <v>8</v>
      </c>
      <c r="B124" s="289" t="s">
        <v>3390</v>
      </c>
      <c r="C124" s="38" t="s">
        <v>83</v>
      </c>
      <c r="D124" s="38" t="s">
        <v>3386</v>
      </c>
      <c r="E124" s="38" t="s">
        <v>917</v>
      </c>
      <c r="F124" s="45">
        <v>4526298</v>
      </c>
      <c r="G124" s="11">
        <v>860008</v>
      </c>
      <c r="H124" s="60" t="s">
        <v>1125</v>
      </c>
      <c r="I124" s="73">
        <v>201051101</v>
      </c>
      <c r="J124" s="34">
        <v>847.82203389830511</v>
      </c>
      <c r="K124" s="34">
        <f t="shared" si="7"/>
        <v>1000.43</v>
      </c>
      <c r="L124" s="38" t="s">
        <v>280</v>
      </c>
      <c r="M124" s="16" t="s">
        <v>1126</v>
      </c>
      <c r="N124" s="16" t="s">
        <v>920</v>
      </c>
      <c r="O124" s="16" t="s">
        <v>171</v>
      </c>
      <c r="P124" s="38" t="s">
        <v>140</v>
      </c>
      <c r="Q124" s="38" t="s">
        <v>737</v>
      </c>
      <c r="R124" s="38">
        <v>110.4</v>
      </c>
      <c r="S124" s="45">
        <v>45</v>
      </c>
      <c r="T124" s="38" t="s">
        <v>547</v>
      </c>
      <c r="U124" s="33">
        <v>41883</v>
      </c>
      <c r="V124" s="33">
        <v>41883</v>
      </c>
      <c r="W124" s="52">
        <v>42216</v>
      </c>
      <c r="X124" s="60"/>
      <c r="Y124" s="290"/>
      <c r="Z124" s="290"/>
      <c r="AA124" s="290"/>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c r="BG124" s="290"/>
      <c r="BH124" s="290"/>
      <c r="BI124" s="290"/>
      <c r="BJ124" s="290"/>
      <c r="BK124" s="290"/>
      <c r="BL124" s="290"/>
      <c r="BM124" s="290"/>
      <c r="BN124" s="290"/>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c r="DB124" s="290"/>
      <c r="DC124" s="290"/>
      <c r="DD124" s="290"/>
      <c r="DE124" s="290"/>
      <c r="DF124" s="290"/>
      <c r="DG124" s="290"/>
      <c r="DH124" s="290"/>
      <c r="DI124" s="290"/>
      <c r="DJ124" s="290"/>
      <c r="DK124" s="290"/>
      <c r="DL124" s="290"/>
      <c r="DM124" s="290"/>
      <c r="DN124" s="290"/>
      <c r="DO124" s="290"/>
      <c r="DP124" s="290"/>
      <c r="DQ124" s="290"/>
    </row>
    <row r="125" spans="1:122" s="291" customFormat="1" ht="112.5">
      <c r="A125" s="25">
        <v>8</v>
      </c>
      <c r="B125" s="289" t="s">
        <v>3391</v>
      </c>
      <c r="C125" s="38" t="s">
        <v>83</v>
      </c>
      <c r="D125" s="38" t="s">
        <v>3392</v>
      </c>
      <c r="E125" s="38" t="s">
        <v>917</v>
      </c>
      <c r="F125" s="45">
        <v>4526298</v>
      </c>
      <c r="G125" s="11">
        <v>860009</v>
      </c>
      <c r="H125" s="60" t="s">
        <v>1127</v>
      </c>
      <c r="I125" s="73">
        <v>201051101</v>
      </c>
      <c r="J125" s="34">
        <v>6042.5097457627116</v>
      </c>
      <c r="K125" s="34">
        <f t="shared" si="7"/>
        <v>7130.1614999999993</v>
      </c>
      <c r="L125" s="38" t="s">
        <v>280</v>
      </c>
      <c r="M125" s="16" t="s">
        <v>1128</v>
      </c>
      <c r="N125" s="16" t="s">
        <v>920</v>
      </c>
      <c r="O125" s="16" t="s">
        <v>171</v>
      </c>
      <c r="P125" s="38" t="s">
        <v>140</v>
      </c>
      <c r="Q125" s="38" t="s">
        <v>737</v>
      </c>
      <c r="R125" s="38">
        <v>601.6</v>
      </c>
      <c r="S125" s="45">
        <v>45</v>
      </c>
      <c r="T125" s="38" t="s">
        <v>547</v>
      </c>
      <c r="U125" s="33">
        <v>41821</v>
      </c>
      <c r="V125" s="33">
        <v>41821</v>
      </c>
      <c r="W125" s="52">
        <v>42155</v>
      </c>
      <c r="X125" s="60"/>
      <c r="Y125" s="290"/>
      <c r="Z125" s="290"/>
      <c r="AA125" s="290"/>
      <c r="AB125" s="290"/>
      <c r="AC125" s="290"/>
      <c r="AD125" s="290"/>
      <c r="AE125" s="290"/>
      <c r="AF125" s="290"/>
      <c r="AG125" s="290"/>
      <c r="AH125" s="290"/>
      <c r="AI125" s="290"/>
      <c r="AJ125" s="290"/>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c r="BG125" s="290"/>
      <c r="BH125" s="290"/>
      <c r="BI125" s="290"/>
      <c r="BJ125" s="290"/>
      <c r="BK125" s="290"/>
      <c r="BL125" s="290"/>
      <c r="BM125" s="290"/>
      <c r="BN125" s="290"/>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c r="DB125" s="290"/>
      <c r="DC125" s="290"/>
      <c r="DD125" s="290"/>
      <c r="DE125" s="290"/>
      <c r="DF125" s="290"/>
      <c r="DG125" s="290"/>
      <c r="DH125" s="290"/>
      <c r="DI125" s="290"/>
      <c r="DJ125" s="290"/>
      <c r="DK125" s="290"/>
      <c r="DL125" s="290"/>
      <c r="DM125" s="290"/>
      <c r="DN125" s="290"/>
      <c r="DO125" s="290"/>
      <c r="DP125" s="290"/>
      <c r="DQ125" s="290"/>
    </row>
    <row r="126" spans="1:122" s="291" customFormat="1" ht="112.5">
      <c r="A126" s="25">
        <v>8</v>
      </c>
      <c r="B126" s="289" t="s">
        <v>3393</v>
      </c>
      <c r="C126" s="38" t="s">
        <v>83</v>
      </c>
      <c r="D126" s="38" t="s">
        <v>3392</v>
      </c>
      <c r="E126" s="38" t="s">
        <v>917</v>
      </c>
      <c r="F126" s="45">
        <v>4526298</v>
      </c>
      <c r="G126" s="11">
        <v>860010</v>
      </c>
      <c r="H126" s="60" t="s">
        <v>1129</v>
      </c>
      <c r="I126" s="73">
        <v>201051101</v>
      </c>
      <c r="J126" s="34">
        <v>2283.898305084746</v>
      </c>
      <c r="K126" s="34">
        <f t="shared" si="7"/>
        <v>2695</v>
      </c>
      <c r="L126" s="38" t="s">
        <v>280</v>
      </c>
      <c r="M126" s="16" t="s">
        <v>1130</v>
      </c>
      <c r="N126" s="16" t="s">
        <v>920</v>
      </c>
      <c r="O126" s="16" t="s">
        <v>171</v>
      </c>
      <c r="P126" s="38" t="s">
        <v>140</v>
      </c>
      <c r="Q126" s="38" t="s">
        <v>737</v>
      </c>
      <c r="R126" s="38">
        <v>232.3</v>
      </c>
      <c r="S126" s="45">
        <v>45</v>
      </c>
      <c r="T126" s="38" t="s">
        <v>547</v>
      </c>
      <c r="U126" s="33">
        <v>41883</v>
      </c>
      <c r="V126" s="33">
        <v>41883</v>
      </c>
      <c r="W126" s="52">
        <v>42216</v>
      </c>
      <c r="X126" s="60"/>
      <c r="Y126" s="290"/>
      <c r="Z126" s="290"/>
      <c r="AA126" s="290"/>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c r="BG126" s="290"/>
      <c r="BH126" s="290"/>
      <c r="BI126" s="290"/>
      <c r="BJ126" s="290"/>
      <c r="BK126" s="290"/>
      <c r="BL126" s="290"/>
      <c r="BM126" s="290"/>
      <c r="BN126" s="290"/>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c r="DB126" s="290"/>
      <c r="DC126" s="290"/>
      <c r="DD126" s="290"/>
      <c r="DE126" s="290"/>
      <c r="DF126" s="290"/>
      <c r="DG126" s="290"/>
      <c r="DH126" s="290"/>
      <c r="DI126" s="290"/>
      <c r="DJ126" s="290"/>
      <c r="DK126" s="290"/>
      <c r="DL126" s="290"/>
      <c r="DM126" s="290"/>
      <c r="DN126" s="290"/>
      <c r="DO126" s="290"/>
      <c r="DP126" s="290"/>
      <c r="DQ126" s="290"/>
    </row>
    <row r="127" spans="1:122" s="291" customFormat="1" ht="112.5">
      <c r="A127" s="25">
        <v>8</v>
      </c>
      <c r="B127" s="289" t="s">
        <v>3394</v>
      </c>
      <c r="C127" s="38" t="s">
        <v>83</v>
      </c>
      <c r="D127" s="38" t="s">
        <v>3392</v>
      </c>
      <c r="E127" s="38" t="s">
        <v>917</v>
      </c>
      <c r="F127" s="45">
        <v>4526298</v>
      </c>
      <c r="G127" s="11">
        <v>860011</v>
      </c>
      <c r="H127" s="60" t="s">
        <v>1131</v>
      </c>
      <c r="I127" s="73">
        <v>201051101</v>
      </c>
      <c r="J127" s="34">
        <v>3874.3398305084743</v>
      </c>
      <c r="K127" s="34">
        <f t="shared" si="7"/>
        <v>4571.7209999999995</v>
      </c>
      <c r="L127" s="38" t="s">
        <v>280</v>
      </c>
      <c r="M127" s="16" t="s">
        <v>1132</v>
      </c>
      <c r="N127" s="16" t="s">
        <v>920</v>
      </c>
      <c r="O127" s="16" t="s">
        <v>171</v>
      </c>
      <c r="P127" s="38" t="s">
        <v>140</v>
      </c>
      <c r="Q127" s="38" t="s">
        <v>737</v>
      </c>
      <c r="R127" s="38">
        <v>316.8</v>
      </c>
      <c r="S127" s="45">
        <v>45</v>
      </c>
      <c r="T127" s="38" t="s">
        <v>547</v>
      </c>
      <c r="U127" s="33">
        <v>41913</v>
      </c>
      <c r="V127" s="33">
        <v>41913</v>
      </c>
      <c r="W127" s="52">
        <v>42247</v>
      </c>
      <c r="X127" s="60"/>
      <c r="Y127" s="290"/>
      <c r="Z127" s="290"/>
      <c r="AA127" s="290"/>
      <c r="AB127" s="290"/>
      <c r="AC127" s="290"/>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c r="BG127" s="290"/>
      <c r="BH127" s="290"/>
      <c r="BI127" s="290"/>
      <c r="BJ127" s="290"/>
      <c r="BK127" s="290"/>
      <c r="BL127" s="290"/>
      <c r="BM127" s="290"/>
      <c r="BN127" s="290"/>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c r="DB127" s="290"/>
      <c r="DC127" s="290"/>
      <c r="DD127" s="290"/>
      <c r="DE127" s="290"/>
      <c r="DF127" s="290"/>
      <c r="DG127" s="290"/>
      <c r="DH127" s="290"/>
      <c r="DI127" s="290"/>
      <c r="DJ127" s="290"/>
      <c r="DK127" s="290"/>
      <c r="DL127" s="290"/>
      <c r="DM127" s="290"/>
      <c r="DN127" s="290"/>
      <c r="DO127" s="290"/>
      <c r="DP127" s="290"/>
      <c r="DQ127" s="290"/>
    </row>
    <row r="128" spans="1:122" s="291" customFormat="1" ht="112.5">
      <c r="A128" s="25">
        <v>8</v>
      </c>
      <c r="B128" s="289" t="s">
        <v>3395</v>
      </c>
      <c r="C128" s="38" t="s">
        <v>83</v>
      </c>
      <c r="D128" s="38" t="s">
        <v>3392</v>
      </c>
      <c r="E128" s="38" t="s">
        <v>917</v>
      </c>
      <c r="F128" s="45">
        <v>4526298</v>
      </c>
      <c r="G128" s="11">
        <v>860012</v>
      </c>
      <c r="H128" s="60" t="s">
        <v>1133</v>
      </c>
      <c r="I128" s="73">
        <v>201051101</v>
      </c>
      <c r="J128" s="34">
        <v>4357.6779661016953</v>
      </c>
      <c r="K128" s="34">
        <f t="shared" si="7"/>
        <v>5142.0600000000004</v>
      </c>
      <c r="L128" s="38" t="s">
        <v>280</v>
      </c>
      <c r="M128" s="16" t="s">
        <v>1134</v>
      </c>
      <c r="N128" s="16" t="s">
        <v>920</v>
      </c>
      <c r="O128" s="16" t="s">
        <v>171</v>
      </c>
      <c r="P128" s="38" t="s">
        <v>140</v>
      </c>
      <c r="Q128" s="38" t="s">
        <v>737</v>
      </c>
      <c r="R128" s="38">
        <v>371</v>
      </c>
      <c r="S128" s="45">
        <v>45</v>
      </c>
      <c r="T128" s="38" t="s">
        <v>547</v>
      </c>
      <c r="U128" s="33">
        <v>41944</v>
      </c>
      <c r="V128" s="33">
        <v>41944</v>
      </c>
      <c r="W128" s="52">
        <v>42277</v>
      </c>
      <c r="X128" s="60"/>
      <c r="Y128" s="290"/>
      <c r="Z128" s="290"/>
      <c r="AA128" s="290"/>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c r="BG128" s="290"/>
      <c r="BH128" s="290"/>
      <c r="BI128" s="290"/>
      <c r="BJ128" s="290"/>
      <c r="BK128" s="290"/>
      <c r="BL128" s="290"/>
      <c r="BM128" s="290"/>
      <c r="BN128" s="290"/>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c r="DB128" s="290"/>
      <c r="DC128" s="290"/>
      <c r="DD128" s="290"/>
      <c r="DE128" s="290"/>
      <c r="DF128" s="290"/>
      <c r="DG128" s="290"/>
      <c r="DH128" s="290"/>
      <c r="DI128" s="290"/>
      <c r="DJ128" s="290"/>
      <c r="DK128" s="290"/>
      <c r="DL128" s="290"/>
      <c r="DM128" s="290"/>
      <c r="DN128" s="290"/>
      <c r="DO128" s="290"/>
      <c r="DP128" s="290"/>
      <c r="DQ128" s="290"/>
    </row>
    <row r="129" spans="1:121" s="291" customFormat="1" ht="112.5">
      <c r="A129" s="25">
        <v>8</v>
      </c>
      <c r="B129" s="289" t="s">
        <v>3396</v>
      </c>
      <c r="C129" s="38" t="s">
        <v>83</v>
      </c>
      <c r="D129" s="38" t="s">
        <v>3392</v>
      </c>
      <c r="E129" s="38" t="s">
        <v>917</v>
      </c>
      <c r="F129" s="45">
        <v>4526298</v>
      </c>
      <c r="G129" s="11">
        <v>860013</v>
      </c>
      <c r="H129" s="60" t="s">
        <v>1135</v>
      </c>
      <c r="I129" s="73">
        <v>201051101</v>
      </c>
      <c r="J129" s="34">
        <v>4454.2868644067803</v>
      </c>
      <c r="K129" s="34">
        <f t="shared" si="7"/>
        <v>5256.0585000000001</v>
      </c>
      <c r="L129" s="38" t="s">
        <v>280</v>
      </c>
      <c r="M129" s="16" t="s">
        <v>1136</v>
      </c>
      <c r="N129" s="16" t="s">
        <v>920</v>
      </c>
      <c r="O129" s="16" t="s">
        <v>171</v>
      </c>
      <c r="P129" s="38" t="s">
        <v>140</v>
      </c>
      <c r="Q129" s="38" t="s">
        <v>737</v>
      </c>
      <c r="R129" s="38">
        <v>339.1</v>
      </c>
      <c r="S129" s="45">
        <v>45</v>
      </c>
      <c r="T129" s="38" t="s">
        <v>547</v>
      </c>
      <c r="U129" s="33">
        <v>41913</v>
      </c>
      <c r="V129" s="33">
        <v>41913</v>
      </c>
      <c r="W129" s="52">
        <v>42247</v>
      </c>
      <c r="X129" s="60"/>
      <c r="Y129" s="290"/>
      <c r="Z129" s="290"/>
      <c r="AA129" s="290"/>
      <c r="AB129" s="290"/>
      <c r="AC129" s="290"/>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c r="BG129" s="290"/>
      <c r="BH129" s="290"/>
      <c r="BI129" s="290"/>
      <c r="BJ129" s="290"/>
      <c r="BK129" s="290"/>
      <c r="BL129" s="290"/>
      <c r="BM129" s="290"/>
      <c r="BN129" s="290"/>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c r="DB129" s="290"/>
      <c r="DC129" s="290"/>
      <c r="DD129" s="290"/>
      <c r="DE129" s="290"/>
      <c r="DF129" s="290"/>
      <c r="DG129" s="290"/>
      <c r="DH129" s="290"/>
      <c r="DI129" s="290"/>
      <c r="DJ129" s="290"/>
      <c r="DK129" s="290"/>
      <c r="DL129" s="290"/>
      <c r="DM129" s="290"/>
      <c r="DN129" s="290"/>
      <c r="DO129" s="290"/>
      <c r="DP129" s="290"/>
      <c r="DQ129" s="290"/>
    </row>
    <row r="130" spans="1:121" s="291" customFormat="1" ht="112.5">
      <c r="A130" s="25">
        <v>8</v>
      </c>
      <c r="B130" s="289" t="s">
        <v>3397</v>
      </c>
      <c r="C130" s="38" t="s">
        <v>83</v>
      </c>
      <c r="D130" s="38" t="s">
        <v>3392</v>
      </c>
      <c r="E130" s="38" t="s">
        <v>917</v>
      </c>
      <c r="F130" s="45">
        <v>4526298</v>
      </c>
      <c r="G130" s="11">
        <v>860014</v>
      </c>
      <c r="H130" s="60" t="s">
        <v>1137</v>
      </c>
      <c r="I130" s="73">
        <v>201051101</v>
      </c>
      <c r="J130" s="34">
        <v>9195.6271186440681</v>
      </c>
      <c r="K130" s="34">
        <f t="shared" si="7"/>
        <v>10850.84</v>
      </c>
      <c r="L130" s="38" t="s">
        <v>280</v>
      </c>
      <c r="M130" s="16" t="s">
        <v>1138</v>
      </c>
      <c r="N130" s="16" t="s">
        <v>920</v>
      </c>
      <c r="O130" s="16" t="s">
        <v>171</v>
      </c>
      <c r="P130" s="38" t="s">
        <v>140</v>
      </c>
      <c r="Q130" s="38" t="s">
        <v>737</v>
      </c>
      <c r="R130" s="38">
        <v>635.79999999999995</v>
      </c>
      <c r="S130" s="45">
        <v>45</v>
      </c>
      <c r="T130" s="38" t="s">
        <v>547</v>
      </c>
      <c r="U130" s="33">
        <v>41730</v>
      </c>
      <c r="V130" s="33">
        <v>41730</v>
      </c>
      <c r="W130" s="52">
        <v>42063</v>
      </c>
      <c r="X130" s="6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c r="BG130" s="290"/>
      <c r="BH130" s="290"/>
      <c r="BI130" s="290"/>
      <c r="BJ130" s="290"/>
      <c r="BK130" s="290"/>
      <c r="BL130" s="290"/>
      <c r="BM130" s="290"/>
      <c r="BN130" s="290"/>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c r="DB130" s="290"/>
      <c r="DC130" s="290"/>
      <c r="DD130" s="290"/>
      <c r="DE130" s="290"/>
      <c r="DF130" s="290"/>
      <c r="DG130" s="290"/>
      <c r="DH130" s="290"/>
      <c r="DI130" s="290"/>
      <c r="DJ130" s="290"/>
      <c r="DK130" s="290"/>
      <c r="DL130" s="290"/>
      <c r="DM130" s="290"/>
      <c r="DN130" s="290"/>
      <c r="DO130" s="290"/>
      <c r="DP130" s="290"/>
      <c r="DQ130" s="290"/>
    </row>
    <row r="131" spans="1:121" s="291" customFormat="1" ht="112.5">
      <c r="A131" s="25">
        <v>8</v>
      </c>
      <c r="B131" s="289" t="s">
        <v>3398</v>
      </c>
      <c r="C131" s="38" t="s">
        <v>83</v>
      </c>
      <c r="D131" s="38" t="s">
        <v>3399</v>
      </c>
      <c r="E131" s="38" t="s">
        <v>917</v>
      </c>
      <c r="F131" s="45">
        <v>4526298</v>
      </c>
      <c r="G131" s="11">
        <v>860015</v>
      </c>
      <c r="H131" s="60" t="s">
        <v>1139</v>
      </c>
      <c r="I131" s="73">
        <v>201051101</v>
      </c>
      <c r="J131" s="34">
        <v>788.92372881355936</v>
      </c>
      <c r="K131" s="34">
        <f t="shared" si="7"/>
        <v>930.93</v>
      </c>
      <c r="L131" s="38" t="s">
        <v>280</v>
      </c>
      <c r="M131" s="16" t="s">
        <v>1140</v>
      </c>
      <c r="N131" s="16" t="s">
        <v>920</v>
      </c>
      <c r="O131" s="16" t="s">
        <v>171</v>
      </c>
      <c r="P131" s="38" t="s">
        <v>140</v>
      </c>
      <c r="Q131" s="38" t="s">
        <v>737</v>
      </c>
      <c r="R131" s="38">
        <v>123.2</v>
      </c>
      <c r="S131" s="45">
        <v>46</v>
      </c>
      <c r="T131" s="38" t="s">
        <v>1118</v>
      </c>
      <c r="U131" s="33">
        <v>41760</v>
      </c>
      <c r="V131" s="33">
        <v>41760</v>
      </c>
      <c r="W131" s="52">
        <v>42094</v>
      </c>
      <c r="X131" s="60"/>
      <c r="Y131" s="290"/>
      <c r="Z131" s="290"/>
      <c r="AA131" s="290"/>
      <c r="AB131" s="290"/>
      <c r="AC131" s="290"/>
      <c r="AD131" s="290"/>
      <c r="AE131" s="290"/>
      <c r="AF131" s="290"/>
      <c r="AG131" s="290"/>
      <c r="AH131" s="290"/>
      <c r="AI131" s="290"/>
      <c r="AJ131" s="290"/>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c r="BG131" s="290"/>
      <c r="BH131" s="290"/>
      <c r="BI131" s="290"/>
      <c r="BJ131" s="290"/>
      <c r="BK131" s="290"/>
      <c r="BL131" s="290"/>
      <c r="BM131" s="290"/>
      <c r="BN131" s="290"/>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c r="DB131" s="290"/>
      <c r="DC131" s="290"/>
      <c r="DD131" s="290"/>
      <c r="DE131" s="290"/>
      <c r="DF131" s="290"/>
      <c r="DG131" s="290"/>
      <c r="DH131" s="290"/>
      <c r="DI131" s="290"/>
      <c r="DJ131" s="290"/>
      <c r="DK131" s="290"/>
      <c r="DL131" s="290"/>
      <c r="DM131" s="290"/>
      <c r="DN131" s="290"/>
      <c r="DO131" s="290"/>
      <c r="DP131" s="290"/>
      <c r="DQ131" s="290"/>
    </row>
    <row r="132" spans="1:121" s="291" customFormat="1" ht="112.5">
      <c r="A132" s="25">
        <v>8</v>
      </c>
      <c r="B132" s="289" t="s">
        <v>3400</v>
      </c>
      <c r="C132" s="38" t="s">
        <v>83</v>
      </c>
      <c r="D132" s="38" t="s">
        <v>3399</v>
      </c>
      <c r="E132" s="38" t="s">
        <v>917</v>
      </c>
      <c r="F132" s="45">
        <v>4526298</v>
      </c>
      <c r="G132" s="11">
        <v>860016</v>
      </c>
      <c r="H132" s="60" t="s">
        <v>1141</v>
      </c>
      <c r="I132" s="73">
        <v>201051101</v>
      </c>
      <c r="J132" s="34">
        <v>323.00847457627117</v>
      </c>
      <c r="K132" s="34">
        <f t="shared" si="7"/>
        <v>381.15</v>
      </c>
      <c r="L132" s="38" t="s">
        <v>280</v>
      </c>
      <c r="M132" s="16" t="s">
        <v>1142</v>
      </c>
      <c r="N132" s="16" t="s">
        <v>920</v>
      </c>
      <c r="O132" s="16" t="s">
        <v>171</v>
      </c>
      <c r="P132" s="38" t="s">
        <v>140</v>
      </c>
      <c r="Q132" s="38" t="s">
        <v>737</v>
      </c>
      <c r="R132" s="38">
        <v>56.4</v>
      </c>
      <c r="S132" s="45">
        <v>46</v>
      </c>
      <c r="T132" s="38" t="s">
        <v>1118</v>
      </c>
      <c r="U132" s="33">
        <v>41640</v>
      </c>
      <c r="V132" s="33">
        <v>41640</v>
      </c>
      <c r="W132" s="52">
        <v>41973</v>
      </c>
      <c r="X132" s="60"/>
      <c r="Y132" s="290"/>
      <c r="Z132" s="290"/>
      <c r="AA132" s="290"/>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c r="BG132" s="290"/>
      <c r="BH132" s="290"/>
      <c r="BI132" s="290"/>
      <c r="BJ132" s="290"/>
      <c r="BK132" s="290"/>
      <c r="BL132" s="290"/>
      <c r="BM132" s="290"/>
      <c r="BN132" s="290"/>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c r="DB132" s="290"/>
      <c r="DC132" s="290"/>
      <c r="DD132" s="290"/>
      <c r="DE132" s="290"/>
      <c r="DF132" s="290"/>
      <c r="DG132" s="290"/>
      <c r="DH132" s="290"/>
      <c r="DI132" s="290"/>
      <c r="DJ132" s="290"/>
      <c r="DK132" s="290"/>
      <c r="DL132" s="290"/>
      <c r="DM132" s="290"/>
      <c r="DN132" s="290"/>
      <c r="DO132" s="290"/>
      <c r="DP132" s="290"/>
      <c r="DQ132" s="290"/>
    </row>
    <row r="133" spans="1:121" s="291" customFormat="1" ht="112.5">
      <c r="A133" s="25">
        <v>8</v>
      </c>
      <c r="B133" s="289" t="s">
        <v>3401</v>
      </c>
      <c r="C133" s="38" t="s">
        <v>83</v>
      </c>
      <c r="D133" s="38" t="s">
        <v>3399</v>
      </c>
      <c r="E133" s="38" t="s">
        <v>917</v>
      </c>
      <c r="F133" s="45">
        <v>4526298</v>
      </c>
      <c r="G133" s="11">
        <v>860018</v>
      </c>
      <c r="H133" s="60" t="s">
        <v>1143</v>
      </c>
      <c r="I133" s="73">
        <v>201051101</v>
      </c>
      <c r="J133" s="34">
        <v>1517.1610169491526</v>
      </c>
      <c r="K133" s="34">
        <f t="shared" si="7"/>
        <v>1790.25</v>
      </c>
      <c r="L133" s="38" t="s">
        <v>280</v>
      </c>
      <c r="M133" s="16" t="s">
        <v>1144</v>
      </c>
      <c r="N133" s="16" t="s">
        <v>920</v>
      </c>
      <c r="O133" s="16" t="s">
        <v>171</v>
      </c>
      <c r="P133" s="38" t="s">
        <v>140</v>
      </c>
      <c r="Q133" s="38" t="s">
        <v>737</v>
      </c>
      <c r="R133" s="38">
        <v>155.80000000000001</v>
      </c>
      <c r="S133" s="45">
        <v>46</v>
      </c>
      <c r="T133" s="38" t="s">
        <v>1118</v>
      </c>
      <c r="U133" s="33">
        <v>41640</v>
      </c>
      <c r="V133" s="33">
        <v>41640</v>
      </c>
      <c r="W133" s="52">
        <v>41973</v>
      </c>
      <c r="X133" s="6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c r="BG133" s="290"/>
      <c r="BH133" s="290"/>
      <c r="BI133" s="290"/>
      <c r="BJ133" s="290"/>
      <c r="BK133" s="290"/>
      <c r="BL133" s="290"/>
      <c r="BM133" s="290"/>
      <c r="BN133" s="290"/>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c r="DB133" s="290"/>
      <c r="DC133" s="290"/>
      <c r="DD133" s="290"/>
      <c r="DE133" s="290"/>
      <c r="DF133" s="290"/>
      <c r="DG133" s="290"/>
      <c r="DH133" s="290"/>
      <c r="DI133" s="290"/>
      <c r="DJ133" s="290"/>
      <c r="DK133" s="290"/>
      <c r="DL133" s="290"/>
      <c r="DM133" s="290"/>
      <c r="DN133" s="290"/>
      <c r="DO133" s="290"/>
      <c r="DP133" s="290"/>
      <c r="DQ133" s="290"/>
    </row>
    <row r="134" spans="1:121" s="291" customFormat="1" ht="112.5">
      <c r="A134" s="25">
        <v>8</v>
      </c>
      <c r="B134" s="289" t="s">
        <v>3402</v>
      </c>
      <c r="C134" s="38" t="s">
        <v>83</v>
      </c>
      <c r="D134" s="38" t="s">
        <v>3399</v>
      </c>
      <c r="E134" s="38" t="s">
        <v>917</v>
      </c>
      <c r="F134" s="45">
        <v>4526298</v>
      </c>
      <c r="G134" s="11">
        <v>860019</v>
      </c>
      <c r="H134" s="60" t="s">
        <v>1145</v>
      </c>
      <c r="I134" s="73">
        <v>201051101</v>
      </c>
      <c r="J134" s="34">
        <v>1272.457627118644</v>
      </c>
      <c r="K134" s="34">
        <f t="shared" si="7"/>
        <v>1501.5</v>
      </c>
      <c r="L134" s="38" t="s">
        <v>280</v>
      </c>
      <c r="M134" s="16" t="s">
        <v>1146</v>
      </c>
      <c r="N134" s="16" t="s">
        <v>920</v>
      </c>
      <c r="O134" s="16" t="s">
        <v>171</v>
      </c>
      <c r="P134" s="38" t="s">
        <v>140</v>
      </c>
      <c r="Q134" s="38" t="s">
        <v>737</v>
      </c>
      <c r="R134" s="38">
        <v>93.6</v>
      </c>
      <c r="S134" s="45">
        <v>46</v>
      </c>
      <c r="T134" s="38" t="s">
        <v>1118</v>
      </c>
      <c r="U134" s="33">
        <v>41872</v>
      </c>
      <c r="V134" s="33">
        <v>41872</v>
      </c>
      <c r="W134" s="52">
        <v>42175</v>
      </c>
      <c r="X134" s="6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c r="BG134" s="290"/>
      <c r="BH134" s="290"/>
      <c r="BI134" s="290"/>
      <c r="BJ134" s="290"/>
      <c r="BK134" s="290"/>
      <c r="BL134" s="290"/>
      <c r="BM134" s="290"/>
      <c r="BN134" s="290"/>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row>
    <row r="135" spans="1:121" s="291" customFormat="1" ht="112.5">
      <c r="A135" s="25">
        <v>8</v>
      </c>
      <c r="B135" s="289" t="s">
        <v>3403</v>
      </c>
      <c r="C135" s="38" t="s">
        <v>83</v>
      </c>
      <c r="D135" s="38" t="s">
        <v>3404</v>
      </c>
      <c r="E135" s="38" t="s">
        <v>917</v>
      </c>
      <c r="F135" s="45">
        <v>4526298</v>
      </c>
      <c r="G135" s="11">
        <v>860020</v>
      </c>
      <c r="H135" s="60" t="s">
        <v>1147</v>
      </c>
      <c r="I135" s="73">
        <v>201051101</v>
      </c>
      <c r="J135" s="34">
        <v>683.06504237288141</v>
      </c>
      <c r="K135" s="34">
        <f t="shared" si="7"/>
        <v>806.01675</v>
      </c>
      <c r="L135" s="38" t="s">
        <v>280</v>
      </c>
      <c r="M135" s="16" t="s">
        <v>1148</v>
      </c>
      <c r="N135" s="16" t="s">
        <v>920</v>
      </c>
      <c r="O135" s="16" t="s">
        <v>171</v>
      </c>
      <c r="P135" s="38" t="s">
        <v>140</v>
      </c>
      <c r="Q135" s="38" t="s">
        <v>737</v>
      </c>
      <c r="R135" s="38">
        <v>82.1</v>
      </c>
      <c r="S135" s="45">
        <v>46</v>
      </c>
      <c r="T135" s="38" t="s">
        <v>1118</v>
      </c>
      <c r="U135" s="33">
        <v>41913</v>
      </c>
      <c r="V135" s="33">
        <v>41913</v>
      </c>
      <c r="W135" s="52">
        <v>42247</v>
      </c>
      <c r="X135" s="60"/>
      <c r="Y135" s="290"/>
      <c r="Z135" s="290"/>
      <c r="AA135" s="290"/>
      <c r="AB135" s="290"/>
      <c r="AC135" s="290"/>
      <c r="AD135" s="290"/>
      <c r="AE135" s="290"/>
      <c r="AF135" s="290"/>
      <c r="AG135" s="290"/>
      <c r="AH135" s="290"/>
      <c r="AI135" s="290"/>
      <c r="AJ135" s="290"/>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c r="BG135" s="290"/>
      <c r="BH135" s="290"/>
      <c r="BI135" s="290"/>
      <c r="BJ135" s="290"/>
      <c r="BK135" s="290"/>
      <c r="BL135" s="290"/>
      <c r="BM135" s="290"/>
      <c r="BN135" s="290"/>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c r="DB135" s="290"/>
      <c r="DC135" s="290"/>
      <c r="DD135" s="290"/>
      <c r="DE135" s="290"/>
      <c r="DF135" s="290"/>
      <c r="DG135" s="290"/>
      <c r="DH135" s="290"/>
      <c r="DI135" s="290"/>
      <c r="DJ135" s="290"/>
      <c r="DK135" s="290"/>
      <c r="DL135" s="290"/>
      <c r="DM135" s="290"/>
      <c r="DN135" s="290"/>
      <c r="DO135" s="290"/>
      <c r="DP135" s="290"/>
      <c r="DQ135" s="290"/>
    </row>
    <row r="136" spans="1:121" s="291" customFormat="1" ht="112.5">
      <c r="A136" s="25">
        <v>8</v>
      </c>
      <c r="B136" s="289" t="s">
        <v>3405</v>
      </c>
      <c r="C136" s="38" t="s">
        <v>83</v>
      </c>
      <c r="D136" s="38" t="s">
        <v>3404</v>
      </c>
      <c r="E136" s="38" t="s">
        <v>917</v>
      </c>
      <c r="F136" s="45">
        <v>4526298</v>
      </c>
      <c r="G136" s="11">
        <v>860021</v>
      </c>
      <c r="H136" s="60" t="s">
        <v>1149</v>
      </c>
      <c r="I136" s="73">
        <v>201051101</v>
      </c>
      <c r="J136" s="34">
        <v>929.87288135593224</v>
      </c>
      <c r="K136" s="34">
        <f t="shared" si="7"/>
        <v>1097.25</v>
      </c>
      <c r="L136" s="38" t="s">
        <v>280</v>
      </c>
      <c r="M136" s="16" t="s">
        <v>1150</v>
      </c>
      <c r="N136" s="16" t="s">
        <v>920</v>
      </c>
      <c r="O136" s="16" t="s">
        <v>171</v>
      </c>
      <c r="P136" s="38" t="s">
        <v>140</v>
      </c>
      <c r="Q136" s="38" t="s">
        <v>737</v>
      </c>
      <c r="R136" s="38">
        <v>111.1</v>
      </c>
      <c r="S136" s="45">
        <v>46</v>
      </c>
      <c r="T136" s="38" t="s">
        <v>1118</v>
      </c>
      <c r="U136" s="33">
        <v>41852</v>
      </c>
      <c r="V136" s="33">
        <v>41852</v>
      </c>
      <c r="W136" s="52">
        <v>42185</v>
      </c>
      <c r="X136" s="60"/>
      <c r="Y136" s="290"/>
      <c r="Z136" s="290"/>
      <c r="AA136" s="290"/>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c r="BG136" s="290"/>
      <c r="BH136" s="290"/>
      <c r="BI136" s="290"/>
      <c r="BJ136" s="290"/>
      <c r="BK136" s="290"/>
      <c r="BL136" s="290"/>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c r="DB136" s="290"/>
      <c r="DC136" s="290"/>
      <c r="DD136" s="290"/>
      <c r="DE136" s="290"/>
      <c r="DF136" s="290"/>
      <c r="DG136" s="290"/>
      <c r="DH136" s="290"/>
      <c r="DI136" s="290"/>
      <c r="DJ136" s="290"/>
      <c r="DK136" s="290"/>
      <c r="DL136" s="290"/>
      <c r="DM136" s="290"/>
      <c r="DN136" s="290"/>
      <c r="DO136" s="290"/>
      <c r="DP136" s="290"/>
      <c r="DQ136" s="290"/>
    </row>
    <row r="137" spans="1:121" s="291" customFormat="1" ht="112.5">
      <c r="A137" s="25">
        <v>8</v>
      </c>
      <c r="B137" s="289" t="s">
        <v>3406</v>
      </c>
      <c r="C137" s="38" t="s">
        <v>83</v>
      </c>
      <c r="D137" s="38" t="s">
        <v>3404</v>
      </c>
      <c r="E137" s="38" t="s">
        <v>917</v>
      </c>
      <c r="F137" s="45">
        <v>4526298</v>
      </c>
      <c r="G137" s="11">
        <v>860022</v>
      </c>
      <c r="H137" s="60" t="s">
        <v>1151</v>
      </c>
      <c r="I137" s="73">
        <v>201051101</v>
      </c>
      <c r="J137" s="34">
        <v>823.18220338983042</v>
      </c>
      <c r="K137" s="34">
        <f t="shared" si="7"/>
        <v>971.35499999999979</v>
      </c>
      <c r="L137" s="38" t="s">
        <v>280</v>
      </c>
      <c r="M137" s="16" t="s">
        <v>1152</v>
      </c>
      <c r="N137" s="16" t="s">
        <v>920</v>
      </c>
      <c r="O137" s="16" t="s">
        <v>171</v>
      </c>
      <c r="P137" s="38" t="s">
        <v>140</v>
      </c>
      <c r="Q137" s="38" t="s">
        <v>737</v>
      </c>
      <c r="R137" s="38">
        <v>75</v>
      </c>
      <c r="S137" s="45">
        <v>46</v>
      </c>
      <c r="T137" s="38" t="s">
        <v>1118</v>
      </c>
      <c r="U137" s="33">
        <v>41699</v>
      </c>
      <c r="V137" s="33">
        <v>41699</v>
      </c>
      <c r="W137" s="52">
        <v>42035</v>
      </c>
      <c r="X137" s="60"/>
      <c r="Y137" s="290"/>
      <c r="Z137" s="290"/>
      <c r="AA137" s="290"/>
      <c r="AB137" s="290"/>
      <c r="AC137" s="290"/>
      <c r="AD137" s="290"/>
      <c r="AE137" s="290"/>
      <c r="AF137" s="290"/>
      <c r="AG137" s="290"/>
      <c r="AH137" s="290"/>
      <c r="AI137" s="290"/>
      <c r="AJ137" s="290"/>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c r="BG137" s="290"/>
      <c r="BH137" s="290"/>
      <c r="BI137" s="290"/>
      <c r="BJ137" s="290"/>
      <c r="BK137" s="290"/>
      <c r="BL137" s="290"/>
      <c r="BM137" s="290"/>
      <c r="BN137" s="290"/>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c r="DB137" s="290"/>
      <c r="DC137" s="290"/>
      <c r="DD137" s="290"/>
      <c r="DE137" s="290"/>
      <c r="DF137" s="290"/>
      <c r="DG137" s="290"/>
      <c r="DH137" s="290"/>
      <c r="DI137" s="290"/>
      <c r="DJ137" s="290"/>
      <c r="DK137" s="290"/>
      <c r="DL137" s="290"/>
      <c r="DM137" s="290"/>
      <c r="DN137" s="290"/>
      <c r="DO137" s="290"/>
      <c r="DP137" s="290"/>
      <c r="DQ137" s="290"/>
    </row>
    <row r="138" spans="1:121" s="291" customFormat="1" ht="112.5">
      <c r="A138" s="471">
        <v>8</v>
      </c>
      <c r="B138" s="476" t="s">
        <v>3407</v>
      </c>
      <c r="C138" s="477" t="s">
        <v>83</v>
      </c>
      <c r="D138" s="477" t="s">
        <v>3404</v>
      </c>
      <c r="E138" s="477" t="s">
        <v>917</v>
      </c>
      <c r="F138" s="478">
        <v>4526298</v>
      </c>
      <c r="G138" s="479">
        <v>860023</v>
      </c>
      <c r="H138" s="452" t="s">
        <v>1153</v>
      </c>
      <c r="I138" s="480">
        <v>201051101</v>
      </c>
      <c r="J138" s="481">
        <v>475.42</v>
      </c>
      <c r="K138" s="481">
        <f>J138*1.18</f>
        <v>560.99559999999997</v>
      </c>
      <c r="L138" s="41" t="s">
        <v>280</v>
      </c>
      <c r="M138" s="482" t="s">
        <v>1154</v>
      </c>
      <c r="N138" s="482" t="s">
        <v>920</v>
      </c>
      <c r="O138" s="482" t="s">
        <v>171</v>
      </c>
      <c r="P138" s="477" t="s">
        <v>140</v>
      </c>
      <c r="Q138" s="477" t="s">
        <v>737</v>
      </c>
      <c r="R138" s="477">
        <v>53</v>
      </c>
      <c r="S138" s="483">
        <v>46</v>
      </c>
      <c r="T138" s="467" t="s">
        <v>1118</v>
      </c>
      <c r="U138" s="484">
        <v>41609</v>
      </c>
      <c r="V138" s="484">
        <v>41943</v>
      </c>
      <c r="W138" s="485">
        <v>42277</v>
      </c>
      <c r="X138" s="452"/>
      <c r="Y138" s="290"/>
      <c r="Z138" s="290"/>
      <c r="AA138" s="290"/>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290"/>
      <c r="BH138" s="290"/>
      <c r="BI138" s="290"/>
      <c r="BJ138" s="290"/>
      <c r="BK138" s="290"/>
      <c r="BL138" s="290"/>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c r="DB138" s="290"/>
      <c r="DC138" s="290"/>
      <c r="DD138" s="290"/>
      <c r="DE138" s="290"/>
      <c r="DF138" s="290"/>
      <c r="DG138" s="290"/>
      <c r="DH138" s="290"/>
      <c r="DI138" s="290"/>
      <c r="DJ138" s="290"/>
      <c r="DK138" s="290"/>
      <c r="DL138" s="290"/>
      <c r="DM138" s="290"/>
      <c r="DN138" s="290"/>
      <c r="DO138" s="290"/>
      <c r="DP138" s="290"/>
      <c r="DQ138" s="290"/>
    </row>
    <row r="139" spans="1:121" s="291" customFormat="1" ht="112.5">
      <c r="A139" s="471">
        <v>8</v>
      </c>
      <c r="B139" s="476" t="s">
        <v>6139</v>
      </c>
      <c r="C139" s="477" t="s">
        <v>83</v>
      </c>
      <c r="D139" s="477" t="s">
        <v>3404</v>
      </c>
      <c r="E139" s="477" t="s">
        <v>917</v>
      </c>
      <c r="F139" s="478">
        <v>4526298</v>
      </c>
      <c r="G139" s="479">
        <v>860053</v>
      </c>
      <c r="H139" s="452" t="s">
        <v>1153</v>
      </c>
      <c r="I139" s="480">
        <v>201051101</v>
      </c>
      <c r="J139" s="481">
        <v>475.42</v>
      </c>
      <c r="K139" s="481">
        <f>J139*1.18</f>
        <v>560.99559999999997</v>
      </c>
      <c r="L139" s="41" t="s">
        <v>280</v>
      </c>
      <c r="M139" s="482" t="s">
        <v>1154</v>
      </c>
      <c r="N139" s="482" t="s">
        <v>920</v>
      </c>
      <c r="O139" s="482" t="s">
        <v>171</v>
      </c>
      <c r="P139" s="477" t="s">
        <v>140</v>
      </c>
      <c r="Q139" s="477" t="s">
        <v>737</v>
      </c>
      <c r="R139" s="477">
        <v>53</v>
      </c>
      <c r="S139" s="483">
        <v>46</v>
      </c>
      <c r="T139" s="467" t="s">
        <v>1118</v>
      </c>
      <c r="U139" s="484">
        <v>41883</v>
      </c>
      <c r="V139" s="484">
        <v>42277</v>
      </c>
      <c r="W139" s="485">
        <v>42247</v>
      </c>
      <c r="X139" s="452"/>
      <c r="Y139" s="290"/>
      <c r="Z139" s="290"/>
      <c r="AA139" s="290"/>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c r="BG139" s="290"/>
      <c r="BH139" s="290"/>
      <c r="BI139" s="290"/>
      <c r="BJ139" s="290"/>
      <c r="BK139" s="290"/>
      <c r="BL139" s="290"/>
      <c r="BM139" s="290"/>
      <c r="BN139" s="290"/>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c r="DB139" s="290"/>
      <c r="DC139" s="290"/>
      <c r="DD139" s="290"/>
      <c r="DE139" s="290"/>
      <c r="DF139" s="290"/>
      <c r="DG139" s="290"/>
      <c r="DH139" s="290"/>
      <c r="DI139" s="290"/>
      <c r="DJ139" s="290"/>
      <c r="DK139" s="290"/>
      <c r="DL139" s="290"/>
      <c r="DM139" s="290"/>
      <c r="DN139" s="290"/>
      <c r="DO139" s="290"/>
      <c r="DP139" s="290"/>
      <c r="DQ139" s="290"/>
    </row>
    <row r="140" spans="1:121" s="291" customFormat="1" ht="112.5">
      <c r="A140" s="25">
        <v>8</v>
      </c>
      <c r="B140" s="289" t="s">
        <v>3408</v>
      </c>
      <c r="C140" s="38" t="s">
        <v>83</v>
      </c>
      <c r="D140" s="38" t="s">
        <v>3404</v>
      </c>
      <c r="E140" s="38" t="s">
        <v>917</v>
      </c>
      <c r="F140" s="45">
        <v>4526298</v>
      </c>
      <c r="G140" s="11">
        <v>860024</v>
      </c>
      <c r="H140" s="60" t="s">
        <v>1155</v>
      </c>
      <c r="I140" s="73">
        <v>201051101</v>
      </c>
      <c r="J140" s="34">
        <v>483.53389830508473</v>
      </c>
      <c r="K140" s="34">
        <f t="shared" si="7"/>
        <v>570.56999999999994</v>
      </c>
      <c r="L140" s="38" t="s">
        <v>280</v>
      </c>
      <c r="M140" s="16" t="s">
        <v>146</v>
      </c>
      <c r="N140" s="16" t="s">
        <v>920</v>
      </c>
      <c r="O140" s="16" t="s">
        <v>171</v>
      </c>
      <c r="P140" s="38" t="s">
        <v>140</v>
      </c>
      <c r="Q140" s="38" t="s">
        <v>737</v>
      </c>
      <c r="R140" s="38">
        <v>65.8</v>
      </c>
      <c r="S140" s="45">
        <v>46</v>
      </c>
      <c r="T140" s="38" t="s">
        <v>1118</v>
      </c>
      <c r="U140" s="33">
        <v>41913</v>
      </c>
      <c r="V140" s="33">
        <v>41913</v>
      </c>
      <c r="W140" s="52">
        <v>42247</v>
      </c>
      <c r="X140" s="60"/>
      <c r="Y140" s="290"/>
      <c r="Z140" s="290"/>
      <c r="AA140" s="290"/>
      <c r="AB140" s="290"/>
      <c r="AC140" s="290"/>
      <c r="AD140" s="290"/>
      <c r="AE140" s="290"/>
      <c r="AF140" s="290"/>
      <c r="AG140" s="290"/>
      <c r="AH140" s="290"/>
      <c r="AI140" s="290"/>
      <c r="AJ140" s="290"/>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c r="BG140" s="290"/>
      <c r="BH140" s="290"/>
      <c r="BI140" s="290"/>
      <c r="BJ140" s="290"/>
      <c r="BK140" s="290"/>
      <c r="BL140" s="290"/>
      <c r="BM140" s="290"/>
      <c r="BN140" s="290"/>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c r="DB140" s="290"/>
      <c r="DC140" s="290"/>
      <c r="DD140" s="290"/>
      <c r="DE140" s="290"/>
      <c r="DF140" s="290"/>
      <c r="DG140" s="290"/>
      <c r="DH140" s="290"/>
      <c r="DI140" s="290"/>
      <c r="DJ140" s="290"/>
      <c r="DK140" s="290"/>
      <c r="DL140" s="290"/>
      <c r="DM140" s="290"/>
      <c r="DN140" s="290"/>
      <c r="DO140" s="290"/>
      <c r="DP140" s="290"/>
      <c r="DQ140" s="290"/>
    </row>
    <row r="141" spans="1:121" s="291" customFormat="1" ht="112.5">
      <c r="A141" s="25">
        <v>8</v>
      </c>
      <c r="B141" s="289" t="s">
        <v>3409</v>
      </c>
      <c r="C141" s="38" t="s">
        <v>83</v>
      </c>
      <c r="D141" s="38" t="s">
        <v>3404</v>
      </c>
      <c r="E141" s="38" t="s">
        <v>917</v>
      </c>
      <c r="F141" s="45">
        <v>4526298</v>
      </c>
      <c r="G141" s="11">
        <v>860025</v>
      </c>
      <c r="H141" s="60" t="s">
        <v>1156</v>
      </c>
      <c r="I141" s="73">
        <v>201051101</v>
      </c>
      <c r="J141" s="34">
        <v>543.24152542372894</v>
      </c>
      <c r="K141" s="34">
        <f t="shared" si="7"/>
        <v>641.02500000000009</v>
      </c>
      <c r="L141" s="38" t="s">
        <v>280</v>
      </c>
      <c r="M141" s="16" t="s">
        <v>139</v>
      </c>
      <c r="N141" s="16" t="s">
        <v>920</v>
      </c>
      <c r="O141" s="16" t="s">
        <v>171</v>
      </c>
      <c r="P141" s="38" t="s">
        <v>140</v>
      </c>
      <c r="Q141" s="38" t="s">
        <v>737</v>
      </c>
      <c r="R141" s="38">
        <v>69.5</v>
      </c>
      <c r="S141" s="45">
        <v>46</v>
      </c>
      <c r="T141" s="38" t="s">
        <v>1118</v>
      </c>
      <c r="U141" s="33">
        <v>41791</v>
      </c>
      <c r="V141" s="33">
        <v>41791</v>
      </c>
      <c r="W141" s="52">
        <v>42124</v>
      </c>
      <c r="X141" s="60"/>
      <c r="Y141" s="290"/>
      <c r="Z141" s="290"/>
      <c r="AA141" s="290"/>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c r="DB141" s="290"/>
      <c r="DC141" s="290"/>
      <c r="DD141" s="290"/>
      <c r="DE141" s="290"/>
      <c r="DF141" s="290"/>
      <c r="DG141" s="290"/>
      <c r="DH141" s="290"/>
      <c r="DI141" s="290"/>
      <c r="DJ141" s="290"/>
      <c r="DK141" s="290"/>
      <c r="DL141" s="290"/>
      <c r="DM141" s="290"/>
      <c r="DN141" s="290"/>
      <c r="DO141" s="290"/>
      <c r="DP141" s="290"/>
      <c r="DQ141" s="290"/>
    </row>
    <row r="142" spans="1:121" s="291" customFormat="1" ht="131.25">
      <c r="A142" s="25">
        <v>8</v>
      </c>
      <c r="B142" s="289" t="s">
        <v>3410</v>
      </c>
      <c r="C142" s="38" t="s">
        <v>83</v>
      </c>
      <c r="D142" s="38" t="s">
        <v>3404</v>
      </c>
      <c r="E142" s="38" t="s">
        <v>917</v>
      </c>
      <c r="F142" s="45">
        <v>4526298</v>
      </c>
      <c r="G142" s="11">
        <v>860026</v>
      </c>
      <c r="H142" s="60" t="s">
        <v>1157</v>
      </c>
      <c r="I142" s="73">
        <v>201051101</v>
      </c>
      <c r="J142" s="34">
        <v>420.88983050847457</v>
      </c>
      <c r="K142" s="34">
        <f t="shared" si="7"/>
        <v>496.65</v>
      </c>
      <c r="L142" s="38" t="s">
        <v>280</v>
      </c>
      <c r="M142" s="16" t="s">
        <v>143</v>
      </c>
      <c r="N142" s="16" t="s">
        <v>920</v>
      </c>
      <c r="O142" s="16" t="s">
        <v>171</v>
      </c>
      <c r="P142" s="38" t="s">
        <v>140</v>
      </c>
      <c r="Q142" s="38" t="s">
        <v>737</v>
      </c>
      <c r="R142" s="38">
        <v>78.099999999999994</v>
      </c>
      <c r="S142" s="45">
        <v>46</v>
      </c>
      <c r="T142" s="38" t="s">
        <v>1118</v>
      </c>
      <c r="U142" s="33">
        <v>41852</v>
      </c>
      <c r="V142" s="33">
        <v>41852</v>
      </c>
      <c r="W142" s="52">
        <v>42185</v>
      </c>
      <c r="X142" s="60"/>
      <c r="Y142" s="290"/>
      <c r="Z142" s="290"/>
      <c r="AA142" s="290"/>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c r="BG142" s="290"/>
      <c r="BH142" s="290"/>
      <c r="BI142" s="290"/>
      <c r="BJ142" s="290"/>
      <c r="BK142" s="290"/>
      <c r="BL142" s="290"/>
      <c r="BM142" s="290"/>
      <c r="BN142" s="290"/>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c r="DB142" s="290"/>
      <c r="DC142" s="290"/>
      <c r="DD142" s="290"/>
      <c r="DE142" s="290"/>
      <c r="DF142" s="290"/>
      <c r="DG142" s="290"/>
      <c r="DH142" s="290"/>
      <c r="DI142" s="290"/>
      <c r="DJ142" s="290"/>
      <c r="DK142" s="290"/>
      <c r="DL142" s="290"/>
      <c r="DM142" s="290"/>
      <c r="DN142" s="290"/>
      <c r="DO142" s="290"/>
      <c r="DP142" s="290"/>
      <c r="DQ142" s="290"/>
    </row>
    <row r="143" spans="1:121" s="291" customFormat="1" ht="131.25">
      <c r="A143" s="25">
        <v>8</v>
      </c>
      <c r="B143" s="289" t="s">
        <v>3411</v>
      </c>
      <c r="C143" s="38" t="s">
        <v>83</v>
      </c>
      <c r="D143" s="38" t="s">
        <v>3404</v>
      </c>
      <c r="E143" s="38" t="s">
        <v>917</v>
      </c>
      <c r="F143" s="45">
        <v>4526298</v>
      </c>
      <c r="G143" s="11">
        <v>860027</v>
      </c>
      <c r="H143" s="60" t="s">
        <v>1158</v>
      </c>
      <c r="I143" s="73">
        <v>201051101</v>
      </c>
      <c r="J143" s="34">
        <v>132.1398305084746</v>
      </c>
      <c r="K143" s="34">
        <f t="shared" si="7"/>
        <v>155.92500000000001</v>
      </c>
      <c r="L143" s="38" t="s">
        <v>280</v>
      </c>
      <c r="M143" s="16" t="s">
        <v>1159</v>
      </c>
      <c r="N143" s="16" t="s">
        <v>920</v>
      </c>
      <c r="O143" s="16" t="s">
        <v>171</v>
      </c>
      <c r="P143" s="38" t="s">
        <v>140</v>
      </c>
      <c r="Q143" s="38" t="s">
        <v>737</v>
      </c>
      <c r="R143" s="38">
        <v>64</v>
      </c>
      <c r="S143" s="45">
        <v>46</v>
      </c>
      <c r="T143" s="38" t="s">
        <v>1118</v>
      </c>
      <c r="U143" s="33">
        <v>41944</v>
      </c>
      <c r="V143" s="33">
        <v>41944</v>
      </c>
      <c r="W143" s="52">
        <v>42277</v>
      </c>
      <c r="X143" s="60"/>
      <c r="Y143" s="290"/>
      <c r="Z143" s="290"/>
      <c r="AA143" s="290"/>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c r="DB143" s="290"/>
      <c r="DC143" s="290"/>
      <c r="DD143" s="290"/>
      <c r="DE143" s="290"/>
      <c r="DF143" s="290"/>
      <c r="DG143" s="290"/>
      <c r="DH143" s="290"/>
      <c r="DI143" s="290"/>
      <c r="DJ143" s="290"/>
      <c r="DK143" s="290"/>
      <c r="DL143" s="290"/>
      <c r="DM143" s="290"/>
      <c r="DN143" s="290"/>
      <c r="DO143" s="290"/>
      <c r="DP143" s="290"/>
      <c r="DQ143" s="290"/>
    </row>
    <row r="144" spans="1:121" s="291" customFormat="1" ht="131.25">
      <c r="A144" s="25">
        <v>8</v>
      </c>
      <c r="B144" s="289" t="s">
        <v>3412</v>
      </c>
      <c r="C144" s="38" t="s">
        <v>83</v>
      </c>
      <c r="D144" s="38" t="s">
        <v>3404</v>
      </c>
      <c r="E144" s="38" t="s">
        <v>917</v>
      </c>
      <c r="F144" s="45">
        <v>4526298</v>
      </c>
      <c r="G144" s="11">
        <v>860028</v>
      </c>
      <c r="H144" s="60" t="s">
        <v>1160</v>
      </c>
      <c r="I144" s="73">
        <v>201051101</v>
      </c>
      <c r="J144" s="34">
        <v>1732.5</v>
      </c>
      <c r="K144" s="34">
        <f t="shared" si="7"/>
        <v>2044.35</v>
      </c>
      <c r="L144" s="38" t="s">
        <v>280</v>
      </c>
      <c r="M144" s="16" t="s">
        <v>1161</v>
      </c>
      <c r="N144" s="16" t="s">
        <v>920</v>
      </c>
      <c r="O144" s="16" t="s">
        <v>171</v>
      </c>
      <c r="P144" s="38" t="s">
        <v>140</v>
      </c>
      <c r="Q144" s="38" t="s">
        <v>737</v>
      </c>
      <c r="R144" s="38">
        <v>299.51</v>
      </c>
      <c r="S144" s="45">
        <v>46</v>
      </c>
      <c r="T144" s="38" t="s">
        <v>1118</v>
      </c>
      <c r="U144" s="33">
        <v>41852</v>
      </c>
      <c r="V144" s="33">
        <v>41852</v>
      </c>
      <c r="W144" s="52">
        <v>42185</v>
      </c>
      <c r="X144" s="60"/>
      <c r="Y144" s="290"/>
      <c r="Z144" s="290"/>
      <c r="AA144" s="290"/>
      <c r="AB144" s="290"/>
      <c r="AC144" s="290"/>
      <c r="AD144" s="290"/>
      <c r="AE144" s="290"/>
      <c r="AF144" s="290"/>
      <c r="AG144" s="290"/>
      <c r="AH144" s="290"/>
      <c r="AI144" s="290"/>
      <c r="AJ144" s="290"/>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F144" s="290"/>
      <c r="BG144" s="290"/>
      <c r="BH144" s="290"/>
      <c r="BI144" s="290"/>
      <c r="BJ144" s="290"/>
      <c r="BK144" s="290"/>
      <c r="BL144" s="290"/>
      <c r="BM144" s="290"/>
      <c r="BN144" s="290"/>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c r="DB144" s="290"/>
      <c r="DC144" s="290"/>
      <c r="DD144" s="290"/>
      <c r="DE144" s="290"/>
      <c r="DF144" s="290"/>
      <c r="DG144" s="290"/>
      <c r="DH144" s="290"/>
      <c r="DI144" s="290"/>
      <c r="DJ144" s="290"/>
      <c r="DK144" s="290"/>
      <c r="DL144" s="290"/>
      <c r="DM144" s="290"/>
      <c r="DN144" s="290"/>
      <c r="DO144" s="290"/>
      <c r="DP144" s="290"/>
      <c r="DQ144" s="290"/>
    </row>
    <row r="145" spans="1:121" s="291" customFormat="1" ht="112.5">
      <c r="A145" s="25">
        <v>8</v>
      </c>
      <c r="B145" s="289" t="s">
        <v>3413</v>
      </c>
      <c r="C145" s="38" t="s">
        <v>83</v>
      </c>
      <c r="D145" s="38" t="s">
        <v>3404</v>
      </c>
      <c r="E145" s="38" t="s">
        <v>917</v>
      </c>
      <c r="F145" s="45">
        <v>4526298</v>
      </c>
      <c r="G145" s="11">
        <v>860029</v>
      </c>
      <c r="H145" s="60" t="s">
        <v>1162</v>
      </c>
      <c r="I145" s="73">
        <v>201051101</v>
      </c>
      <c r="J145" s="34">
        <v>371.94915254237287</v>
      </c>
      <c r="K145" s="34">
        <f t="shared" si="7"/>
        <v>438.9</v>
      </c>
      <c r="L145" s="38" t="s">
        <v>280</v>
      </c>
      <c r="M145" s="16" t="s">
        <v>1163</v>
      </c>
      <c r="N145" s="16" t="s">
        <v>920</v>
      </c>
      <c r="O145" s="16" t="s">
        <v>171</v>
      </c>
      <c r="P145" s="38" t="s">
        <v>140</v>
      </c>
      <c r="Q145" s="38" t="s">
        <v>737</v>
      </c>
      <c r="R145" s="38">
        <v>99.7</v>
      </c>
      <c r="S145" s="45">
        <v>46</v>
      </c>
      <c r="T145" s="38" t="s">
        <v>1118</v>
      </c>
      <c r="U145" s="33">
        <v>41852</v>
      </c>
      <c r="V145" s="33">
        <v>41852</v>
      </c>
      <c r="W145" s="52">
        <v>42185</v>
      </c>
      <c r="X145" s="60"/>
      <c r="Y145" s="290"/>
      <c r="Z145" s="290"/>
      <c r="AA145" s="290"/>
      <c r="AB145" s="290"/>
      <c r="AC145" s="290"/>
      <c r="AD145" s="290"/>
      <c r="AE145" s="290"/>
      <c r="AF145" s="290"/>
      <c r="AG145" s="290"/>
      <c r="AH145" s="290"/>
      <c r="AI145" s="290"/>
      <c r="AJ145" s="290"/>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c r="BE145" s="290"/>
      <c r="BF145" s="290"/>
      <c r="BG145" s="290"/>
      <c r="BH145" s="290"/>
      <c r="BI145" s="290"/>
      <c r="BJ145" s="290"/>
      <c r="BK145" s="290"/>
      <c r="BL145" s="290"/>
      <c r="BM145" s="290"/>
      <c r="BN145" s="290"/>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c r="DB145" s="290"/>
      <c r="DC145" s="290"/>
      <c r="DD145" s="290"/>
      <c r="DE145" s="290"/>
      <c r="DF145" s="290"/>
      <c r="DG145" s="290"/>
      <c r="DH145" s="290"/>
      <c r="DI145" s="290"/>
      <c r="DJ145" s="290"/>
      <c r="DK145" s="290"/>
      <c r="DL145" s="290"/>
      <c r="DM145" s="290"/>
      <c r="DN145" s="290"/>
      <c r="DO145" s="290"/>
      <c r="DP145" s="290"/>
      <c r="DQ145" s="290"/>
    </row>
    <row r="146" spans="1:121" s="291" customFormat="1" ht="112.5">
      <c r="A146" s="25">
        <v>8</v>
      </c>
      <c r="B146" s="289" t="s">
        <v>3414</v>
      </c>
      <c r="C146" s="38" t="s">
        <v>83</v>
      </c>
      <c r="D146" s="38" t="s">
        <v>3404</v>
      </c>
      <c r="E146" s="38" t="s">
        <v>917</v>
      </c>
      <c r="F146" s="45">
        <v>4526298</v>
      </c>
      <c r="G146" s="11">
        <v>860030</v>
      </c>
      <c r="H146" s="60" t="s">
        <v>1164</v>
      </c>
      <c r="I146" s="73">
        <v>201051101</v>
      </c>
      <c r="J146" s="34">
        <v>504.0889830508475</v>
      </c>
      <c r="K146" s="34">
        <f t="shared" si="7"/>
        <v>594.82500000000005</v>
      </c>
      <c r="L146" s="38" t="s">
        <v>280</v>
      </c>
      <c r="M146" s="16" t="s">
        <v>148</v>
      </c>
      <c r="N146" s="16" t="s">
        <v>920</v>
      </c>
      <c r="O146" s="16" t="s">
        <v>171</v>
      </c>
      <c r="P146" s="38" t="s">
        <v>140</v>
      </c>
      <c r="Q146" s="38" t="s">
        <v>737</v>
      </c>
      <c r="R146" s="38">
        <v>106.6</v>
      </c>
      <c r="S146" s="45">
        <v>46</v>
      </c>
      <c r="T146" s="38" t="s">
        <v>1118</v>
      </c>
      <c r="U146" s="33">
        <v>41760</v>
      </c>
      <c r="V146" s="33">
        <v>41760</v>
      </c>
      <c r="W146" s="52">
        <v>42094</v>
      </c>
      <c r="X146" s="60"/>
      <c r="Y146" s="290"/>
      <c r="Z146" s="290"/>
      <c r="AA146" s="290"/>
      <c r="AB146" s="290"/>
      <c r="AC146" s="290"/>
      <c r="AD146" s="290"/>
      <c r="AE146" s="290"/>
      <c r="AF146" s="290"/>
      <c r="AG146" s="290"/>
      <c r="AH146" s="290"/>
      <c r="AI146" s="290"/>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c r="BG146" s="290"/>
      <c r="BH146" s="290"/>
      <c r="BI146" s="290"/>
      <c r="BJ146" s="290"/>
      <c r="BK146" s="290"/>
      <c r="BL146" s="290"/>
      <c r="BM146" s="290"/>
      <c r="BN146" s="290"/>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c r="DB146" s="290"/>
      <c r="DC146" s="290"/>
      <c r="DD146" s="290"/>
      <c r="DE146" s="290"/>
      <c r="DF146" s="290"/>
      <c r="DG146" s="290"/>
      <c r="DH146" s="290"/>
      <c r="DI146" s="290"/>
      <c r="DJ146" s="290"/>
      <c r="DK146" s="290"/>
      <c r="DL146" s="290"/>
      <c r="DM146" s="290"/>
      <c r="DN146" s="290"/>
      <c r="DO146" s="290"/>
      <c r="DP146" s="290"/>
      <c r="DQ146" s="290"/>
    </row>
    <row r="147" spans="1:121" s="291" customFormat="1" ht="112.5">
      <c r="A147" s="25">
        <v>8</v>
      </c>
      <c r="B147" s="289" t="s">
        <v>3415</v>
      </c>
      <c r="C147" s="38" t="s">
        <v>83</v>
      </c>
      <c r="D147" s="38" t="s">
        <v>3404</v>
      </c>
      <c r="E147" s="38" t="s">
        <v>917</v>
      </c>
      <c r="F147" s="45">
        <v>4526298</v>
      </c>
      <c r="G147" s="11">
        <v>860031</v>
      </c>
      <c r="H147" s="60" t="s">
        <v>1165</v>
      </c>
      <c r="I147" s="73">
        <v>201051101</v>
      </c>
      <c r="J147" s="34">
        <v>235.89406779661019</v>
      </c>
      <c r="K147" s="34">
        <f t="shared" si="7"/>
        <v>278.35500000000002</v>
      </c>
      <c r="L147" s="38" t="s">
        <v>280</v>
      </c>
      <c r="M147" s="16" t="s">
        <v>3416</v>
      </c>
      <c r="N147" s="16" t="s">
        <v>920</v>
      </c>
      <c r="O147" s="16" t="s">
        <v>171</v>
      </c>
      <c r="P147" s="38" t="s">
        <v>140</v>
      </c>
      <c r="Q147" s="38" t="s">
        <v>737</v>
      </c>
      <c r="R147" s="38">
        <v>38.9</v>
      </c>
      <c r="S147" s="45">
        <v>46</v>
      </c>
      <c r="T147" s="38" t="s">
        <v>1118</v>
      </c>
      <c r="U147" s="33">
        <v>41791</v>
      </c>
      <c r="V147" s="33">
        <v>41791</v>
      </c>
      <c r="W147" s="52">
        <v>42124</v>
      </c>
      <c r="X147" s="60"/>
      <c r="Y147" s="290"/>
      <c r="Z147" s="290"/>
      <c r="AA147" s="290"/>
      <c r="AB147" s="290"/>
      <c r="AC147" s="290"/>
      <c r="AD147" s="290"/>
      <c r="AE147" s="290"/>
      <c r="AF147" s="290"/>
      <c r="AG147" s="290"/>
      <c r="AH147" s="290"/>
      <c r="AI147" s="290"/>
      <c r="AJ147" s="290"/>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c r="BG147" s="290"/>
      <c r="BH147" s="290"/>
      <c r="BI147" s="290"/>
      <c r="BJ147" s="290"/>
      <c r="BK147" s="290"/>
      <c r="BL147" s="290"/>
      <c r="BM147" s="290"/>
      <c r="BN147" s="290"/>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c r="DB147" s="290"/>
      <c r="DC147" s="290"/>
      <c r="DD147" s="290"/>
      <c r="DE147" s="290"/>
      <c r="DF147" s="290"/>
      <c r="DG147" s="290"/>
      <c r="DH147" s="290"/>
      <c r="DI147" s="290"/>
      <c r="DJ147" s="290"/>
      <c r="DK147" s="290"/>
      <c r="DL147" s="290"/>
      <c r="DM147" s="290"/>
      <c r="DN147" s="290"/>
      <c r="DO147" s="290"/>
      <c r="DP147" s="290"/>
      <c r="DQ147" s="290"/>
    </row>
    <row r="148" spans="1:121" s="291" customFormat="1" ht="112.5">
      <c r="A148" s="25">
        <v>8</v>
      </c>
      <c r="B148" s="289" t="s">
        <v>3417</v>
      </c>
      <c r="C148" s="38" t="s">
        <v>83</v>
      </c>
      <c r="D148" s="38" t="s">
        <v>3404</v>
      </c>
      <c r="E148" s="38" t="s">
        <v>917</v>
      </c>
      <c r="F148" s="45">
        <v>4526298</v>
      </c>
      <c r="G148" s="11">
        <v>860032</v>
      </c>
      <c r="H148" s="60" t="s">
        <v>1166</v>
      </c>
      <c r="I148" s="73">
        <v>201051101</v>
      </c>
      <c r="J148" s="34">
        <v>375.86440677966101</v>
      </c>
      <c r="K148" s="34">
        <f t="shared" si="7"/>
        <v>443.52</v>
      </c>
      <c r="L148" s="38" t="s">
        <v>280</v>
      </c>
      <c r="M148" s="16" t="s">
        <v>1167</v>
      </c>
      <c r="N148" s="16" t="s">
        <v>920</v>
      </c>
      <c r="O148" s="16" t="s">
        <v>171</v>
      </c>
      <c r="P148" s="38" t="s">
        <v>140</v>
      </c>
      <c r="Q148" s="38" t="s">
        <v>737</v>
      </c>
      <c r="R148" s="38">
        <v>97</v>
      </c>
      <c r="S148" s="45">
        <v>46</v>
      </c>
      <c r="T148" s="38" t="s">
        <v>1118</v>
      </c>
      <c r="U148" s="33">
        <v>41852</v>
      </c>
      <c r="V148" s="33">
        <v>41852</v>
      </c>
      <c r="W148" s="52">
        <v>42185</v>
      </c>
      <c r="X148" s="60"/>
      <c r="Y148" s="290"/>
      <c r="Z148" s="290"/>
      <c r="AA148" s="290"/>
      <c r="AB148" s="290"/>
      <c r="AC148" s="290"/>
      <c r="AD148" s="290"/>
      <c r="AE148" s="290"/>
      <c r="AF148" s="290"/>
      <c r="AG148" s="290"/>
      <c r="AH148" s="290"/>
      <c r="AI148" s="290"/>
      <c r="AJ148" s="290"/>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c r="BG148" s="290"/>
      <c r="BH148" s="290"/>
      <c r="BI148" s="290"/>
      <c r="BJ148" s="290"/>
      <c r="BK148" s="290"/>
      <c r="BL148" s="290"/>
      <c r="BM148" s="290"/>
      <c r="BN148" s="290"/>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c r="DB148" s="290"/>
      <c r="DC148" s="290"/>
      <c r="DD148" s="290"/>
      <c r="DE148" s="290"/>
      <c r="DF148" s="290"/>
      <c r="DG148" s="290"/>
      <c r="DH148" s="290"/>
      <c r="DI148" s="290"/>
      <c r="DJ148" s="290"/>
      <c r="DK148" s="290"/>
      <c r="DL148" s="290"/>
      <c r="DM148" s="290"/>
      <c r="DN148" s="290"/>
      <c r="DO148" s="290"/>
      <c r="DP148" s="290"/>
      <c r="DQ148" s="290"/>
    </row>
    <row r="149" spans="1:121" s="291" customFormat="1" ht="112.5">
      <c r="A149" s="25">
        <v>8</v>
      </c>
      <c r="B149" s="289" t="s">
        <v>3418</v>
      </c>
      <c r="C149" s="38" t="s">
        <v>83</v>
      </c>
      <c r="D149" s="38" t="s">
        <v>3404</v>
      </c>
      <c r="E149" s="38" t="s">
        <v>917</v>
      </c>
      <c r="F149" s="45">
        <v>4526298</v>
      </c>
      <c r="G149" s="11">
        <v>860034</v>
      </c>
      <c r="H149" s="60" t="s">
        <v>1168</v>
      </c>
      <c r="I149" s="73">
        <v>201051101</v>
      </c>
      <c r="J149" s="34">
        <v>458.08474576271186</v>
      </c>
      <c r="K149" s="34">
        <f t="shared" ref="K149:K180" si="8">J149*1.18</f>
        <v>540.54</v>
      </c>
      <c r="L149" s="38" t="s">
        <v>280</v>
      </c>
      <c r="M149" s="16" t="s">
        <v>145</v>
      </c>
      <c r="N149" s="16" t="s">
        <v>920</v>
      </c>
      <c r="O149" s="16" t="s">
        <v>171</v>
      </c>
      <c r="P149" s="38" t="s">
        <v>140</v>
      </c>
      <c r="Q149" s="38" t="s">
        <v>737</v>
      </c>
      <c r="R149" s="38">
        <v>85.3</v>
      </c>
      <c r="S149" s="45">
        <v>46</v>
      </c>
      <c r="T149" s="38" t="s">
        <v>1118</v>
      </c>
      <c r="U149" s="33">
        <v>41852</v>
      </c>
      <c r="V149" s="33">
        <v>41852</v>
      </c>
      <c r="W149" s="52">
        <v>42185</v>
      </c>
      <c r="X149" s="60"/>
      <c r="Y149" s="290"/>
      <c r="Z149" s="290"/>
      <c r="AA149" s="290"/>
      <c r="AB149" s="290"/>
      <c r="AC149" s="290"/>
      <c r="AD149" s="290"/>
      <c r="AE149" s="290"/>
      <c r="AF149" s="290"/>
      <c r="AG149" s="290"/>
      <c r="AH149" s="290"/>
      <c r="AI149" s="290"/>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c r="BG149" s="290"/>
      <c r="BH149" s="290"/>
      <c r="BI149" s="290"/>
      <c r="BJ149" s="290"/>
      <c r="BK149" s="290"/>
      <c r="BL149" s="290"/>
      <c r="BM149" s="290"/>
      <c r="BN149" s="290"/>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c r="DB149" s="290"/>
      <c r="DC149" s="290"/>
      <c r="DD149" s="290"/>
      <c r="DE149" s="290"/>
      <c r="DF149" s="290"/>
      <c r="DG149" s="290"/>
      <c r="DH149" s="290"/>
      <c r="DI149" s="290"/>
      <c r="DJ149" s="290"/>
      <c r="DK149" s="290"/>
      <c r="DL149" s="290"/>
      <c r="DM149" s="290"/>
      <c r="DN149" s="290"/>
      <c r="DO149" s="290"/>
      <c r="DP149" s="290"/>
      <c r="DQ149" s="290"/>
    </row>
    <row r="150" spans="1:121" s="291" customFormat="1" ht="112.5">
      <c r="A150" s="25">
        <v>8</v>
      </c>
      <c r="B150" s="289" t="s">
        <v>3419</v>
      </c>
      <c r="C150" s="38" t="s">
        <v>83</v>
      </c>
      <c r="D150" s="38" t="s">
        <v>3404</v>
      </c>
      <c r="E150" s="38" t="s">
        <v>917</v>
      </c>
      <c r="F150" s="45">
        <v>4526298</v>
      </c>
      <c r="G150" s="11">
        <v>860035</v>
      </c>
      <c r="H150" s="60" t="s">
        <v>1169</v>
      </c>
      <c r="I150" s="73">
        <v>201051101</v>
      </c>
      <c r="J150" s="34">
        <v>1242.1144067796613</v>
      </c>
      <c r="K150" s="34">
        <f t="shared" si="8"/>
        <v>1465.6950000000002</v>
      </c>
      <c r="L150" s="38" t="s">
        <v>280</v>
      </c>
      <c r="M150" s="16" t="s">
        <v>1170</v>
      </c>
      <c r="N150" s="16" t="s">
        <v>920</v>
      </c>
      <c r="O150" s="16" t="s">
        <v>171</v>
      </c>
      <c r="P150" s="38" t="s">
        <v>140</v>
      </c>
      <c r="Q150" s="38" t="s">
        <v>737</v>
      </c>
      <c r="R150" s="38">
        <v>173.8</v>
      </c>
      <c r="S150" s="45">
        <v>46</v>
      </c>
      <c r="T150" s="38" t="s">
        <v>1118</v>
      </c>
      <c r="U150" s="33">
        <v>41913</v>
      </c>
      <c r="V150" s="33">
        <v>41913</v>
      </c>
      <c r="W150" s="52">
        <v>42247</v>
      </c>
      <c r="X150" s="60"/>
      <c r="Y150" s="290"/>
      <c r="Z150" s="290"/>
      <c r="AA150" s="290"/>
      <c r="AB150" s="290"/>
      <c r="AC150" s="290"/>
      <c r="AD150" s="290"/>
      <c r="AE150" s="290"/>
      <c r="AF150" s="290"/>
      <c r="AG150" s="290"/>
      <c r="AH150" s="290"/>
      <c r="AI150" s="290"/>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c r="BG150" s="290"/>
      <c r="BH150" s="290"/>
      <c r="BI150" s="290"/>
      <c r="BJ150" s="290"/>
      <c r="BK150" s="290"/>
      <c r="BL150" s="290"/>
      <c r="BM150" s="290"/>
      <c r="BN150" s="290"/>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c r="DB150" s="290"/>
      <c r="DC150" s="290"/>
      <c r="DD150" s="290"/>
      <c r="DE150" s="290"/>
      <c r="DF150" s="290"/>
      <c r="DG150" s="290"/>
      <c r="DH150" s="290"/>
      <c r="DI150" s="290"/>
      <c r="DJ150" s="290"/>
      <c r="DK150" s="290"/>
      <c r="DL150" s="290"/>
      <c r="DM150" s="290"/>
      <c r="DN150" s="290"/>
      <c r="DO150" s="290"/>
      <c r="DP150" s="290"/>
      <c r="DQ150" s="290"/>
    </row>
    <row r="151" spans="1:121" s="291" customFormat="1" ht="112.5">
      <c r="A151" s="25">
        <v>8</v>
      </c>
      <c r="B151" s="289" t="s">
        <v>3420</v>
      </c>
      <c r="C151" s="38" t="s">
        <v>83</v>
      </c>
      <c r="D151" s="38" t="s">
        <v>3404</v>
      </c>
      <c r="E151" s="38" t="s">
        <v>917</v>
      </c>
      <c r="F151" s="45">
        <v>4526298</v>
      </c>
      <c r="G151" s="11">
        <v>860036</v>
      </c>
      <c r="H151" s="60" t="s">
        <v>1171</v>
      </c>
      <c r="I151" s="73">
        <v>201051101</v>
      </c>
      <c r="J151" s="34">
        <v>411.10169491525426</v>
      </c>
      <c r="K151" s="34">
        <f t="shared" si="8"/>
        <v>485.1</v>
      </c>
      <c r="L151" s="38" t="s">
        <v>280</v>
      </c>
      <c r="M151" s="16" t="s">
        <v>1172</v>
      </c>
      <c r="N151" s="16" t="s">
        <v>920</v>
      </c>
      <c r="O151" s="16" t="s">
        <v>171</v>
      </c>
      <c r="P151" s="38" t="s">
        <v>140</v>
      </c>
      <c r="Q151" s="38" t="s">
        <v>737</v>
      </c>
      <c r="R151" s="38">
        <v>80.900000000000006</v>
      </c>
      <c r="S151" s="45">
        <v>46</v>
      </c>
      <c r="T151" s="38" t="s">
        <v>1118</v>
      </c>
      <c r="U151" s="33">
        <v>41699</v>
      </c>
      <c r="V151" s="33">
        <v>41699</v>
      </c>
      <c r="W151" s="52">
        <v>42035</v>
      </c>
      <c r="X151" s="60"/>
      <c r="Y151" s="290"/>
      <c r="Z151" s="290"/>
      <c r="AA151" s="290"/>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c r="BG151" s="290"/>
      <c r="BH151" s="290"/>
      <c r="BI151" s="290"/>
      <c r="BJ151" s="290"/>
      <c r="BK151" s="290"/>
      <c r="BL151" s="290"/>
      <c r="BM151" s="290"/>
      <c r="BN151" s="290"/>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c r="DB151" s="290"/>
      <c r="DC151" s="290"/>
      <c r="DD151" s="290"/>
      <c r="DE151" s="290"/>
      <c r="DF151" s="290"/>
      <c r="DG151" s="290"/>
      <c r="DH151" s="290"/>
      <c r="DI151" s="290"/>
      <c r="DJ151" s="290"/>
      <c r="DK151" s="290"/>
      <c r="DL151" s="290"/>
      <c r="DM151" s="290"/>
      <c r="DN151" s="290"/>
      <c r="DO151" s="290"/>
      <c r="DP151" s="290"/>
      <c r="DQ151" s="290"/>
    </row>
    <row r="152" spans="1:121" s="291" customFormat="1" ht="112.5">
      <c r="A152" s="25">
        <v>8</v>
      </c>
      <c r="B152" s="289" t="s">
        <v>3421</v>
      </c>
      <c r="C152" s="38" t="s">
        <v>83</v>
      </c>
      <c r="D152" s="38" t="s">
        <v>3392</v>
      </c>
      <c r="E152" s="38" t="s">
        <v>882</v>
      </c>
      <c r="F152" s="45">
        <v>2219125</v>
      </c>
      <c r="G152" s="11">
        <v>860037</v>
      </c>
      <c r="H152" s="60" t="s">
        <v>883</v>
      </c>
      <c r="I152" s="73">
        <v>2010510</v>
      </c>
      <c r="J152" s="34">
        <v>2253.6610169491528</v>
      </c>
      <c r="K152" s="34">
        <f t="shared" si="8"/>
        <v>2659.32</v>
      </c>
      <c r="L152" s="38" t="s">
        <v>280</v>
      </c>
      <c r="M152" s="16" t="s">
        <v>884</v>
      </c>
      <c r="N152" s="16" t="s">
        <v>883</v>
      </c>
      <c r="O152" s="16" t="s">
        <v>171</v>
      </c>
      <c r="P152" s="38">
        <v>796</v>
      </c>
      <c r="Q152" s="38" t="s">
        <v>419</v>
      </c>
      <c r="R152" s="38">
        <v>83</v>
      </c>
      <c r="S152" s="45">
        <v>45</v>
      </c>
      <c r="T152" s="38" t="s">
        <v>547</v>
      </c>
      <c r="U152" s="33">
        <v>41639</v>
      </c>
      <c r="V152" s="33">
        <v>41640</v>
      </c>
      <c r="W152" s="52">
        <v>42004</v>
      </c>
      <c r="X152" s="60"/>
      <c r="Y152" s="290"/>
      <c r="Z152" s="290"/>
      <c r="AA152" s="290"/>
      <c r="AB152" s="290"/>
      <c r="AC152" s="290"/>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c r="BG152" s="290"/>
      <c r="BH152" s="290"/>
      <c r="BI152" s="290"/>
      <c r="BJ152" s="290"/>
      <c r="BK152" s="290"/>
      <c r="BL152" s="290"/>
      <c r="BM152" s="290"/>
      <c r="BN152" s="290"/>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c r="DB152" s="290"/>
      <c r="DC152" s="290"/>
      <c r="DD152" s="290"/>
      <c r="DE152" s="290"/>
      <c r="DF152" s="290"/>
      <c r="DG152" s="290"/>
      <c r="DH152" s="290"/>
      <c r="DI152" s="290"/>
      <c r="DJ152" s="290"/>
      <c r="DK152" s="290"/>
      <c r="DL152" s="290"/>
      <c r="DM152" s="290"/>
      <c r="DN152" s="290"/>
      <c r="DO152" s="290"/>
      <c r="DP152" s="290"/>
      <c r="DQ152" s="290"/>
    </row>
    <row r="153" spans="1:121" s="291" customFormat="1" ht="56.25">
      <c r="A153" s="25">
        <v>8</v>
      </c>
      <c r="B153" s="289" t="s">
        <v>3763</v>
      </c>
      <c r="C153" s="38" t="s">
        <v>83</v>
      </c>
      <c r="D153" s="38" t="s">
        <v>3901</v>
      </c>
      <c r="E153" s="38" t="s">
        <v>689</v>
      </c>
      <c r="F153" s="45">
        <v>6420020</v>
      </c>
      <c r="G153" s="11">
        <v>834159</v>
      </c>
      <c r="H153" s="60" t="s">
        <v>3764</v>
      </c>
      <c r="I153" s="73">
        <v>20105010201</v>
      </c>
      <c r="J153" s="34">
        <v>564</v>
      </c>
      <c r="K153" s="34">
        <f t="shared" si="8"/>
        <v>665.52</v>
      </c>
      <c r="L153" s="38" t="s">
        <v>280</v>
      </c>
      <c r="M153" s="16" t="s">
        <v>3765</v>
      </c>
      <c r="N153" s="16" t="str">
        <f t="shared" ref="N153:N162" si="9">H153</f>
        <v>Представление услуг связи</v>
      </c>
      <c r="O153" s="16" t="s">
        <v>171</v>
      </c>
      <c r="P153" s="38">
        <v>796</v>
      </c>
      <c r="Q153" s="38" t="s">
        <v>94</v>
      </c>
      <c r="R153" s="38">
        <v>350</v>
      </c>
      <c r="S153" s="45">
        <v>46200</v>
      </c>
      <c r="T153" s="38" t="s">
        <v>3383</v>
      </c>
      <c r="U153" s="33">
        <v>41640</v>
      </c>
      <c r="V153" s="33">
        <v>41640</v>
      </c>
      <c r="W153" s="52">
        <v>42004</v>
      </c>
      <c r="X153" s="60"/>
      <c r="Y153" s="290"/>
      <c r="Z153" s="290"/>
      <c r="AA153" s="290"/>
      <c r="AB153" s="290"/>
      <c r="AC153" s="290"/>
      <c r="AD153" s="290"/>
      <c r="AE153" s="290"/>
      <c r="AF153" s="290"/>
      <c r="AG153" s="290"/>
      <c r="AH153" s="290"/>
      <c r="AI153" s="290"/>
      <c r="AJ153" s="290"/>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c r="BE153" s="290"/>
      <c r="BF153" s="290"/>
      <c r="BG153" s="290"/>
      <c r="BH153" s="290"/>
      <c r="BI153" s="290"/>
      <c r="BJ153" s="290"/>
      <c r="BK153" s="290"/>
      <c r="BL153" s="290"/>
      <c r="BM153" s="290"/>
      <c r="BN153" s="290"/>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c r="DB153" s="290"/>
      <c r="DC153" s="290"/>
      <c r="DD153" s="290"/>
      <c r="DE153" s="290"/>
      <c r="DF153" s="290"/>
      <c r="DG153" s="290"/>
      <c r="DH153" s="290"/>
      <c r="DI153" s="290"/>
      <c r="DJ153" s="290"/>
      <c r="DK153" s="290"/>
      <c r="DL153" s="290"/>
      <c r="DM153" s="290"/>
      <c r="DN153" s="290"/>
      <c r="DO153" s="290"/>
      <c r="DP153" s="290"/>
      <c r="DQ153" s="290"/>
    </row>
    <row r="154" spans="1:121" s="291" customFormat="1" ht="56.25">
      <c r="A154" s="25">
        <v>8</v>
      </c>
      <c r="B154" s="289" t="s">
        <v>3767</v>
      </c>
      <c r="C154" s="38" t="s">
        <v>83</v>
      </c>
      <c r="D154" s="38" t="s">
        <v>3901</v>
      </c>
      <c r="E154" s="38" t="s">
        <v>689</v>
      </c>
      <c r="F154" s="45">
        <v>6420030</v>
      </c>
      <c r="G154" s="11">
        <v>834166</v>
      </c>
      <c r="H154" s="60" t="s">
        <v>3768</v>
      </c>
      <c r="I154" s="73">
        <v>20105010201</v>
      </c>
      <c r="J154" s="34">
        <v>8622</v>
      </c>
      <c r="K154" s="34">
        <f t="shared" si="8"/>
        <v>10173.959999999999</v>
      </c>
      <c r="L154" s="38" t="s">
        <v>280</v>
      </c>
      <c r="M154" s="16" t="s">
        <v>3769</v>
      </c>
      <c r="N154" s="16" t="str">
        <f t="shared" si="9"/>
        <v>Услуги предоставления цифрового канала</v>
      </c>
      <c r="O154" s="16" t="s">
        <v>171</v>
      </c>
      <c r="P154" s="38">
        <v>796</v>
      </c>
      <c r="Q154" s="38" t="s">
        <v>94</v>
      </c>
      <c r="R154" s="38">
        <v>150</v>
      </c>
      <c r="S154" s="45">
        <v>46200</v>
      </c>
      <c r="T154" s="38" t="s">
        <v>3383</v>
      </c>
      <c r="U154" s="33">
        <v>41640</v>
      </c>
      <c r="V154" s="33">
        <v>41640</v>
      </c>
      <c r="W154" s="52">
        <v>42004</v>
      </c>
      <c r="X154" s="60"/>
      <c r="Y154" s="290"/>
      <c r="Z154" s="290"/>
      <c r="AA154" s="290"/>
      <c r="AB154" s="290"/>
      <c r="AC154" s="290"/>
      <c r="AD154" s="290"/>
      <c r="AE154" s="290"/>
      <c r="AF154" s="290"/>
      <c r="AG154" s="290"/>
      <c r="AH154" s="290"/>
      <c r="AI154" s="290"/>
      <c r="AJ154" s="290"/>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c r="BE154" s="290"/>
      <c r="BF154" s="290"/>
      <c r="BG154" s="290"/>
      <c r="BH154" s="290"/>
      <c r="BI154" s="290"/>
      <c r="BJ154" s="290"/>
      <c r="BK154" s="290"/>
      <c r="BL154" s="290"/>
      <c r="BM154" s="290"/>
      <c r="BN154" s="290"/>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c r="DB154" s="290"/>
      <c r="DC154" s="290"/>
      <c r="DD154" s="290"/>
      <c r="DE154" s="290"/>
      <c r="DF154" s="290"/>
      <c r="DG154" s="290"/>
      <c r="DH154" s="290"/>
      <c r="DI154" s="290"/>
      <c r="DJ154" s="290"/>
      <c r="DK154" s="290"/>
      <c r="DL154" s="290"/>
      <c r="DM154" s="290"/>
      <c r="DN154" s="290"/>
      <c r="DO154" s="290"/>
      <c r="DP154" s="290"/>
      <c r="DQ154" s="290"/>
    </row>
    <row r="155" spans="1:121" s="291" customFormat="1" ht="75">
      <c r="A155" s="25">
        <v>8</v>
      </c>
      <c r="B155" s="289" t="s">
        <v>3770</v>
      </c>
      <c r="C155" s="38" t="s">
        <v>83</v>
      </c>
      <c r="D155" s="38" t="s">
        <v>3932</v>
      </c>
      <c r="E155" s="38" t="s">
        <v>3771</v>
      </c>
      <c r="F155" s="45">
        <v>4010000</v>
      </c>
      <c r="G155" s="11">
        <v>834158</v>
      </c>
      <c r="H155" s="60" t="s">
        <v>3772</v>
      </c>
      <c r="I155" s="73">
        <v>2010104</v>
      </c>
      <c r="J155" s="34">
        <v>2808</v>
      </c>
      <c r="K155" s="34">
        <f t="shared" si="8"/>
        <v>3313.4399999999996</v>
      </c>
      <c r="L155" s="38" t="s">
        <v>280</v>
      </c>
      <c r="M155" s="16" t="s">
        <v>3773</v>
      </c>
      <c r="N155" s="16" t="str">
        <f t="shared" si="9"/>
        <v>Теплоэнергия на хозяйственно-бытовые нужды</v>
      </c>
      <c r="O155" s="16" t="s">
        <v>171</v>
      </c>
      <c r="P155" s="38">
        <v>796</v>
      </c>
      <c r="Q155" s="38" t="s">
        <v>94</v>
      </c>
      <c r="R155" s="38" t="s">
        <v>3774</v>
      </c>
      <c r="S155" s="45">
        <v>46200</v>
      </c>
      <c r="T155" s="38" t="s">
        <v>3383</v>
      </c>
      <c r="U155" s="33">
        <v>41640</v>
      </c>
      <c r="V155" s="33">
        <v>41640</v>
      </c>
      <c r="W155" s="52">
        <v>42004</v>
      </c>
      <c r="X155" s="6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row>
    <row r="156" spans="1:121" s="291" customFormat="1" ht="75">
      <c r="A156" s="25">
        <v>8</v>
      </c>
      <c r="B156" s="289" t="s">
        <v>3775</v>
      </c>
      <c r="C156" s="38" t="s">
        <v>83</v>
      </c>
      <c r="D156" s="38" t="s">
        <v>3932</v>
      </c>
      <c r="E156" s="38" t="s">
        <v>3776</v>
      </c>
      <c r="F156" s="45">
        <v>4010000</v>
      </c>
      <c r="G156" s="11">
        <v>834157</v>
      </c>
      <c r="H156" s="60" t="s">
        <v>3772</v>
      </c>
      <c r="I156" s="73">
        <v>2010104</v>
      </c>
      <c r="J156" s="34">
        <v>652</v>
      </c>
      <c r="K156" s="34">
        <f t="shared" si="8"/>
        <v>769.36</v>
      </c>
      <c r="L156" s="38" t="s">
        <v>280</v>
      </c>
      <c r="M156" s="16" t="s">
        <v>3777</v>
      </c>
      <c r="N156" s="16" t="str">
        <f t="shared" si="9"/>
        <v>Теплоэнергия на хозяйственно-бытовые нужды</v>
      </c>
      <c r="O156" s="16" t="s">
        <v>171</v>
      </c>
      <c r="P156" s="38">
        <v>796</v>
      </c>
      <c r="Q156" s="38" t="s">
        <v>94</v>
      </c>
      <c r="R156" s="38" t="s">
        <v>3774</v>
      </c>
      <c r="S156" s="45">
        <v>46200</v>
      </c>
      <c r="T156" s="38" t="s">
        <v>3383</v>
      </c>
      <c r="U156" s="33">
        <v>41640</v>
      </c>
      <c r="V156" s="33">
        <v>41640</v>
      </c>
      <c r="W156" s="52">
        <v>42004</v>
      </c>
      <c r="X156" s="60"/>
      <c r="Y156" s="290"/>
      <c r="Z156" s="290"/>
      <c r="AA156" s="290"/>
      <c r="AB156" s="290"/>
      <c r="AC156" s="290"/>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c r="BG156" s="290"/>
      <c r="BH156" s="290"/>
      <c r="BI156" s="290"/>
      <c r="BJ156" s="290"/>
      <c r="BK156" s="290"/>
      <c r="BL156" s="290"/>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c r="DB156" s="290"/>
      <c r="DC156" s="290"/>
      <c r="DD156" s="290"/>
      <c r="DE156" s="290"/>
      <c r="DF156" s="290"/>
      <c r="DG156" s="290"/>
      <c r="DH156" s="290"/>
      <c r="DI156" s="290"/>
      <c r="DJ156" s="290"/>
      <c r="DK156" s="290"/>
      <c r="DL156" s="290"/>
      <c r="DM156" s="290"/>
      <c r="DN156" s="290"/>
      <c r="DO156" s="290"/>
      <c r="DP156" s="290"/>
      <c r="DQ156" s="290"/>
    </row>
    <row r="157" spans="1:121" s="291" customFormat="1" ht="75">
      <c r="A157" s="25">
        <v>8</v>
      </c>
      <c r="B157" s="289" t="s">
        <v>3778</v>
      </c>
      <c r="C157" s="38" t="s">
        <v>83</v>
      </c>
      <c r="D157" s="38" t="s">
        <v>3932</v>
      </c>
      <c r="E157" s="38" t="s">
        <v>3779</v>
      </c>
      <c r="F157" s="45">
        <v>4010000</v>
      </c>
      <c r="G157" s="11">
        <v>834156</v>
      </c>
      <c r="H157" s="60" t="s">
        <v>3772</v>
      </c>
      <c r="I157" s="73">
        <v>2010104</v>
      </c>
      <c r="J157" s="34">
        <v>550</v>
      </c>
      <c r="K157" s="34">
        <f t="shared" si="8"/>
        <v>649</v>
      </c>
      <c r="L157" s="38" t="s">
        <v>280</v>
      </c>
      <c r="M157" s="16" t="s">
        <v>3780</v>
      </c>
      <c r="N157" s="16" t="str">
        <f t="shared" si="9"/>
        <v>Теплоэнергия на хозяйственно-бытовые нужды</v>
      </c>
      <c r="O157" s="16" t="s">
        <v>171</v>
      </c>
      <c r="P157" s="38">
        <v>796</v>
      </c>
      <c r="Q157" s="38" t="s">
        <v>94</v>
      </c>
      <c r="R157" s="38" t="s">
        <v>3774</v>
      </c>
      <c r="S157" s="45">
        <v>46200</v>
      </c>
      <c r="T157" s="38" t="s">
        <v>3383</v>
      </c>
      <c r="U157" s="33">
        <v>41640</v>
      </c>
      <c r="V157" s="33">
        <v>41640</v>
      </c>
      <c r="W157" s="52">
        <v>42004</v>
      </c>
      <c r="X157" s="60"/>
      <c r="Y157" s="290"/>
      <c r="Z157" s="290"/>
      <c r="AA157" s="290"/>
      <c r="AB157" s="290"/>
      <c r="AC157" s="290"/>
      <c r="AD157" s="290"/>
      <c r="AE157" s="290"/>
      <c r="AF157" s="290"/>
      <c r="AG157" s="290"/>
      <c r="AH157" s="290"/>
      <c r="AI157" s="290"/>
      <c r="AJ157" s="290"/>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c r="BE157" s="290"/>
      <c r="BF157" s="290"/>
      <c r="BG157" s="290"/>
      <c r="BH157" s="290"/>
      <c r="BI157" s="290"/>
      <c r="BJ157" s="290"/>
      <c r="BK157" s="290"/>
      <c r="BL157" s="290"/>
      <c r="BM157" s="290"/>
      <c r="BN157" s="290"/>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c r="DB157" s="290"/>
      <c r="DC157" s="290"/>
      <c r="DD157" s="290"/>
      <c r="DE157" s="290"/>
      <c r="DF157" s="290"/>
      <c r="DG157" s="290"/>
      <c r="DH157" s="290"/>
      <c r="DI157" s="290"/>
      <c r="DJ157" s="290"/>
      <c r="DK157" s="290"/>
      <c r="DL157" s="290"/>
      <c r="DM157" s="290"/>
      <c r="DN157" s="290"/>
      <c r="DO157" s="290"/>
      <c r="DP157" s="290"/>
      <c r="DQ157" s="290"/>
    </row>
    <row r="158" spans="1:121" s="291" customFormat="1" ht="56.25">
      <c r="A158" s="25">
        <v>8</v>
      </c>
      <c r="B158" s="289" t="s">
        <v>3781</v>
      </c>
      <c r="C158" s="38" t="s">
        <v>83</v>
      </c>
      <c r="D158" s="38" t="s">
        <v>3932</v>
      </c>
      <c r="E158" s="38" t="s">
        <v>3455</v>
      </c>
      <c r="F158" s="45">
        <v>4010000</v>
      </c>
      <c r="G158" s="11">
        <v>834155</v>
      </c>
      <c r="H158" s="60" t="s">
        <v>3772</v>
      </c>
      <c r="I158" s="73">
        <v>2010104</v>
      </c>
      <c r="J158" s="34">
        <v>1700</v>
      </c>
      <c r="K158" s="34">
        <f t="shared" si="8"/>
        <v>2006</v>
      </c>
      <c r="L158" s="38" t="s">
        <v>280</v>
      </c>
      <c r="M158" s="16" t="s">
        <v>3782</v>
      </c>
      <c r="N158" s="16" t="str">
        <f t="shared" si="9"/>
        <v>Теплоэнергия на хозяйственно-бытовые нужды</v>
      </c>
      <c r="O158" s="16" t="s">
        <v>171</v>
      </c>
      <c r="P158" s="38">
        <v>796</v>
      </c>
      <c r="Q158" s="38" t="s">
        <v>94</v>
      </c>
      <c r="R158" s="38" t="s">
        <v>3774</v>
      </c>
      <c r="S158" s="45">
        <v>46200</v>
      </c>
      <c r="T158" s="38" t="s">
        <v>3383</v>
      </c>
      <c r="U158" s="33">
        <v>41640</v>
      </c>
      <c r="V158" s="33">
        <v>41640</v>
      </c>
      <c r="W158" s="52">
        <v>42004</v>
      </c>
      <c r="X158" s="60"/>
      <c r="Y158" s="290"/>
      <c r="Z158" s="290"/>
      <c r="AA158" s="290"/>
      <c r="AB158" s="290"/>
      <c r="AC158" s="290"/>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c r="BG158" s="290"/>
      <c r="BH158" s="290"/>
      <c r="BI158" s="290"/>
      <c r="BJ158" s="290"/>
      <c r="BK158" s="290"/>
      <c r="BL158" s="290"/>
      <c r="BM158" s="290"/>
      <c r="BN158" s="290"/>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c r="DB158" s="290"/>
      <c r="DC158" s="290"/>
      <c r="DD158" s="290"/>
      <c r="DE158" s="290"/>
      <c r="DF158" s="290"/>
      <c r="DG158" s="290"/>
      <c r="DH158" s="290"/>
      <c r="DI158" s="290"/>
      <c r="DJ158" s="290"/>
      <c r="DK158" s="290"/>
      <c r="DL158" s="290"/>
      <c r="DM158" s="290"/>
      <c r="DN158" s="290"/>
      <c r="DO158" s="290"/>
      <c r="DP158" s="290"/>
      <c r="DQ158" s="290"/>
    </row>
    <row r="159" spans="1:121" s="291" customFormat="1" ht="93.75">
      <c r="A159" s="25">
        <v>8</v>
      </c>
      <c r="B159" s="289" t="s">
        <v>3783</v>
      </c>
      <c r="C159" s="38" t="s">
        <v>83</v>
      </c>
      <c r="D159" s="38" t="s">
        <v>3932</v>
      </c>
      <c r="E159" s="38" t="s">
        <v>3771</v>
      </c>
      <c r="F159" s="45">
        <v>4010000</v>
      </c>
      <c r="G159" s="11">
        <v>834154</v>
      </c>
      <c r="H159" s="60" t="s">
        <v>3772</v>
      </c>
      <c r="I159" s="73">
        <v>2010104</v>
      </c>
      <c r="J159" s="34">
        <v>977</v>
      </c>
      <c r="K159" s="34">
        <f t="shared" si="8"/>
        <v>1152.8599999999999</v>
      </c>
      <c r="L159" s="38" t="s">
        <v>280</v>
      </c>
      <c r="M159" s="16" t="s">
        <v>3784</v>
      </c>
      <c r="N159" s="16" t="str">
        <f t="shared" si="9"/>
        <v>Теплоэнергия на хозяйственно-бытовые нужды</v>
      </c>
      <c r="O159" s="16" t="s">
        <v>171</v>
      </c>
      <c r="P159" s="38">
        <v>796</v>
      </c>
      <c r="Q159" s="38" t="s">
        <v>94</v>
      </c>
      <c r="R159" s="38" t="s">
        <v>3774</v>
      </c>
      <c r="S159" s="45">
        <v>46200</v>
      </c>
      <c r="T159" s="38" t="s">
        <v>3383</v>
      </c>
      <c r="U159" s="33">
        <v>41640</v>
      </c>
      <c r="V159" s="33">
        <v>41640</v>
      </c>
      <c r="W159" s="52">
        <v>42004</v>
      </c>
      <c r="X159" s="6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c r="DB159" s="290"/>
      <c r="DC159" s="290"/>
      <c r="DD159" s="290"/>
      <c r="DE159" s="290"/>
      <c r="DF159" s="290"/>
      <c r="DG159" s="290"/>
      <c r="DH159" s="290"/>
      <c r="DI159" s="290"/>
      <c r="DJ159" s="290"/>
      <c r="DK159" s="290"/>
      <c r="DL159" s="290"/>
      <c r="DM159" s="290"/>
      <c r="DN159" s="290"/>
      <c r="DO159" s="290"/>
      <c r="DP159" s="290"/>
      <c r="DQ159" s="290"/>
    </row>
    <row r="160" spans="1:121" s="291" customFormat="1" ht="56.25">
      <c r="A160" s="25">
        <v>8</v>
      </c>
      <c r="B160" s="289" t="s">
        <v>3785</v>
      </c>
      <c r="C160" s="38" t="s">
        <v>83</v>
      </c>
      <c r="D160" s="38" t="s">
        <v>3932</v>
      </c>
      <c r="E160" s="38" t="s">
        <v>1613</v>
      </c>
      <c r="F160" s="45">
        <v>4110010</v>
      </c>
      <c r="G160" s="11">
        <v>834153</v>
      </c>
      <c r="H160" s="60" t="s">
        <v>3786</v>
      </c>
      <c r="I160" s="73">
        <v>20105140702</v>
      </c>
      <c r="J160" s="34">
        <v>862</v>
      </c>
      <c r="K160" s="34">
        <f t="shared" si="8"/>
        <v>1017.16</v>
      </c>
      <c r="L160" s="38" t="s">
        <v>280</v>
      </c>
      <c r="M160" s="16" t="s">
        <v>3787</v>
      </c>
      <c r="N160" s="16" t="str">
        <f t="shared" si="9"/>
        <v>Вода на технические и хозяйственно-бытовые нужды</v>
      </c>
      <c r="O160" s="16" t="s">
        <v>171</v>
      </c>
      <c r="P160" s="38">
        <v>796</v>
      </c>
      <c r="Q160" s="38" t="s">
        <v>94</v>
      </c>
      <c r="R160" s="38" t="s">
        <v>3774</v>
      </c>
      <c r="S160" s="45">
        <v>46200</v>
      </c>
      <c r="T160" s="38" t="s">
        <v>3383</v>
      </c>
      <c r="U160" s="33">
        <v>41640</v>
      </c>
      <c r="V160" s="33">
        <v>41640</v>
      </c>
      <c r="W160" s="52">
        <v>42004</v>
      </c>
      <c r="X160" s="6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row>
    <row r="161" spans="1:121" s="291" customFormat="1" ht="75">
      <c r="A161" s="25">
        <v>8</v>
      </c>
      <c r="B161" s="289" t="s">
        <v>3788</v>
      </c>
      <c r="C161" s="38" t="s">
        <v>83</v>
      </c>
      <c r="D161" s="38" t="s">
        <v>3932</v>
      </c>
      <c r="E161" s="38" t="s">
        <v>3789</v>
      </c>
      <c r="F161" s="45">
        <v>4020010</v>
      </c>
      <c r="G161" s="11">
        <v>834152</v>
      </c>
      <c r="H161" s="60" t="s">
        <v>3790</v>
      </c>
      <c r="I161" s="73">
        <v>20105140702</v>
      </c>
      <c r="J161" s="34">
        <v>694</v>
      </c>
      <c r="K161" s="34">
        <f t="shared" si="8"/>
        <v>818.92</v>
      </c>
      <c r="L161" s="38" t="s">
        <v>280</v>
      </c>
      <c r="M161" s="16" t="s">
        <v>3791</v>
      </c>
      <c r="N161" s="16" t="str">
        <f t="shared" si="9"/>
        <v>Поставка и транспортировка газа</v>
      </c>
      <c r="O161" s="16" t="s">
        <v>171</v>
      </c>
      <c r="P161" s="38">
        <v>796</v>
      </c>
      <c r="Q161" s="38" t="s">
        <v>94</v>
      </c>
      <c r="R161" s="38" t="s">
        <v>3774</v>
      </c>
      <c r="S161" s="45">
        <v>46200</v>
      </c>
      <c r="T161" s="38" t="s">
        <v>3383</v>
      </c>
      <c r="U161" s="33">
        <v>41640</v>
      </c>
      <c r="V161" s="33">
        <v>41640</v>
      </c>
      <c r="W161" s="52">
        <v>42004</v>
      </c>
      <c r="X161" s="60"/>
      <c r="Y161" s="290"/>
      <c r="Z161" s="290"/>
      <c r="AA161" s="290"/>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c r="DB161" s="290"/>
      <c r="DC161" s="290"/>
      <c r="DD161" s="290"/>
      <c r="DE161" s="290"/>
      <c r="DF161" s="290"/>
      <c r="DG161" s="290"/>
      <c r="DH161" s="290"/>
      <c r="DI161" s="290"/>
      <c r="DJ161" s="290"/>
      <c r="DK161" s="290"/>
      <c r="DL161" s="290"/>
      <c r="DM161" s="290"/>
      <c r="DN161" s="290"/>
      <c r="DO161" s="290"/>
      <c r="DP161" s="290"/>
      <c r="DQ161" s="290"/>
    </row>
    <row r="162" spans="1:121" s="291" customFormat="1" ht="56.25">
      <c r="A162" s="25">
        <v>8</v>
      </c>
      <c r="B162" s="289" t="s">
        <v>3792</v>
      </c>
      <c r="C162" s="38" t="s">
        <v>83</v>
      </c>
      <c r="D162" s="38" t="s">
        <v>3933</v>
      </c>
      <c r="E162" s="38" t="s">
        <v>349</v>
      </c>
      <c r="F162" s="45">
        <v>4010010</v>
      </c>
      <c r="G162" s="11">
        <v>834167</v>
      </c>
      <c r="H162" s="60" t="s">
        <v>3793</v>
      </c>
      <c r="I162" s="73">
        <v>2010103</v>
      </c>
      <c r="J162" s="34">
        <v>695</v>
      </c>
      <c r="K162" s="34">
        <f t="shared" si="8"/>
        <v>820.09999999999991</v>
      </c>
      <c r="L162" s="38" t="s">
        <v>280</v>
      </c>
      <c r="M162" s="16" t="s">
        <v>612</v>
      </c>
      <c r="N162" s="16" t="str">
        <f t="shared" si="9"/>
        <v>Электроэнергия на хозяйственно-бытовые нужды</v>
      </c>
      <c r="O162" s="16" t="s">
        <v>171</v>
      </c>
      <c r="P162" s="38">
        <v>214</v>
      </c>
      <c r="Q162" s="38" t="s">
        <v>3794</v>
      </c>
      <c r="R162" s="38">
        <v>14402260</v>
      </c>
      <c r="S162" s="45">
        <v>46200</v>
      </c>
      <c r="T162" s="38" t="s">
        <v>3383</v>
      </c>
      <c r="U162" s="33">
        <v>41640</v>
      </c>
      <c r="V162" s="33">
        <v>41640</v>
      </c>
      <c r="W162" s="52">
        <v>42004</v>
      </c>
      <c r="X162" s="60"/>
      <c r="Y162" s="290"/>
      <c r="Z162" s="290"/>
      <c r="AA162" s="290"/>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c r="BG162" s="290"/>
      <c r="BH162" s="290"/>
      <c r="BI162" s="290"/>
      <c r="BJ162" s="290"/>
      <c r="BK162" s="290"/>
      <c r="BL162" s="290"/>
      <c r="BM162" s="290"/>
      <c r="BN162" s="290"/>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row>
    <row r="163" spans="1:121" s="291" customFormat="1" ht="56.25">
      <c r="A163" s="25">
        <v>8</v>
      </c>
      <c r="B163" s="289" t="s">
        <v>702</v>
      </c>
      <c r="C163" s="38" t="s">
        <v>83</v>
      </c>
      <c r="D163" s="38" t="s">
        <v>688</v>
      </c>
      <c r="E163" s="38" t="s">
        <v>696</v>
      </c>
      <c r="F163" s="45">
        <v>6420090</v>
      </c>
      <c r="G163" s="11">
        <v>813070</v>
      </c>
      <c r="H163" s="60" t="s">
        <v>703</v>
      </c>
      <c r="I163" s="73" t="s">
        <v>697</v>
      </c>
      <c r="J163" s="23">
        <v>759.72</v>
      </c>
      <c r="K163" s="23">
        <f t="shared" si="8"/>
        <v>896.46960000000001</v>
      </c>
      <c r="L163" s="38" t="s">
        <v>280</v>
      </c>
      <c r="M163" s="16" t="s">
        <v>704</v>
      </c>
      <c r="N163" s="16" t="s">
        <v>703</v>
      </c>
      <c r="O163" s="16" t="s">
        <v>171</v>
      </c>
      <c r="P163" s="38">
        <v>796</v>
      </c>
      <c r="Q163" s="38" t="s">
        <v>368</v>
      </c>
      <c r="R163" s="38">
        <v>16</v>
      </c>
      <c r="S163" s="45" t="s">
        <v>694</v>
      </c>
      <c r="T163" s="38" t="s">
        <v>547</v>
      </c>
      <c r="U163" s="33">
        <v>41640</v>
      </c>
      <c r="V163" s="33">
        <v>42004</v>
      </c>
      <c r="W163" s="52">
        <v>42004</v>
      </c>
      <c r="X163" s="60"/>
      <c r="Y163" s="290"/>
      <c r="Z163" s="290"/>
      <c r="AA163" s="290"/>
      <c r="AB163" s="290"/>
      <c r="AC163" s="290"/>
      <c r="AD163" s="290"/>
      <c r="AE163" s="290"/>
      <c r="AF163" s="290"/>
      <c r="AG163" s="290"/>
      <c r="AH163" s="290"/>
      <c r="AI163" s="290"/>
      <c r="AJ163" s="290"/>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c r="BE163" s="290"/>
      <c r="BF163" s="290"/>
      <c r="BG163" s="290"/>
      <c r="BH163" s="290"/>
      <c r="BI163" s="290"/>
      <c r="BJ163" s="290"/>
      <c r="BK163" s="290"/>
      <c r="BL163" s="290"/>
      <c r="BM163" s="290"/>
      <c r="BN163" s="290"/>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c r="DB163" s="290"/>
      <c r="DC163" s="290"/>
      <c r="DD163" s="290"/>
      <c r="DE163" s="290"/>
      <c r="DF163" s="290"/>
      <c r="DG163" s="290"/>
      <c r="DH163" s="290"/>
      <c r="DI163" s="290"/>
      <c r="DJ163" s="290"/>
      <c r="DK163" s="290"/>
      <c r="DL163" s="290"/>
      <c r="DM163" s="290"/>
      <c r="DN163" s="290"/>
      <c r="DO163" s="290"/>
      <c r="DP163" s="290"/>
      <c r="DQ163" s="290"/>
    </row>
    <row r="164" spans="1:121" s="291" customFormat="1" ht="56.25">
      <c r="A164" s="25">
        <v>8</v>
      </c>
      <c r="B164" s="289" t="s">
        <v>712</v>
      </c>
      <c r="C164" s="38" t="s">
        <v>83</v>
      </c>
      <c r="D164" s="38" t="s">
        <v>688</v>
      </c>
      <c r="E164" s="38" t="s">
        <v>696</v>
      </c>
      <c r="F164" s="45">
        <v>6420090</v>
      </c>
      <c r="G164" s="11">
        <v>813084</v>
      </c>
      <c r="H164" s="60" t="s">
        <v>703</v>
      </c>
      <c r="I164" s="73" t="s">
        <v>697</v>
      </c>
      <c r="J164" s="23">
        <v>1076.2</v>
      </c>
      <c r="K164" s="23">
        <f t="shared" si="8"/>
        <v>1269.9159999999999</v>
      </c>
      <c r="L164" s="38" t="s">
        <v>280</v>
      </c>
      <c r="M164" s="16" t="s">
        <v>713</v>
      </c>
      <c r="N164" s="16" t="s">
        <v>703</v>
      </c>
      <c r="O164" s="16" t="s">
        <v>171</v>
      </c>
      <c r="P164" s="38">
        <v>796</v>
      </c>
      <c r="Q164" s="38" t="s">
        <v>368</v>
      </c>
      <c r="R164" s="38">
        <v>4</v>
      </c>
      <c r="S164" s="45" t="s">
        <v>694</v>
      </c>
      <c r="T164" s="38" t="s">
        <v>547</v>
      </c>
      <c r="U164" s="33">
        <v>41640</v>
      </c>
      <c r="V164" s="33">
        <v>42004</v>
      </c>
      <c r="W164" s="52">
        <v>42004</v>
      </c>
      <c r="X164" s="60"/>
      <c r="Y164" s="290"/>
      <c r="Z164" s="290"/>
      <c r="AA164" s="290"/>
      <c r="AB164" s="290"/>
      <c r="AC164" s="290"/>
      <c r="AD164" s="290"/>
      <c r="AE164" s="290"/>
      <c r="AF164" s="290"/>
      <c r="AG164" s="290"/>
      <c r="AH164" s="290"/>
      <c r="AI164" s="290"/>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c r="BG164" s="290"/>
      <c r="BH164" s="290"/>
      <c r="BI164" s="290"/>
      <c r="BJ164" s="290"/>
      <c r="BK164" s="290"/>
      <c r="BL164" s="290"/>
      <c r="BM164" s="290"/>
      <c r="BN164" s="290"/>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c r="DB164" s="290"/>
      <c r="DC164" s="290"/>
      <c r="DD164" s="290"/>
      <c r="DE164" s="290"/>
      <c r="DF164" s="290"/>
      <c r="DG164" s="290"/>
      <c r="DH164" s="290"/>
      <c r="DI164" s="290"/>
      <c r="DJ164" s="290"/>
      <c r="DK164" s="290"/>
      <c r="DL164" s="290"/>
      <c r="DM164" s="290"/>
      <c r="DN164" s="290"/>
      <c r="DO164" s="290"/>
      <c r="DP164" s="290"/>
      <c r="DQ164" s="290"/>
    </row>
    <row r="165" spans="1:121" s="291" customFormat="1" ht="56.25">
      <c r="A165" s="25">
        <v>8</v>
      </c>
      <c r="B165" s="289" t="s">
        <v>714</v>
      </c>
      <c r="C165" s="38" t="s">
        <v>83</v>
      </c>
      <c r="D165" s="38" t="s">
        <v>688</v>
      </c>
      <c r="E165" s="38" t="s">
        <v>689</v>
      </c>
      <c r="F165" s="45">
        <v>6420090</v>
      </c>
      <c r="G165" s="11">
        <v>813089</v>
      </c>
      <c r="H165" s="60" t="s">
        <v>715</v>
      </c>
      <c r="I165" s="73" t="s">
        <v>690</v>
      </c>
      <c r="J165" s="23">
        <v>637.6</v>
      </c>
      <c r="K165" s="23">
        <f t="shared" si="8"/>
        <v>752.36799999999994</v>
      </c>
      <c r="L165" s="38" t="s">
        <v>280</v>
      </c>
      <c r="M165" s="16" t="s">
        <v>287</v>
      </c>
      <c r="N165" s="16" t="s">
        <v>715</v>
      </c>
      <c r="O165" s="16" t="s">
        <v>171</v>
      </c>
      <c r="P165" s="38">
        <v>6</v>
      </c>
      <c r="Q165" s="38" t="s">
        <v>717</v>
      </c>
      <c r="R165" s="38">
        <v>13221</v>
      </c>
      <c r="S165" s="45">
        <v>46200</v>
      </c>
      <c r="T165" s="38" t="s">
        <v>605</v>
      </c>
      <c r="U165" s="33">
        <v>41640</v>
      </c>
      <c r="V165" s="33">
        <v>42004</v>
      </c>
      <c r="W165" s="52">
        <v>42004</v>
      </c>
      <c r="X165" s="60"/>
      <c r="Y165" s="290"/>
      <c r="Z165" s="290"/>
      <c r="AA165" s="290"/>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c r="DB165" s="290"/>
      <c r="DC165" s="290"/>
      <c r="DD165" s="290"/>
      <c r="DE165" s="290"/>
      <c r="DF165" s="290"/>
      <c r="DG165" s="290"/>
      <c r="DH165" s="290"/>
      <c r="DI165" s="290"/>
      <c r="DJ165" s="290"/>
      <c r="DK165" s="290"/>
      <c r="DL165" s="290"/>
      <c r="DM165" s="290"/>
      <c r="DN165" s="290"/>
      <c r="DO165" s="290"/>
      <c r="DP165" s="290"/>
      <c r="DQ165" s="290"/>
    </row>
    <row r="166" spans="1:121" s="291" customFormat="1" ht="56.25">
      <c r="A166" s="25">
        <v>8</v>
      </c>
      <c r="B166" s="289" t="s">
        <v>718</v>
      </c>
      <c r="C166" s="38" t="s">
        <v>83</v>
      </c>
      <c r="D166" s="38" t="s">
        <v>688</v>
      </c>
      <c r="E166" s="38" t="s">
        <v>689</v>
      </c>
      <c r="F166" s="45">
        <v>6420090</v>
      </c>
      <c r="G166" s="11">
        <v>813092</v>
      </c>
      <c r="H166" s="60" t="s">
        <v>719</v>
      </c>
      <c r="I166" s="73" t="s">
        <v>690</v>
      </c>
      <c r="J166" s="23">
        <v>610.20000000000005</v>
      </c>
      <c r="K166" s="23">
        <f t="shared" si="8"/>
        <v>720.03600000000006</v>
      </c>
      <c r="L166" s="38" t="s">
        <v>280</v>
      </c>
      <c r="M166" s="16" t="s">
        <v>287</v>
      </c>
      <c r="N166" s="16" t="s">
        <v>719</v>
      </c>
      <c r="O166" s="16" t="s">
        <v>171</v>
      </c>
      <c r="P166" s="38">
        <v>6</v>
      </c>
      <c r="Q166" s="38" t="s">
        <v>717</v>
      </c>
      <c r="R166" s="38">
        <v>12925</v>
      </c>
      <c r="S166" s="45">
        <v>46200</v>
      </c>
      <c r="T166" s="38" t="s">
        <v>605</v>
      </c>
      <c r="U166" s="33">
        <v>41640</v>
      </c>
      <c r="V166" s="33">
        <v>42004</v>
      </c>
      <c r="W166" s="52">
        <v>42004</v>
      </c>
      <c r="X166" s="6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290"/>
      <c r="DL166" s="290"/>
      <c r="DM166" s="290"/>
      <c r="DN166" s="290"/>
      <c r="DO166" s="290"/>
      <c r="DP166" s="290"/>
      <c r="DQ166" s="290"/>
    </row>
    <row r="167" spans="1:121" s="291" customFormat="1" ht="56.25">
      <c r="A167" s="25">
        <v>8</v>
      </c>
      <c r="B167" s="289" t="s">
        <v>720</v>
      </c>
      <c r="C167" s="38" t="s">
        <v>83</v>
      </c>
      <c r="D167" s="38" t="s">
        <v>688</v>
      </c>
      <c r="E167" s="38" t="s">
        <v>689</v>
      </c>
      <c r="F167" s="45">
        <v>6420090</v>
      </c>
      <c r="G167" s="11">
        <v>813110</v>
      </c>
      <c r="H167" s="60" t="s">
        <v>719</v>
      </c>
      <c r="I167" s="73" t="s">
        <v>690</v>
      </c>
      <c r="J167" s="23">
        <v>441.5</v>
      </c>
      <c r="K167" s="23">
        <f t="shared" si="8"/>
        <v>520.97</v>
      </c>
      <c r="L167" s="38" t="s">
        <v>280</v>
      </c>
      <c r="M167" s="16" t="s">
        <v>287</v>
      </c>
      <c r="N167" s="16" t="s">
        <v>719</v>
      </c>
      <c r="O167" s="16" t="s">
        <v>171</v>
      </c>
      <c r="P167" s="38">
        <v>6</v>
      </c>
      <c r="Q167" s="38" t="s">
        <v>717</v>
      </c>
      <c r="R167" s="38">
        <v>11695</v>
      </c>
      <c r="S167" s="45">
        <v>46200</v>
      </c>
      <c r="T167" s="38" t="s">
        <v>605</v>
      </c>
      <c r="U167" s="33">
        <v>41640</v>
      </c>
      <c r="V167" s="33">
        <v>42004</v>
      </c>
      <c r="W167" s="52">
        <v>42004</v>
      </c>
      <c r="X167" s="60"/>
      <c r="Y167" s="290"/>
      <c r="Z167" s="290"/>
      <c r="AA167" s="290"/>
      <c r="AB167" s="290"/>
      <c r="AC167" s="290"/>
      <c r="AD167" s="290"/>
      <c r="AE167" s="290"/>
      <c r="AF167" s="290"/>
      <c r="AG167" s="290"/>
      <c r="AH167" s="290"/>
      <c r="AI167" s="290"/>
      <c r="AJ167" s="290"/>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c r="BG167" s="290"/>
      <c r="BH167" s="290"/>
      <c r="BI167" s="290"/>
      <c r="BJ167" s="290"/>
      <c r="BK167" s="290"/>
      <c r="BL167" s="290"/>
      <c r="BM167" s="290"/>
      <c r="BN167" s="290"/>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c r="DB167" s="290"/>
      <c r="DC167" s="290"/>
      <c r="DD167" s="290"/>
      <c r="DE167" s="290"/>
      <c r="DF167" s="290"/>
      <c r="DG167" s="290"/>
      <c r="DH167" s="290"/>
      <c r="DI167" s="290"/>
      <c r="DJ167" s="290"/>
      <c r="DK167" s="290"/>
      <c r="DL167" s="290"/>
      <c r="DM167" s="290"/>
      <c r="DN167" s="290"/>
      <c r="DO167" s="290"/>
      <c r="DP167" s="290"/>
      <c r="DQ167" s="290"/>
    </row>
    <row r="168" spans="1:121" s="291" customFormat="1" ht="75">
      <c r="A168" s="25">
        <v>8</v>
      </c>
      <c r="B168" s="289" t="s">
        <v>725</v>
      </c>
      <c r="C168" s="38" t="s">
        <v>83</v>
      </c>
      <c r="D168" s="38" t="s">
        <v>688</v>
      </c>
      <c r="E168" s="38" t="s">
        <v>689</v>
      </c>
      <c r="F168" s="45">
        <v>6420090</v>
      </c>
      <c r="G168" s="11">
        <v>813099</v>
      </c>
      <c r="H168" s="60" t="s">
        <v>726</v>
      </c>
      <c r="I168" s="73" t="s">
        <v>690</v>
      </c>
      <c r="J168" s="23">
        <v>948.9</v>
      </c>
      <c r="K168" s="23">
        <f t="shared" si="8"/>
        <v>1119.702</v>
      </c>
      <c r="L168" s="38" t="s">
        <v>280</v>
      </c>
      <c r="M168" s="16" t="s">
        <v>727</v>
      </c>
      <c r="N168" s="16" t="s">
        <v>726</v>
      </c>
      <c r="O168" s="16" t="s">
        <v>171</v>
      </c>
      <c r="P168" s="38">
        <v>796</v>
      </c>
      <c r="Q168" s="38" t="s">
        <v>368</v>
      </c>
      <c r="R168" s="38">
        <v>125</v>
      </c>
      <c r="S168" s="45">
        <v>46200</v>
      </c>
      <c r="T168" s="38" t="s">
        <v>605</v>
      </c>
      <c r="U168" s="33">
        <v>41640</v>
      </c>
      <c r="V168" s="33">
        <v>42004</v>
      </c>
      <c r="W168" s="52">
        <v>42004</v>
      </c>
      <c r="X168" s="60"/>
      <c r="Y168" s="290"/>
      <c r="Z168" s="290"/>
      <c r="AA168" s="290"/>
      <c r="AB168" s="290"/>
      <c r="AC168" s="290"/>
      <c r="AD168" s="290"/>
      <c r="AE168" s="290"/>
      <c r="AF168" s="290"/>
      <c r="AG168" s="290"/>
      <c r="AH168" s="290"/>
      <c r="AI168" s="290"/>
      <c r="AJ168" s="290"/>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c r="BE168" s="290"/>
      <c r="BF168" s="290"/>
      <c r="BG168" s="290"/>
      <c r="BH168" s="290"/>
      <c r="BI168" s="290"/>
      <c r="BJ168" s="290"/>
      <c r="BK168" s="290"/>
      <c r="BL168" s="290"/>
      <c r="BM168" s="290"/>
      <c r="BN168" s="290"/>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c r="DB168" s="290"/>
      <c r="DC168" s="290"/>
      <c r="DD168" s="290"/>
      <c r="DE168" s="290"/>
      <c r="DF168" s="290"/>
      <c r="DG168" s="290"/>
      <c r="DH168" s="290"/>
      <c r="DI168" s="290"/>
      <c r="DJ168" s="290"/>
      <c r="DK168" s="290"/>
      <c r="DL168" s="290"/>
      <c r="DM168" s="290"/>
      <c r="DN168" s="290"/>
      <c r="DO168" s="290"/>
      <c r="DP168" s="290"/>
      <c r="DQ168" s="290"/>
    </row>
    <row r="169" spans="1:121" s="291" customFormat="1" ht="56.25">
      <c r="A169" s="25">
        <v>8</v>
      </c>
      <c r="B169" s="289" t="s">
        <v>732</v>
      </c>
      <c r="C169" s="38" t="s">
        <v>83</v>
      </c>
      <c r="D169" s="38" t="s">
        <v>688</v>
      </c>
      <c r="E169" s="38" t="s">
        <v>689</v>
      </c>
      <c r="F169" s="45">
        <v>6420090</v>
      </c>
      <c r="G169" s="11">
        <v>813112</v>
      </c>
      <c r="H169" s="60" t="s">
        <v>303</v>
      </c>
      <c r="I169" s="73" t="s">
        <v>690</v>
      </c>
      <c r="J169" s="23">
        <v>1860</v>
      </c>
      <c r="K169" s="23">
        <f t="shared" si="8"/>
        <v>2194.7999999999997</v>
      </c>
      <c r="L169" s="38" t="s">
        <v>280</v>
      </c>
      <c r="M169" s="16" t="s">
        <v>287</v>
      </c>
      <c r="N169" s="16" t="s">
        <v>303</v>
      </c>
      <c r="O169" s="16" t="s">
        <v>171</v>
      </c>
      <c r="P169" s="38">
        <v>257</v>
      </c>
      <c r="Q169" s="38" t="s">
        <v>731</v>
      </c>
      <c r="R169" s="38">
        <v>10</v>
      </c>
      <c r="S169" s="45">
        <v>46200</v>
      </c>
      <c r="T169" s="38" t="s">
        <v>605</v>
      </c>
      <c r="U169" s="33">
        <v>41640</v>
      </c>
      <c r="V169" s="33">
        <v>42004</v>
      </c>
      <c r="W169" s="52">
        <v>42004</v>
      </c>
      <c r="X169" s="60"/>
      <c r="Y169" s="290"/>
      <c r="Z169" s="290"/>
      <c r="AA169" s="290"/>
      <c r="AB169" s="290"/>
      <c r="AC169" s="290"/>
      <c r="AD169" s="290"/>
      <c r="AE169" s="290"/>
      <c r="AF169" s="290"/>
      <c r="AG169" s="290"/>
      <c r="AH169" s="290"/>
      <c r="AI169" s="290"/>
      <c r="AJ169" s="290"/>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c r="BG169" s="290"/>
      <c r="BH169" s="290"/>
      <c r="BI169" s="290"/>
      <c r="BJ169" s="290"/>
      <c r="BK169" s="290"/>
      <c r="BL169" s="290"/>
      <c r="BM169" s="290"/>
      <c r="BN169" s="290"/>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c r="DB169" s="290"/>
      <c r="DC169" s="290"/>
      <c r="DD169" s="290"/>
      <c r="DE169" s="290"/>
      <c r="DF169" s="290"/>
      <c r="DG169" s="290"/>
      <c r="DH169" s="290"/>
      <c r="DI169" s="290"/>
      <c r="DJ169" s="290"/>
      <c r="DK169" s="290"/>
      <c r="DL169" s="290"/>
      <c r="DM169" s="290"/>
      <c r="DN169" s="290"/>
      <c r="DO169" s="290"/>
      <c r="DP169" s="290"/>
      <c r="DQ169" s="290"/>
    </row>
    <row r="170" spans="1:121" s="291" customFormat="1" ht="262.5">
      <c r="A170" s="25">
        <v>8</v>
      </c>
      <c r="B170" s="289" t="s">
        <v>3248</v>
      </c>
      <c r="C170" s="38" t="s">
        <v>83</v>
      </c>
      <c r="D170" s="38" t="s">
        <v>3249</v>
      </c>
      <c r="E170" s="38" t="s">
        <v>3250</v>
      </c>
      <c r="F170" s="45">
        <v>6400000</v>
      </c>
      <c r="G170" s="11">
        <v>842551</v>
      </c>
      <c r="H170" s="60" t="s">
        <v>3251</v>
      </c>
      <c r="I170" s="73">
        <v>20105010201</v>
      </c>
      <c r="J170" s="23">
        <v>3102</v>
      </c>
      <c r="K170" s="23">
        <f t="shared" si="8"/>
        <v>3660.3599999999997</v>
      </c>
      <c r="L170" s="38" t="s">
        <v>280</v>
      </c>
      <c r="M170" s="16" t="s">
        <v>287</v>
      </c>
      <c r="N170" s="16" t="s">
        <v>3252</v>
      </c>
      <c r="O170" s="16" t="s">
        <v>171</v>
      </c>
      <c r="P170" s="38">
        <v>796</v>
      </c>
      <c r="Q170" s="38" t="s">
        <v>3254</v>
      </c>
      <c r="R170" s="38">
        <v>1</v>
      </c>
      <c r="S170" s="45">
        <v>46239</v>
      </c>
      <c r="T170" s="38" t="s">
        <v>3255</v>
      </c>
      <c r="U170" s="33">
        <v>41758</v>
      </c>
      <c r="V170" s="33">
        <v>41760</v>
      </c>
      <c r="W170" s="52">
        <v>42124</v>
      </c>
      <c r="X170" s="60"/>
      <c r="Y170" s="290"/>
      <c r="Z170" s="290"/>
      <c r="AA170" s="290"/>
      <c r="AB170" s="290"/>
      <c r="AC170" s="290"/>
      <c r="AD170" s="290"/>
      <c r="AE170" s="290"/>
      <c r="AF170" s="290"/>
      <c r="AG170" s="290"/>
      <c r="AH170" s="290"/>
      <c r="AI170" s="290"/>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c r="BG170" s="290"/>
      <c r="BH170" s="290"/>
      <c r="BI170" s="290"/>
      <c r="BJ170" s="290"/>
      <c r="BK170" s="290"/>
      <c r="BL170" s="290"/>
      <c r="BM170" s="290"/>
      <c r="BN170" s="290"/>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c r="DB170" s="290"/>
      <c r="DC170" s="290"/>
      <c r="DD170" s="290"/>
      <c r="DE170" s="290"/>
      <c r="DF170" s="290"/>
      <c r="DG170" s="290"/>
      <c r="DH170" s="290"/>
      <c r="DI170" s="290"/>
      <c r="DJ170" s="290"/>
      <c r="DK170" s="290"/>
      <c r="DL170" s="290"/>
      <c r="DM170" s="290"/>
      <c r="DN170" s="290"/>
      <c r="DO170" s="290"/>
      <c r="DP170" s="290"/>
      <c r="DQ170" s="290"/>
    </row>
    <row r="171" spans="1:121" s="291" customFormat="1" ht="243.75">
      <c r="A171" s="25">
        <v>8</v>
      </c>
      <c r="B171" s="289" t="s">
        <v>3264</v>
      </c>
      <c r="C171" s="38" t="s">
        <v>83</v>
      </c>
      <c r="D171" s="38" t="s">
        <v>3249</v>
      </c>
      <c r="E171" s="38" t="s">
        <v>3250</v>
      </c>
      <c r="F171" s="45">
        <v>6400000</v>
      </c>
      <c r="G171" s="11">
        <v>842557</v>
      </c>
      <c r="H171" s="60" t="s">
        <v>3265</v>
      </c>
      <c r="I171" s="73">
        <v>20105010201</v>
      </c>
      <c r="J171" s="23">
        <v>18300</v>
      </c>
      <c r="K171" s="23">
        <f t="shared" si="8"/>
        <v>21594</v>
      </c>
      <c r="L171" s="38" t="s">
        <v>280</v>
      </c>
      <c r="M171" s="16" t="s">
        <v>287</v>
      </c>
      <c r="N171" s="16" t="s">
        <v>3266</v>
      </c>
      <c r="O171" s="16" t="s">
        <v>171</v>
      </c>
      <c r="P171" s="38">
        <v>796</v>
      </c>
      <c r="Q171" s="38" t="s">
        <v>3254</v>
      </c>
      <c r="R171" s="38">
        <v>1</v>
      </c>
      <c r="S171" s="45">
        <v>46239</v>
      </c>
      <c r="T171" s="38" t="s">
        <v>3255</v>
      </c>
      <c r="U171" s="33">
        <v>41638</v>
      </c>
      <c r="V171" s="33">
        <v>41640</v>
      </c>
      <c r="W171" s="52">
        <v>42004</v>
      </c>
      <c r="X171" s="60"/>
      <c r="Y171" s="290"/>
      <c r="Z171" s="290"/>
      <c r="AA171" s="290"/>
      <c r="AB171" s="290"/>
      <c r="AC171" s="290"/>
      <c r="AD171" s="290"/>
      <c r="AE171" s="290"/>
      <c r="AF171" s="290"/>
      <c r="AG171" s="290"/>
      <c r="AH171" s="290"/>
      <c r="AI171" s="290"/>
      <c r="AJ171" s="290"/>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c r="BG171" s="290"/>
      <c r="BH171" s="290"/>
      <c r="BI171" s="290"/>
      <c r="BJ171" s="290"/>
      <c r="BK171" s="290"/>
      <c r="BL171" s="290"/>
      <c r="BM171" s="290"/>
      <c r="BN171" s="290"/>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c r="DB171" s="290"/>
      <c r="DC171" s="290"/>
      <c r="DD171" s="290"/>
      <c r="DE171" s="290"/>
      <c r="DF171" s="290"/>
      <c r="DG171" s="290"/>
      <c r="DH171" s="290"/>
      <c r="DI171" s="290"/>
      <c r="DJ171" s="290"/>
      <c r="DK171" s="290"/>
      <c r="DL171" s="290"/>
      <c r="DM171" s="290"/>
      <c r="DN171" s="290"/>
      <c r="DO171" s="290"/>
      <c r="DP171" s="290"/>
      <c r="DQ171" s="290"/>
    </row>
    <row r="172" spans="1:121" s="291" customFormat="1" ht="131.25">
      <c r="A172" s="25">
        <v>8</v>
      </c>
      <c r="B172" s="289" t="s">
        <v>3267</v>
      </c>
      <c r="C172" s="38" t="s">
        <v>83</v>
      </c>
      <c r="D172" s="38" t="s">
        <v>3249</v>
      </c>
      <c r="E172" s="38" t="s">
        <v>3250</v>
      </c>
      <c r="F172" s="45">
        <v>6400000</v>
      </c>
      <c r="G172" s="11">
        <v>842558</v>
      </c>
      <c r="H172" s="60" t="s">
        <v>3268</v>
      </c>
      <c r="I172" s="73">
        <v>20105010201</v>
      </c>
      <c r="J172" s="23">
        <v>1680</v>
      </c>
      <c r="K172" s="23">
        <f t="shared" si="8"/>
        <v>1982.3999999999999</v>
      </c>
      <c r="L172" s="38" t="s">
        <v>280</v>
      </c>
      <c r="M172" s="16" t="s">
        <v>287</v>
      </c>
      <c r="N172" s="16" t="s">
        <v>3269</v>
      </c>
      <c r="O172" s="16" t="s">
        <v>171</v>
      </c>
      <c r="P172" s="38">
        <v>796</v>
      </c>
      <c r="Q172" s="38" t="s">
        <v>3254</v>
      </c>
      <c r="R172" s="38">
        <v>1</v>
      </c>
      <c r="S172" s="45">
        <v>46239</v>
      </c>
      <c r="T172" s="38" t="s">
        <v>3255</v>
      </c>
      <c r="U172" s="33">
        <v>41638</v>
      </c>
      <c r="V172" s="33">
        <v>41640</v>
      </c>
      <c r="W172" s="52">
        <v>42004</v>
      </c>
      <c r="X172" s="60"/>
      <c r="Y172" s="290"/>
      <c r="Z172" s="290"/>
      <c r="AA172" s="290"/>
      <c r="AB172" s="290"/>
      <c r="AC172" s="290"/>
      <c r="AD172" s="290"/>
      <c r="AE172" s="290"/>
      <c r="AF172" s="290"/>
      <c r="AG172" s="290"/>
      <c r="AH172" s="290"/>
      <c r="AI172" s="290"/>
      <c r="AJ172" s="290"/>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c r="BG172" s="290"/>
      <c r="BH172" s="290"/>
      <c r="BI172" s="290"/>
      <c r="BJ172" s="290"/>
      <c r="BK172" s="290"/>
      <c r="BL172" s="290"/>
      <c r="BM172" s="290"/>
      <c r="BN172" s="290"/>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c r="DB172" s="290"/>
      <c r="DC172" s="290"/>
      <c r="DD172" s="290"/>
      <c r="DE172" s="290"/>
      <c r="DF172" s="290"/>
      <c r="DG172" s="290"/>
      <c r="DH172" s="290"/>
      <c r="DI172" s="290"/>
      <c r="DJ172" s="290"/>
      <c r="DK172" s="290"/>
      <c r="DL172" s="290"/>
      <c r="DM172" s="290"/>
      <c r="DN172" s="290"/>
      <c r="DO172" s="290"/>
      <c r="DP172" s="290"/>
      <c r="DQ172" s="290"/>
    </row>
    <row r="173" spans="1:121" s="291" customFormat="1" ht="112.5">
      <c r="A173" s="25">
        <v>8</v>
      </c>
      <c r="B173" s="289" t="s">
        <v>1574</v>
      </c>
      <c r="C173" s="38" t="s">
        <v>83</v>
      </c>
      <c r="D173" s="38" t="s">
        <v>1571</v>
      </c>
      <c r="E173" s="38" t="s">
        <v>1575</v>
      </c>
      <c r="F173" s="45">
        <v>3315423</v>
      </c>
      <c r="G173" s="11">
        <v>854064</v>
      </c>
      <c r="H173" s="60" t="s">
        <v>1576</v>
      </c>
      <c r="I173" s="73">
        <v>20105010201</v>
      </c>
      <c r="J173" s="23">
        <v>12000</v>
      </c>
      <c r="K173" s="258">
        <f t="shared" si="8"/>
        <v>14160</v>
      </c>
      <c r="L173" s="38" t="s">
        <v>280</v>
      </c>
      <c r="M173" s="16" t="s">
        <v>1577</v>
      </c>
      <c r="N173" s="16" t="s">
        <v>1576</v>
      </c>
      <c r="O173" s="16" t="s">
        <v>171</v>
      </c>
      <c r="P173" s="38">
        <v>8</v>
      </c>
      <c r="Q173" s="38" t="s">
        <v>82</v>
      </c>
      <c r="R173" s="38">
        <v>1484</v>
      </c>
      <c r="S173" s="45">
        <v>45</v>
      </c>
      <c r="T173" s="38" t="s">
        <v>512</v>
      </c>
      <c r="U173" s="33">
        <v>41640</v>
      </c>
      <c r="V173" s="33">
        <v>41640</v>
      </c>
      <c r="W173" s="52">
        <v>42004</v>
      </c>
      <c r="X173" s="60"/>
      <c r="Y173" s="290"/>
      <c r="Z173" s="290"/>
      <c r="AA173" s="290"/>
      <c r="AB173" s="290"/>
      <c r="AC173" s="290"/>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c r="BG173" s="290"/>
      <c r="BH173" s="290"/>
      <c r="BI173" s="290"/>
      <c r="BJ173" s="290"/>
      <c r="BK173" s="290"/>
      <c r="BL173" s="290"/>
      <c r="BM173" s="290"/>
      <c r="BN173" s="290"/>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c r="DB173" s="290"/>
      <c r="DC173" s="290"/>
      <c r="DD173" s="290"/>
      <c r="DE173" s="290"/>
      <c r="DF173" s="290"/>
      <c r="DG173" s="290"/>
      <c r="DH173" s="290"/>
      <c r="DI173" s="290"/>
      <c r="DJ173" s="290"/>
      <c r="DK173" s="290"/>
      <c r="DL173" s="290"/>
      <c r="DM173" s="290"/>
      <c r="DN173" s="290"/>
      <c r="DO173" s="290"/>
      <c r="DP173" s="290"/>
      <c r="DQ173" s="290"/>
    </row>
    <row r="174" spans="1:121" s="291" customFormat="1" ht="112.5">
      <c r="A174" s="25">
        <v>8</v>
      </c>
      <c r="B174" s="289" t="s">
        <v>1586</v>
      </c>
      <c r="C174" s="38" t="s">
        <v>83</v>
      </c>
      <c r="D174" s="38" t="s">
        <v>1571</v>
      </c>
      <c r="E174" s="38" t="s">
        <v>689</v>
      </c>
      <c r="F174" s="45" t="s">
        <v>1587</v>
      </c>
      <c r="G174" s="11">
        <v>854240</v>
      </c>
      <c r="H174" s="60" t="s">
        <v>1588</v>
      </c>
      <c r="I174" s="73">
        <v>20105010201</v>
      </c>
      <c r="J174" s="23">
        <v>9906</v>
      </c>
      <c r="K174" s="258">
        <f t="shared" si="8"/>
        <v>11689.08</v>
      </c>
      <c r="L174" s="38" t="s">
        <v>280</v>
      </c>
      <c r="M174" s="16" t="s">
        <v>1577</v>
      </c>
      <c r="N174" s="16" t="s">
        <v>1588</v>
      </c>
      <c r="O174" s="16" t="s">
        <v>171</v>
      </c>
      <c r="P174" s="38">
        <v>796</v>
      </c>
      <c r="Q174" s="38" t="s">
        <v>368</v>
      </c>
      <c r="R174" s="38">
        <v>490</v>
      </c>
      <c r="S174" s="45">
        <v>45</v>
      </c>
      <c r="T174" s="38" t="s">
        <v>512</v>
      </c>
      <c r="U174" s="33">
        <v>41640</v>
      </c>
      <c r="V174" s="33">
        <v>41640</v>
      </c>
      <c r="W174" s="52">
        <v>42004</v>
      </c>
      <c r="X174" s="60"/>
      <c r="Y174" s="290"/>
      <c r="Z174" s="290"/>
      <c r="AA174" s="290"/>
      <c r="AB174" s="290"/>
      <c r="AC174" s="290"/>
      <c r="AD174" s="290"/>
      <c r="AE174" s="290"/>
      <c r="AF174" s="290"/>
      <c r="AG174" s="290"/>
      <c r="AH174" s="290"/>
      <c r="AI174" s="290"/>
      <c r="AJ174" s="290"/>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c r="BE174" s="290"/>
      <c r="BF174" s="290"/>
      <c r="BG174" s="290"/>
      <c r="BH174" s="290"/>
      <c r="BI174" s="290"/>
      <c r="BJ174" s="290"/>
      <c r="BK174" s="290"/>
      <c r="BL174" s="290"/>
      <c r="BM174" s="290"/>
      <c r="BN174" s="290"/>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c r="DB174" s="290"/>
      <c r="DC174" s="290"/>
      <c r="DD174" s="290"/>
      <c r="DE174" s="290"/>
      <c r="DF174" s="290"/>
      <c r="DG174" s="290"/>
      <c r="DH174" s="290"/>
      <c r="DI174" s="290"/>
      <c r="DJ174" s="290"/>
      <c r="DK174" s="290"/>
      <c r="DL174" s="290"/>
      <c r="DM174" s="290"/>
      <c r="DN174" s="290"/>
      <c r="DO174" s="290"/>
      <c r="DP174" s="290"/>
      <c r="DQ174" s="290"/>
    </row>
    <row r="175" spans="1:121" s="291" customFormat="1" ht="150">
      <c r="A175" s="25">
        <v>8</v>
      </c>
      <c r="B175" s="289" t="s">
        <v>1589</v>
      </c>
      <c r="C175" s="38" t="s">
        <v>83</v>
      </c>
      <c r="D175" s="38" t="s">
        <v>1571</v>
      </c>
      <c r="E175" s="38" t="s">
        <v>689</v>
      </c>
      <c r="F175" s="45" t="s">
        <v>1587</v>
      </c>
      <c r="G175" s="11">
        <v>854257</v>
      </c>
      <c r="H175" s="60" t="s">
        <v>1590</v>
      </c>
      <c r="I175" s="73">
        <v>20105010201</v>
      </c>
      <c r="J175" s="23">
        <v>915.6</v>
      </c>
      <c r="K175" s="258">
        <f t="shared" si="8"/>
        <v>1080.4079999999999</v>
      </c>
      <c r="L175" s="38" t="s">
        <v>280</v>
      </c>
      <c r="M175" s="16" t="s">
        <v>1591</v>
      </c>
      <c r="N175" s="16" t="s">
        <v>1590</v>
      </c>
      <c r="O175" s="16" t="s">
        <v>171</v>
      </c>
      <c r="P175" s="38">
        <v>796</v>
      </c>
      <c r="Q175" s="38" t="s">
        <v>368</v>
      </c>
      <c r="R175" s="38">
        <v>145</v>
      </c>
      <c r="S175" s="45">
        <v>45</v>
      </c>
      <c r="T175" s="38" t="s">
        <v>512</v>
      </c>
      <c r="U175" s="33">
        <v>41640</v>
      </c>
      <c r="V175" s="33">
        <v>41640</v>
      </c>
      <c r="W175" s="52">
        <v>42004</v>
      </c>
      <c r="X175" s="60"/>
      <c r="Y175" s="290"/>
      <c r="Z175" s="290"/>
      <c r="AA175" s="290"/>
      <c r="AB175" s="290"/>
      <c r="AC175" s="290"/>
      <c r="AD175" s="290"/>
      <c r="AE175" s="290"/>
      <c r="AF175" s="290"/>
      <c r="AG175" s="290"/>
      <c r="AH175" s="290"/>
      <c r="AI175" s="290"/>
      <c r="AJ175" s="290"/>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c r="BE175" s="290"/>
      <c r="BF175" s="290"/>
      <c r="BG175" s="290"/>
      <c r="BH175" s="290"/>
      <c r="BI175" s="290"/>
      <c r="BJ175" s="290"/>
      <c r="BK175" s="290"/>
      <c r="BL175" s="290"/>
      <c r="BM175" s="290"/>
      <c r="BN175" s="290"/>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c r="DB175" s="290"/>
      <c r="DC175" s="290"/>
      <c r="DD175" s="290"/>
      <c r="DE175" s="290"/>
      <c r="DF175" s="290"/>
      <c r="DG175" s="290"/>
      <c r="DH175" s="290"/>
      <c r="DI175" s="290"/>
      <c r="DJ175" s="290"/>
      <c r="DK175" s="290"/>
      <c r="DL175" s="290"/>
      <c r="DM175" s="290"/>
      <c r="DN175" s="290"/>
      <c r="DO175" s="290"/>
      <c r="DP175" s="290"/>
      <c r="DQ175" s="290"/>
    </row>
    <row r="176" spans="1:121" s="291" customFormat="1" ht="150">
      <c r="A176" s="25">
        <v>8</v>
      </c>
      <c r="B176" s="289" t="s">
        <v>1592</v>
      </c>
      <c r="C176" s="38" t="s">
        <v>83</v>
      </c>
      <c r="D176" s="38" t="s">
        <v>1571</v>
      </c>
      <c r="E176" s="38" t="s">
        <v>1575</v>
      </c>
      <c r="F176" s="45">
        <v>6420019</v>
      </c>
      <c r="G176" s="11">
        <v>854287</v>
      </c>
      <c r="H176" s="60" t="s">
        <v>1593</v>
      </c>
      <c r="I176" s="73">
        <v>20105010201</v>
      </c>
      <c r="J176" s="23">
        <v>6960.78</v>
      </c>
      <c r="K176" s="258">
        <f t="shared" si="8"/>
        <v>8213.7204000000002</v>
      </c>
      <c r="L176" s="38" t="s">
        <v>280</v>
      </c>
      <c r="M176" s="16" t="s">
        <v>1591</v>
      </c>
      <c r="N176" s="16" t="s">
        <v>1593</v>
      </c>
      <c r="O176" s="16" t="s">
        <v>171</v>
      </c>
      <c r="P176" s="38">
        <v>796</v>
      </c>
      <c r="Q176" s="38" t="s">
        <v>368</v>
      </c>
      <c r="R176" s="38">
        <v>1328</v>
      </c>
      <c r="S176" s="45">
        <v>45</v>
      </c>
      <c r="T176" s="38" t="s">
        <v>512</v>
      </c>
      <c r="U176" s="33">
        <v>41640</v>
      </c>
      <c r="V176" s="33">
        <v>41640</v>
      </c>
      <c r="W176" s="52">
        <v>42004</v>
      </c>
      <c r="X176" s="60"/>
      <c r="Y176" s="290"/>
      <c r="Z176" s="290"/>
      <c r="AA176" s="290"/>
      <c r="AB176" s="290"/>
      <c r="AC176" s="290"/>
      <c r="AD176" s="290"/>
      <c r="AE176" s="290"/>
      <c r="AF176" s="290"/>
      <c r="AG176" s="290"/>
      <c r="AH176" s="290"/>
      <c r="AI176" s="290"/>
      <c r="AJ176" s="290"/>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c r="BE176" s="290"/>
      <c r="BF176" s="290"/>
      <c r="BG176" s="290"/>
      <c r="BH176" s="290"/>
      <c r="BI176" s="290"/>
      <c r="BJ176" s="290"/>
      <c r="BK176" s="290"/>
      <c r="BL176" s="290"/>
      <c r="BM176" s="290"/>
      <c r="BN176" s="290"/>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c r="DB176" s="290"/>
      <c r="DC176" s="290"/>
      <c r="DD176" s="290"/>
      <c r="DE176" s="290"/>
      <c r="DF176" s="290"/>
      <c r="DG176" s="290"/>
      <c r="DH176" s="290"/>
      <c r="DI176" s="290"/>
      <c r="DJ176" s="290"/>
      <c r="DK176" s="290"/>
      <c r="DL176" s="290"/>
      <c r="DM176" s="290"/>
      <c r="DN176" s="290"/>
      <c r="DO176" s="290"/>
      <c r="DP176" s="290"/>
      <c r="DQ176" s="290"/>
    </row>
    <row r="177" spans="1:121" s="291" customFormat="1" ht="75">
      <c r="A177" s="25">
        <v>8</v>
      </c>
      <c r="B177" s="289" t="s">
        <v>4039</v>
      </c>
      <c r="C177" s="38" t="s">
        <v>83</v>
      </c>
      <c r="D177" s="38" t="s">
        <v>3935</v>
      </c>
      <c r="E177" s="38" t="s">
        <v>689</v>
      </c>
      <c r="F177" s="45">
        <v>6420090</v>
      </c>
      <c r="G177" s="11">
        <v>626159</v>
      </c>
      <c r="H177" s="60" t="s">
        <v>4040</v>
      </c>
      <c r="I177" s="73">
        <v>20105010202</v>
      </c>
      <c r="J177" s="23">
        <v>526.79999999999995</v>
      </c>
      <c r="K177" s="258">
        <f t="shared" si="8"/>
        <v>621.62399999999991</v>
      </c>
      <c r="L177" s="38" t="s">
        <v>280</v>
      </c>
      <c r="M177" s="16" t="s">
        <v>4041</v>
      </c>
      <c r="N177" s="16" t="s">
        <v>4040</v>
      </c>
      <c r="O177" s="16" t="s">
        <v>3312</v>
      </c>
      <c r="P177" s="38">
        <v>796</v>
      </c>
      <c r="Q177" s="38" t="s">
        <v>419</v>
      </c>
      <c r="R177" s="38">
        <v>50</v>
      </c>
      <c r="S177" s="45">
        <v>45</v>
      </c>
      <c r="T177" s="38" t="s">
        <v>547</v>
      </c>
      <c r="U177" s="33">
        <v>41640</v>
      </c>
      <c r="V177" s="33">
        <v>41640</v>
      </c>
      <c r="W177" s="52">
        <v>42004</v>
      </c>
      <c r="X177" s="60"/>
      <c r="Y177" s="290"/>
      <c r="Z177" s="290"/>
      <c r="AA177" s="290"/>
      <c r="AB177" s="290"/>
      <c r="AC177" s="290"/>
      <c r="AD177" s="290"/>
      <c r="AE177" s="290"/>
      <c r="AF177" s="290"/>
      <c r="AG177" s="290"/>
      <c r="AH177" s="290"/>
      <c r="AI177" s="290"/>
      <c r="AJ177" s="290"/>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c r="BE177" s="290"/>
      <c r="BF177" s="290"/>
      <c r="BG177" s="290"/>
      <c r="BH177" s="290"/>
      <c r="BI177" s="290"/>
      <c r="BJ177" s="290"/>
      <c r="BK177" s="290"/>
      <c r="BL177" s="290"/>
      <c r="BM177" s="290"/>
      <c r="BN177" s="290"/>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c r="DB177" s="290"/>
      <c r="DC177" s="290"/>
      <c r="DD177" s="290"/>
      <c r="DE177" s="290"/>
      <c r="DF177" s="290"/>
      <c r="DG177" s="290"/>
      <c r="DH177" s="290"/>
      <c r="DI177" s="290"/>
      <c r="DJ177" s="290"/>
      <c r="DK177" s="290"/>
      <c r="DL177" s="290"/>
      <c r="DM177" s="290"/>
      <c r="DN177" s="290"/>
      <c r="DO177" s="290"/>
      <c r="DP177" s="290"/>
      <c r="DQ177" s="290"/>
    </row>
    <row r="178" spans="1:121" s="291" customFormat="1" ht="93.75">
      <c r="A178" s="25">
        <v>8</v>
      </c>
      <c r="B178" s="289" t="s">
        <v>4042</v>
      </c>
      <c r="C178" s="38" t="s">
        <v>83</v>
      </c>
      <c r="D178" s="38" t="s">
        <v>3935</v>
      </c>
      <c r="E178" s="38" t="s">
        <v>689</v>
      </c>
      <c r="F178" s="45">
        <v>6420090</v>
      </c>
      <c r="G178" s="11">
        <v>626160</v>
      </c>
      <c r="H178" s="60" t="s">
        <v>4043</v>
      </c>
      <c r="I178" s="73">
        <v>20105010202</v>
      </c>
      <c r="J178" s="23">
        <v>6107.12</v>
      </c>
      <c r="K178" s="258">
        <f t="shared" si="8"/>
        <v>7206.4015999999992</v>
      </c>
      <c r="L178" s="38" t="s">
        <v>280</v>
      </c>
      <c r="M178" s="16" t="s">
        <v>4044</v>
      </c>
      <c r="N178" s="16" t="s">
        <v>4043</v>
      </c>
      <c r="O178" s="16" t="s">
        <v>3312</v>
      </c>
      <c r="P178" s="38">
        <v>796</v>
      </c>
      <c r="Q178" s="38" t="s">
        <v>368</v>
      </c>
      <c r="R178" s="38">
        <v>39</v>
      </c>
      <c r="S178" s="45">
        <v>45</v>
      </c>
      <c r="T178" s="38" t="s">
        <v>547</v>
      </c>
      <c r="U178" s="33">
        <v>41640</v>
      </c>
      <c r="V178" s="33">
        <v>41640</v>
      </c>
      <c r="W178" s="52">
        <v>42004</v>
      </c>
      <c r="X178" s="60"/>
      <c r="Y178" s="290"/>
      <c r="Z178" s="290"/>
      <c r="AA178" s="290"/>
      <c r="AB178" s="290"/>
      <c r="AC178" s="290"/>
      <c r="AD178" s="290"/>
      <c r="AE178" s="290"/>
      <c r="AF178" s="290"/>
      <c r="AG178" s="290"/>
      <c r="AH178" s="290"/>
      <c r="AI178" s="290"/>
      <c r="AJ178" s="290"/>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c r="BE178" s="290"/>
      <c r="BF178" s="290"/>
      <c r="BG178" s="290"/>
      <c r="BH178" s="290"/>
      <c r="BI178" s="290"/>
      <c r="BJ178" s="290"/>
      <c r="BK178" s="290"/>
      <c r="BL178" s="290"/>
      <c r="BM178" s="290"/>
      <c r="BN178" s="290"/>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c r="DB178" s="290"/>
      <c r="DC178" s="290"/>
      <c r="DD178" s="290"/>
      <c r="DE178" s="290"/>
      <c r="DF178" s="290"/>
      <c r="DG178" s="290"/>
      <c r="DH178" s="290"/>
      <c r="DI178" s="290"/>
      <c r="DJ178" s="290"/>
      <c r="DK178" s="290"/>
      <c r="DL178" s="290"/>
      <c r="DM178" s="290"/>
      <c r="DN178" s="290"/>
      <c r="DO178" s="290"/>
      <c r="DP178" s="290"/>
      <c r="DQ178" s="290"/>
    </row>
    <row r="179" spans="1:121" s="291" customFormat="1" ht="93.75">
      <c r="A179" s="25">
        <v>8</v>
      </c>
      <c r="B179" s="289" t="s">
        <v>4045</v>
      </c>
      <c r="C179" s="38" t="s">
        <v>83</v>
      </c>
      <c r="D179" s="38" t="s">
        <v>3935</v>
      </c>
      <c r="E179" s="38" t="s">
        <v>689</v>
      </c>
      <c r="F179" s="45">
        <v>6420090</v>
      </c>
      <c r="G179" s="11">
        <v>626161</v>
      </c>
      <c r="H179" s="60" t="s">
        <v>4046</v>
      </c>
      <c r="I179" s="73">
        <v>20105010202</v>
      </c>
      <c r="J179" s="23">
        <v>8976</v>
      </c>
      <c r="K179" s="258">
        <f t="shared" si="8"/>
        <v>10591.68</v>
      </c>
      <c r="L179" s="38" t="s">
        <v>280</v>
      </c>
      <c r="M179" s="16" t="s">
        <v>4044</v>
      </c>
      <c r="N179" s="16" t="s">
        <v>4046</v>
      </c>
      <c r="O179" s="16" t="s">
        <v>3312</v>
      </c>
      <c r="P179" s="38">
        <v>796</v>
      </c>
      <c r="Q179" s="38" t="s">
        <v>368</v>
      </c>
      <c r="R179" s="38">
        <v>44</v>
      </c>
      <c r="S179" s="45">
        <v>45</v>
      </c>
      <c r="T179" s="38" t="s">
        <v>547</v>
      </c>
      <c r="U179" s="33">
        <v>41640</v>
      </c>
      <c r="V179" s="33">
        <v>41640</v>
      </c>
      <c r="W179" s="52">
        <v>42004</v>
      </c>
      <c r="X179" s="60"/>
      <c r="Y179" s="290"/>
      <c r="Z179" s="290"/>
      <c r="AA179" s="290"/>
      <c r="AB179" s="290"/>
      <c r="AC179" s="290"/>
      <c r="AD179" s="290"/>
      <c r="AE179" s="290"/>
      <c r="AF179" s="290"/>
      <c r="AG179" s="290"/>
      <c r="AH179" s="290"/>
      <c r="AI179" s="290"/>
      <c r="AJ179" s="290"/>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c r="BG179" s="290"/>
      <c r="BH179" s="290"/>
      <c r="BI179" s="290"/>
      <c r="BJ179" s="290"/>
      <c r="BK179" s="290"/>
      <c r="BL179" s="290"/>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c r="DB179" s="290"/>
      <c r="DC179" s="290"/>
      <c r="DD179" s="290"/>
      <c r="DE179" s="290"/>
      <c r="DF179" s="290"/>
      <c r="DG179" s="290"/>
      <c r="DH179" s="290"/>
      <c r="DI179" s="290"/>
      <c r="DJ179" s="290"/>
      <c r="DK179" s="290"/>
      <c r="DL179" s="290"/>
      <c r="DM179" s="290"/>
      <c r="DN179" s="290"/>
      <c r="DO179" s="290"/>
      <c r="DP179" s="290"/>
      <c r="DQ179" s="290"/>
    </row>
    <row r="180" spans="1:121" s="291" customFormat="1" ht="93.75">
      <c r="A180" s="25">
        <v>8</v>
      </c>
      <c r="B180" s="289" t="s">
        <v>4047</v>
      </c>
      <c r="C180" s="38" t="s">
        <v>83</v>
      </c>
      <c r="D180" s="38" t="s">
        <v>3935</v>
      </c>
      <c r="E180" s="38" t="s">
        <v>689</v>
      </c>
      <c r="F180" s="45">
        <v>6420090</v>
      </c>
      <c r="G180" s="11">
        <v>626162</v>
      </c>
      <c r="H180" s="60" t="s">
        <v>4048</v>
      </c>
      <c r="I180" s="73">
        <v>20105010202</v>
      </c>
      <c r="J180" s="23">
        <v>5839.68</v>
      </c>
      <c r="K180" s="258">
        <f t="shared" si="8"/>
        <v>6890.8224</v>
      </c>
      <c r="L180" s="38" t="s">
        <v>280</v>
      </c>
      <c r="M180" s="16" t="s">
        <v>4044</v>
      </c>
      <c r="N180" s="16" t="s">
        <v>4048</v>
      </c>
      <c r="O180" s="16" t="s">
        <v>3312</v>
      </c>
      <c r="P180" s="38">
        <v>796</v>
      </c>
      <c r="Q180" s="38" t="s">
        <v>419</v>
      </c>
      <c r="R180" s="38">
        <v>22</v>
      </c>
      <c r="S180" s="45">
        <v>45</v>
      </c>
      <c r="T180" s="38" t="s">
        <v>547</v>
      </c>
      <c r="U180" s="33">
        <v>41640</v>
      </c>
      <c r="V180" s="33">
        <v>41640</v>
      </c>
      <c r="W180" s="52">
        <v>42004</v>
      </c>
      <c r="X180" s="60"/>
      <c r="Y180" s="290"/>
      <c r="Z180" s="290"/>
      <c r="AA180" s="290"/>
      <c r="AB180" s="290"/>
      <c r="AC180" s="290"/>
      <c r="AD180" s="290"/>
      <c r="AE180" s="290"/>
      <c r="AF180" s="290"/>
      <c r="AG180" s="290"/>
      <c r="AH180" s="290"/>
      <c r="AI180" s="290"/>
      <c r="AJ180" s="290"/>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c r="BE180" s="290"/>
      <c r="BF180" s="290"/>
      <c r="BG180" s="290"/>
      <c r="BH180" s="290"/>
      <c r="BI180" s="290"/>
      <c r="BJ180" s="290"/>
      <c r="BK180" s="290"/>
      <c r="BL180" s="290"/>
      <c r="BM180" s="290"/>
      <c r="BN180" s="290"/>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c r="DB180" s="290"/>
      <c r="DC180" s="290"/>
      <c r="DD180" s="290"/>
      <c r="DE180" s="290"/>
      <c r="DF180" s="290"/>
      <c r="DG180" s="290"/>
      <c r="DH180" s="290"/>
      <c r="DI180" s="290"/>
      <c r="DJ180" s="290"/>
      <c r="DK180" s="290"/>
      <c r="DL180" s="290"/>
      <c r="DM180" s="290"/>
      <c r="DN180" s="290"/>
      <c r="DO180" s="290"/>
      <c r="DP180" s="290"/>
      <c r="DQ180" s="290"/>
    </row>
    <row r="181" spans="1:121" s="291" customFormat="1" ht="187.5">
      <c r="A181" s="25">
        <v>8</v>
      </c>
      <c r="B181" s="289" t="s">
        <v>4049</v>
      </c>
      <c r="C181" s="38" t="s">
        <v>83</v>
      </c>
      <c r="D181" s="38" t="s">
        <v>3935</v>
      </c>
      <c r="E181" s="38" t="s">
        <v>689</v>
      </c>
      <c r="F181" s="45">
        <v>6420090</v>
      </c>
      <c r="G181" s="11">
        <v>626163</v>
      </c>
      <c r="H181" s="60" t="s">
        <v>4050</v>
      </c>
      <c r="I181" s="73">
        <v>20105010202</v>
      </c>
      <c r="J181" s="23">
        <v>2107.1999999999998</v>
      </c>
      <c r="K181" s="258">
        <f t="shared" ref="K181" si="10">J181*1.18</f>
        <v>2486.4959999999996</v>
      </c>
      <c r="L181" s="38" t="s">
        <v>280</v>
      </c>
      <c r="M181" s="16" t="s">
        <v>4044</v>
      </c>
      <c r="N181" s="16" t="s">
        <v>4050</v>
      </c>
      <c r="O181" s="16" t="s">
        <v>3312</v>
      </c>
      <c r="P181" s="38">
        <v>796</v>
      </c>
      <c r="Q181" s="38" t="s">
        <v>419</v>
      </c>
      <c r="R181" s="38">
        <v>5</v>
      </c>
      <c r="S181" s="45">
        <v>45</v>
      </c>
      <c r="T181" s="38" t="s">
        <v>547</v>
      </c>
      <c r="U181" s="33">
        <v>41640</v>
      </c>
      <c r="V181" s="33">
        <v>41640</v>
      </c>
      <c r="W181" s="52">
        <v>42004</v>
      </c>
      <c r="X181" s="60"/>
      <c r="Y181" s="290"/>
      <c r="Z181" s="290"/>
      <c r="AA181" s="290"/>
      <c r="AB181" s="290"/>
      <c r="AC181" s="290"/>
      <c r="AD181" s="290"/>
      <c r="AE181" s="290"/>
      <c r="AF181" s="290"/>
      <c r="AG181" s="290"/>
      <c r="AH181" s="290"/>
      <c r="AI181" s="29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c r="BG181" s="290"/>
      <c r="BH181" s="290"/>
      <c r="BI181" s="290"/>
      <c r="BJ181" s="290"/>
      <c r="BK181" s="290"/>
      <c r="BL181" s="290"/>
      <c r="BM181" s="290"/>
      <c r="BN181" s="290"/>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c r="DB181" s="290"/>
      <c r="DC181" s="290"/>
      <c r="DD181" s="290"/>
      <c r="DE181" s="290"/>
      <c r="DF181" s="290"/>
      <c r="DG181" s="290"/>
      <c r="DH181" s="290"/>
      <c r="DI181" s="290"/>
      <c r="DJ181" s="290"/>
      <c r="DK181" s="290"/>
      <c r="DL181" s="290"/>
      <c r="DM181" s="290"/>
      <c r="DN181" s="290"/>
      <c r="DO181" s="290"/>
      <c r="DP181" s="290"/>
      <c r="DQ181" s="290"/>
    </row>
    <row r="182" spans="1:121" s="291" customFormat="1" ht="93.75">
      <c r="A182" s="25">
        <v>8</v>
      </c>
      <c r="B182" s="289" t="s">
        <v>4051</v>
      </c>
      <c r="C182" s="38" t="s">
        <v>83</v>
      </c>
      <c r="D182" s="38" t="s">
        <v>3935</v>
      </c>
      <c r="E182" s="38" t="s">
        <v>689</v>
      </c>
      <c r="F182" s="45">
        <v>6420090</v>
      </c>
      <c r="G182" s="11">
        <v>626164</v>
      </c>
      <c r="H182" s="60" t="s">
        <v>4052</v>
      </c>
      <c r="I182" s="73">
        <v>20105010202</v>
      </c>
      <c r="J182" s="23">
        <v>1463.53</v>
      </c>
      <c r="K182" s="258">
        <f t="shared" ref="K182" si="11">J182*1.18</f>
        <v>1726.9653999999998</v>
      </c>
      <c r="L182" s="38" t="s">
        <v>280</v>
      </c>
      <c r="M182" s="16" t="s">
        <v>4053</v>
      </c>
      <c r="N182" s="16" t="s">
        <v>4052</v>
      </c>
      <c r="O182" s="16" t="s">
        <v>3312</v>
      </c>
      <c r="P182" s="38">
        <v>796</v>
      </c>
      <c r="Q182" s="38" t="s">
        <v>419</v>
      </c>
      <c r="R182" s="38">
        <v>1</v>
      </c>
      <c r="S182" s="45">
        <v>45</v>
      </c>
      <c r="T182" s="38" t="s">
        <v>547</v>
      </c>
      <c r="U182" s="33">
        <v>41640</v>
      </c>
      <c r="V182" s="33">
        <v>41640</v>
      </c>
      <c r="W182" s="52">
        <v>42004</v>
      </c>
      <c r="X182" s="60"/>
      <c r="Y182" s="290"/>
      <c r="Z182" s="290"/>
      <c r="AA182" s="290"/>
      <c r="AB182" s="290"/>
      <c r="AC182" s="290"/>
      <c r="AD182" s="290"/>
      <c r="AE182" s="290"/>
      <c r="AF182" s="290"/>
      <c r="AG182" s="290"/>
      <c r="AH182" s="290"/>
      <c r="AI182" s="290"/>
      <c r="AJ182" s="290"/>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c r="BG182" s="290"/>
      <c r="BH182" s="290"/>
      <c r="BI182" s="290"/>
      <c r="BJ182" s="290"/>
      <c r="BK182" s="290"/>
      <c r="BL182" s="290"/>
      <c r="BM182" s="290"/>
      <c r="BN182" s="290"/>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c r="DB182" s="290"/>
      <c r="DC182" s="290"/>
      <c r="DD182" s="290"/>
      <c r="DE182" s="290"/>
      <c r="DF182" s="290"/>
      <c r="DG182" s="290"/>
      <c r="DH182" s="290"/>
      <c r="DI182" s="290"/>
      <c r="DJ182" s="290"/>
      <c r="DK182" s="290"/>
      <c r="DL182" s="290"/>
      <c r="DM182" s="290"/>
      <c r="DN182" s="290"/>
      <c r="DO182" s="290"/>
      <c r="DP182" s="290"/>
      <c r="DQ182" s="290"/>
    </row>
    <row r="183" spans="1:121" s="291" customFormat="1" ht="134.25" customHeight="1">
      <c r="A183" s="25">
        <v>8</v>
      </c>
      <c r="B183" s="289" t="s">
        <v>4136</v>
      </c>
      <c r="C183" s="38" t="s">
        <v>83</v>
      </c>
      <c r="D183" s="38" t="s">
        <v>3935</v>
      </c>
      <c r="E183" s="38" t="s">
        <v>689</v>
      </c>
      <c r="F183" s="45">
        <v>6420090</v>
      </c>
      <c r="G183" s="11">
        <v>626211</v>
      </c>
      <c r="H183" s="60" t="s">
        <v>4137</v>
      </c>
      <c r="I183" s="73">
        <v>20105010202</v>
      </c>
      <c r="J183" s="23">
        <v>431.22</v>
      </c>
      <c r="K183" s="258">
        <f>J183*1.18</f>
        <v>508.83960000000002</v>
      </c>
      <c r="L183" s="38" t="s">
        <v>280</v>
      </c>
      <c r="M183" s="16" t="s">
        <v>4138</v>
      </c>
      <c r="N183" s="99" t="s">
        <v>4137</v>
      </c>
      <c r="O183" s="100" t="s">
        <v>3937</v>
      </c>
      <c r="P183" s="11">
        <v>796</v>
      </c>
      <c r="Q183" s="79" t="s">
        <v>419</v>
      </c>
      <c r="R183" s="81">
        <v>1</v>
      </c>
      <c r="S183" s="38">
        <v>45</v>
      </c>
      <c r="T183" s="38" t="s">
        <v>547</v>
      </c>
      <c r="U183" s="51">
        <v>41640</v>
      </c>
      <c r="V183" s="51">
        <v>41640</v>
      </c>
      <c r="W183" s="52">
        <v>42004</v>
      </c>
      <c r="X183" s="72"/>
      <c r="Y183" s="290"/>
      <c r="Z183" s="290"/>
      <c r="AA183" s="290"/>
      <c r="AB183" s="290"/>
      <c r="AC183" s="290"/>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c r="BG183" s="290"/>
      <c r="BH183" s="290"/>
      <c r="BI183" s="290"/>
      <c r="BJ183" s="290"/>
      <c r="BK183" s="290"/>
      <c r="BL183" s="290"/>
      <c r="BM183" s="290"/>
      <c r="BN183" s="290"/>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c r="DB183" s="290"/>
      <c r="DC183" s="290"/>
      <c r="DD183" s="290"/>
      <c r="DE183" s="290"/>
      <c r="DF183" s="290"/>
      <c r="DG183" s="290"/>
      <c r="DH183" s="290"/>
      <c r="DI183" s="290"/>
      <c r="DJ183" s="290"/>
      <c r="DK183" s="290"/>
      <c r="DL183" s="290"/>
      <c r="DM183" s="290"/>
      <c r="DN183" s="290"/>
      <c r="DO183" s="290"/>
      <c r="DP183" s="290"/>
      <c r="DQ183" s="290"/>
    </row>
    <row r="184" spans="1:121" s="291" customFormat="1" ht="134.25" customHeight="1">
      <c r="A184" s="25">
        <v>8</v>
      </c>
      <c r="B184" s="289" t="s">
        <v>4635</v>
      </c>
      <c r="C184" s="38" t="s">
        <v>83</v>
      </c>
      <c r="D184" s="38" t="s">
        <v>555</v>
      </c>
      <c r="E184" s="38" t="s">
        <v>598</v>
      </c>
      <c r="F184" s="45">
        <v>4010000</v>
      </c>
      <c r="G184" s="11">
        <v>626450</v>
      </c>
      <c r="H184" s="60" t="s">
        <v>4636</v>
      </c>
      <c r="I184" s="73" t="s">
        <v>4637</v>
      </c>
      <c r="J184" s="23">
        <v>7033.8983099999996</v>
      </c>
      <c r="K184" s="258">
        <f t="shared" ref="K184:K186" si="12">J184*1.18</f>
        <v>8300.0000057999987</v>
      </c>
      <c r="L184" s="38" t="s">
        <v>280</v>
      </c>
      <c r="M184" s="16" t="s">
        <v>3022</v>
      </c>
      <c r="N184" s="99" t="s">
        <v>4638</v>
      </c>
      <c r="O184" s="100" t="s">
        <v>3937</v>
      </c>
      <c r="P184" s="11">
        <v>245</v>
      </c>
      <c r="Q184" s="79" t="s">
        <v>603</v>
      </c>
      <c r="R184" s="81">
        <v>1</v>
      </c>
      <c r="S184" s="38" t="s">
        <v>604</v>
      </c>
      <c r="T184" s="38" t="s">
        <v>92</v>
      </c>
      <c r="U184" s="51">
        <v>41640</v>
      </c>
      <c r="V184" s="51">
        <v>41640</v>
      </c>
      <c r="W184" s="52">
        <v>42004</v>
      </c>
      <c r="X184" s="292"/>
      <c r="Y184" s="290"/>
      <c r="Z184" s="290"/>
      <c r="AA184" s="290"/>
      <c r="AB184" s="290"/>
      <c r="AC184" s="290"/>
      <c r="AD184" s="290"/>
      <c r="AE184" s="290"/>
      <c r="AF184" s="290"/>
      <c r="AG184" s="290"/>
      <c r="AH184" s="290"/>
      <c r="AI184" s="290"/>
      <c r="AJ184" s="290"/>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c r="BG184" s="290"/>
      <c r="BH184" s="290"/>
      <c r="BI184" s="290"/>
      <c r="BJ184" s="290"/>
      <c r="BK184" s="290"/>
      <c r="BL184" s="290"/>
      <c r="BM184" s="290"/>
      <c r="BN184" s="290"/>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c r="DB184" s="290"/>
      <c r="DC184" s="290"/>
      <c r="DD184" s="290"/>
      <c r="DE184" s="290"/>
      <c r="DF184" s="290"/>
      <c r="DG184" s="290"/>
      <c r="DH184" s="290"/>
      <c r="DI184" s="290"/>
      <c r="DJ184" s="290"/>
      <c r="DK184" s="290"/>
      <c r="DL184" s="290"/>
      <c r="DM184" s="290"/>
      <c r="DN184" s="290"/>
      <c r="DO184" s="290"/>
      <c r="DP184" s="290"/>
      <c r="DQ184" s="290"/>
    </row>
    <row r="185" spans="1:121" s="291" customFormat="1" ht="134.25" customHeight="1">
      <c r="A185" s="25">
        <v>8</v>
      </c>
      <c r="B185" s="289" t="s">
        <v>4639</v>
      </c>
      <c r="C185" s="38" t="s">
        <v>83</v>
      </c>
      <c r="D185" s="38" t="s">
        <v>555</v>
      </c>
      <c r="E185" s="38" t="s">
        <v>623</v>
      </c>
      <c r="F185" s="45">
        <v>4030201</v>
      </c>
      <c r="G185" s="11">
        <v>626451</v>
      </c>
      <c r="H185" s="60" t="s">
        <v>4640</v>
      </c>
      <c r="I185" s="73" t="s">
        <v>4637</v>
      </c>
      <c r="J185" s="23">
        <v>2254.23729</v>
      </c>
      <c r="K185" s="258">
        <f t="shared" si="12"/>
        <v>2660.0000021999999</v>
      </c>
      <c r="L185" s="38" t="s">
        <v>280</v>
      </c>
      <c r="M185" s="16" t="s">
        <v>895</v>
      </c>
      <c r="N185" s="99" t="s">
        <v>4641</v>
      </c>
      <c r="O185" s="100" t="s">
        <v>3937</v>
      </c>
      <c r="P185" s="11">
        <v>233</v>
      </c>
      <c r="Q185" s="79" t="s">
        <v>4642</v>
      </c>
      <c r="R185" s="81">
        <v>2</v>
      </c>
      <c r="S185" s="38">
        <v>46460</v>
      </c>
      <c r="T185" s="38" t="s">
        <v>92</v>
      </c>
      <c r="U185" s="51">
        <v>41640</v>
      </c>
      <c r="V185" s="51">
        <v>41640</v>
      </c>
      <c r="W185" s="52">
        <v>42004</v>
      </c>
      <c r="X185" s="292"/>
      <c r="Y185" s="290"/>
      <c r="Z185" s="290"/>
      <c r="AA185" s="290"/>
      <c r="AB185" s="290"/>
      <c r="AC185" s="290"/>
      <c r="AD185" s="290"/>
      <c r="AE185" s="290"/>
      <c r="AF185" s="290"/>
      <c r="AG185" s="290"/>
      <c r="AH185" s="290"/>
      <c r="AI185" s="290"/>
      <c r="AJ185" s="290"/>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90"/>
      <c r="BG185" s="290"/>
      <c r="BH185" s="290"/>
      <c r="BI185" s="290"/>
      <c r="BJ185" s="290"/>
      <c r="BK185" s="290"/>
      <c r="BL185" s="290"/>
      <c r="BM185" s="290"/>
      <c r="BN185" s="290"/>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c r="DB185" s="290"/>
      <c r="DC185" s="290"/>
      <c r="DD185" s="290"/>
      <c r="DE185" s="290"/>
      <c r="DF185" s="290"/>
      <c r="DG185" s="290"/>
      <c r="DH185" s="290"/>
      <c r="DI185" s="290"/>
      <c r="DJ185" s="290"/>
      <c r="DK185" s="290"/>
      <c r="DL185" s="290"/>
      <c r="DM185" s="290"/>
      <c r="DN185" s="290"/>
      <c r="DO185" s="290"/>
      <c r="DP185" s="290"/>
      <c r="DQ185" s="290"/>
    </row>
    <row r="186" spans="1:121" s="291" customFormat="1" ht="134.25" customHeight="1">
      <c r="A186" s="25">
        <v>8</v>
      </c>
      <c r="B186" s="38" t="s">
        <v>4645</v>
      </c>
      <c r="C186" s="38" t="s">
        <v>83</v>
      </c>
      <c r="D186" s="38" t="s">
        <v>4646</v>
      </c>
      <c r="E186" s="38" t="s">
        <v>3430</v>
      </c>
      <c r="F186" s="38">
        <v>7492000</v>
      </c>
      <c r="G186" s="63">
        <v>626447</v>
      </c>
      <c r="H186" s="16" t="s">
        <v>4647</v>
      </c>
      <c r="I186" s="29">
        <v>2010203</v>
      </c>
      <c r="J186" s="23">
        <v>27837.24</v>
      </c>
      <c r="K186" s="258">
        <f t="shared" si="12"/>
        <v>32847.943200000002</v>
      </c>
      <c r="L186" s="38" t="s">
        <v>280</v>
      </c>
      <c r="M186" s="16" t="s">
        <v>4648</v>
      </c>
      <c r="N186" s="99" t="s">
        <v>4649</v>
      </c>
      <c r="O186" s="100" t="s">
        <v>3878</v>
      </c>
      <c r="P186" s="11">
        <v>796</v>
      </c>
      <c r="Q186" s="79" t="s">
        <v>368</v>
      </c>
      <c r="R186" s="81">
        <v>1</v>
      </c>
      <c r="S186" s="38">
        <v>45268569000</v>
      </c>
      <c r="T186" s="38" t="s">
        <v>92</v>
      </c>
      <c r="U186" s="51">
        <v>41640</v>
      </c>
      <c r="V186" s="51">
        <v>41640</v>
      </c>
      <c r="W186" s="52">
        <v>42004</v>
      </c>
      <c r="X186" s="292" t="s">
        <v>4650</v>
      </c>
      <c r="Y186" s="290"/>
      <c r="Z186" s="290"/>
      <c r="AA186" s="290"/>
      <c r="AB186" s="290"/>
      <c r="AC186" s="290"/>
      <c r="AD186" s="290"/>
      <c r="AE186" s="290"/>
      <c r="AF186" s="290"/>
      <c r="AG186" s="290"/>
      <c r="AH186" s="290"/>
      <c r="AI186" s="290"/>
      <c r="AJ186" s="290"/>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c r="BG186" s="290"/>
      <c r="BH186" s="290"/>
      <c r="BI186" s="290"/>
      <c r="BJ186" s="290"/>
      <c r="BK186" s="290"/>
      <c r="BL186" s="290"/>
      <c r="BM186" s="290"/>
      <c r="BN186" s="290"/>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c r="DB186" s="290"/>
      <c r="DC186" s="290"/>
      <c r="DD186" s="290"/>
      <c r="DE186" s="290"/>
      <c r="DF186" s="290"/>
      <c r="DG186" s="290"/>
      <c r="DH186" s="290"/>
      <c r="DI186" s="290"/>
      <c r="DJ186" s="290"/>
      <c r="DK186" s="290"/>
      <c r="DL186" s="290"/>
      <c r="DM186" s="290"/>
      <c r="DN186" s="290"/>
      <c r="DO186" s="290"/>
      <c r="DP186" s="290"/>
      <c r="DQ186" s="290"/>
    </row>
    <row r="187" spans="1:121" s="291" customFormat="1" ht="134.25" customHeight="1">
      <c r="A187" s="25">
        <v>8</v>
      </c>
      <c r="B187" s="38" t="s">
        <v>4985</v>
      </c>
      <c r="C187" s="38" t="s">
        <v>83</v>
      </c>
      <c r="D187" s="38" t="s">
        <v>225</v>
      </c>
      <c r="E187" s="38" t="s">
        <v>284</v>
      </c>
      <c r="F187" s="38">
        <v>6420000</v>
      </c>
      <c r="G187" s="63">
        <v>814225</v>
      </c>
      <c r="H187" s="16" t="s">
        <v>4986</v>
      </c>
      <c r="I187" s="29">
        <v>201050104</v>
      </c>
      <c r="J187" s="23">
        <v>2640</v>
      </c>
      <c r="K187" s="258">
        <f t="shared" ref="K187" si="13">J187*1.18</f>
        <v>3115.2</v>
      </c>
      <c r="L187" s="38" t="s">
        <v>280</v>
      </c>
      <c r="M187" s="16" t="s">
        <v>287</v>
      </c>
      <c r="N187" s="99" t="s">
        <v>4987</v>
      </c>
      <c r="O187" s="100" t="s">
        <v>4988</v>
      </c>
      <c r="P187" s="11" t="s">
        <v>288</v>
      </c>
      <c r="Q187" s="79" t="s">
        <v>4989</v>
      </c>
      <c r="R187" s="81">
        <v>49</v>
      </c>
      <c r="S187" s="38">
        <v>46460</v>
      </c>
      <c r="T187" s="38" t="s">
        <v>605</v>
      </c>
      <c r="U187" s="51">
        <v>41122</v>
      </c>
      <c r="V187" s="51">
        <v>41640</v>
      </c>
      <c r="W187" s="52">
        <v>42004</v>
      </c>
      <c r="X187" s="292" t="s">
        <v>4990</v>
      </c>
      <c r="Y187" s="290"/>
      <c r="Z187" s="290"/>
      <c r="AA187" s="290"/>
      <c r="AB187" s="290"/>
      <c r="AC187" s="290"/>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90"/>
      <c r="BG187" s="290"/>
      <c r="BH187" s="290"/>
      <c r="BI187" s="290"/>
      <c r="BJ187" s="290"/>
      <c r="BK187" s="290"/>
      <c r="BL187" s="290"/>
      <c r="BM187" s="290"/>
      <c r="BN187" s="290"/>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c r="DB187" s="290"/>
      <c r="DC187" s="290"/>
      <c r="DD187" s="290"/>
      <c r="DE187" s="290"/>
      <c r="DF187" s="290"/>
      <c r="DG187" s="290"/>
      <c r="DH187" s="290"/>
      <c r="DI187" s="290"/>
      <c r="DJ187" s="290"/>
      <c r="DK187" s="290"/>
      <c r="DL187" s="290"/>
      <c r="DM187" s="290"/>
      <c r="DN187" s="290"/>
      <c r="DO187" s="290"/>
      <c r="DP187" s="290"/>
      <c r="DQ187" s="290"/>
    </row>
    <row r="188" spans="1:121" ht="21" customHeight="1">
      <c r="A188" s="293" t="s">
        <v>132</v>
      </c>
      <c r="B188" s="293" t="s">
        <v>132</v>
      </c>
      <c r="C188" s="293" t="s">
        <v>132</v>
      </c>
      <c r="D188" s="293" t="s">
        <v>132</v>
      </c>
      <c r="E188" s="293" t="s">
        <v>132</v>
      </c>
      <c r="F188" s="293" t="s">
        <v>132</v>
      </c>
      <c r="G188" s="293" t="s">
        <v>132</v>
      </c>
      <c r="H188" s="293" t="s">
        <v>132</v>
      </c>
      <c r="I188" s="293" t="s">
        <v>132</v>
      </c>
      <c r="J188" s="293" t="s">
        <v>132</v>
      </c>
      <c r="K188" s="293" t="s">
        <v>132</v>
      </c>
      <c r="L188" s="293" t="s">
        <v>132</v>
      </c>
      <c r="M188" s="293" t="s">
        <v>132</v>
      </c>
      <c r="N188" s="293" t="s">
        <v>132</v>
      </c>
      <c r="O188" s="293" t="s">
        <v>132</v>
      </c>
      <c r="P188" s="293" t="s">
        <v>132</v>
      </c>
      <c r="Q188" s="293" t="s">
        <v>132</v>
      </c>
      <c r="R188" s="293" t="s">
        <v>132</v>
      </c>
      <c r="S188" s="293" t="s">
        <v>132</v>
      </c>
      <c r="T188" s="293" t="s">
        <v>132</v>
      </c>
      <c r="U188" s="293" t="s">
        <v>132</v>
      </c>
      <c r="V188" s="293" t="s">
        <v>132</v>
      </c>
      <c r="W188" s="293" t="s">
        <v>132</v>
      </c>
      <c r="X188" s="293" t="s">
        <v>132</v>
      </c>
    </row>
    <row r="189" spans="1:121" ht="37.5" customHeight="1">
      <c r="A189" s="293" t="s">
        <v>132</v>
      </c>
      <c r="B189" s="293" t="s">
        <v>132</v>
      </c>
      <c r="C189" s="293" t="s">
        <v>132</v>
      </c>
      <c r="D189" s="293" t="s">
        <v>132</v>
      </c>
      <c r="E189" s="293" t="s">
        <v>132</v>
      </c>
      <c r="F189" s="293" t="s">
        <v>132</v>
      </c>
      <c r="G189" s="293" t="s">
        <v>132</v>
      </c>
      <c r="H189" s="294" t="s">
        <v>498</v>
      </c>
      <c r="I189" s="293" t="s">
        <v>132</v>
      </c>
      <c r="J189" s="295">
        <f>SUM(J6:J188)</f>
        <v>19176188.740957111</v>
      </c>
      <c r="K189" s="295">
        <f>SUM(K6:K188)</f>
        <v>22614425.091209389</v>
      </c>
      <c r="L189" s="293" t="s">
        <v>132</v>
      </c>
      <c r="M189" s="293" t="s">
        <v>132</v>
      </c>
      <c r="N189" s="293" t="s">
        <v>132</v>
      </c>
      <c r="O189" s="293" t="s">
        <v>132</v>
      </c>
      <c r="P189" s="293" t="s">
        <v>132</v>
      </c>
      <c r="Q189" s="293" t="s">
        <v>132</v>
      </c>
      <c r="R189" s="293" t="s">
        <v>132</v>
      </c>
      <c r="S189" s="293" t="s">
        <v>132</v>
      </c>
      <c r="T189" s="293" t="s">
        <v>132</v>
      </c>
      <c r="U189" s="293" t="s">
        <v>132</v>
      </c>
      <c r="V189" s="293" t="s">
        <v>132</v>
      </c>
      <c r="W189" s="293" t="s">
        <v>132</v>
      </c>
      <c r="X189" s="293" t="s">
        <v>132</v>
      </c>
    </row>
  </sheetData>
  <autoFilter ref="A5:X189"/>
  <customSheetViews>
    <customSheetView guid="{266D8910-EE63-4F03-AD8E-1EA3FEBC0F85}" scale="85" showPageBreaks="1" showAutoFilter="1">
      <pane xSplit="8" ySplit="5" topLeftCell="I6" activePane="bottomRight" state="frozen"/>
      <selection pane="bottomRight" activeCell="G150" sqref="G150"/>
      <pageMargins left="0.7" right="0.7" top="0.75" bottom="0.75" header="0.3" footer="0.3"/>
      <pageSetup paperSize="9" orientation="portrait" r:id="rId1"/>
      <autoFilter ref="A5:X187"/>
    </customSheetView>
    <customSheetView guid="{97206D4B-39D2-4633-B258-544D059AB9B9}" scale="85" showPageBreaks="1" printArea="1" showAutoFilter="1">
      <pane xSplit="8" ySplit="5" topLeftCell="I89" activePane="bottomRight" state="frozen"/>
      <selection pane="bottomRight" activeCell="B93" sqref="B93"/>
      <colBreaks count="1" manualBreakCount="1">
        <brk id="24" max="1048575" man="1"/>
      </colBreaks>
      <pageMargins left="0.70866141732283472" right="0.70866141732283472" top="0.74803149606299213" bottom="0.74803149606299213" header="0.31496062992125984" footer="0.31496062992125984"/>
      <printOptions horizontalCentered="1"/>
      <pageSetup paperSize="8" scale="46" orientation="landscape" r:id="rId2"/>
      <headerFooter>
        <oddFooter>Страница &amp;С</oddFooter>
      </headerFooter>
      <autoFilter ref="A5:X187"/>
    </customSheetView>
    <customSheetView guid="{EC8E82B3-7C73-4755-8915-0971BE19A77F}" scale="85" showAutoFilter="1">
      <pane xSplit="8" ySplit="5" topLeftCell="I149" activePane="bottomRight" state="frozen"/>
      <selection pane="bottomRight" activeCell="G150" sqref="G150"/>
      <pageMargins left="0.7" right="0.7" top="0.75" bottom="0.75" header="0.3" footer="0.3"/>
      <pageSetup paperSize="9" orientation="portrait" r:id="rId3"/>
      <autoFilter ref="A5:Z188"/>
    </customSheetView>
    <customSheetView guid="{3EDA8BFB-40C1-418F-AD4D-C1FEA4D906D3}" showAutoFilter="1">
      <pane xSplit="8" ySplit="5" topLeftCell="T47" activePane="bottomRight" state="frozen"/>
      <selection pane="bottomRight" activeCell="G166" sqref="G166"/>
      <pageMargins left="0.7" right="0.7" top="0.75" bottom="0.75" header="0.3" footer="0.3"/>
      <pageSetup paperSize="9" orientation="portrait" verticalDpi="0" r:id="rId4"/>
      <autoFilter ref="A5:Z182"/>
    </customSheetView>
  </customSheetViews>
  <mergeCells count="23">
    <mergeCell ref="A2:A4"/>
    <mergeCell ref="B2:B4"/>
    <mergeCell ref="C2:D2"/>
    <mergeCell ref="E2:E4"/>
    <mergeCell ref="F2:F4"/>
    <mergeCell ref="C3:C4"/>
    <mergeCell ref="D3:D4"/>
    <mergeCell ref="G2:G4"/>
    <mergeCell ref="H2:H4"/>
    <mergeCell ref="I2:I4"/>
    <mergeCell ref="J2:K3"/>
    <mergeCell ref="X2:X4"/>
    <mergeCell ref="M3:M4"/>
    <mergeCell ref="N3:N4"/>
    <mergeCell ref="O3:O4"/>
    <mergeCell ref="W3:W4"/>
    <mergeCell ref="L2:L4"/>
    <mergeCell ref="N2:W2"/>
    <mergeCell ref="P3:Q3"/>
    <mergeCell ref="R3:R4"/>
    <mergeCell ref="S3:T3"/>
    <mergeCell ref="U3:U4"/>
    <mergeCell ref="V3:V4"/>
  </mergeCells>
  <conditionalFormatting sqref="H94:H95 I93:I94">
    <cfRule type="expression" dxfId="1" priority="9" stopIfTrue="1">
      <formula>#REF!="доб"</formula>
    </cfRule>
    <cfRule type="expression" dxfId="0" priority="10" stopIfTrue="1">
      <formula>#REF!="включено"</formula>
    </cfRule>
  </conditionalFormatting>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dimension ref="A1:BK1796"/>
  <sheetViews>
    <sheetView tabSelected="1" zoomScale="70" zoomScaleNormal="70" zoomScaleSheetLayoutView="10" workbookViewId="0">
      <pane ySplit="5" topLeftCell="A6" activePane="bottomLeft" state="frozen"/>
      <selection pane="bottomLeft" sqref="A1:BK1"/>
    </sheetView>
  </sheetViews>
  <sheetFormatPr defaultColWidth="9.140625" defaultRowHeight="18.75"/>
  <cols>
    <col min="1" max="1" width="9.140625" style="6" customWidth="1"/>
    <col min="2" max="2" width="12.85546875" style="439" customWidth="1"/>
    <col min="3" max="3" width="13.28515625" style="439" customWidth="1"/>
    <col min="4" max="4" width="12.42578125" style="440" customWidth="1"/>
    <col min="5" max="5" width="12.140625" style="440" customWidth="1"/>
    <col min="6" max="6" width="12.5703125" style="450" customWidth="1"/>
    <col min="7" max="7" width="12.5703125" style="440" customWidth="1"/>
    <col min="8" max="8" width="10.5703125" style="440" customWidth="1"/>
    <col min="9" max="9" width="56.42578125" style="450" customWidth="1"/>
    <col min="10" max="10" width="22.28515625" style="440" customWidth="1"/>
    <col min="11" max="11" width="18.28515625" style="440" customWidth="1"/>
    <col min="12" max="12" width="15.28515625" style="440" customWidth="1"/>
    <col min="13" max="13" width="19" style="441" customWidth="1"/>
    <col min="14" max="14" width="30.140625" style="440" customWidth="1"/>
    <col min="15" max="15" width="22.5703125" style="440" customWidth="1"/>
    <col min="16" max="17" width="18.85546875" style="443" customWidth="1"/>
    <col min="18" max="18" width="21" style="443" customWidth="1"/>
    <col min="19" max="19" width="14" style="440" customWidth="1"/>
    <col min="20" max="23" width="11.7109375" style="440" customWidth="1"/>
    <col min="24" max="24" width="11.7109375" style="444" customWidth="1"/>
    <col min="25" max="26" width="20.140625" style="443" customWidth="1"/>
    <col min="27" max="27" width="20.140625" style="440" customWidth="1"/>
    <col min="28" max="28" width="21.5703125" style="440" customWidth="1"/>
    <col min="29" max="29" width="20.140625" style="440" customWidth="1"/>
    <col min="30" max="30" width="21.5703125" style="440" customWidth="1"/>
    <col min="31" max="31" width="24.42578125" style="440" customWidth="1"/>
    <col min="32" max="32" width="16.5703125" style="440" customWidth="1"/>
    <col min="33" max="33" width="15.140625" style="440" customWidth="1"/>
    <col min="34" max="34" width="18.5703125" style="440" customWidth="1"/>
    <col min="35" max="35" width="18.28515625" style="445" customWidth="1"/>
    <col min="36" max="36" width="17.85546875" style="445" customWidth="1"/>
    <col min="37" max="37" width="22.42578125" style="446" customWidth="1"/>
    <col min="38" max="38" width="20.42578125" style="440" customWidth="1"/>
    <col min="39" max="39" width="36.28515625" style="447" customWidth="1" collapsed="1"/>
    <col min="40" max="40" width="33.28515625" style="440" customWidth="1"/>
    <col min="41" max="41" width="17" style="440" customWidth="1" collapsed="1"/>
    <col min="42" max="42" width="17" style="440" customWidth="1"/>
    <col min="43" max="43" width="18" style="6" customWidth="1"/>
    <col min="44" max="44" width="16.85546875" style="440" customWidth="1"/>
    <col min="45" max="45" width="19.140625" style="440" customWidth="1"/>
    <col min="46" max="46" width="15.85546875" style="445" customWidth="1"/>
    <col min="47" max="47" width="16.42578125" style="440" customWidth="1"/>
    <col min="48" max="48" width="15.42578125" style="440" customWidth="1"/>
    <col min="49" max="49" width="14.85546875" style="440" customWidth="1"/>
    <col min="50" max="50" width="44.7109375" style="440" customWidth="1"/>
    <col min="51" max="51" width="11" style="440" customWidth="1"/>
    <col min="52" max="52" width="14.5703125" style="440" customWidth="1"/>
    <col min="53" max="53" width="10.140625" style="440" customWidth="1"/>
    <col min="54" max="54" width="12.85546875" style="6" customWidth="1"/>
    <col min="55" max="55" width="50.7109375" style="448" customWidth="1"/>
    <col min="56" max="56" width="17.140625" style="440" customWidth="1"/>
    <col min="57" max="57" width="18.5703125" style="449" customWidth="1"/>
    <col min="58" max="58" width="18.140625" style="442" customWidth="1"/>
    <col min="59" max="59" width="16.5703125" style="440" customWidth="1"/>
    <col min="60" max="61" width="9.7109375" style="440" customWidth="1"/>
    <col min="62" max="62" width="12.42578125" style="440" customWidth="1"/>
    <col min="63" max="63" width="32.140625" style="440" customWidth="1"/>
    <col min="64" max="16384" width="9.140625" style="600"/>
  </cols>
  <sheetData>
    <row r="1" spans="1:63" ht="49.5" customHeight="1">
      <c r="A1" s="789" t="s">
        <v>7248</v>
      </c>
      <c r="B1" s="790"/>
      <c r="C1" s="790"/>
      <c r="D1" s="790"/>
      <c r="E1" s="790"/>
      <c r="F1" s="790"/>
      <c r="G1" s="790"/>
      <c r="H1" s="790"/>
      <c r="I1" s="790"/>
      <c r="J1" s="790"/>
      <c r="K1" s="790"/>
      <c r="L1" s="790"/>
      <c r="M1" s="791"/>
      <c r="N1" s="790"/>
      <c r="O1" s="790"/>
      <c r="P1" s="790"/>
      <c r="Q1" s="790"/>
      <c r="R1" s="790"/>
      <c r="S1" s="790"/>
      <c r="T1" s="790"/>
      <c r="U1" s="790"/>
      <c r="V1" s="790"/>
      <c r="W1" s="790"/>
      <c r="X1" s="790"/>
      <c r="Y1" s="790"/>
      <c r="Z1" s="790"/>
      <c r="AA1" s="790"/>
      <c r="AB1" s="790"/>
      <c r="AC1" s="790"/>
      <c r="AD1" s="790"/>
      <c r="AE1" s="790"/>
      <c r="AF1" s="790"/>
      <c r="AG1" s="790"/>
      <c r="AH1" s="790"/>
      <c r="AI1" s="790"/>
      <c r="AJ1" s="790"/>
      <c r="AK1" s="790"/>
      <c r="AL1" s="790"/>
      <c r="AM1" s="790"/>
      <c r="AN1" s="790"/>
      <c r="AO1" s="790"/>
      <c r="AP1" s="790"/>
      <c r="AQ1" s="790"/>
      <c r="AR1" s="790"/>
      <c r="AS1" s="790"/>
      <c r="AT1" s="790"/>
      <c r="AU1" s="790"/>
      <c r="AV1" s="790"/>
      <c r="AW1" s="790"/>
      <c r="AX1" s="790"/>
      <c r="AY1" s="790"/>
      <c r="AZ1" s="790"/>
      <c r="BA1" s="790"/>
      <c r="BB1" s="790"/>
      <c r="BC1" s="790"/>
      <c r="BD1" s="790"/>
      <c r="BE1" s="790"/>
      <c r="BF1" s="790"/>
      <c r="BG1" s="790"/>
      <c r="BH1" s="790"/>
      <c r="BI1" s="790"/>
      <c r="BJ1" s="790"/>
      <c r="BK1" s="790"/>
    </row>
    <row r="2" spans="1:63" s="601" customFormat="1" ht="58.5" customHeight="1">
      <c r="A2" s="781" t="s">
        <v>41</v>
      </c>
      <c r="B2" s="781" t="s">
        <v>18</v>
      </c>
      <c r="C2" s="781" t="s">
        <v>20</v>
      </c>
      <c r="D2" s="781"/>
      <c r="E2" s="781"/>
      <c r="F2" s="781" t="s">
        <v>43</v>
      </c>
      <c r="G2" s="781" t="s">
        <v>44</v>
      </c>
      <c r="H2" s="781" t="s">
        <v>21</v>
      </c>
      <c r="I2" s="792" t="s">
        <v>22</v>
      </c>
      <c r="J2" s="781" t="s">
        <v>48</v>
      </c>
      <c r="K2" s="781" t="s">
        <v>49</v>
      </c>
      <c r="L2" s="781" t="s">
        <v>60</v>
      </c>
      <c r="M2" s="781" t="s">
        <v>61</v>
      </c>
      <c r="N2" s="781" t="s">
        <v>62</v>
      </c>
      <c r="O2" s="781" t="s">
        <v>63</v>
      </c>
      <c r="P2" s="785" t="s">
        <v>55</v>
      </c>
      <c r="Q2" s="785"/>
      <c r="R2" s="781" t="s">
        <v>1765</v>
      </c>
      <c r="S2" s="781"/>
      <c r="T2" s="781"/>
      <c r="U2" s="781"/>
      <c r="V2" s="781"/>
      <c r="W2" s="781"/>
      <c r="X2" s="781"/>
      <c r="Y2" s="781"/>
      <c r="Z2" s="781"/>
      <c r="AA2" s="788" t="s">
        <v>4916</v>
      </c>
      <c r="AB2" s="788"/>
      <c r="AC2" s="785" t="s">
        <v>64</v>
      </c>
      <c r="AD2" s="785"/>
      <c r="AE2" s="781" t="s">
        <v>50</v>
      </c>
      <c r="AF2" s="781" t="s">
        <v>0</v>
      </c>
      <c r="AG2" s="781"/>
      <c r="AH2" s="781"/>
      <c r="AI2" s="781"/>
      <c r="AJ2" s="781"/>
      <c r="AK2" s="787" t="s">
        <v>52</v>
      </c>
      <c r="AL2" s="781"/>
      <c r="AM2" s="781" t="s">
        <v>42</v>
      </c>
      <c r="AN2" s="781"/>
      <c r="AO2" s="781"/>
      <c r="AP2" s="781"/>
      <c r="AQ2" s="781"/>
      <c r="AR2" s="781"/>
      <c r="AS2" s="781"/>
      <c r="AT2" s="784"/>
      <c r="AU2" s="781"/>
      <c r="AV2" s="781"/>
      <c r="AW2" s="781" t="s">
        <v>19</v>
      </c>
      <c r="AX2" s="781" t="s">
        <v>65</v>
      </c>
      <c r="AY2" s="781" t="s">
        <v>66</v>
      </c>
      <c r="AZ2" s="781" t="s">
        <v>67</v>
      </c>
      <c r="BA2" s="782" t="s">
        <v>68</v>
      </c>
      <c r="BB2" s="782"/>
      <c r="BC2" s="782"/>
      <c r="BD2" s="782"/>
      <c r="BE2" s="780"/>
      <c r="BF2" s="782"/>
      <c r="BG2" s="782"/>
      <c r="BH2" s="782"/>
      <c r="BI2" s="782"/>
      <c r="BJ2" s="782"/>
      <c r="BK2" s="781" t="s">
        <v>57</v>
      </c>
    </row>
    <row r="3" spans="1:63" s="602" customFormat="1" ht="58.5" customHeight="1">
      <c r="A3" s="781"/>
      <c r="B3" s="781"/>
      <c r="C3" s="781" t="s">
        <v>69</v>
      </c>
      <c r="D3" s="781" t="s">
        <v>70</v>
      </c>
      <c r="E3" s="781" t="s">
        <v>71</v>
      </c>
      <c r="F3" s="781"/>
      <c r="G3" s="781"/>
      <c r="H3" s="781"/>
      <c r="I3" s="793"/>
      <c r="J3" s="781"/>
      <c r="K3" s="781"/>
      <c r="L3" s="781"/>
      <c r="M3" s="781"/>
      <c r="N3" s="781"/>
      <c r="O3" s="781"/>
      <c r="P3" s="785"/>
      <c r="Q3" s="785"/>
      <c r="R3" s="785" t="s">
        <v>23</v>
      </c>
      <c r="S3" s="781" t="s">
        <v>24</v>
      </c>
      <c r="T3" s="781"/>
      <c r="U3" s="781"/>
      <c r="V3" s="781"/>
      <c r="W3" s="781"/>
      <c r="X3" s="786" t="s">
        <v>25</v>
      </c>
      <c r="Y3" s="785" t="s">
        <v>56</v>
      </c>
      <c r="Z3" s="785"/>
      <c r="AA3" s="788"/>
      <c r="AB3" s="788"/>
      <c r="AC3" s="785"/>
      <c r="AD3" s="785"/>
      <c r="AE3" s="781"/>
      <c r="AF3" s="781" t="s">
        <v>72</v>
      </c>
      <c r="AG3" s="781" t="s">
        <v>73</v>
      </c>
      <c r="AH3" s="781" t="s">
        <v>58</v>
      </c>
      <c r="AI3" s="784" t="s">
        <v>59</v>
      </c>
      <c r="AJ3" s="784" t="s">
        <v>33</v>
      </c>
      <c r="AK3" s="787" t="s">
        <v>35</v>
      </c>
      <c r="AL3" s="781" t="s">
        <v>51</v>
      </c>
      <c r="AM3" s="781" t="s">
        <v>39</v>
      </c>
      <c r="AN3" s="781" t="s">
        <v>40</v>
      </c>
      <c r="AO3" s="781" t="s">
        <v>26</v>
      </c>
      <c r="AP3" s="781"/>
      <c r="AQ3" s="781" t="s">
        <v>46</v>
      </c>
      <c r="AR3" s="781" t="s">
        <v>36</v>
      </c>
      <c r="AS3" s="781"/>
      <c r="AT3" s="784" t="s">
        <v>34</v>
      </c>
      <c r="AU3" s="781" t="s">
        <v>31</v>
      </c>
      <c r="AV3" s="776" t="s">
        <v>32</v>
      </c>
      <c r="AW3" s="781"/>
      <c r="AX3" s="781"/>
      <c r="AY3" s="781"/>
      <c r="AZ3" s="781"/>
      <c r="BA3" s="775" t="s">
        <v>74</v>
      </c>
      <c r="BB3" s="775" t="s">
        <v>1766</v>
      </c>
      <c r="BC3" s="777" t="s">
        <v>75</v>
      </c>
      <c r="BD3" s="779" t="s">
        <v>76</v>
      </c>
      <c r="BE3" s="780" t="s">
        <v>77</v>
      </c>
      <c r="BF3" s="783" t="s">
        <v>78</v>
      </c>
      <c r="BG3" s="774" t="s">
        <v>79</v>
      </c>
      <c r="BH3" s="774"/>
      <c r="BI3" s="774"/>
      <c r="BJ3" s="775" t="s">
        <v>80</v>
      </c>
      <c r="BK3" s="781"/>
    </row>
    <row r="4" spans="1:63" s="602" customFormat="1" ht="57" customHeight="1">
      <c r="A4" s="781"/>
      <c r="B4" s="781"/>
      <c r="C4" s="781"/>
      <c r="D4" s="781"/>
      <c r="E4" s="781"/>
      <c r="F4" s="781"/>
      <c r="G4" s="781"/>
      <c r="H4" s="781"/>
      <c r="I4" s="794"/>
      <c r="J4" s="781"/>
      <c r="K4" s="781"/>
      <c r="L4" s="781"/>
      <c r="M4" s="781"/>
      <c r="N4" s="781"/>
      <c r="O4" s="781"/>
      <c r="P4" s="243" t="s">
        <v>53</v>
      </c>
      <c r="Q4" s="243" t="s">
        <v>54</v>
      </c>
      <c r="R4" s="785"/>
      <c r="S4" s="242" t="s">
        <v>27</v>
      </c>
      <c r="T4" s="242" t="s">
        <v>28</v>
      </c>
      <c r="U4" s="242" t="s">
        <v>29</v>
      </c>
      <c r="V4" s="242" t="s">
        <v>30</v>
      </c>
      <c r="W4" s="242" t="s">
        <v>47</v>
      </c>
      <c r="X4" s="786"/>
      <c r="Y4" s="243" t="s">
        <v>53</v>
      </c>
      <c r="Z4" s="243" t="s">
        <v>54</v>
      </c>
      <c r="AA4" s="359" t="s">
        <v>53</v>
      </c>
      <c r="AB4" s="359" t="s">
        <v>54</v>
      </c>
      <c r="AC4" s="242" t="s">
        <v>53</v>
      </c>
      <c r="AD4" s="242" t="s">
        <v>54</v>
      </c>
      <c r="AE4" s="781"/>
      <c r="AF4" s="781"/>
      <c r="AG4" s="781"/>
      <c r="AH4" s="781"/>
      <c r="AI4" s="784"/>
      <c r="AJ4" s="784"/>
      <c r="AK4" s="787"/>
      <c r="AL4" s="781"/>
      <c r="AM4" s="781"/>
      <c r="AN4" s="781"/>
      <c r="AO4" s="242" t="s">
        <v>45</v>
      </c>
      <c r="AP4" s="242" t="s">
        <v>38</v>
      </c>
      <c r="AQ4" s="781"/>
      <c r="AR4" s="242" t="s">
        <v>37</v>
      </c>
      <c r="AS4" s="242" t="s">
        <v>38</v>
      </c>
      <c r="AT4" s="784"/>
      <c r="AU4" s="781"/>
      <c r="AV4" s="776"/>
      <c r="AW4" s="781"/>
      <c r="AX4" s="781"/>
      <c r="AY4" s="781"/>
      <c r="AZ4" s="781"/>
      <c r="BA4" s="775"/>
      <c r="BB4" s="775"/>
      <c r="BC4" s="778"/>
      <c r="BD4" s="779"/>
      <c r="BE4" s="780"/>
      <c r="BF4" s="783"/>
      <c r="BG4" s="2" t="s">
        <v>7465</v>
      </c>
      <c r="BH4" s="3" t="s">
        <v>81</v>
      </c>
      <c r="BI4" s="3" t="s">
        <v>82</v>
      </c>
      <c r="BJ4" s="775"/>
      <c r="BK4" s="781"/>
    </row>
    <row r="5" spans="1:63" s="603" customFormat="1">
      <c r="A5" s="4">
        <v>1</v>
      </c>
      <c r="B5" s="4">
        <v>2</v>
      </c>
      <c r="C5" s="4">
        <v>3</v>
      </c>
      <c r="D5" s="4">
        <v>4</v>
      </c>
      <c r="E5" s="4">
        <v>5</v>
      </c>
      <c r="F5" s="4">
        <v>6</v>
      </c>
      <c r="G5" s="4">
        <v>7</v>
      </c>
      <c r="H5" s="4">
        <v>8</v>
      </c>
      <c r="I5" s="4">
        <v>9</v>
      </c>
      <c r="J5" s="4">
        <f t="shared" ref="J5:Z5" si="0">I5+1</f>
        <v>10</v>
      </c>
      <c r="K5" s="4">
        <f t="shared" si="0"/>
        <v>11</v>
      </c>
      <c r="L5" s="4">
        <f t="shared" si="0"/>
        <v>12</v>
      </c>
      <c r="M5" s="186">
        <f t="shared" si="0"/>
        <v>13</v>
      </c>
      <c r="N5" s="4">
        <f t="shared" si="0"/>
        <v>14</v>
      </c>
      <c r="O5" s="4">
        <f t="shared" si="0"/>
        <v>15</v>
      </c>
      <c r="P5" s="4">
        <f t="shared" si="0"/>
        <v>16</v>
      </c>
      <c r="Q5" s="4">
        <f t="shared" si="0"/>
        <v>17</v>
      </c>
      <c r="R5" s="4">
        <f t="shared" si="0"/>
        <v>18</v>
      </c>
      <c r="S5" s="4">
        <f t="shared" si="0"/>
        <v>19</v>
      </c>
      <c r="T5" s="4">
        <f t="shared" si="0"/>
        <v>20</v>
      </c>
      <c r="U5" s="4">
        <f t="shared" si="0"/>
        <v>21</v>
      </c>
      <c r="V5" s="4">
        <f t="shared" si="0"/>
        <v>22</v>
      </c>
      <c r="W5" s="4">
        <f t="shared" si="0"/>
        <v>23</v>
      </c>
      <c r="X5" s="5">
        <f t="shared" si="0"/>
        <v>24</v>
      </c>
      <c r="Y5" s="4">
        <f t="shared" si="0"/>
        <v>25</v>
      </c>
      <c r="Z5" s="4">
        <f t="shared" si="0"/>
        <v>26</v>
      </c>
      <c r="AA5" s="5">
        <f t="shared" ref="AA5" si="1">Z5+1</f>
        <v>27</v>
      </c>
      <c r="AB5" s="4">
        <f t="shared" ref="AB5" si="2">AA5+1</f>
        <v>28</v>
      </c>
      <c r="AC5" s="4">
        <f t="shared" ref="AC5" si="3">AB5+1</f>
        <v>29</v>
      </c>
      <c r="AD5" s="5">
        <f t="shared" ref="AD5" si="4">AC5+1</f>
        <v>30</v>
      </c>
      <c r="AE5" s="4">
        <f t="shared" ref="AE5" si="5">AD5+1</f>
        <v>31</v>
      </c>
      <c r="AF5" s="4">
        <f t="shared" ref="AF5" si="6">AE5+1</f>
        <v>32</v>
      </c>
      <c r="AG5" s="5">
        <f t="shared" ref="AG5" si="7">AF5+1</f>
        <v>33</v>
      </c>
      <c r="AH5" s="4">
        <f t="shared" ref="AH5" si="8">AG5+1</f>
        <v>34</v>
      </c>
      <c r="AI5" s="4">
        <f t="shared" ref="AI5" si="9">AH5+1</f>
        <v>35</v>
      </c>
      <c r="AJ5" s="5">
        <f t="shared" ref="AJ5" si="10">AI5+1</f>
        <v>36</v>
      </c>
      <c r="AK5" s="4">
        <f t="shared" ref="AK5" si="11">AJ5+1</f>
        <v>37</v>
      </c>
      <c r="AL5" s="4">
        <f t="shared" ref="AL5" si="12">AK5+1</f>
        <v>38</v>
      </c>
      <c r="AM5" s="5">
        <f t="shared" ref="AM5" si="13">AL5+1</f>
        <v>39</v>
      </c>
      <c r="AN5" s="4">
        <f t="shared" ref="AN5" si="14">AM5+1</f>
        <v>40</v>
      </c>
      <c r="AO5" s="4">
        <f t="shared" ref="AO5" si="15">AN5+1</f>
        <v>41</v>
      </c>
      <c r="AP5" s="5">
        <f t="shared" ref="AP5" si="16">AO5+1</f>
        <v>42</v>
      </c>
      <c r="AQ5" s="4">
        <f t="shared" ref="AQ5" si="17">AP5+1</f>
        <v>43</v>
      </c>
      <c r="AR5" s="4">
        <f t="shared" ref="AR5" si="18">AQ5+1</f>
        <v>44</v>
      </c>
      <c r="AS5" s="5">
        <f t="shared" ref="AS5" si="19">AR5+1</f>
        <v>45</v>
      </c>
      <c r="AT5" s="4">
        <f t="shared" ref="AT5" si="20">AS5+1</f>
        <v>46</v>
      </c>
      <c r="AU5" s="4">
        <f t="shared" ref="AU5" si="21">AT5+1</f>
        <v>47</v>
      </c>
      <c r="AV5" s="5">
        <f t="shared" ref="AV5" si="22">AU5+1</f>
        <v>48</v>
      </c>
      <c r="AW5" s="4">
        <f t="shared" ref="AW5" si="23">AV5+1</f>
        <v>49</v>
      </c>
      <c r="AX5" s="4">
        <f t="shared" ref="AX5" si="24">AW5+1</f>
        <v>50</v>
      </c>
      <c r="AY5" s="5">
        <f t="shared" ref="AY5" si="25">AX5+1</f>
        <v>51</v>
      </c>
      <c r="AZ5" s="4">
        <f t="shared" ref="AZ5" si="26">AY5+1</f>
        <v>52</v>
      </c>
      <c r="BA5" s="4">
        <f t="shared" ref="BA5" si="27">AZ5+1</f>
        <v>53</v>
      </c>
      <c r="BB5" s="5">
        <f t="shared" ref="BB5" si="28">BA5+1</f>
        <v>54</v>
      </c>
      <c r="BC5" s="4">
        <f t="shared" ref="BC5" si="29">BB5+1</f>
        <v>55</v>
      </c>
      <c r="BD5" s="4">
        <f t="shared" ref="BD5" si="30">BC5+1</f>
        <v>56</v>
      </c>
      <c r="BE5" s="5">
        <f t="shared" ref="BE5" si="31">BD5+1</f>
        <v>57</v>
      </c>
      <c r="BF5" s="4">
        <f t="shared" ref="BF5" si="32">BE5+1</f>
        <v>58</v>
      </c>
      <c r="BG5" s="4">
        <f t="shared" ref="BG5" si="33">BF5+1</f>
        <v>59</v>
      </c>
      <c r="BH5" s="5">
        <f t="shared" ref="BH5" si="34">BG5+1</f>
        <v>60</v>
      </c>
      <c r="BI5" s="4">
        <f t="shared" ref="BI5" si="35">BH5+1</f>
        <v>61</v>
      </c>
      <c r="BJ5" s="4">
        <f t="shared" ref="BJ5" si="36">BI5+1</f>
        <v>62</v>
      </c>
      <c r="BK5" s="5">
        <f t="shared" ref="BK5" si="37">BJ5+1</f>
        <v>63</v>
      </c>
    </row>
    <row r="6" spans="1:63" s="603" customFormat="1" ht="37.5">
      <c r="A6" s="7" t="s">
        <v>132</v>
      </c>
      <c r="B6" s="7" t="s">
        <v>132</v>
      </c>
      <c r="C6" s="7" t="s">
        <v>132</v>
      </c>
      <c r="D6" s="7" t="s">
        <v>132</v>
      </c>
      <c r="E6" s="7" t="s">
        <v>132</v>
      </c>
      <c r="F6" s="7" t="s">
        <v>132</v>
      </c>
      <c r="G6" s="7" t="s">
        <v>132</v>
      </c>
      <c r="H6" s="7" t="s">
        <v>132</v>
      </c>
      <c r="I6" s="8" t="s">
        <v>2995</v>
      </c>
      <c r="J6" s="7" t="s">
        <v>132</v>
      </c>
      <c r="K6" s="7" t="s">
        <v>132</v>
      </c>
      <c r="L6" s="7" t="s">
        <v>132</v>
      </c>
      <c r="M6" s="7" t="s">
        <v>132</v>
      </c>
      <c r="N6" s="7" t="s">
        <v>132</v>
      </c>
      <c r="O6" s="7" t="s">
        <v>132</v>
      </c>
      <c r="P6" s="7" t="s">
        <v>132</v>
      </c>
      <c r="Q6" s="7" t="s">
        <v>132</v>
      </c>
      <c r="R6" s="7" t="s">
        <v>132</v>
      </c>
      <c r="S6" s="7" t="s">
        <v>132</v>
      </c>
      <c r="T6" s="7" t="s">
        <v>132</v>
      </c>
      <c r="U6" s="7" t="s">
        <v>132</v>
      </c>
      <c r="V6" s="7" t="s">
        <v>132</v>
      </c>
      <c r="W6" s="7" t="s">
        <v>132</v>
      </c>
      <c r="X6" s="7" t="s">
        <v>132</v>
      </c>
      <c r="Y6" s="7" t="s">
        <v>132</v>
      </c>
      <c r="Z6" s="7" t="s">
        <v>132</v>
      </c>
      <c r="AA6" s="7" t="s">
        <v>132</v>
      </c>
      <c r="AB6" s="7" t="s">
        <v>132</v>
      </c>
      <c r="AC6" s="7" t="s">
        <v>132</v>
      </c>
      <c r="AD6" s="7" t="s">
        <v>132</v>
      </c>
      <c r="AE6" s="7" t="s">
        <v>132</v>
      </c>
      <c r="AF6" s="7" t="s">
        <v>132</v>
      </c>
      <c r="AG6" s="7" t="s">
        <v>132</v>
      </c>
      <c r="AH6" s="7" t="s">
        <v>132</v>
      </c>
      <c r="AI6" s="7" t="s">
        <v>132</v>
      </c>
      <c r="AJ6" s="7" t="s">
        <v>132</v>
      </c>
      <c r="AK6" s="7" t="s">
        <v>132</v>
      </c>
      <c r="AL6" s="7" t="s">
        <v>132</v>
      </c>
      <c r="AM6" s="7" t="s">
        <v>132</v>
      </c>
      <c r="AN6" s="7" t="s">
        <v>132</v>
      </c>
      <c r="AO6" s="7" t="s">
        <v>132</v>
      </c>
      <c r="AP6" s="7" t="s">
        <v>132</v>
      </c>
      <c r="AQ6" s="7" t="s">
        <v>132</v>
      </c>
      <c r="AR6" s="7" t="s">
        <v>132</v>
      </c>
      <c r="AS6" s="7" t="s">
        <v>132</v>
      </c>
      <c r="AT6" s="7" t="s">
        <v>132</v>
      </c>
      <c r="AU6" s="7" t="s">
        <v>132</v>
      </c>
      <c r="AV6" s="7" t="s">
        <v>132</v>
      </c>
      <c r="AW6" s="7" t="s">
        <v>132</v>
      </c>
      <c r="AX6" s="7" t="s">
        <v>132</v>
      </c>
      <c r="AY6" s="7" t="s">
        <v>132</v>
      </c>
      <c r="AZ6" s="7" t="s">
        <v>132</v>
      </c>
      <c r="BA6" s="7" t="s">
        <v>132</v>
      </c>
      <c r="BB6" s="7" t="s">
        <v>132</v>
      </c>
      <c r="BC6" s="7" t="s">
        <v>132</v>
      </c>
      <c r="BD6" s="7" t="s">
        <v>132</v>
      </c>
      <c r="BE6" s="7" t="s">
        <v>132</v>
      </c>
      <c r="BF6" s="7" t="s">
        <v>132</v>
      </c>
      <c r="BG6" s="7" t="s">
        <v>132</v>
      </c>
      <c r="BH6" s="7" t="s">
        <v>132</v>
      </c>
      <c r="BI6" s="7" t="s">
        <v>132</v>
      </c>
      <c r="BJ6" s="7" t="s">
        <v>132</v>
      </c>
      <c r="BK6" s="7" t="s">
        <v>132</v>
      </c>
    </row>
    <row r="7" spans="1:63" s="603" customFormat="1">
      <c r="A7" s="7" t="s">
        <v>132</v>
      </c>
      <c r="B7" s="7" t="s">
        <v>132</v>
      </c>
      <c r="C7" s="7" t="s">
        <v>132</v>
      </c>
      <c r="D7" s="7" t="s">
        <v>132</v>
      </c>
      <c r="E7" s="7" t="s">
        <v>132</v>
      </c>
      <c r="F7" s="7" t="s">
        <v>132</v>
      </c>
      <c r="G7" s="7" t="s">
        <v>132</v>
      </c>
      <c r="H7" s="7" t="s">
        <v>132</v>
      </c>
      <c r="I7" s="7" t="s">
        <v>132</v>
      </c>
      <c r="J7" s="7" t="s">
        <v>132</v>
      </c>
      <c r="K7" s="7" t="s">
        <v>132</v>
      </c>
      <c r="L7" s="7" t="s">
        <v>132</v>
      </c>
      <c r="M7" s="7" t="s">
        <v>132</v>
      </c>
      <c r="N7" s="7" t="s">
        <v>132</v>
      </c>
      <c r="O7" s="7" t="s">
        <v>132</v>
      </c>
      <c r="P7" s="7" t="s">
        <v>132</v>
      </c>
      <c r="Q7" s="7" t="s">
        <v>132</v>
      </c>
      <c r="R7" s="7" t="s">
        <v>132</v>
      </c>
      <c r="S7" s="7" t="s">
        <v>132</v>
      </c>
      <c r="T7" s="7" t="s">
        <v>132</v>
      </c>
      <c r="U7" s="7" t="s">
        <v>132</v>
      </c>
      <c r="V7" s="7" t="s">
        <v>132</v>
      </c>
      <c r="W7" s="7" t="s">
        <v>132</v>
      </c>
      <c r="X7" s="7" t="s">
        <v>132</v>
      </c>
      <c r="Y7" s="7" t="s">
        <v>132</v>
      </c>
      <c r="Z7" s="7" t="s">
        <v>132</v>
      </c>
      <c r="AA7" s="7" t="s">
        <v>132</v>
      </c>
      <c r="AB7" s="7" t="s">
        <v>132</v>
      </c>
      <c r="AC7" s="7" t="s">
        <v>132</v>
      </c>
      <c r="AD7" s="7" t="s">
        <v>132</v>
      </c>
      <c r="AE7" s="7" t="s">
        <v>132</v>
      </c>
      <c r="AF7" s="7" t="s">
        <v>132</v>
      </c>
      <c r="AG7" s="7" t="s">
        <v>132</v>
      </c>
      <c r="AH7" s="7" t="s">
        <v>132</v>
      </c>
      <c r="AI7" s="7" t="s">
        <v>132</v>
      </c>
      <c r="AJ7" s="7" t="s">
        <v>132</v>
      </c>
      <c r="AK7" s="7" t="s">
        <v>132</v>
      </c>
      <c r="AL7" s="7" t="s">
        <v>132</v>
      </c>
      <c r="AM7" s="7" t="s">
        <v>132</v>
      </c>
      <c r="AN7" s="7" t="s">
        <v>132</v>
      </c>
      <c r="AO7" s="7" t="s">
        <v>132</v>
      </c>
      <c r="AP7" s="7" t="s">
        <v>132</v>
      </c>
      <c r="AQ7" s="7" t="s">
        <v>132</v>
      </c>
      <c r="AR7" s="7" t="s">
        <v>132</v>
      </c>
      <c r="AS7" s="7" t="s">
        <v>132</v>
      </c>
      <c r="AT7" s="7" t="s">
        <v>132</v>
      </c>
      <c r="AU7" s="7" t="s">
        <v>132</v>
      </c>
      <c r="AV7" s="7" t="s">
        <v>132</v>
      </c>
      <c r="AW7" s="7" t="s">
        <v>132</v>
      </c>
      <c r="AX7" s="7" t="s">
        <v>132</v>
      </c>
      <c r="AY7" s="7" t="s">
        <v>132</v>
      </c>
      <c r="AZ7" s="7" t="s">
        <v>132</v>
      </c>
      <c r="BA7" s="7" t="s">
        <v>132</v>
      </c>
      <c r="BB7" s="7" t="s">
        <v>132</v>
      </c>
      <c r="BC7" s="7" t="s">
        <v>132</v>
      </c>
      <c r="BD7" s="7" t="s">
        <v>132</v>
      </c>
      <c r="BE7" s="7" t="s">
        <v>132</v>
      </c>
      <c r="BF7" s="7" t="s">
        <v>132</v>
      </c>
      <c r="BG7" s="7" t="s">
        <v>132</v>
      </c>
      <c r="BH7" s="7" t="s">
        <v>132</v>
      </c>
      <c r="BI7" s="7" t="s">
        <v>132</v>
      </c>
      <c r="BJ7" s="7" t="s">
        <v>132</v>
      </c>
      <c r="BK7" s="7" t="s">
        <v>132</v>
      </c>
    </row>
    <row r="8" spans="1:63" s="613" customFormat="1" ht="102.75" customHeight="1">
      <c r="A8" s="555">
        <v>1</v>
      </c>
      <c r="B8" s="555" t="s">
        <v>2242</v>
      </c>
      <c r="C8" s="555" t="s">
        <v>83</v>
      </c>
      <c r="D8" s="555" t="s">
        <v>245</v>
      </c>
      <c r="E8" s="555" t="s">
        <v>5853</v>
      </c>
      <c r="F8" s="555" t="s">
        <v>1768</v>
      </c>
      <c r="G8" s="555" t="s">
        <v>1769</v>
      </c>
      <c r="H8" s="555">
        <v>380483</v>
      </c>
      <c r="I8" s="486" t="s">
        <v>5316</v>
      </c>
      <c r="J8" s="563" t="s">
        <v>5317</v>
      </c>
      <c r="K8" s="563" t="s">
        <v>5317</v>
      </c>
      <c r="L8" s="563" t="s">
        <v>1772</v>
      </c>
      <c r="M8" s="563" t="s">
        <v>1755</v>
      </c>
      <c r="N8" s="563" t="s">
        <v>1773</v>
      </c>
      <c r="O8" s="563" t="s">
        <v>2234</v>
      </c>
      <c r="P8" s="493">
        <v>794800.93</v>
      </c>
      <c r="Q8" s="492">
        <f t="shared" ref="Q8:Q71" si="38">P8*1.18</f>
        <v>937865.09739999997</v>
      </c>
      <c r="R8" s="493">
        <v>540258.76</v>
      </c>
      <c r="S8" s="493" t="s">
        <v>5970</v>
      </c>
      <c r="T8" s="577">
        <v>1.087</v>
      </c>
      <c r="U8" s="577">
        <v>1.0680000000000001</v>
      </c>
      <c r="V8" s="577">
        <v>1.0589999999999999</v>
      </c>
      <c r="W8" s="577">
        <v>1.0580000000000001</v>
      </c>
      <c r="X8" s="597">
        <v>0.9</v>
      </c>
      <c r="Y8" s="493">
        <v>694889.33</v>
      </c>
      <c r="Z8" s="492">
        <f t="shared" ref="Z8:Z71" si="39">Y8*1.18</f>
        <v>819969.40939999989</v>
      </c>
      <c r="AA8" s="493">
        <v>614715.84400000004</v>
      </c>
      <c r="AB8" s="493">
        <f t="shared" ref="AB8:AB71" si="40">AA8*1.18</f>
        <v>725364.69591999997</v>
      </c>
      <c r="AC8" s="492">
        <f t="shared" ref="AC8:AC71" si="41">IF(Y8&lt;AA8,Y8,AA8)</f>
        <v>614715.84400000004</v>
      </c>
      <c r="AD8" s="493">
        <f t="shared" ref="AD8:AD71" si="42">AC8*1.18</f>
        <v>725364.69591999997</v>
      </c>
      <c r="AE8" s="562" t="s">
        <v>218</v>
      </c>
      <c r="AF8" s="562" t="s">
        <v>83</v>
      </c>
      <c r="AG8" s="562" t="s">
        <v>211</v>
      </c>
      <c r="AH8" s="562" t="s">
        <v>545</v>
      </c>
      <c r="AI8" s="561">
        <v>41866</v>
      </c>
      <c r="AJ8" s="561">
        <f>AI8+60</f>
        <v>41926</v>
      </c>
      <c r="AK8" s="562" t="s">
        <v>96</v>
      </c>
      <c r="AL8" s="562" t="s">
        <v>96</v>
      </c>
      <c r="AM8" s="486" t="s">
        <v>1846</v>
      </c>
      <c r="AN8" s="486" t="s">
        <v>1757</v>
      </c>
      <c r="AO8" s="562">
        <v>796</v>
      </c>
      <c r="AP8" s="562" t="s">
        <v>368</v>
      </c>
      <c r="AQ8" s="562">
        <v>1</v>
      </c>
      <c r="AR8" s="562">
        <v>45</v>
      </c>
      <c r="AS8" s="486" t="s">
        <v>547</v>
      </c>
      <c r="AT8" s="561">
        <f>AJ8+20</f>
        <v>41946</v>
      </c>
      <c r="AU8" s="561">
        <f>AT8</f>
        <v>41946</v>
      </c>
      <c r="AV8" s="561">
        <v>42735</v>
      </c>
      <c r="AW8" s="562" t="s">
        <v>1789</v>
      </c>
      <c r="AX8" s="486"/>
      <c r="AY8" s="562" t="s">
        <v>186</v>
      </c>
      <c r="AZ8" s="562"/>
      <c r="BA8" s="562">
        <v>2014</v>
      </c>
      <c r="BB8" s="562" t="s">
        <v>2243</v>
      </c>
      <c r="BC8" s="486" t="s">
        <v>2244</v>
      </c>
      <c r="BD8" s="486" t="s">
        <v>1818</v>
      </c>
      <c r="BE8" s="575">
        <v>42705</v>
      </c>
      <c r="BF8" s="580">
        <f>1924.9318052*1000</f>
        <v>1924931.8052000001</v>
      </c>
      <c r="BG8" s="493">
        <v>1491822.1447399999</v>
      </c>
      <c r="BH8" s="493">
        <v>0</v>
      </c>
      <c r="BI8" s="493">
        <v>10.6</v>
      </c>
      <c r="BJ8" s="562" t="s">
        <v>186</v>
      </c>
      <c r="BK8" s="555"/>
    </row>
    <row r="9" spans="1:63" ht="112.5">
      <c r="A9" s="401">
        <v>1</v>
      </c>
      <c r="B9" s="494" t="s">
        <v>1823</v>
      </c>
      <c r="C9" s="401" t="s">
        <v>83</v>
      </c>
      <c r="D9" s="401" t="s">
        <v>242</v>
      </c>
      <c r="E9" s="494" t="s">
        <v>5853</v>
      </c>
      <c r="F9" s="401" t="s">
        <v>1768</v>
      </c>
      <c r="G9" s="401" t="s">
        <v>1769</v>
      </c>
      <c r="H9" s="499">
        <v>854159</v>
      </c>
      <c r="I9" s="486" t="s">
        <v>1824</v>
      </c>
      <c r="J9" s="496" t="s">
        <v>5317</v>
      </c>
      <c r="K9" s="496" t="s">
        <v>5317</v>
      </c>
      <c r="L9" s="496" t="s">
        <v>1825</v>
      </c>
      <c r="M9" s="500" t="s">
        <v>1755</v>
      </c>
      <c r="N9" s="496" t="s">
        <v>1773</v>
      </c>
      <c r="O9" s="496" t="s">
        <v>2234</v>
      </c>
      <c r="P9" s="489">
        <v>1338.6581099999999</v>
      </c>
      <c r="Q9" s="489">
        <f t="shared" si="38"/>
        <v>1579.6165697999998</v>
      </c>
      <c r="R9" s="489">
        <v>1068.7336087651222</v>
      </c>
      <c r="S9" s="401" t="s">
        <v>1774</v>
      </c>
      <c r="T9" s="501">
        <v>1.087</v>
      </c>
      <c r="U9" s="501">
        <v>1.077</v>
      </c>
      <c r="V9" s="501">
        <v>1.073</v>
      </c>
      <c r="W9" s="501">
        <v>1.071</v>
      </c>
      <c r="X9" s="596">
        <v>0.9</v>
      </c>
      <c r="Y9" s="502">
        <v>1294.0361729999997</v>
      </c>
      <c r="Z9" s="489">
        <f t="shared" si="39"/>
        <v>1526.9626841399995</v>
      </c>
      <c r="AA9" s="489">
        <v>1276.5239999999999</v>
      </c>
      <c r="AB9" s="488">
        <f t="shared" si="40"/>
        <v>1506.2983199999999</v>
      </c>
      <c r="AC9" s="492">
        <f t="shared" si="41"/>
        <v>1276.5239999999999</v>
      </c>
      <c r="AD9" s="493">
        <f t="shared" si="42"/>
        <v>1506.2983199999999</v>
      </c>
      <c r="AE9" s="494" t="s">
        <v>1775</v>
      </c>
      <c r="AF9" s="494" t="s">
        <v>83</v>
      </c>
      <c r="AG9" s="494" t="s">
        <v>211</v>
      </c>
      <c r="AH9" s="494" t="s">
        <v>545</v>
      </c>
      <c r="AI9" s="495">
        <v>41730</v>
      </c>
      <c r="AJ9" s="495">
        <v>41765</v>
      </c>
      <c r="AK9" s="494" t="s">
        <v>96</v>
      </c>
      <c r="AL9" s="494" t="s">
        <v>96</v>
      </c>
      <c r="AM9" s="496" t="s">
        <v>1846</v>
      </c>
      <c r="AN9" s="496" t="s">
        <v>1757</v>
      </c>
      <c r="AO9" s="494">
        <v>796</v>
      </c>
      <c r="AP9" s="494" t="s">
        <v>368</v>
      </c>
      <c r="AQ9" s="494">
        <v>1</v>
      </c>
      <c r="AR9" s="494">
        <v>45</v>
      </c>
      <c r="AS9" s="496" t="s">
        <v>547</v>
      </c>
      <c r="AT9" s="495">
        <v>41785</v>
      </c>
      <c r="AU9" s="495">
        <v>41785</v>
      </c>
      <c r="AV9" s="495">
        <v>42004</v>
      </c>
      <c r="AW9" s="494">
        <v>2014</v>
      </c>
      <c r="AX9" s="496"/>
      <c r="AY9" s="494" t="s">
        <v>186</v>
      </c>
      <c r="AZ9" s="494"/>
      <c r="BA9" s="494">
        <v>2014</v>
      </c>
      <c r="BB9" s="494" t="s">
        <v>1826</v>
      </c>
      <c r="BC9" s="496" t="s">
        <v>1827</v>
      </c>
      <c r="BD9" s="496" t="s">
        <v>1818</v>
      </c>
      <c r="BE9" s="497">
        <v>42004</v>
      </c>
      <c r="BF9" s="498">
        <v>1755.1295219999997</v>
      </c>
      <c r="BG9" s="488">
        <v>1755.1295219999997</v>
      </c>
      <c r="BH9" s="488">
        <v>0</v>
      </c>
      <c r="BI9" s="488">
        <v>0.6</v>
      </c>
      <c r="BJ9" s="494" t="s">
        <v>1465</v>
      </c>
      <c r="BK9" s="401"/>
    </row>
    <row r="10" spans="1:63" ht="112.5">
      <c r="A10" s="401">
        <v>1</v>
      </c>
      <c r="B10" s="494" t="s">
        <v>1912</v>
      </c>
      <c r="C10" s="401" t="s">
        <v>83</v>
      </c>
      <c r="D10" s="401" t="s">
        <v>242</v>
      </c>
      <c r="E10" s="494" t="s">
        <v>5853</v>
      </c>
      <c r="F10" s="401" t="s">
        <v>1768</v>
      </c>
      <c r="G10" s="401" t="s">
        <v>1769</v>
      </c>
      <c r="H10" s="499">
        <v>854190</v>
      </c>
      <c r="I10" s="486" t="s">
        <v>1913</v>
      </c>
      <c r="J10" s="496" t="s">
        <v>2237</v>
      </c>
      <c r="K10" s="496" t="s">
        <v>2237</v>
      </c>
      <c r="L10" s="496" t="s">
        <v>1772</v>
      </c>
      <c r="M10" s="500" t="s">
        <v>1755</v>
      </c>
      <c r="N10" s="496" t="s">
        <v>1773</v>
      </c>
      <c r="O10" s="496" t="s">
        <v>2234</v>
      </c>
      <c r="P10" s="489">
        <v>57761.694918000016</v>
      </c>
      <c r="Q10" s="489">
        <f t="shared" si="38"/>
        <v>68158.800003240016</v>
      </c>
      <c r="R10" s="489">
        <v>46114.735492921485</v>
      </c>
      <c r="S10" s="401" t="s">
        <v>1774</v>
      </c>
      <c r="T10" s="501">
        <v>1.087</v>
      </c>
      <c r="U10" s="501">
        <v>1.077</v>
      </c>
      <c r="V10" s="501">
        <v>1.073</v>
      </c>
      <c r="W10" s="501">
        <v>1.071</v>
      </c>
      <c r="X10" s="596">
        <v>0.9</v>
      </c>
      <c r="Y10" s="502">
        <v>55836.305087400011</v>
      </c>
      <c r="Z10" s="489">
        <f t="shared" si="39"/>
        <v>65886.840003132005</v>
      </c>
      <c r="AA10" s="489">
        <v>50909.55</v>
      </c>
      <c r="AB10" s="488">
        <f t="shared" si="40"/>
        <v>60073.269</v>
      </c>
      <c r="AC10" s="492">
        <f t="shared" si="41"/>
        <v>50909.55</v>
      </c>
      <c r="AD10" s="493">
        <f t="shared" si="42"/>
        <v>60073.269</v>
      </c>
      <c r="AE10" s="494" t="s">
        <v>1775</v>
      </c>
      <c r="AF10" s="494" t="s">
        <v>83</v>
      </c>
      <c r="AG10" s="494" t="s">
        <v>211</v>
      </c>
      <c r="AH10" s="494" t="s">
        <v>545</v>
      </c>
      <c r="AI10" s="495">
        <v>41730</v>
      </c>
      <c r="AJ10" s="495">
        <v>41765</v>
      </c>
      <c r="AK10" s="494" t="s">
        <v>96</v>
      </c>
      <c r="AL10" s="494" t="s">
        <v>96</v>
      </c>
      <c r="AM10" s="496" t="s">
        <v>2238</v>
      </c>
      <c r="AN10" s="496" t="s">
        <v>1757</v>
      </c>
      <c r="AO10" s="494">
        <v>796</v>
      </c>
      <c r="AP10" s="494" t="s">
        <v>368</v>
      </c>
      <c r="AQ10" s="494">
        <v>1</v>
      </c>
      <c r="AR10" s="494">
        <v>45</v>
      </c>
      <c r="AS10" s="496" t="s">
        <v>547</v>
      </c>
      <c r="AT10" s="495">
        <v>41785</v>
      </c>
      <c r="AU10" s="495">
        <v>41785</v>
      </c>
      <c r="AV10" s="495">
        <v>42004</v>
      </c>
      <c r="AW10" s="494">
        <v>2014</v>
      </c>
      <c r="AX10" s="496"/>
      <c r="AY10" s="494" t="s">
        <v>186</v>
      </c>
      <c r="AZ10" s="494"/>
      <c r="BA10" s="494">
        <v>2014</v>
      </c>
      <c r="BB10" s="494" t="s">
        <v>1914</v>
      </c>
      <c r="BC10" s="496" t="s">
        <v>1915</v>
      </c>
      <c r="BD10" s="496" t="s">
        <v>1818</v>
      </c>
      <c r="BE10" s="497">
        <v>42004</v>
      </c>
      <c r="BF10" s="498">
        <v>75732.000003600013</v>
      </c>
      <c r="BG10" s="488">
        <v>75732.000003600013</v>
      </c>
      <c r="BH10" s="488">
        <v>0</v>
      </c>
      <c r="BI10" s="488">
        <v>2.2050000000000001</v>
      </c>
      <c r="BJ10" s="494" t="s">
        <v>400</v>
      </c>
      <c r="BK10" s="401"/>
    </row>
    <row r="11" spans="1:63" ht="112.5">
      <c r="A11" s="401">
        <v>1</v>
      </c>
      <c r="B11" s="494" t="s">
        <v>3838</v>
      </c>
      <c r="C11" s="401" t="s">
        <v>83</v>
      </c>
      <c r="D11" s="401" t="s">
        <v>242</v>
      </c>
      <c r="E11" s="494" t="s">
        <v>5853</v>
      </c>
      <c r="F11" s="401" t="s">
        <v>1768</v>
      </c>
      <c r="G11" s="401" t="s">
        <v>1769</v>
      </c>
      <c r="H11" s="499">
        <v>854212</v>
      </c>
      <c r="I11" s="486" t="s">
        <v>3839</v>
      </c>
      <c r="J11" s="496" t="s">
        <v>5317</v>
      </c>
      <c r="K11" s="496" t="s">
        <v>5317</v>
      </c>
      <c r="L11" s="496" t="s">
        <v>1825</v>
      </c>
      <c r="M11" s="500" t="s">
        <v>1755</v>
      </c>
      <c r="N11" s="496" t="s">
        <v>1773</v>
      </c>
      <c r="O11" s="496" t="s">
        <v>2234</v>
      </c>
      <c r="P11" s="489">
        <v>624.70711800000004</v>
      </c>
      <c r="Q11" s="489">
        <f t="shared" si="38"/>
        <v>737.15439923999998</v>
      </c>
      <c r="R11" s="489">
        <v>498.7423507570573</v>
      </c>
      <c r="S11" s="401" t="s">
        <v>1774</v>
      </c>
      <c r="T11" s="501">
        <v>1.087</v>
      </c>
      <c r="U11" s="501">
        <v>1.077</v>
      </c>
      <c r="V11" s="501">
        <v>1.073</v>
      </c>
      <c r="W11" s="501">
        <v>1.071</v>
      </c>
      <c r="X11" s="596">
        <v>0.9</v>
      </c>
      <c r="Y11" s="502">
        <v>603.88354740000011</v>
      </c>
      <c r="Z11" s="489">
        <f t="shared" si="39"/>
        <v>712.58258593200014</v>
      </c>
      <c r="AA11" s="489">
        <v>595.71699999999998</v>
      </c>
      <c r="AB11" s="488">
        <f t="shared" si="40"/>
        <v>702.94605999999999</v>
      </c>
      <c r="AC11" s="492">
        <f t="shared" si="41"/>
        <v>595.71699999999998</v>
      </c>
      <c r="AD11" s="493">
        <f t="shared" si="42"/>
        <v>702.94605999999999</v>
      </c>
      <c r="AE11" s="494" t="s">
        <v>1775</v>
      </c>
      <c r="AF11" s="494" t="s">
        <v>83</v>
      </c>
      <c r="AG11" s="494" t="s">
        <v>211</v>
      </c>
      <c r="AH11" s="494" t="s">
        <v>545</v>
      </c>
      <c r="AI11" s="495">
        <v>41730</v>
      </c>
      <c r="AJ11" s="495">
        <v>41765</v>
      </c>
      <c r="AK11" s="494" t="s">
        <v>96</v>
      </c>
      <c r="AL11" s="494" t="s">
        <v>96</v>
      </c>
      <c r="AM11" s="496" t="s">
        <v>1846</v>
      </c>
      <c r="AN11" s="496" t="s">
        <v>1757</v>
      </c>
      <c r="AO11" s="494">
        <v>796</v>
      </c>
      <c r="AP11" s="494" t="s">
        <v>368</v>
      </c>
      <c r="AQ11" s="494">
        <v>1</v>
      </c>
      <c r="AR11" s="494">
        <v>45</v>
      </c>
      <c r="AS11" s="496" t="s">
        <v>547</v>
      </c>
      <c r="AT11" s="495">
        <v>41785</v>
      </c>
      <c r="AU11" s="495">
        <v>41785</v>
      </c>
      <c r="AV11" s="495">
        <v>42004</v>
      </c>
      <c r="AW11" s="494">
        <v>2014</v>
      </c>
      <c r="AX11" s="496"/>
      <c r="AY11" s="494" t="s">
        <v>186</v>
      </c>
      <c r="AZ11" s="494"/>
      <c r="BA11" s="494">
        <v>2014</v>
      </c>
      <c r="BB11" s="494" t="s">
        <v>3840</v>
      </c>
      <c r="BC11" s="496" t="s">
        <v>3841</v>
      </c>
      <c r="BD11" s="496" t="s">
        <v>1818</v>
      </c>
      <c r="BE11" s="497">
        <v>42004</v>
      </c>
      <c r="BF11" s="498">
        <v>819.06044359999999</v>
      </c>
      <c r="BG11" s="488">
        <v>819.06044359999999</v>
      </c>
      <c r="BH11" s="488">
        <v>0</v>
      </c>
      <c r="BI11" s="488">
        <v>0.28000000000000003</v>
      </c>
      <c r="BJ11" s="494" t="s">
        <v>1465</v>
      </c>
      <c r="BK11" s="401"/>
    </row>
    <row r="12" spans="1:63" ht="112.5">
      <c r="A12" s="401">
        <v>1</v>
      </c>
      <c r="B12" s="494" t="s">
        <v>1978</v>
      </c>
      <c r="C12" s="401" t="s">
        <v>83</v>
      </c>
      <c r="D12" s="401" t="s">
        <v>242</v>
      </c>
      <c r="E12" s="494" t="s">
        <v>5853</v>
      </c>
      <c r="F12" s="401" t="s">
        <v>1768</v>
      </c>
      <c r="G12" s="401" t="s">
        <v>1769</v>
      </c>
      <c r="H12" s="499">
        <v>854217</v>
      </c>
      <c r="I12" s="486" t="s">
        <v>1979</v>
      </c>
      <c r="J12" s="496" t="s">
        <v>5317</v>
      </c>
      <c r="K12" s="496" t="s">
        <v>5317</v>
      </c>
      <c r="L12" s="496" t="s">
        <v>1980</v>
      </c>
      <c r="M12" s="500" t="s">
        <v>1755</v>
      </c>
      <c r="N12" s="496" t="s">
        <v>1773</v>
      </c>
      <c r="O12" s="496" t="s">
        <v>2234</v>
      </c>
      <c r="P12" s="489">
        <v>892.43876699999998</v>
      </c>
      <c r="Q12" s="489">
        <f t="shared" si="38"/>
        <v>1053.0777450599999</v>
      </c>
      <c r="R12" s="489">
        <v>712.48909406585244</v>
      </c>
      <c r="S12" s="401" t="s">
        <v>1774</v>
      </c>
      <c r="T12" s="501">
        <v>1.087</v>
      </c>
      <c r="U12" s="501">
        <v>1.077</v>
      </c>
      <c r="V12" s="501">
        <v>1.073</v>
      </c>
      <c r="W12" s="501">
        <v>1.071</v>
      </c>
      <c r="X12" s="596">
        <v>0.9</v>
      </c>
      <c r="Y12" s="502">
        <v>862.69080810000003</v>
      </c>
      <c r="Z12" s="489">
        <f t="shared" si="39"/>
        <v>1017.975153558</v>
      </c>
      <c r="AA12" s="489">
        <v>875.5</v>
      </c>
      <c r="AB12" s="488">
        <f t="shared" si="40"/>
        <v>1033.0899999999999</v>
      </c>
      <c r="AC12" s="492">
        <f t="shared" si="41"/>
        <v>862.69080810000003</v>
      </c>
      <c r="AD12" s="493">
        <f t="shared" si="42"/>
        <v>1017.975153558</v>
      </c>
      <c r="AE12" s="494" t="s">
        <v>1775</v>
      </c>
      <c r="AF12" s="494" t="s">
        <v>83</v>
      </c>
      <c r="AG12" s="494" t="s">
        <v>211</v>
      </c>
      <c r="AH12" s="494" t="s">
        <v>545</v>
      </c>
      <c r="AI12" s="495">
        <v>41730</v>
      </c>
      <c r="AJ12" s="495">
        <v>41765</v>
      </c>
      <c r="AK12" s="494" t="s">
        <v>96</v>
      </c>
      <c r="AL12" s="494" t="s">
        <v>96</v>
      </c>
      <c r="AM12" s="496" t="s">
        <v>1846</v>
      </c>
      <c r="AN12" s="496" t="s">
        <v>1757</v>
      </c>
      <c r="AO12" s="494">
        <v>796</v>
      </c>
      <c r="AP12" s="494" t="s">
        <v>368</v>
      </c>
      <c r="AQ12" s="494">
        <v>1</v>
      </c>
      <c r="AR12" s="494">
        <v>45</v>
      </c>
      <c r="AS12" s="496" t="s">
        <v>547</v>
      </c>
      <c r="AT12" s="495">
        <v>41785</v>
      </c>
      <c r="AU12" s="495">
        <v>41785</v>
      </c>
      <c r="AV12" s="495">
        <v>42004</v>
      </c>
      <c r="AW12" s="494">
        <v>2014</v>
      </c>
      <c r="AX12" s="496"/>
      <c r="AY12" s="494" t="s">
        <v>186</v>
      </c>
      <c r="AZ12" s="494"/>
      <c r="BA12" s="494">
        <v>2014</v>
      </c>
      <c r="BB12" s="494" t="s">
        <v>1981</v>
      </c>
      <c r="BC12" s="496" t="s">
        <v>1982</v>
      </c>
      <c r="BD12" s="496" t="s">
        <v>1818</v>
      </c>
      <c r="BE12" s="497">
        <v>42004</v>
      </c>
      <c r="BF12" s="498">
        <v>1170.0863833999999</v>
      </c>
      <c r="BG12" s="488">
        <v>1170.0863833999999</v>
      </c>
      <c r="BH12" s="488">
        <v>0</v>
      </c>
      <c r="BI12" s="488">
        <v>0.4</v>
      </c>
      <c r="BJ12" s="494" t="s">
        <v>1465</v>
      </c>
      <c r="BK12" s="401"/>
    </row>
    <row r="13" spans="1:63" ht="112.5">
      <c r="A13" s="401">
        <v>1</v>
      </c>
      <c r="B13" s="494" t="s">
        <v>1983</v>
      </c>
      <c r="C13" s="401" t="s">
        <v>83</v>
      </c>
      <c r="D13" s="401" t="s">
        <v>242</v>
      </c>
      <c r="E13" s="494" t="s">
        <v>5853</v>
      </c>
      <c r="F13" s="401" t="s">
        <v>1768</v>
      </c>
      <c r="G13" s="401" t="s">
        <v>1769</v>
      </c>
      <c r="H13" s="499">
        <v>854218</v>
      </c>
      <c r="I13" s="486" t="s">
        <v>1984</v>
      </c>
      <c r="J13" s="496" t="s">
        <v>5317</v>
      </c>
      <c r="K13" s="496" t="s">
        <v>5317</v>
      </c>
      <c r="L13" s="496" t="s">
        <v>1825</v>
      </c>
      <c r="M13" s="500" t="s">
        <v>1755</v>
      </c>
      <c r="N13" s="496" t="s">
        <v>1773</v>
      </c>
      <c r="O13" s="496" t="s">
        <v>2234</v>
      </c>
      <c r="P13" s="489">
        <v>892.43873999999994</v>
      </c>
      <c r="Q13" s="489">
        <f t="shared" si="38"/>
        <v>1053.0777131999998</v>
      </c>
      <c r="R13" s="489">
        <v>712.48907251008143</v>
      </c>
      <c r="S13" s="401" t="s">
        <v>1774</v>
      </c>
      <c r="T13" s="501">
        <v>1.087</v>
      </c>
      <c r="U13" s="501">
        <v>1.077</v>
      </c>
      <c r="V13" s="501">
        <v>1.073</v>
      </c>
      <c r="W13" s="501">
        <v>1.071</v>
      </c>
      <c r="X13" s="596">
        <v>0.9</v>
      </c>
      <c r="Y13" s="502">
        <v>862.6907819999999</v>
      </c>
      <c r="Z13" s="489">
        <f t="shared" si="39"/>
        <v>1017.9751227599999</v>
      </c>
      <c r="AA13" s="489">
        <v>851.01900000000001</v>
      </c>
      <c r="AB13" s="488">
        <f t="shared" si="40"/>
        <v>1004.20242</v>
      </c>
      <c r="AC13" s="492">
        <f t="shared" si="41"/>
        <v>851.01900000000001</v>
      </c>
      <c r="AD13" s="493">
        <f t="shared" si="42"/>
        <v>1004.20242</v>
      </c>
      <c r="AE13" s="494" t="s">
        <v>1775</v>
      </c>
      <c r="AF13" s="494" t="s">
        <v>83</v>
      </c>
      <c r="AG13" s="494" t="s">
        <v>211</v>
      </c>
      <c r="AH13" s="494" t="s">
        <v>545</v>
      </c>
      <c r="AI13" s="495">
        <v>41730</v>
      </c>
      <c r="AJ13" s="495">
        <v>41765</v>
      </c>
      <c r="AK13" s="494" t="s">
        <v>96</v>
      </c>
      <c r="AL13" s="494" t="s">
        <v>96</v>
      </c>
      <c r="AM13" s="496" t="s">
        <v>1846</v>
      </c>
      <c r="AN13" s="496" t="s">
        <v>1757</v>
      </c>
      <c r="AO13" s="494">
        <v>796</v>
      </c>
      <c r="AP13" s="494" t="s">
        <v>368</v>
      </c>
      <c r="AQ13" s="494">
        <v>1</v>
      </c>
      <c r="AR13" s="494">
        <v>45</v>
      </c>
      <c r="AS13" s="496" t="s">
        <v>547</v>
      </c>
      <c r="AT13" s="495">
        <v>41785</v>
      </c>
      <c r="AU13" s="495">
        <v>41785</v>
      </c>
      <c r="AV13" s="495">
        <v>42004</v>
      </c>
      <c r="AW13" s="494">
        <v>2014</v>
      </c>
      <c r="AX13" s="496"/>
      <c r="AY13" s="494" t="s">
        <v>186</v>
      </c>
      <c r="AZ13" s="494"/>
      <c r="BA13" s="494">
        <v>2014</v>
      </c>
      <c r="BB13" s="494" t="s">
        <v>1985</v>
      </c>
      <c r="BC13" s="496" t="s">
        <v>1986</v>
      </c>
      <c r="BD13" s="496" t="s">
        <v>1818</v>
      </c>
      <c r="BE13" s="497">
        <v>42004</v>
      </c>
      <c r="BF13" s="498">
        <v>1170.086348</v>
      </c>
      <c r="BG13" s="488">
        <v>1170.086348</v>
      </c>
      <c r="BH13" s="488">
        <v>0</v>
      </c>
      <c r="BI13" s="488">
        <v>0.4</v>
      </c>
      <c r="BJ13" s="494" t="s">
        <v>1465</v>
      </c>
      <c r="BK13" s="401"/>
    </row>
    <row r="14" spans="1:63" ht="112.5">
      <c r="A14" s="401">
        <v>1</v>
      </c>
      <c r="B14" s="494" t="s">
        <v>1987</v>
      </c>
      <c r="C14" s="401" t="s">
        <v>83</v>
      </c>
      <c r="D14" s="401" t="s">
        <v>242</v>
      </c>
      <c r="E14" s="494" t="s">
        <v>5853</v>
      </c>
      <c r="F14" s="401" t="s">
        <v>1768</v>
      </c>
      <c r="G14" s="401" t="s">
        <v>1769</v>
      </c>
      <c r="H14" s="499">
        <v>854219</v>
      </c>
      <c r="I14" s="486" t="s">
        <v>1988</v>
      </c>
      <c r="J14" s="496" t="s">
        <v>5317</v>
      </c>
      <c r="K14" s="496" t="s">
        <v>5317</v>
      </c>
      <c r="L14" s="496" t="s">
        <v>1825</v>
      </c>
      <c r="M14" s="500" t="s">
        <v>1755</v>
      </c>
      <c r="N14" s="496" t="s">
        <v>1773</v>
      </c>
      <c r="O14" s="496" t="s">
        <v>2234</v>
      </c>
      <c r="P14" s="489">
        <v>824.68831499999999</v>
      </c>
      <c r="Q14" s="489">
        <f t="shared" si="38"/>
        <v>973.13221169999997</v>
      </c>
      <c r="R14" s="489">
        <v>658.39971566479949</v>
      </c>
      <c r="S14" s="401" t="s">
        <v>1774</v>
      </c>
      <c r="T14" s="501">
        <v>1.087</v>
      </c>
      <c r="U14" s="501">
        <v>1.077</v>
      </c>
      <c r="V14" s="501">
        <v>1.073</v>
      </c>
      <c r="W14" s="501">
        <v>1.071</v>
      </c>
      <c r="X14" s="596">
        <v>0.9</v>
      </c>
      <c r="Y14" s="502">
        <v>797.19870449999996</v>
      </c>
      <c r="Z14" s="489">
        <f t="shared" si="39"/>
        <v>940.69447130999993</v>
      </c>
      <c r="AA14" s="489">
        <v>786.41700000000003</v>
      </c>
      <c r="AB14" s="488">
        <f t="shared" si="40"/>
        <v>927.97205999999994</v>
      </c>
      <c r="AC14" s="492">
        <f t="shared" si="41"/>
        <v>786.41700000000003</v>
      </c>
      <c r="AD14" s="493">
        <f t="shared" si="42"/>
        <v>927.97205999999994</v>
      </c>
      <c r="AE14" s="494" t="s">
        <v>1775</v>
      </c>
      <c r="AF14" s="494" t="s">
        <v>83</v>
      </c>
      <c r="AG14" s="494" t="s">
        <v>211</v>
      </c>
      <c r="AH14" s="494" t="s">
        <v>545</v>
      </c>
      <c r="AI14" s="495">
        <v>41730</v>
      </c>
      <c r="AJ14" s="495">
        <v>41765</v>
      </c>
      <c r="AK14" s="494" t="s">
        <v>96</v>
      </c>
      <c r="AL14" s="494" t="s">
        <v>96</v>
      </c>
      <c r="AM14" s="496" t="s">
        <v>1846</v>
      </c>
      <c r="AN14" s="496" t="s">
        <v>1757</v>
      </c>
      <c r="AO14" s="494">
        <v>796</v>
      </c>
      <c r="AP14" s="494" t="s">
        <v>368</v>
      </c>
      <c r="AQ14" s="494">
        <v>1</v>
      </c>
      <c r="AR14" s="494">
        <v>45</v>
      </c>
      <c r="AS14" s="496" t="s">
        <v>547</v>
      </c>
      <c r="AT14" s="495">
        <v>41785</v>
      </c>
      <c r="AU14" s="495">
        <v>41785</v>
      </c>
      <c r="AV14" s="495">
        <v>42004</v>
      </c>
      <c r="AW14" s="494">
        <v>2014</v>
      </c>
      <c r="AX14" s="496"/>
      <c r="AY14" s="494" t="s">
        <v>186</v>
      </c>
      <c r="AZ14" s="494"/>
      <c r="BA14" s="494">
        <v>2014</v>
      </c>
      <c r="BB14" s="494" t="s">
        <v>1989</v>
      </c>
      <c r="BC14" s="496" t="s">
        <v>1990</v>
      </c>
      <c r="BD14" s="496" t="s">
        <v>1818</v>
      </c>
      <c r="BE14" s="497">
        <v>42004</v>
      </c>
      <c r="BF14" s="498">
        <v>1081.2580129999999</v>
      </c>
      <c r="BG14" s="488">
        <v>1081.2580129999999</v>
      </c>
      <c r="BH14" s="488">
        <v>0</v>
      </c>
      <c r="BI14" s="488">
        <v>0.21</v>
      </c>
      <c r="BJ14" s="494" t="s">
        <v>1465</v>
      </c>
      <c r="BK14" s="401"/>
    </row>
    <row r="15" spans="1:63" ht="112.5">
      <c r="A15" s="401">
        <v>1</v>
      </c>
      <c r="B15" s="494" t="s">
        <v>3842</v>
      </c>
      <c r="C15" s="401" t="s">
        <v>83</v>
      </c>
      <c r="D15" s="401" t="s">
        <v>242</v>
      </c>
      <c r="E15" s="494" t="s">
        <v>5853</v>
      </c>
      <c r="F15" s="401" t="s">
        <v>1768</v>
      </c>
      <c r="G15" s="401" t="s">
        <v>1769</v>
      </c>
      <c r="H15" s="499">
        <v>854220</v>
      </c>
      <c r="I15" s="486" t="s">
        <v>3843</v>
      </c>
      <c r="J15" s="496" t="s">
        <v>5317</v>
      </c>
      <c r="K15" s="496" t="s">
        <v>5317</v>
      </c>
      <c r="L15" s="496" t="s">
        <v>1825</v>
      </c>
      <c r="M15" s="500" t="s">
        <v>1755</v>
      </c>
      <c r="N15" s="496" t="s">
        <v>1773</v>
      </c>
      <c r="O15" s="496" t="s">
        <v>2234</v>
      </c>
      <c r="P15" s="489">
        <v>1338.6581099999999</v>
      </c>
      <c r="Q15" s="489">
        <f t="shared" si="38"/>
        <v>1579.6165697999998</v>
      </c>
      <c r="R15" s="489">
        <v>1068.7336087651222</v>
      </c>
      <c r="S15" s="401" t="s">
        <v>1774</v>
      </c>
      <c r="T15" s="501">
        <v>1.087</v>
      </c>
      <c r="U15" s="501">
        <v>1.077</v>
      </c>
      <c r="V15" s="501">
        <v>1.073</v>
      </c>
      <c r="W15" s="501">
        <v>1.071</v>
      </c>
      <c r="X15" s="596">
        <v>0.9</v>
      </c>
      <c r="Y15" s="502">
        <v>1294.0361729999997</v>
      </c>
      <c r="Z15" s="489">
        <f t="shared" si="39"/>
        <v>1526.9626841399995</v>
      </c>
      <c r="AA15" s="489">
        <v>1276.5239999999999</v>
      </c>
      <c r="AB15" s="488">
        <f t="shared" si="40"/>
        <v>1506.2983199999999</v>
      </c>
      <c r="AC15" s="492">
        <f t="shared" si="41"/>
        <v>1276.5239999999999</v>
      </c>
      <c r="AD15" s="493">
        <f t="shared" si="42"/>
        <v>1506.2983199999999</v>
      </c>
      <c r="AE15" s="494" t="s">
        <v>1775</v>
      </c>
      <c r="AF15" s="494" t="s">
        <v>83</v>
      </c>
      <c r="AG15" s="494" t="s">
        <v>211</v>
      </c>
      <c r="AH15" s="494" t="s">
        <v>545</v>
      </c>
      <c r="AI15" s="495">
        <v>41730</v>
      </c>
      <c r="AJ15" s="495">
        <v>41765</v>
      </c>
      <c r="AK15" s="494" t="s">
        <v>96</v>
      </c>
      <c r="AL15" s="494" t="s">
        <v>96</v>
      </c>
      <c r="AM15" s="496" t="s">
        <v>1846</v>
      </c>
      <c r="AN15" s="496" t="s">
        <v>1757</v>
      </c>
      <c r="AO15" s="494">
        <v>796</v>
      </c>
      <c r="AP15" s="494" t="s">
        <v>368</v>
      </c>
      <c r="AQ15" s="494">
        <v>1</v>
      </c>
      <c r="AR15" s="494">
        <v>45</v>
      </c>
      <c r="AS15" s="496" t="s">
        <v>547</v>
      </c>
      <c r="AT15" s="495">
        <v>41785</v>
      </c>
      <c r="AU15" s="495">
        <v>41785</v>
      </c>
      <c r="AV15" s="495">
        <v>42004</v>
      </c>
      <c r="AW15" s="494">
        <v>2014</v>
      </c>
      <c r="AX15" s="496"/>
      <c r="AY15" s="494" t="s">
        <v>186</v>
      </c>
      <c r="AZ15" s="494"/>
      <c r="BA15" s="494">
        <v>2014</v>
      </c>
      <c r="BB15" s="494" t="s">
        <v>3844</v>
      </c>
      <c r="BC15" s="496" t="s">
        <v>3845</v>
      </c>
      <c r="BD15" s="496" t="s">
        <v>1818</v>
      </c>
      <c r="BE15" s="497">
        <v>42004</v>
      </c>
      <c r="BF15" s="498">
        <v>1755.129522</v>
      </c>
      <c r="BG15" s="488">
        <v>1755.129522</v>
      </c>
      <c r="BH15" s="488">
        <v>0</v>
      </c>
      <c r="BI15" s="488">
        <v>0.6</v>
      </c>
      <c r="BJ15" s="494" t="s">
        <v>1465</v>
      </c>
      <c r="BK15" s="401"/>
    </row>
    <row r="16" spans="1:63" ht="112.5">
      <c r="A16" s="401">
        <v>1</v>
      </c>
      <c r="B16" s="494" t="s">
        <v>2222</v>
      </c>
      <c r="C16" s="401" t="s">
        <v>83</v>
      </c>
      <c r="D16" s="401" t="s">
        <v>242</v>
      </c>
      <c r="E16" s="494" t="s">
        <v>5853</v>
      </c>
      <c r="F16" s="401" t="s">
        <v>1761</v>
      </c>
      <c r="G16" s="401" t="s">
        <v>1762</v>
      </c>
      <c r="H16" s="499">
        <v>854259</v>
      </c>
      <c r="I16" s="486" t="s">
        <v>2223</v>
      </c>
      <c r="J16" s="496" t="s">
        <v>2224</v>
      </c>
      <c r="K16" s="496" t="s">
        <v>2224</v>
      </c>
      <c r="L16" s="496" t="s">
        <v>1772</v>
      </c>
      <c r="M16" s="500" t="s">
        <v>1755</v>
      </c>
      <c r="N16" s="496" t="s">
        <v>1773</v>
      </c>
      <c r="O16" s="496" t="s">
        <v>2234</v>
      </c>
      <c r="P16" s="489">
        <v>98516.239750665001</v>
      </c>
      <c r="Q16" s="489">
        <f t="shared" si="38"/>
        <v>116249.1629057847</v>
      </c>
      <c r="R16" s="489">
        <v>74719.338078799381</v>
      </c>
      <c r="S16" s="401" t="s">
        <v>1774</v>
      </c>
      <c r="T16" s="501">
        <v>1.087</v>
      </c>
      <c r="U16" s="501">
        <v>1.077</v>
      </c>
      <c r="V16" s="501">
        <v>1.073</v>
      </c>
      <c r="W16" s="501">
        <v>1.071</v>
      </c>
      <c r="X16" s="596">
        <v>0.9</v>
      </c>
      <c r="Y16" s="502">
        <v>96442.213650651</v>
      </c>
      <c r="Z16" s="489">
        <f t="shared" si="39"/>
        <v>113801.81210776817</v>
      </c>
      <c r="AA16" s="489">
        <v>85551.38832063938</v>
      </c>
      <c r="AB16" s="488">
        <f t="shared" si="40"/>
        <v>100950.63821835446</v>
      </c>
      <c r="AC16" s="492">
        <f t="shared" si="41"/>
        <v>85551.38832063938</v>
      </c>
      <c r="AD16" s="493">
        <f t="shared" si="42"/>
        <v>100950.63821835446</v>
      </c>
      <c r="AE16" s="494" t="s">
        <v>218</v>
      </c>
      <c r="AF16" s="494" t="s">
        <v>83</v>
      </c>
      <c r="AG16" s="494" t="s">
        <v>211</v>
      </c>
      <c r="AH16" s="494" t="s">
        <v>545</v>
      </c>
      <c r="AI16" s="495">
        <v>41913</v>
      </c>
      <c r="AJ16" s="495">
        <v>41973</v>
      </c>
      <c r="AK16" s="494" t="s">
        <v>96</v>
      </c>
      <c r="AL16" s="494" t="s">
        <v>96</v>
      </c>
      <c r="AM16" s="496" t="s">
        <v>5452</v>
      </c>
      <c r="AN16" s="496" t="s">
        <v>1757</v>
      </c>
      <c r="AO16" s="494">
        <v>796</v>
      </c>
      <c r="AP16" s="494" t="s">
        <v>368</v>
      </c>
      <c r="AQ16" s="494">
        <v>1</v>
      </c>
      <c r="AR16" s="494">
        <v>45</v>
      </c>
      <c r="AS16" s="496" t="s">
        <v>547</v>
      </c>
      <c r="AT16" s="495">
        <v>41993</v>
      </c>
      <c r="AU16" s="495">
        <v>41993</v>
      </c>
      <c r="AV16" s="495">
        <v>42735</v>
      </c>
      <c r="AW16" s="494" t="s">
        <v>1789</v>
      </c>
      <c r="AX16" s="496"/>
      <c r="AY16" s="494" t="s">
        <v>186</v>
      </c>
      <c r="AZ16" s="494"/>
      <c r="BA16" s="494">
        <v>2014</v>
      </c>
      <c r="BB16" s="494" t="s">
        <v>2225</v>
      </c>
      <c r="BC16" s="496" t="s">
        <v>2226</v>
      </c>
      <c r="BD16" s="496" t="s">
        <v>1818</v>
      </c>
      <c r="BE16" s="497">
        <v>42735</v>
      </c>
      <c r="BF16" s="498">
        <v>414805.22</v>
      </c>
      <c r="BG16" s="488">
        <v>414805.22</v>
      </c>
      <c r="BH16" s="488">
        <v>0</v>
      </c>
      <c r="BI16" s="488">
        <v>0</v>
      </c>
      <c r="BJ16" s="494" t="s">
        <v>186</v>
      </c>
      <c r="BK16" s="401"/>
    </row>
    <row r="17" spans="1:63" ht="150">
      <c r="A17" s="401">
        <v>1</v>
      </c>
      <c r="B17" s="494" t="s">
        <v>2227</v>
      </c>
      <c r="C17" s="401" t="s">
        <v>83</v>
      </c>
      <c r="D17" s="401" t="s">
        <v>242</v>
      </c>
      <c r="E17" s="494" t="s">
        <v>5853</v>
      </c>
      <c r="F17" s="401" t="s">
        <v>1768</v>
      </c>
      <c r="G17" s="401" t="s">
        <v>1769</v>
      </c>
      <c r="H17" s="499">
        <v>854284</v>
      </c>
      <c r="I17" s="486" t="s">
        <v>2228</v>
      </c>
      <c r="J17" s="496" t="s">
        <v>2237</v>
      </c>
      <c r="K17" s="496" t="s">
        <v>2237</v>
      </c>
      <c r="L17" s="496" t="s">
        <v>1825</v>
      </c>
      <c r="M17" s="500" t="s">
        <v>1755</v>
      </c>
      <c r="N17" s="496" t="s">
        <v>1773</v>
      </c>
      <c r="O17" s="496" t="s">
        <v>2234</v>
      </c>
      <c r="P17" s="489">
        <v>120000</v>
      </c>
      <c r="Q17" s="489">
        <f t="shared" si="38"/>
        <v>141600</v>
      </c>
      <c r="R17" s="489">
        <v>94977.534301113454</v>
      </c>
      <c r="S17" s="401" t="s">
        <v>1774</v>
      </c>
      <c r="T17" s="501">
        <v>1.087</v>
      </c>
      <c r="U17" s="501">
        <v>1.077</v>
      </c>
      <c r="V17" s="501">
        <v>1.073</v>
      </c>
      <c r="W17" s="501">
        <v>1.071</v>
      </c>
      <c r="X17" s="596">
        <v>0.9</v>
      </c>
      <c r="Y17" s="502">
        <v>115000</v>
      </c>
      <c r="Z17" s="489">
        <f t="shared" si="39"/>
        <v>135700</v>
      </c>
      <c r="AA17" s="489">
        <v>116478.564</v>
      </c>
      <c r="AB17" s="488">
        <f t="shared" si="40"/>
        <v>137444.70551999999</v>
      </c>
      <c r="AC17" s="492">
        <f t="shared" si="41"/>
        <v>115000</v>
      </c>
      <c r="AD17" s="493">
        <f t="shared" si="42"/>
        <v>135700</v>
      </c>
      <c r="AE17" s="494" t="s">
        <v>1775</v>
      </c>
      <c r="AF17" s="494" t="s">
        <v>83</v>
      </c>
      <c r="AG17" s="494" t="s">
        <v>211</v>
      </c>
      <c r="AH17" s="494" t="s">
        <v>545</v>
      </c>
      <c r="AI17" s="495">
        <v>41821</v>
      </c>
      <c r="AJ17" s="495">
        <v>41856</v>
      </c>
      <c r="AK17" s="494" t="s">
        <v>96</v>
      </c>
      <c r="AL17" s="494" t="s">
        <v>96</v>
      </c>
      <c r="AM17" s="496" t="s">
        <v>2238</v>
      </c>
      <c r="AN17" s="496" t="s">
        <v>1757</v>
      </c>
      <c r="AO17" s="494">
        <v>796</v>
      </c>
      <c r="AP17" s="494" t="s">
        <v>368</v>
      </c>
      <c r="AQ17" s="494">
        <v>1</v>
      </c>
      <c r="AR17" s="494">
        <v>45</v>
      </c>
      <c r="AS17" s="496" t="s">
        <v>547</v>
      </c>
      <c r="AT17" s="495">
        <v>41876</v>
      </c>
      <c r="AU17" s="495">
        <v>41876</v>
      </c>
      <c r="AV17" s="495">
        <v>42004</v>
      </c>
      <c r="AW17" s="494">
        <v>2014</v>
      </c>
      <c r="AX17" s="496"/>
      <c r="AY17" s="494" t="s">
        <v>186</v>
      </c>
      <c r="AZ17" s="494"/>
      <c r="BA17" s="494">
        <v>2014</v>
      </c>
      <c r="BB17" s="494" t="s">
        <v>2229</v>
      </c>
      <c r="BC17" s="496" t="s">
        <v>2230</v>
      </c>
      <c r="BD17" s="496" t="s">
        <v>1818</v>
      </c>
      <c r="BE17" s="497">
        <v>42004</v>
      </c>
      <c r="BF17" s="498">
        <v>159128.26683559996</v>
      </c>
      <c r="BG17" s="488">
        <v>154848.58215999999</v>
      </c>
      <c r="BH17" s="488">
        <v>8.4</v>
      </c>
      <c r="BI17" s="488">
        <v>11.1</v>
      </c>
      <c r="BJ17" s="494" t="s">
        <v>1465</v>
      </c>
      <c r="BK17" s="401"/>
    </row>
    <row r="18" spans="1:63" ht="112.5">
      <c r="A18" s="401">
        <v>1</v>
      </c>
      <c r="B18" s="494" t="s">
        <v>5318</v>
      </c>
      <c r="C18" s="401" t="s">
        <v>83</v>
      </c>
      <c r="D18" s="401" t="s">
        <v>242</v>
      </c>
      <c r="E18" s="494" t="s">
        <v>5853</v>
      </c>
      <c r="F18" s="401" t="s">
        <v>1768</v>
      </c>
      <c r="G18" s="401" t="s">
        <v>1769</v>
      </c>
      <c r="H18" s="499">
        <v>854708</v>
      </c>
      <c r="I18" s="486" t="s">
        <v>5319</v>
      </c>
      <c r="J18" s="496" t="s">
        <v>5317</v>
      </c>
      <c r="K18" s="496" t="s">
        <v>5317</v>
      </c>
      <c r="L18" s="496" t="s">
        <v>1825</v>
      </c>
      <c r="M18" s="500" t="s">
        <v>1755</v>
      </c>
      <c r="N18" s="496" t="s">
        <v>1773</v>
      </c>
      <c r="O18" s="496" t="s">
        <v>2234</v>
      </c>
      <c r="P18" s="489">
        <v>1166.6862100000001</v>
      </c>
      <c r="Q18" s="489">
        <f t="shared" si="38"/>
        <v>1376.6897278000001</v>
      </c>
      <c r="R18" s="489">
        <v>861.53791007898974</v>
      </c>
      <c r="S18" s="401" t="s">
        <v>1774</v>
      </c>
      <c r="T18" s="501">
        <v>1.087</v>
      </c>
      <c r="U18" s="501">
        <v>1.077</v>
      </c>
      <c r="V18" s="501">
        <v>1.073</v>
      </c>
      <c r="W18" s="501">
        <v>1.071</v>
      </c>
      <c r="X18" s="596">
        <v>0.9</v>
      </c>
      <c r="Y18" s="502">
        <v>1043.1610000000001</v>
      </c>
      <c r="Z18" s="489">
        <f t="shared" si="39"/>
        <v>1230.9299800000001</v>
      </c>
      <c r="AA18" s="489">
        <v>1021.23</v>
      </c>
      <c r="AB18" s="488">
        <f t="shared" si="40"/>
        <v>1205.0514000000001</v>
      </c>
      <c r="AC18" s="492">
        <f t="shared" si="41"/>
        <v>1021.23</v>
      </c>
      <c r="AD18" s="493">
        <f t="shared" si="42"/>
        <v>1205.0514000000001</v>
      </c>
      <c r="AE18" s="494" t="s">
        <v>1775</v>
      </c>
      <c r="AF18" s="494" t="s">
        <v>83</v>
      </c>
      <c r="AG18" s="494" t="s">
        <v>211</v>
      </c>
      <c r="AH18" s="494" t="s">
        <v>545</v>
      </c>
      <c r="AI18" s="495">
        <v>41685</v>
      </c>
      <c r="AJ18" s="495">
        <v>41720</v>
      </c>
      <c r="AK18" s="494" t="s">
        <v>96</v>
      </c>
      <c r="AL18" s="494" t="s">
        <v>96</v>
      </c>
      <c r="AM18" s="496" t="s">
        <v>1846</v>
      </c>
      <c r="AN18" s="496" t="s">
        <v>1757</v>
      </c>
      <c r="AO18" s="494">
        <v>796</v>
      </c>
      <c r="AP18" s="494" t="s">
        <v>368</v>
      </c>
      <c r="AQ18" s="494">
        <v>1</v>
      </c>
      <c r="AR18" s="494">
        <v>45</v>
      </c>
      <c r="AS18" s="496" t="s">
        <v>547</v>
      </c>
      <c r="AT18" s="495">
        <v>41740</v>
      </c>
      <c r="AU18" s="495">
        <v>41740</v>
      </c>
      <c r="AV18" s="495">
        <v>41820</v>
      </c>
      <c r="AW18" s="494">
        <v>2014</v>
      </c>
      <c r="AX18" s="496"/>
      <c r="AY18" s="494" t="s">
        <v>186</v>
      </c>
      <c r="AZ18" s="494"/>
      <c r="BA18" s="494">
        <v>2014</v>
      </c>
      <c r="BB18" s="494" t="s">
        <v>5453</v>
      </c>
      <c r="BC18" s="496" t="s">
        <v>5454</v>
      </c>
      <c r="BD18" s="496" t="s">
        <v>1818</v>
      </c>
      <c r="BE18" s="497">
        <v>41820</v>
      </c>
      <c r="BF18" s="498">
        <v>1404.1036176</v>
      </c>
      <c r="BG18" s="488">
        <v>1404.1036176</v>
      </c>
      <c r="BH18" s="488">
        <v>0</v>
      </c>
      <c r="BI18" s="488">
        <v>0.48</v>
      </c>
      <c r="BJ18" s="494" t="s">
        <v>1465</v>
      </c>
      <c r="BK18" s="401"/>
    </row>
    <row r="19" spans="1:63" ht="112.5">
      <c r="A19" s="401">
        <v>1</v>
      </c>
      <c r="B19" s="494" t="s">
        <v>5320</v>
      </c>
      <c r="C19" s="401" t="s">
        <v>83</v>
      </c>
      <c r="D19" s="401" t="s">
        <v>242</v>
      </c>
      <c r="E19" s="494" t="s">
        <v>5853</v>
      </c>
      <c r="F19" s="401" t="s">
        <v>1768</v>
      </c>
      <c r="G19" s="401" t="s">
        <v>1769</v>
      </c>
      <c r="H19" s="499">
        <v>854710</v>
      </c>
      <c r="I19" s="486" t="s">
        <v>5321</v>
      </c>
      <c r="J19" s="496" t="s">
        <v>5317</v>
      </c>
      <c r="K19" s="496" t="s">
        <v>5317</v>
      </c>
      <c r="L19" s="496" t="s">
        <v>1825</v>
      </c>
      <c r="M19" s="500" t="s">
        <v>1755</v>
      </c>
      <c r="N19" s="496" t="s">
        <v>1773</v>
      </c>
      <c r="O19" s="496" t="s">
        <v>2234</v>
      </c>
      <c r="P19" s="489">
        <v>945.62</v>
      </c>
      <c r="Q19" s="489">
        <f t="shared" si="38"/>
        <v>1115.8316</v>
      </c>
      <c r="R19" s="489">
        <v>681.82307145762798</v>
      </c>
      <c r="S19" s="401" t="s">
        <v>1774</v>
      </c>
      <c r="T19" s="501">
        <v>1.087</v>
      </c>
      <c r="U19" s="501">
        <v>1.077</v>
      </c>
      <c r="V19" s="501">
        <v>1.073</v>
      </c>
      <c r="W19" s="501">
        <v>1.071</v>
      </c>
      <c r="X19" s="596">
        <v>0.9</v>
      </c>
      <c r="Y19" s="502">
        <v>825.56</v>
      </c>
      <c r="Z19" s="489">
        <f t="shared" si="39"/>
        <v>974.16079999999988</v>
      </c>
      <c r="AA19" s="489">
        <v>863.34699999999998</v>
      </c>
      <c r="AB19" s="488">
        <f t="shared" si="40"/>
        <v>1018.7494599999999</v>
      </c>
      <c r="AC19" s="492">
        <f t="shared" si="41"/>
        <v>825.56</v>
      </c>
      <c r="AD19" s="493">
        <f t="shared" si="42"/>
        <v>974.16079999999988</v>
      </c>
      <c r="AE19" s="494" t="s">
        <v>1775</v>
      </c>
      <c r="AF19" s="494" t="s">
        <v>83</v>
      </c>
      <c r="AG19" s="494" t="s">
        <v>211</v>
      </c>
      <c r="AH19" s="494" t="s">
        <v>545</v>
      </c>
      <c r="AI19" s="495">
        <v>41671</v>
      </c>
      <c r="AJ19" s="495">
        <v>41706</v>
      </c>
      <c r="AK19" s="494" t="s">
        <v>96</v>
      </c>
      <c r="AL19" s="494" t="s">
        <v>96</v>
      </c>
      <c r="AM19" s="496" t="s">
        <v>1846</v>
      </c>
      <c r="AN19" s="496" t="s">
        <v>1757</v>
      </c>
      <c r="AO19" s="494">
        <v>796</v>
      </c>
      <c r="AP19" s="494" t="s">
        <v>368</v>
      </c>
      <c r="AQ19" s="494">
        <v>1</v>
      </c>
      <c r="AR19" s="494">
        <v>45</v>
      </c>
      <c r="AS19" s="496" t="s">
        <v>547</v>
      </c>
      <c r="AT19" s="495">
        <v>41726</v>
      </c>
      <c r="AU19" s="495">
        <v>41726</v>
      </c>
      <c r="AV19" s="495">
        <v>41820</v>
      </c>
      <c r="AW19" s="494">
        <v>2014</v>
      </c>
      <c r="AX19" s="496"/>
      <c r="AY19" s="494" t="s">
        <v>186</v>
      </c>
      <c r="AZ19" s="494"/>
      <c r="BA19" s="494">
        <v>2014</v>
      </c>
      <c r="BB19" s="494" t="s">
        <v>5455</v>
      </c>
      <c r="BC19" s="496" t="s">
        <v>5456</v>
      </c>
      <c r="BD19" s="496" t="s">
        <v>1818</v>
      </c>
      <c r="BE19" s="497">
        <v>41820</v>
      </c>
      <c r="BF19" s="498">
        <v>1245.6197999999997</v>
      </c>
      <c r="BG19" s="488">
        <v>1245.6197999999997</v>
      </c>
      <c r="BH19" s="488">
        <v>0</v>
      </c>
      <c r="BI19" s="488">
        <v>0.3</v>
      </c>
      <c r="BJ19" s="494" t="s">
        <v>1465</v>
      </c>
      <c r="BK19" s="401"/>
    </row>
    <row r="20" spans="1:63" ht="112.5">
      <c r="A20" s="401">
        <v>1</v>
      </c>
      <c r="B20" s="494" t="s">
        <v>5322</v>
      </c>
      <c r="C20" s="401" t="s">
        <v>83</v>
      </c>
      <c r="D20" s="401" t="s">
        <v>242</v>
      </c>
      <c r="E20" s="494" t="s">
        <v>5853</v>
      </c>
      <c r="F20" s="401" t="s">
        <v>1768</v>
      </c>
      <c r="G20" s="401" t="s">
        <v>1769</v>
      </c>
      <c r="H20" s="499">
        <v>854711</v>
      </c>
      <c r="I20" s="486" t="s">
        <v>5323</v>
      </c>
      <c r="J20" s="496" t="s">
        <v>5317</v>
      </c>
      <c r="K20" s="496" t="s">
        <v>5317</v>
      </c>
      <c r="L20" s="496" t="s">
        <v>1825</v>
      </c>
      <c r="M20" s="500" t="s">
        <v>1755</v>
      </c>
      <c r="N20" s="496" t="s">
        <v>1773</v>
      </c>
      <c r="O20" s="496" t="s">
        <v>2234</v>
      </c>
      <c r="P20" s="489">
        <v>965.96999999999991</v>
      </c>
      <c r="Q20" s="489">
        <f t="shared" si="38"/>
        <v>1139.8445999999999</v>
      </c>
      <c r="R20" s="489">
        <v>722.45571178309206</v>
      </c>
      <c r="S20" s="401" t="s">
        <v>1774</v>
      </c>
      <c r="T20" s="501">
        <v>1.087</v>
      </c>
      <c r="U20" s="501">
        <v>1.077</v>
      </c>
      <c r="V20" s="501">
        <v>1.073</v>
      </c>
      <c r="W20" s="501">
        <v>1.071</v>
      </c>
      <c r="X20" s="596">
        <v>0.9</v>
      </c>
      <c r="Y20" s="502">
        <v>874.75851490999992</v>
      </c>
      <c r="Z20" s="489">
        <f t="shared" si="39"/>
        <v>1032.2150475937999</v>
      </c>
      <c r="AA20" s="489">
        <v>903.80499999999995</v>
      </c>
      <c r="AB20" s="488">
        <f t="shared" si="40"/>
        <v>1066.4898999999998</v>
      </c>
      <c r="AC20" s="492">
        <f t="shared" si="41"/>
        <v>874.75851490999992</v>
      </c>
      <c r="AD20" s="493">
        <f t="shared" si="42"/>
        <v>1032.2150475937999</v>
      </c>
      <c r="AE20" s="494" t="s">
        <v>1775</v>
      </c>
      <c r="AF20" s="494" t="s">
        <v>83</v>
      </c>
      <c r="AG20" s="494" t="s">
        <v>211</v>
      </c>
      <c r="AH20" s="494" t="s">
        <v>545</v>
      </c>
      <c r="AI20" s="495">
        <v>41671</v>
      </c>
      <c r="AJ20" s="495">
        <v>41706</v>
      </c>
      <c r="AK20" s="494" t="s">
        <v>96</v>
      </c>
      <c r="AL20" s="494" t="s">
        <v>96</v>
      </c>
      <c r="AM20" s="496" t="s">
        <v>1846</v>
      </c>
      <c r="AN20" s="496" t="s">
        <v>1757</v>
      </c>
      <c r="AO20" s="494">
        <v>796</v>
      </c>
      <c r="AP20" s="494" t="s">
        <v>368</v>
      </c>
      <c r="AQ20" s="494">
        <v>1</v>
      </c>
      <c r="AR20" s="494">
        <v>45</v>
      </c>
      <c r="AS20" s="496" t="s">
        <v>547</v>
      </c>
      <c r="AT20" s="495">
        <v>41726</v>
      </c>
      <c r="AU20" s="495">
        <v>41726</v>
      </c>
      <c r="AV20" s="495">
        <v>41820</v>
      </c>
      <c r="AW20" s="494">
        <v>2014</v>
      </c>
      <c r="AX20" s="496"/>
      <c r="AY20" s="494" t="s">
        <v>186</v>
      </c>
      <c r="AZ20" s="494"/>
      <c r="BA20" s="494">
        <v>2014</v>
      </c>
      <c r="BB20" s="494" t="s">
        <v>5457</v>
      </c>
      <c r="BC20" s="496" t="s">
        <v>5458</v>
      </c>
      <c r="BD20" s="496" t="s">
        <v>1818</v>
      </c>
      <c r="BE20" s="497">
        <v>41820</v>
      </c>
      <c r="BF20" s="498">
        <v>1272.4529999999997</v>
      </c>
      <c r="BG20" s="488">
        <v>1272.4529999999997</v>
      </c>
      <c r="BH20" s="488">
        <v>0</v>
      </c>
      <c r="BI20" s="488">
        <v>0.3</v>
      </c>
      <c r="BJ20" s="494" t="s">
        <v>1465</v>
      </c>
      <c r="BK20" s="401"/>
    </row>
    <row r="21" spans="1:63" ht="112.5">
      <c r="A21" s="401">
        <v>1</v>
      </c>
      <c r="B21" s="494" t="s">
        <v>5324</v>
      </c>
      <c r="C21" s="401" t="s">
        <v>83</v>
      </c>
      <c r="D21" s="401" t="s">
        <v>242</v>
      </c>
      <c r="E21" s="494" t="s">
        <v>5853</v>
      </c>
      <c r="F21" s="401" t="s">
        <v>1768</v>
      </c>
      <c r="G21" s="401" t="s">
        <v>1769</v>
      </c>
      <c r="H21" s="499">
        <v>854712</v>
      </c>
      <c r="I21" s="486" t="s">
        <v>5325</v>
      </c>
      <c r="J21" s="496" t="s">
        <v>5317</v>
      </c>
      <c r="K21" s="496" t="s">
        <v>5317</v>
      </c>
      <c r="L21" s="496" t="s">
        <v>1825</v>
      </c>
      <c r="M21" s="500" t="s">
        <v>1755</v>
      </c>
      <c r="N21" s="496" t="s">
        <v>1773</v>
      </c>
      <c r="O21" s="496" t="s">
        <v>2234</v>
      </c>
      <c r="P21" s="489">
        <v>962.35183000000006</v>
      </c>
      <c r="Q21" s="489">
        <f t="shared" si="38"/>
        <v>1135.5751594000001</v>
      </c>
      <c r="R21" s="489">
        <v>689.66821579090004</v>
      </c>
      <c r="S21" s="401" t="s">
        <v>1774</v>
      </c>
      <c r="T21" s="501">
        <v>1.087</v>
      </c>
      <c r="U21" s="501">
        <v>1.077</v>
      </c>
      <c r="V21" s="501">
        <v>1.073</v>
      </c>
      <c r="W21" s="501">
        <v>1.071</v>
      </c>
      <c r="X21" s="596">
        <v>0.9</v>
      </c>
      <c r="Y21" s="502">
        <v>835.05899999999997</v>
      </c>
      <c r="Z21" s="489">
        <f t="shared" si="39"/>
        <v>985.36961999999994</v>
      </c>
      <c r="AA21" s="489">
        <v>900.67399999999998</v>
      </c>
      <c r="AB21" s="488">
        <f t="shared" si="40"/>
        <v>1062.7953199999999</v>
      </c>
      <c r="AC21" s="492">
        <f t="shared" si="41"/>
        <v>835.05899999999997</v>
      </c>
      <c r="AD21" s="493">
        <f t="shared" si="42"/>
        <v>985.36961999999994</v>
      </c>
      <c r="AE21" s="494" t="s">
        <v>1775</v>
      </c>
      <c r="AF21" s="494" t="s">
        <v>83</v>
      </c>
      <c r="AG21" s="494" t="s">
        <v>211</v>
      </c>
      <c r="AH21" s="494" t="s">
        <v>545</v>
      </c>
      <c r="AI21" s="495">
        <v>41671</v>
      </c>
      <c r="AJ21" s="495">
        <v>41706</v>
      </c>
      <c r="AK21" s="494" t="s">
        <v>96</v>
      </c>
      <c r="AL21" s="494" t="s">
        <v>96</v>
      </c>
      <c r="AM21" s="496" t="s">
        <v>1846</v>
      </c>
      <c r="AN21" s="496" t="s">
        <v>1757</v>
      </c>
      <c r="AO21" s="494">
        <v>796</v>
      </c>
      <c r="AP21" s="494" t="s">
        <v>368</v>
      </c>
      <c r="AQ21" s="494">
        <v>1</v>
      </c>
      <c r="AR21" s="494">
        <v>45</v>
      </c>
      <c r="AS21" s="496" t="s">
        <v>547</v>
      </c>
      <c r="AT21" s="495">
        <v>41726</v>
      </c>
      <c r="AU21" s="495">
        <v>41726</v>
      </c>
      <c r="AV21" s="495">
        <v>41820</v>
      </c>
      <c r="AW21" s="494">
        <v>2014</v>
      </c>
      <c r="AX21" s="496"/>
      <c r="AY21" s="494" t="s">
        <v>186</v>
      </c>
      <c r="AZ21" s="494"/>
      <c r="BA21" s="494">
        <v>2014</v>
      </c>
      <c r="BB21" s="494" t="s">
        <v>5459</v>
      </c>
      <c r="BC21" s="496" t="s">
        <v>5460</v>
      </c>
      <c r="BD21" s="496" t="s">
        <v>1818</v>
      </c>
      <c r="BE21" s="497">
        <v>41820</v>
      </c>
      <c r="BF21" s="498">
        <v>1263.5675999999999</v>
      </c>
      <c r="BG21" s="488">
        <v>1263.5675999999999</v>
      </c>
      <c r="BH21" s="488">
        <v>0</v>
      </c>
      <c r="BI21" s="488">
        <v>0.3</v>
      </c>
      <c r="BJ21" s="494" t="s">
        <v>1465</v>
      </c>
      <c r="BK21" s="401"/>
    </row>
    <row r="22" spans="1:63" ht="112.5">
      <c r="A22" s="401">
        <v>1</v>
      </c>
      <c r="B22" s="494" t="s">
        <v>5326</v>
      </c>
      <c r="C22" s="401" t="s">
        <v>83</v>
      </c>
      <c r="D22" s="401" t="s">
        <v>242</v>
      </c>
      <c r="E22" s="494" t="s">
        <v>5853</v>
      </c>
      <c r="F22" s="401" t="s">
        <v>1768</v>
      </c>
      <c r="G22" s="401" t="s">
        <v>1769</v>
      </c>
      <c r="H22" s="499">
        <v>854713</v>
      </c>
      <c r="I22" s="486" t="s">
        <v>5327</v>
      </c>
      <c r="J22" s="496" t="s">
        <v>5317</v>
      </c>
      <c r="K22" s="496" t="s">
        <v>5317</v>
      </c>
      <c r="L22" s="496" t="s">
        <v>1825</v>
      </c>
      <c r="M22" s="500" t="s">
        <v>1755</v>
      </c>
      <c r="N22" s="496" t="s">
        <v>1773</v>
      </c>
      <c r="O22" s="496" t="s">
        <v>2234</v>
      </c>
      <c r="P22" s="489">
        <v>961.79720000000009</v>
      </c>
      <c r="Q22" s="489">
        <f t="shared" si="38"/>
        <v>1134.9206960000001</v>
      </c>
      <c r="R22" s="489">
        <v>747.23100299067846</v>
      </c>
      <c r="S22" s="401" t="s">
        <v>1774</v>
      </c>
      <c r="T22" s="501">
        <v>1.087</v>
      </c>
      <c r="U22" s="501">
        <v>1.077</v>
      </c>
      <c r="V22" s="501">
        <v>1.073</v>
      </c>
      <c r="W22" s="501">
        <v>1.071</v>
      </c>
      <c r="X22" s="596">
        <v>0.9</v>
      </c>
      <c r="Y22" s="502">
        <v>904.75675091220626</v>
      </c>
      <c r="Z22" s="489">
        <f t="shared" si="39"/>
        <v>1067.6129660764034</v>
      </c>
      <c r="AA22" s="489">
        <v>917.15987070773519</v>
      </c>
      <c r="AB22" s="488">
        <f t="shared" si="40"/>
        <v>1082.2486474351274</v>
      </c>
      <c r="AC22" s="492">
        <f t="shared" si="41"/>
        <v>904.75675091220626</v>
      </c>
      <c r="AD22" s="493">
        <f t="shared" si="42"/>
        <v>1067.6129660764034</v>
      </c>
      <c r="AE22" s="494" t="s">
        <v>1775</v>
      </c>
      <c r="AF22" s="494" t="s">
        <v>83</v>
      </c>
      <c r="AG22" s="494" t="s">
        <v>211</v>
      </c>
      <c r="AH22" s="494" t="s">
        <v>545</v>
      </c>
      <c r="AI22" s="495">
        <v>41685</v>
      </c>
      <c r="AJ22" s="495">
        <v>41720</v>
      </c>
      <c r="AK22" s="494" t="s">
        <v>96</v>
      </c>
      <c r="AL22" s="494" t="s">
        <v>96</v>
      </c>
      <c r="AM22" s="496" t="s">
        <v>1846</v>
      </c>
      <c r="AN22" s="496" t="s">
        <v>1757</v>
      </c>
      <c r="AO22" s="494">
        <v>796</v>
      </c>
      <c r="AP22" s="494" t="s">
        <v>368</v>
      </c>
      <c r="AQ22" s="494">
        <v>1</v>
      </c>
      <c r="AR22" s="494">
        <v>45</v>
      </c>
      <c r="AS22" s="496" t="s">
        <v>547</v>
      </c>
      <c r="AT22" s="495">
        <v>41740</v>
      </c>
      <c r="AU22" s="495">
        <v>41740</v>
      </c>
      <c r="AV22" s="495">
        <v>41820</v>
      </c>
      <c r="AW22" s="494">
        <v>2014</v>
      </c>
      <c r="AX22" s="496"/>
      <c r="AY22" s="494" t="s">
        <v>186</v>
      </c>
      <c r="AZ22" s="494"/>
      <c r="BA22" s="494">
        <v>2014</v>
      </c>
      <c r="BB22" s="494" t="s">
        <v>5461</v>
      </c>
      <c r="BC22" s="496" t="s">
        <v>5462</v>
      </c>
      <c r="BD22" s="496" t="s">
        <v>1818</v>
      </c>
      <c r="BE22" s="497">
        <v>41820</v>
      </c>
      <c r="BF22" s="498">
        <v>1247.1656</v>
      </c>
      <c r="BG22" s="488">
        <v>1247.1656</v>
      </c>
      <c r="BH22" s="488">
        <v>0</v>
      </c>
      <c r="BI22" s="488">
        <v>0.4</v>
      </c>
      <c r="BJ22" s="494" t="s">
        <v>1465</v>
      </c>
      <c r="BK22" s="401"/>
    </row>
    <row r="23" spans="1:63" ht="112.5">
      <c r="A23" s="401">
        <v>1</v>
      </c>
      <c r="B23" s="494" t="s">
        <v>5328</v>
      </c>
      <c r="C23" s="401" t="s">
        <v>83</v>
      </c>
      <c r="D23" s="401" t="s">
        <v>242</v>
      </c>
      <c r="E23" s="494" t="s">
        <v>5853</v>
      </c>
      <c r="F23" s="401" t="s">
        <v>1768</v>
      </c>
      <c r="G23" s="401" t="s">
        <v>1769</v>
      </c>
      <c r="H23" s="499">
        <v>854714</v>
      </c>
      <c r="I23" s="486" t="s">
        <v>5329</v>
      </c>
      <c r="J23" s="496" t="s">
        <v>5317</v>
      </c>
      <c r="K23" s="496" t="s">
        <v>5317</v>
      </c>
      <c r="L23" s="496" t="s">
        <v>1825</v>
      </c>
      <c r="M23" s="500" t="s">
        <v>1755</v>
      </c>
      <c r="N23" s="496" t="s">
        <v>1773</v>
      </c>
      <c r="O23" s="496" t="s">
        <v>2234</v>
      </c>
      <c r="P23" s="489">
        <v>965.37990000000002</v>
      </c>
      <c r="Q23" s="489">
        <f t="shared" si="38"/>
        <v>1139.1482819999999</v>
      </c>
      <c r="R23" s="489">
        <v>750.01444269544652</v>
      </c>
      <c r="S23" s="401" t="s">
        <v>1774</v>
      </c>
      <c r="T23" s="501">
        <v>1.087</v>
      </c>
      <c r="U23" s="501">
        <v>1.077</v>
      </c>
      <c r="V23" s="501">
        <v>1.073</v>
      </c>
      <c r="W23" s="501">
        <v>1.071</v>
      </c>
      <c r="X23" s="596">
        <v>0.9</v>
      </c>
      <c r="Y23" s="502">
        <v>908.12697491732195</v>
      </c>
      <c r="Z23" s="489">
        <f t="shared" si="39"/>
        <v>1071.5898304024399</v>
      </c>
      <c r="AA23" s="489">
        <v>920.57629640411335</v>
      </c>
      <c r="AB23" s="488">
        <f t="shared" si="40"/>
        <v>1086.2800297568538</v>
      </c>
      <c r="AC23" s="492">
        <f t="shared" si="41"/>
        <v>908.12697491732195</v>
      </c>
      <c r="AD23" s="493">
        <f t="shared" si="42"/>
        <v>1071.5898304024399</v>
      </c>
      <c r="AE23" s="494" t="s">
        <v>1775</v>
      </c>
      <c r="AF23" s="494" t="s">
        <v>83</v>
      </c>
      <c r="AG23" s="494" t="s">
        <v>211</v>
      </c>
      <c r="AH23" s="494" t="s">
        <v>545</v>
      </c>
      <c r="AI23" s="495">
        <v>41659</v>
      </c>
      <c r="AJ23" s="495">
        <v>41694</v>
      </c>
      <c r="AK23" s="494" t="s">
        <v>96</v>
      </c>
      <c r="AL23" s="494" t="s">
        <v>96</v>
      </c>
      <c r="AM23" s="496" t="s">
        <v>1846</v>
      </c>
      <c r="AN23" s="496" t="s">
        <v>1757</v>
      </c>
      <c r="AO23" s="494">
        <v>796</v>
      </c>
      <c r="AP23" s="494" t="s">
        <v>368</v>
      </c>
      <c r="AQ23" s="494">
        <v>1</v>
      </c>
      <c r="AR23" s="494">
        <v>45</v>
      </c>
      <c r="AS23" s="496" t="s">
        <v>547</v>
      </c>
      <c r="AT23" s="495">
        <v>41714</v>
      </c>
      <c r="AU23" s="495">
        <v>41714</v>
      </c>
      <c r="AV23" s="495">
        <v>41729</v>
      </c>
      <c r="AW23" s="494">
        <v>2014</v>
      </c>
      <c r="AX23" s="496"/>
      <c r="AY23" s="494" t="s">
        <v>186</v>
      </c>
      <c r="AZ23" s="494"/>
      <c r="BA23" s="494">
        <v>2014</v>
      </c>
      <c r="BB23" s="494" t="s">
        <v>5463</v>
      </c>
      <c r="BC23" s="496" t="s">
        <v>5464</v>
      </c>
      <c r="BD23" s="496" t="s">
        <v>1818</v>
      </c>
      <c r="BE23" s="497">
        <v>41729</v>
      </c>
      <c r="BF23" s="498">
        <v>1244.9707999999998</v>
      </c>
      <c r="BG23" s="488">
        <v>1244.9707999999998</v>
      </c>
      <c r="BH23" s="488">
        <v>0</v>
      </c>
      <c r="BI23" s="488">
        <v>0.32</v>
      </c>
      <c r="BJ23" s="494" t="s">
        <v>1465</v>
      </c>
      <c r="BK23" s="401"/>
    </row>
    <row r="24" spans="1:63" ht="112.5">
      <c r="A24" s="401">
        <v>1</v>
      </c>
      <c r="B24" s="494" t="s">
        <v>5330</v>
      </c>
      <c r="C24" s="401" t="s">
        <v>83</v>
      </c>
      <c r="D24" s="401" t="s">
        <v>242</v>
      </c>
      <c r="E24" s="494" t="s">
        <v>5853</v>
      </c>
      <c r="F24" s="401" t="s">
        <v>1768</v>
      </c>
      <c r="G24" s="401" t="s">
        <v>1769</v>
      </c>
      <c r="H24" s="499">
        <v>854715</v>
      </c>
      <c r="I24" s="486" t="s">
        <v>5331</v>
      </c>
      <c r="J24" s="496" t="s">
        <v>5317</v>
      </c>
      <c r="K24" s="496" t="s">
        <v>5317</v>
      </c>
      <c r="L24" s="496" t="s">
        <v>2513</v>
      </c>
      <c r="M24" s="500" t="s">
        <v>1755</v>
      </c>
      <c r="N24" s="496" t="s">
        <v>1773</v>
      </c>
      <c r="O24" s="496" t="s">
        <v>2234</v>
      </c>
      <c r="P24" s="489">
        <v>965.6099999999999</v>
      </c>
      <c r="Q24" s="489">
        <f t="shared" si="38"/>
        <v>1139.4197999999999</v>
      </c>
      <c r="R24" s="489">
        <v>696.21010317524019</v>
      </c>
      <c r="S24" s="401" t="s">
        <v>1774</v>
      </c>
      <c r="T24" s="501">
        <v>1.087</v>
      </c>
      <c r="U24" s="501">
        <v>1.077</v>
      </c>
      <c r="V24" s="501">
        <v>1.073</v>
      </c>
      <c r="W24" s="501">
        <v>1.071</v>
      </c>
      <c r="X24" s="596">
        <v>0.9</v>
      </c>
      <c r="Y24" s="502">
        <v>842.98</v>
      </c>
      <c r="Z24" s="489">
        <f t="shared" si="39"/>
        <v>994.71640000000002</v>
      </c>
      <c r="AA24" s="489">
        <v>903.45899999999995</v>
      </c>
      <c r="AB24" s="488">
        <f t="shared" si="40"/>
        <v>1066.0816199999999</v>
      </c>
      <c r="AC24" s="492">
        <f t="shared" si="41"/>
        <v>842.98</v>
      </c>
      <c r="AD24" s="493">
        <f t="shared" si="42"/>
        <v>994.71640000000002</v>
      </c>
      <c r="AE24" s="494" t="s">
        <v>1775</v>
      </c>
      <c r="AF24" s="494" t="s">
        <v>83</v>
      </c>
      <c r="AG24" s="494" t="s">
        <v>211</v>
      </c>
      <c r="AH24" s="494" t="s">
        <v>545</v>
      </c>
      <c r="AI24" s="495">
        <v>41685</v>
      </c>
      <c r="AJ24" s="495">
        <v>41720</v>
      </c>
      <c r="AK24" s="494" t="s">
        <v>96</v>
      </c>
      <c r="AL24" s="494" t="s">
        <v>96</v>
      </c>
      <c r="AM24" s="496" t="s">
        <v>1846</v>
      </c>
      <c r="AN24" s="496" t="s">
        <v>1757</v>
      </c>
      <c r="AO24" s="494">
        <v>796</v>
      </c>
      <c r="AP24" s="494" t="s">
        <v>368</v>
      </c>
      <c r="AQ24" s="494">
        <v>1</v>
      </c>
      <c r="AR24" s="494">
        <v>45</v>
      </c>
      <c r="AS24" s="496" t="s">
        <v>547</v>
      </c>
      <c r="AT24" s="495">
        <v>41740</v>
      </c>
      <c r="AU24" s="495">
        <v>41740</v>
      </c>
      <c r="AV24" s="495">
        <v>41820</v>
      </c>
      <c r="AW24" s="494">
        <v>2014</v>
      </c>
      <c r="AX24" s="496"/>
      <c r="AY24" s="494" t="s">
        <v>186</v>
      </c>
      <c r="AZ24" s="494"/>
      <c r="BA24" s="494">
        <v>2014</v>
      </c>
      <c r="BB24" s="494" t="s">
        <v>5465</v>
      </c>
      <c r="BC24" s="496" t="s">
        <v>5466</v>
      </c>
      <c r="BD24" s="496" t="s">
        <v>1818</v>
      </c>
      <c r="BE24" s="497">
        <v>41820</v>
      </c>
      <c r="BF24" s="498">
        <v>1271.981</v>
      </c>
      <c r="BG24" s="488">
        <v>1271.981</v>
      </c>
      <c r="BH24" s="488">
        <v>0</v>
      </c>
      <c r="BI24" s="488">
        <v>0.3</v>
      </c>
      <c r="BJ24" s="494" t="s">
        <v>1465</v>
      </c>
      <c r="BK24" s="401"/>
    </row>
    <row r="25" spans="1:63" ht="112.5">
      <c r="A25" s="401">
        <v>1</v>
      </c>
      <c r="B25" s="494" t="s">
        <v>5332</v>
      </c>
      <c r="C25" s="401" t="s">
        <v>83</v>
      </c>
      <c r="D25" s="401" t="s">
        <v>242</v>
      </c>
      <c r="E25" s="494" t="s">
        <v>5853</v>
      </c>
      <c r="F25" s="401" t="s">
        <v>1768</v>
      </c>
      <c r="G25" s="401" t="s">
        <v>1769</v>
      </c>
      <c r="H25" s="499">
        <v>854716</v>
      </c>
      <c r="I25" s="486" t="s">
        <v>5333</v>
      </c>
      <c r="J25" s="496" t="s">
        <v>5317</v>
      </c>
      <c r="K25" s="496" t="s">
        <v>5317</v>
      </c>
      <c r="L25" s="496" t="s">
        <v>2513</v>
      </c>
      <c r="M25" s="500" t="s">
        <v>1755</v>
      </c>
      <c r="N25" s="496" t="s">
        <v>1773</v>
      </c>
      <c r="O25" s="496" t="s">
        <v>2234</v>
      </c>
      <c r="P25" s="489">
        <v>981.59999999999991</v>
      </c>
      <c r="Q25" s="489">
        <f t="shared" si="38"/>
        <v>1158.2879999999998</v>
      </c>
      <c r="R25" s="489">
        <v>702.98489199151857</v>
      </c>
      <c r="S25" s="401" t="s">
        <v>1774</v>
      </c>
      <c r="T25" s="501">
        <v>1.087</v>
      </c>
      <c r="U25" s="501">
        <v>1.077</v>
      </c>
      <c r="V25" s="501">
        <v>1.073</v>
      </c>
      <c r="W25" s="501">
        <v>1.071</v>
      </c>
      <c r="X25" s="596">
        <v>0.9</v>
      </c>
      <c r="Y25" s="502">
        <v>851.18299999999999</v>
      </c>
      <c r="Z25" s="489">
        <f t="shared" si="39"/>
        <v>1004.3959399999999</v>
      </c>
      <c r="AA25" s="489">
        <v>918.32100000000003</v>
      </c>
      <c r="AB25" s="488">
        <f t="shared" si="40"/>
        <v>1083.61878</v>
      </c>
      <c r="AC25" s="492">
        <f t="shared" si="41"/>
        <v>851.18299999999999</v>
      </c>
      <c r="AD25" s="493">
        <f t="shared" si="42"/>
        <v>1004.3959399999999</v>
      </c>
      <c r="AE25" s="494" t="s">
        <v>1775</v>
      </c>
      <c r="AF25" s="494" t="s">
        <v>83</v>
      </c>
      <c r="AG25" s="494" t="s">
        <v>211</v>
      </c>
      <c r="AH25" s="494" t="s">
        <v>545</v>
      </c>
      <c r="AI25" s="495">
        <v>41659</v>
      </c>
      <c r="AJ25" s="495">
        <v>41694</v>
      </c>
      <c r="AK25" s="494" t="s">
        <v>96</v>
      </c>
      <c r="AL25" s="494" t="s">
        <v>96</v>
      </c>
      <c r="AM25" s="496" t="s">
        <v>1846</v>
      </c>
      <c r="AN25" s="496" t="s">
        <v>1757</v>
      </c>
      <c r="AO25" s="494">
        <v>796</v>
      </c>
      <c r="AP25" s="494" t="s">
        <v>368</v>
      </c>
      <c r="AQ25" s="494">
        <v>1</v>
      </c>
      <c r="AR25" s="494">
        <v>45</v>
      </c>
      <c r="AS25" s="496" t="s">
        <v>547</v>
      </c>
      <c r="AT25" s="495">
        <v>41714</v>
      </c>
      <c r="AU25" s="495">
        <v>41714</v>
      </c>
      <c r="AV25" s="495">
        <v>41729</v>
      </c>
      <c r="AW25" s="494">
        <v>2014</v>
      </c>
      <c r="AX25" s="496"/>
      <c r="AY25" s="494" t="s">
        <v>186</v>
      </c>
      <c r="AZ25" s="494"/>
      <c r="BA25" s="494">
        <v>2014</v>
      </c>
      <c r="BB25" s="494" t="s">
        <v>5467</v>
      </c>
      <c r="BC25" s="496" t="s">
        <v>5468</v>
      </c>
      <c r="BD25" s="496" t="s">
        <v>1818</v>
      </c>
      <c r="BE25" s="497">
        <v>41729</v>
      </c>
      <c r="BF25" s="498">
        <v>1293.0321999999999</v>
      </c>
      <c r="BG25" s="488">
        <v>1293.0321999999999</v>
      </c>
      <c r="BH25" s="488">
        <v>0</v>
      </c>
      <c r="BI25" s="488">
        <v>0.33</v>
      </c>
      <c r="BJ25" s="494" t="s">
        <v>1465</v>
      </c>
      <c r="BK25" s="401"/>
    </row>
    <row r="26" spans="1:63" ht="112.5">
      <c r="A26" s="401">
        <v>1</v>
      </c>
      <c r="B26" s="494" t="s">
        <v>5334</v>
      </c>
      <c r="C26" s="401" t="s">
        <v>83</v>
      </c>
      <c r="D26" s="401" t="s">
        <v>242</v>
      </c>
      <c r="E26" s="494" t="s">
        <v>5853</v>
      </c>
      <c r="F26" s="401" t="s">
        <v>1768</v>
      </c>
      <c r="G26" s="401" t="s">
        <v>1769</v>
      </c>
      <c r="H26" s="499">
        <v>854717</v>
      </c>
      <c r="I26" s="486" t="s">
        <v>5335</v>
      </c>
      <c r="J26" s="496" t="s">
        <v>5317</v>
      </c>
      <c r="K26" s="496" t="s">
        <v>5317</v>
      </c>
      <c r="L26" s="496" t="s">
        <v>1825</v>
      </c>
      <c r="M26" s="500" t="s">
        <v>1755</v>
      </c>
      <c r="N26" s="496" t="s">
        <v>1773</v>
      </c>
      <c r="O26" s="496" t="s">
        <v>2234</v>
      </c>
      <c r="P26" s="489">
        <v>1552.19</v>
      </c>
      <c r="Q26" s="489">
        <f t="shared" si="38"/>
        <v>1831.5842</v>
      </c>
      <c r="R26" s="489">
        <v>1119.1657107081639</v>
      </c>
      <c r="S26" s="401" t="s">
        <v>1774</v>
      </c>
      <c r="T26" s="501">
        <v>1.087</v>
      </c>
      <c r="U26" s="501">
        <v>1.077</v>
      </c>
      <c r="V26" s="501">
        <v>1.073</v>
      </c>
      <c r="W26" s="501">
        <v>1.071</v>
      </c>
      <c r="X26" s="596">
        <v>0.9</v>
      </c>
      <c r="Y26" s="502">
        <v>1355.1</v>
      </c>
      <c r="Z26" s="489">
        <f t="shared" si="39"/>
        <v>1599.0179999999998</v>
      </c>
      <c r="AA26" s="489">
        <v>1452.2159999999999</v>
      </c>
      <c r="AB26" s="488">
        <f t="shared" si="40"/>
        <v>1713.6148799999999</v>
      </c>
      <c r="AC26" s="492">
        <f t="shared" si="41"/>
        <v>1355.1</v>
      </c>
      <c r="AD26" s="493">
        <f t="shared" si="42"/>
        <v>1599.0179999999998</v>
      </c>
      <c r="AE26" s="494" t="s">
        <v>1775</v>
      </c>
      <c r="AF26" s="494" t="s">
        <v>83</v>
      </c>
      <c r="AG26" s="494" t="s">
        <v>211</v>
      </c>
      <c r="AH26" s="494" t="s">
        <v>545</v>
      </c>
      <c r="AI26" s="495">
        <v>41699</v>
      </c>
      <c r="AJ26" s="495">
        <v>41734</v>
      </c>
      <c r="AK26" s="494" t="s">
        <v>96</v>
      </c>
      <c r="AL26" s="494" t="s">
        <v>96</v>
      </c>
      <c r="AM26" s="496" t="s">
        <v>1846</v>
      </c>
      <c r="AN26" s="496" t="s">
        <v>1757</v>
      </c>
      <c r="AO26" s="494">
        <v>796</v>
      </c>
      <c r="AP26" s="494" t="s">
        <v>368</v>
      </c>
      <c r="AQ26" s="494">
        <v>1</v>
      </c>
      <c r="AR26" s="494">
        <v>45</v>
      </c>
      <c r="AS26" s="496" t="s">
        <v>547</v>
      </c>
      <c r="AT26" s="495">
        <v>41754</v>
      </c>
      <c r="AU26" s="495">
        <v>41754</v>
      </c>
      <c r="AV26" s="583">
        <v>41912</v>
      </c>
      <c r="AW26" s="494">
        <v>2014</v>
      </c>
      <c r="AX26" s="496"/>
      <c r="AY26" s="494" t="s">
        <v>186</v>
      </c>
      <c r="AZ26" s="494"/>
      <c r="BA26" s="494">
        <v>2014</v>
      </c>
      <c r="BB26" s="494" t="s">
        <v>5469</v>
      </c>
      <c r="BC26" s="496" t="s">
        <v>5470</v>
      </c>
      <c r="BD26" s="496" t="s">
        <v>1818</v>
      </c>
      <c r="BE26" s="497">
        <v>41912</v>
      </c>
      <c r="BF26" s="498">
        <v>2044.6568</v>
      </c>
      <c r="BG26" s="488">
        <v>2044.6568</v>
      </c>
      <c r="BH26" s="488">
        <v>0</v>
      </c>
      <c r="BI26" s="488">
        <v>0.8</v>
      </c>
      <c r="BJ26" s="494" t="s">
        <v>1465</v>
      </c>
      <c r="BK26" s="401"/>
    </row>
    <row r="27" spans="1:63" ht="112.5">
      <c r="A27" s="401">
        <v>1</v>
      </c>
      <c r="B27" s="494" t="s">
        <v>5336</v>
      </c>
      <c r="C27" s="401" t="s">
        <v>83</v>
      </c>
      <c r="D27" s="401" t="s">
        <v>242</v>
      </c>
      <c r="E27" s="494" t="s">
        <v>5853</v>
      </c>
      <c r="F27" s="401" t="s">
        <v>1768</v>
      </c>
      <c r="G27" s="401" t="s">
        <v>1769</v>
      </c>
      <c r="H27" s="499">
        <v>854718</v>
      </c>
      <c r="I27" s="486" t="s">
        <v>5337</v>
      </c>
      <c r="J27" s="496" t="s">
        <v>5317</v>
      </c>
      <c r="K27" s="496" t="s">
        <v>5317</v>
      </c>
      <c r="L27" s="496" t="s">
        <v>1825</v>
      </c>
      <c r="M27" s="500" t="s">
        <v>1755</v>
      </c>
      <c r="N27" s="496" t="s">
        <v>1773</v>
      </c>
      <c r="O27" s="496" t="s">
        <v>2234</v>
      </c>
      <c r="P27" s="489">
        <v>961.98627999999997</v>
      </c>
      <c r="Q27" s="489">
        <f t="shared" si="38"/>
        <v>1135.1438103999999</v>
      </c>
      <c r="R27" s="489">
        <v>693.33600039812814</v>
      </c>
      <c r="S27" s="401" t="s">
        <v>1774</v>
      </c>
      <c r="T27" s="501">
        <v>1.087</v>
      </c>
      <c r="U27" s="501">
        <v>1.077</v>
      </c>
      <c r="V27" s="501">
        <v>1.073</v>
      </c>
      <c r="W27" s="501">
        <v>1.071</v>
      </c>
      <c r="X27" s="596">
        <v>0.9</v>
      </c>
      <c r="Y27" s="502">
        <v>839.5</v>
      </c>
      <c r="Z27" s="489">
        <f t="shared" si="39"/>
        <v>990.6099999999999</v>
      </c>
      <c r="AA27" s="489">
        <v>900.29300000000001</v>
      </c>
      <c r="AB27" s="488">
        <f t="shared" si="40"/>
        <v>1062.34574</v>
      </c>
      <c r="AC27" s="492">
        <f t="shared" si="41"/>
        <v>839.5</v>
      </c>
      <c r="AD27" s="493">
        <f t="shared" si="42"/>
        <v>990.6099999999999</v>
      </c>
      <c r="AE27" s="494" t="s">
        <v>1775</v>
      </c>
      <c r="AF27" s="494" t="s">
        <v>83</v>
      </c>
      <c r="AG27" s="494" t="s">
        <v>211</v>
      </c>
      <c r="AH27" s="494" t="s">
        <v>545</v>
      </c>
      <c r="AI27" s="495">
        <v>41659</v>
      </c>
      <c r="AJ27" s="495">
        <v>41694</v>
      </c>
      <c r="AK27" s="494" t="s">
        <v>96</v>
      </c>
      <c r="AL27" s="494" t="s">
        <v>96</v>
      </c>
      <c r="AM27" s="496" t="s">
        <v>1846</v>
      </c>
      <c r="AN27" s="496" t="s">
        <v>1757</v>
      </c>
      <c r="AO27" s="494">
        <v>796</v>
      </c>
      <c r="AP27" s="494" t="s">
        <v>368</v>
      </c>
      <c r="AQ27" s="494">
        <v>1</v>
      </c>
      <c r="AR27" s="494">
        <v>45</v>
      </c>
      <c r="AS27" s="496" t="s">
        <v>547</v>
      </c>
      <c r="AT27" s="495">
        <v>41714</v>
      </c>
      <c r="AU27" s="495">
        <v>41714</v>
      </c>
      <c r="AV27" s="495">
        <v>41729</v>
      </c>
      <c r="AW27" s="494">
        <v>2014</v>
      </c>
      <c r="AX27" s="496"/>
      <c r="AY27" s="494" t="s">
        <v>186</v>
      </c>
      <c r="AZ27" s="494"/>
      <c r="BA27" s="494">
        <v>2014</v>
      </c>
      <c r="BB27" s="494" t="s">
        <v>5471</v>
      </c>
      <c r="BC27" s="496" t="s">
        <v>5472</v>
      </c>
      <c r="BD27" s="496" t="s">
        <v>1818</v>
      </c>
      <c r="BE27" s="497">
        <v>41729</v>
      </c>
      <c r="BF27" s="498">
        <v>1263.4495999999999</v>
      </c>
      <c r="BG27" s="488">
        <v>1263.4495999999999</v>
      </c>
      <c r="BH27" s="488">
        <v>0</v>
      </c>
      <c r="BI27" s="488">
        <v>0.3</v>
      </c>
      <c r="BJ27" s="494" t="s">
        <v>1465</v>
      </c>
      <c r="BK27" s="401"/>
    </row>
    <row r="28" spans="1:63" ht="112.5">
      <c r="A28" s="401">
        <v>1</v>
      </c>
      <c r="B28" s="494" t="s">
        <v>5338</v>
      </c>
      <c r="C28" s="401" t="s">
        <v>83</v>
      </c>
      <c r="D28" s="401" t="s">
        <v>242</v>
      </c>
      <c r="E28" s="494" t="s">
        <v>5853</v>
      </c>
      <c r="F28" s="401" t="s">
        <v>1768</v>
      </c>
      <c r="G28" s="401" t="s">
        <v>1769</v>
      </c>
      <c r="H28" s="499">
        <v>854719</v>
      </c>
      <c r="I28" s="486" t="s">
        <v>5339</v>
      </c>
      <c r="J28" s="496" t="s">
        <v>5317</v>
      </c>
      <c r="K28" s="496" t="s">
        <v>5317</v>
      </c>
      <c r="L28" s="496" t="s">
        <v>1825</v>
      </c>
      <c r="M28" s="500" t="s">
        <v>1755</v>
      </c>
      <c r="N28" s="496" t="s">
        <v>1773</v>
      </c>
      <c r="O28" s="496" t="s">
        <v>2234</v>
      </c>
      <c r="P28" s="489">
        <v>947.91422</v>
      </c>
      <c r="Q28" s="489">
        <f t="shared" si="38"/>
        <v>1118.5387796</v>
      </c>
      <c r="R28" s="489">
        <v>683.19405151797457</v>
      </c>
      <c r="S28" s="401" t="s">
        <v>1774</v>
      </c>
      <c r="T28" s="501">
        <v>1.087</v>
      </c>
      <c r="U28" s="501">
        <v>1.077</v>
      </c>
      <c r="V28" s="501">
        <v>1.073</v>
      </c>
      <c r="W28" s="501">
        <v>1.071</v>
      </c>
      <c r="X28" s="596">
        <v>0.9</v>
      </c>
      <c r="Y28" s="502">
        <v>827.22</v>
      </c>
      <c r="Z28" s="489">
        <f t="shared" si="39"/>
        <v>976.11959999999999</v>
      </c>
      <c r="AA28" s="489">
        <v>886.99300000000005</v>
      </c>
      <c r="AB28" s="488">
        <f t="shared" si="40"/>
        <v>1046.65174</v>
      </c>
      <c r="AC28" s="492">
        <f t="shared" si="41"/>
        <v>827.22</v>
      </c>
      <c r="AD28" s="493">
        <f t="shared" si="42"/>
        <v>976.11959999999999</v>
      </c>
      <c r="AE28" s="494" t="s">
        <v>1775</v>
      </c>
      <c r="AF28" s="494" t="s">
        <v>83</v>
      </c>
      <c r="AG28" s="494" t="s">
        <v>211</v>
      </c>
      <c r="AH28" s="494" t="s">
        <v>545</v>
      </c>
      <c r="AI28" s="495">
        <v>41671</v>
      </c>
      <c r="AJ28" s="495">
        <v>41706</v>
      </c>
      <c r="AK28" s="494" t="s">
        <v>96</v>
      </c>
      <c r="AL28" s="494" t="s">
        <v>96</v>
      </c>
      <c r="AM28" s="496" t="s">
        <v>1846</v>
      </c>
      <c r="AN28" s="496" t="s">
        <v>1757</v>
      </c>
      <c r="AO28" s="494">
        <v>796</v>
      </c>
      <c r="AP28" s="494" t="s">
        <v>368</v>
      </c>
      <c r="AQ28" s="494">
        <v>1</v>
      </c>
      <c r="AR28" s="494">
        <v>45</v>
      </c>
      <c r="AS28" s="496" t="s">
        <v>547</v>
      </c>
      <c r="AT28" s="495">
        <v>41726</v>
      </c>
      <c r="AU28" s="495">
        <v>41726</v>
      </c>
      <c r="AV28" s="495">
        <v>41820</v>
      </c>
      <c r="AW28" s="494">
        <v>2014</v>
      </c>
      <c r="AX28" s="496"/>
      <c r="AY28" s="494" t="s">
        <v>186</v>
      </c>
      <c r="AZ28" s="494"/>
      <c r="BA28" s="494">
        <v>2014</v>
      </c>
      <c r="BB28" s="494" t="s">
        <v>5473</v>
      </c>
      <c r="BC28" s="496" t="s">
        <v>5474</v>
      </c>
      <c r="BD28" s="496" t="s">
        <v>1818</v>
      </c>
      <c r="BE28" s="497">
        <v>41820</v>
      </c>
      <c r="BF28" s="498">
        <v>1244.9730538000001</v>
      </c>
      <c r="BG28" s="488">
        <v>1244.9730538000001</v>
      </c>
      <c r="BH28" s="488">
        <v>0</v>
      </c>
      <c r="BI28" s="488">
        <v>0.32</v>
      </c>
      <c r="BJ28" s="494" t="s">
        <v>1465</v>
      </c>
      <c r="BK28" s="401"/>
    </row>
    <row r="29" spans="1:63" ht="131.25">
      <c r="A29" s="401">
        <v>1</v>
      </c>
      <c r="B29" s="494" t="s">
        <v>5340</v>
      </c>
      <c r="C29" s="401" t="s">
        <v>83</v>
      </c>
      <c r="D29" s="401" t="s">
        <v>242</v>
      </c>
      <c r="E29" s="494" t="s">
        <v>5853</v>
      </c>
      <c r="F29" s="401" t="s">
        <v>1768</v>
      </c>
      <c r="G29" s="401" t="s">
        <v>1769</v>
      </c>
      <c r="H29" s="499">
        <v>854720</v>
      </c>
      <c r="I29" s="486" t="s">
        <v>5341</v>
      </c>
      <c r="J29" s="496" t="s">
        <v>2237</v>
      </c>
      <c r="K29" s="496" t="s">
        <v>2237</v>
      </c>
      <c r="L29" s="496" t="s">
        <v>1825</v>
      </c>
      <c r="M29" s="500" t="s">
        <v>1755</v>
      </c>
      <c r="N29" s="496" t="s">
        <v>1773</v>
      </c>
      <c r="O29" s="496" t="s">
        <v>2234</v>
      </c>
      <c r="P29" s="489">
        <v>978.19766000000004</v>
      </c>
      <c r="Q29" s="489">
        <f t="shared" si="38"/>
        <v>1154.2732387999999</v>
      </c>
      <c r="R29" s="489">
        <v>670.83045422677742</v>
      </c>
      <c r="S29" s="401" t="s">
        <v>1774</v>
      </c>
      <c r="T29" s="501">
        <v>1.087</v>
      </c>
      <c r="U29" s="501">
        <v>1.077</v>
      </c>
      <c r="V29" s="501">
        <v>1.073</v>
      </c>
      <c r="W29" s="501">
        <v>1.071</v>
      </c>
      <c r="X29" s="596">
        <v>0.9</v>
      </c>
      <c r="Y29" s="502">
        <v>812.25</v>
      </c>
      <c r="Z29" s="489">
        <f t="shared" si="39"/>
        <v>958.45499999999993</v>
      </c>
      <c r="AA29" s="489">
        <v>866.34</v>
      </c>
      <c r="AB29" s="488">
        <f t="shared" si="40"/>
        <v>1022.2812</v>
      </c>
      <c r="AC29" s="492">
        <f t="shared" si="41"/>
        <v>812.25</v>
      </c>
      <c r="AD29" s="493">
        <f t="shared" si="42"/>
        <v>958.45499999999993</v>
      </c>
      <c r="AE29" s="494" t="s">
        <v>1775</v>
      </c>
      <c r="AF29" s="494" t="s">
        <v>83</v>
      </c>
      <c r="AG29" s="494" t="s">
        <v>211</v>
      </c>
      <c r="AH29" s="494" t="s">
        <v>545</v>
      </c>
      <c r="AI29" s="495">
        <v>41671</v>
      </c>
      <c r="AJ29" s="495">
        <v>41706</v>
      </c>
      <c r="AK29" s="494" t="s">
        <v>96</v>
      </c>
      <c r="AL29" s="494" t="s">
        <v>96</v>
      </c>
      <c r="AM29" s="496" t="s">
        <v>2238</v>
      </c>
      <c r="AN29" s="496" t="s">
        <v>1757</v>
      </c>
      <c r="AO29" s="494">
        <v>796</v>
      </c>
      <c r="AP29" s="494" t="s">
        <v>368</v>
      </c>
      <c r="AQ29" s="494">
        <v>1</v>
      </c>
      <c r="AR29" s="494">
        <v>45</v>
      </c>
      <c r="AS29" s="496" t="s">
        <v>547</v>
      </c>
      <c r="AT29" s="495">
        <v>41726</v>
      </c>
      <c r="AU29" s="495">
        <v>41726</v>
      </c>
      <c r="AV29" s="495">
        <v>41820</v>
      </c>
      <c r="AW29" s="494">
        <v>2014</v>
      </c>
      <c r="AX29" s="496"/>
      <c r="AY29" s="494" t="s">
        <v>186</v>
      </c>
      <c r="AZ29" s="494"/>
      <c r="BA29" s="494">
        <v>2014</v>
      </c>
      <c r="BB29" s="494" t="s">
        <v>5475</v>
      </c>
      <c r="BC29" s="496" t="s">
        <v>5476</v>
      </c>
      <c r="BD29" s="496" t="s">
        <v>1818</v>
      </c>
      <c r="BE29" s="497">
        <v>41820</v>
      </c>
      <c r="BF29" s="498">
        <v>1279.1435999999999</v>
      </c>
      <c r="BG29" s="488">
        <v>1279.1435999999999</v>
      </c>
      <c r="BH29" s="488">
        <v>0</v>
      </c>
      <c r="BI29" s="488">
        <v>0.375</v>
      </c>
      <c r="BJ29" s="494" t="s">
        <v>1465</v>
      </c>
      <c r="BK29" s="401"/>
    </row>
    <row r="30" spans="1:63" ht="112.5">
      <c r="A30" s="401">
        <v>1</v>
      </c>
      <c r="B30" s="494" t="s">
        <v>5342</v>
      </c>
      <c r="C30" s="401" t="s">
        <v>83</v>
      </c>
      <c r="D30" s="401" t="s">
        <v>242</v>
      </c>
      <c r="E30" s="494" t="s">
        <v>5853</v>
      </c>
      <c r="F30" s="401" t="s">
        <v>1768</v>
      </c>
      <c r="G30" s="401" t="s">
        <v>1769</v>
      </c>
      <c r="H30" s="499">
        <v>854721</v>
      </c>
      <c r="I30" s="486" t="s">
        <v>5343</v>
      </c>
      <c r="J30" s="496" t="s">
        <v>5317</v>
      </c>
      <c r="K30" s="496" t="s">
        <v>5317</v>
      </c>
      <c r="L30" s="496" t="s">
        <v>1825</v>
      </c>
      <c r="M30" s="500" t="s">
        <v>1755</v>
      </c>
      <c r="N30" s="496" t="s">
        <v>1773</v>
      </c>
      <c r="O30" s="496" t="s">
        <v>2234</v>
      </c>
      <c r="P30" s="489">
        <v>961.98627999999997</v>
      </c>
      <c r="Q30" s="489">
        <f t="shared" si="38"/>
        <v>1135.1438103999999</v>
      </c>
      <c r="R30" s="489">
        <v>689.39484567043337</v>
      </c>
      <c r="S30" s="401" t="s">
        <v>1774</v>
      </c>
      <c r="T30" s="501">
        <v>1.087</v>
      </c>
      <c r="U30" s="501">
        <v>1.077</v>
      </c>
      <c r="V30" s="501">
        <v>1.073</v>
      </c>
      <c r="W30" s="501">
        <v>1.071</v>
      </c>
      <c r="X30" s="596">
        <v>0.9</v>
      </c>
      <c r="Y30" s="502">
        <v>834.72799999999995</v>
      </c>
      <c r="Z30" s="489">
        <f t="shared" si="39"/>
        <v>984.97903999999994</v>
      </c>
      <c r="AA30" s="489">
        <v>900.29300000000001</v>
      </c>
      <c r="AB30" s="488">
        <f t="shared" si="40"/>
        <v>1062.34574</v>
      </c>
      <c r="AC30" s="492">
        <f t="shared" si="41"/>
        <v>834.72799999999995</v>
      </c>
      <c r="AD30" s="493">
        <f t="shared" si="42"/>
        <v>984.97903999999994</v>
      </c>
      <c r="AE30" s="494" t="s">
        <v>1775</v>
      </c>
      <c r="AF30" s="494" t="s">
        <v>83</v>
      </c>
      <c r="AG30" s="494" t="s">
        <v>211</v>
      </c>
      <c r="AH30" s="494" t="s">
        <v>545</v>
      </c>
      <c r="AI30" s="495">
        <v>41659</v>
      </c>
      <c r="AJ30" s="495">
        <v>41694</v>
      </c>
      <c r="AK30" s="494" t="s">
        <v>96</v>
      </c>
      <c r="AL30" s="494" t="s">
        <v>96</v>
      </c>
      <c r="AM30" s="496" t="s">
        <v>1846</v>
      </c>
      <c r="AN30" s="496" t="s">
        <v>1757</v>
      </c>
      <c r="AO30" s="494">
        <v>796</v>
      </c>
      <c r="AP30" s="494" t="s">
        <v>368</v>
      </c>
      <c r="AQ30" s="494">
        <v>1</v>
      </c>
      <c r="AR30" s="494">
        <v>45</v>
      </c>
      <c r="AS30" s="496" t="s">
        <v>547</v>
      </c>
      <c r="AT30" s="495">
        <v>41714</v>
      </c>
      <c r="AU30" s="495">
        <v>41714</v>
      </c>
      <c r="AV30" s="495">
        <v>41729</v>
      </c>
      <c r="AW30" s="494">
        <v>2014</v>
      </c>
      <c r="AX30" s="496"/>
      <c r="AY30" s="494" t="s">
        <v>186</v>
      </c>
      <c r="AZ30" s="494"/>
      <c r="BA30" s="494">
        <v>2014</v>
      </c>
      <c r="BB30" s="494" t="s">
        <v>5477</v>
      </c>
      <c r="BC30" s="496" t="s">
        <v>5478</v>
      </c>
      <c r="BD30" s="496" t="s">
        <v>1818</v>
      </c>
      <c r="BE30" s="497">
        <v>41729</v>
      </c>
      <c r="BF30" s="498">
        <v>1263.4495999999999</v>
      </c>
      <c r="BG30" s="488">
        <v>1263.4495999999999</v>
      </c>
      <c r="BH30" s="488">
        <v>0</v>
      </c>
      <c r="BI30" s="488">
        <v>0.3</v>
      </c>
      <c r="BJ30" s="494" t="s">
        <v>1465</v>
      </c>
      <c r="BK30" s="401"/>
    </row>
    <row r="31" spans="1:63" ht="112.5">
      <c r="A31" s="401">
        <v>1</v>
      </c>
      <c r="B31" s="494" t="s">
        <v>5344</v>
      </c>
      <c r="C31" s="401" t="s">
        <v>83</v>
      </c>
      <c r="D31" s="401" t="s">
        <v>242</v>
      </c>
      <c r="E31" s="494" t="s">
        <v>5853</v>
      </c>
      <c r="F31" s="401" t="s">
        <v>1768</v>
      </c>
      <c r="G31" s="401" t="s">
        <v>1769</v>
      </c>
      <c r="H31" s="499">
        <v>854722</v>
      </c>
      <c r="I31" s="486" t="s">
        <v>5345</v>
      </c>
      <c r="J31" s="496" t="s">
        <v>5317</v>
      </c>
      <c r="K31" s="496" t="s">
        <v>5317</v>
      </c>
      <c r="L31" s="496" t="s">
        <v>1825</v>
      </c>
      <c r="M31" s="500" t="s">
        <v>1755</v>
      </c>
      <c r="N31" s="496" t="s">
        <v>1773</v>
      </c>
      <c r="O31" s="496" t="s">
        <v>2234</v>
      </c>
      <c r="P31" s="489">
        <v>961.98627999999997</v>
      </c>
      <c r="Q31" s="489">
        <f t="shared" si="38"/>
        <v>1135.1438103999999</v>
      </c>
      <c r="R31" s="489">
        <v>698.9317628803409</v>
      </c>
      <c r="S31" s="401" t="s">
        <v>1774</v>
      </c>
      <c r="T31" s="501">
        <v>1.087</v>
      </c>
      <c r="U31" s="501">
        <v>1.077</v>
      </c>
      <c r="V31" s="501">
        <v>1.073</v>
      </c>
      <c r="W31" s="501">
        <v>1.071</v>
      </c>
      <c r="X31" s="596">
        <v>0.9</v>
      </c>
      <c r="Y31" s="502">
        <v>846.27541999999994</v>
      </c>
      <c r="Z31" s="489">
        <f t="shared" si="39"/>
        <v>998.60499559999982</v>
      </c>
      <c r="AA31" s="489">
        <v>900.29300000000001</v>
      </c>
      <c r="AB31" s="488">
        <f t="shared" si="40"/>
        <v>1062.34574</v>
      </c>
      <c r="AC31" s="492">
        <f t="shared" si="41"/>
        <v>846.27541999999994</v>
      </c>
      <c r="AD31" s="493">
        <f t="shared" si="42"/>
        <v>998.60499559999982</v>
      </c>
      <c r="AE31" s="494" t="s">
        <v>1775</v>
      </c>
      <c r="AF31" s="494" t="s">
        <v>83</v>
      </c>
      <c r="AG31" s="494" t="s">
        <v>211</v>
      </c>
      <c r="AH31" s="494" t="s">
        <v>545</v>
      </c>
      <c r="AI31" s="495">
        <v>41659</v>
      </c>
      <c r="AJ31" s="495">
        <v>41694</v>
      </c>
      <c r="AK31" s="494" t="s">
        <v>96</v>
      </c>
      <c r="AL31" s="494" t="s">
        <v>96</v>
      </c>
      <c r="AM31" s="496" t="s">
        <v>1846</v>
      </c>
      <c r="AN31" s="496" t="s">
        <v>1757</v>
      </c>
      <c r="AO31" s="494">
        <v>796</v>
      </c>
      <c r="AP31" s="494" t="s">
        <v>368</v>
      </c>
      <c r="AQ31" s="494">
        <v>1</v>
      </c>
      <c r="AR31" s="494">
        <v>45</v>
      </c>
      <c r="AS31" s="496" t="s">
        <v>547</v>
      </c>
      <c r="AT31" s="495">
        <v>41714</v>
      </c>
      <c r="AU31" s="495">
        <v>41714</v>
      </c>
      <c r="AV31" s="495">
        <v>41729</v>
      </c>
      <c r="AW31" s="494">
        <v>2014</v>
      </c>
      <c r="AX31" s="496"/>
      <c r="AY31" s="494" t="s">
        <v>186</v>
      </c>
      <c r="AZ31" s="494"/>
      <c r="BA31" s="494">
        <v>2014</v>
      </c>
      <c r="BB31" s="494" t="s">
        <v>5479</v>
      </c>
      <c r="BC31" s="496" t="s">
        <v>5480</v>
      </c>
      <c r="BD31" s="496" t="s">
        <v>1818</v>
      </c>
      <c r="BE31" s="497">
        <v>41729</v>
      </c>
      <c r="BF31" s="498">
        <v>1263.4495999999999</v>
      </c>
      <c r="BG31" s="488">
        <v>1263.4495999999999</v>
      </c>
      <c r="BH31" s="488">
        <v>0</v>
      </c>
      <c r="BI31" s="488">
        <v>0.3</v>
      </c>
      <c r="BJ31" s="494" t="s">
        <v>1465</v>
      </c>
      <c r="BK31" s="401"/>
    </row>
    <row r="32" spans="1:63" ht="112.5">
      <c r="A32" s="401">
        <v>1</v>
      </c>
      <c r="B32" s="494" t="s">
        <v>5346</v>
      </c>
      <c r="C32" s="401" t="s">
        <v>83</v>
      </c>
      <c r="D32" s="401" t="s">
        <v>242</v>
      </c>
      <c r="E32" s="494" t="s">
        <v>5853</v>
      </c>
      <c r="F32" s="401" t="s">
        <v>1768</v>
      </c>
      <c r="G32" s="401" t="s">
        <v>1769</v>
      </c>
      <c r="H32" s="499">
        <v>854723</v>
      </c>
      <c r="I32" s="486" t="s">
        <v>5347</v>
      </c>
      <c r="J32" s="496" t="s">
        <v>5317</v>
      </c>
      <c r="K32" s="496" t="s">
        <v>5317</v>
      </c>
      <c r="L32" s="496" t="s">
        <v>1825</v>
      </c>
      <c r="M32" s="500" t="s">
        <v>1755</v>
      </c>
      <c r="N32" s="496" t="s">
        <v>1773</v>
      </c>
      <c r="O32" s="496" t="s">
        <v>2234</v>
      </c>
      <c r="P32" s="489">
        <v>927.75184999999999</v>
      </c>
      <c r="Q32" s="489">
        <f t="shared" si="38"/>
        <v>1094.7471829999999</v>
      </c>
      <c r="R32" s="489">
        <v>668.81527871638843</v>
      </c>
      <c r="S32" s="401" t="s">
        <v>1774</v>
      </c>
      <c r="T32" s="501">
        <v>1.087</v>
      </c>
      <c r="U32" s="501">
        <v>1.077</v>
      </c>
      <c r="V32" s="501">
        <v>1.073</v>
      </c>
      <c r="W32" s="501">
        <v>1.071</v>
      </c>
      <c r="X32" s="596">
        <v>0.9</v>
      </c>
      <c r="Y32" s="502">
        <v>809.81</v>
      </c>
      <c r="Z32" s="489">
        <f t="shared" si="39"/>
        <v>955.57579999999984</v>
      </c>
      <c r="AA32" s="489">
        <v>868.529</v>
      </c>
      <c r="AB32" s="488">
        <f t="shared" si="40"/>
        <v>1024.8642199999999</v>
      </c>
      <c r="AC32" s="492">
        <f t="shared" si="41"/>
        <v>809.81</v>
      </c>
      <c r="AD32" s="493">
        <f t="shared" si="42"/>
        <v>955.57579999999984</v>
      </c>
      <c r="AE32" s="494" t="s">
        <v>1775</v>
      </c>
      <c r="AF32" s="494" t="s">
        <v>83</v>
      </c>
      <c r="AG32" s="494" t="s">
        <v>211</v>
      </c>
      <c r="AH32" s="494" t="s">
        <v>545</v>
      </c>
      <c r="AI32" s="495">
        <v>41671</v>
      </c>
      <c r="AJ32" s="495">
        <v>41706</v>
      </c>
      <c r="AK32" s="494" t="s">
        <v>96</v>
      </c>
      <c r="AL32" s="494" t="s">
        <v>96</v>
      </c>
      <c r="AM32" s="496" t="s">
        <v>1846</v>
      </c>
      <c r="AN32" s="496" t="s">
        <v>1757</v>
      </c>
      <c r="AO32" s="494">
        <v>796</v>
      </c>
      <c r="AP32" s="494" t="s">
        <v>368</v>
      </c>
      <c r="AQ32" s="494">
        <v>1</v>
      </c>
      <c r="AR32" s="494">
        <v>45</v>
      </c>
      <c r="AS32" s="496" t="s">
        <v>547</v>
      </c>
      <c r="AT32" s="495">
        <v>41726</v>
      </c>
      <c r="AU32" s="495">
        <v>41726</v>
      </c>
      <c r="AV32" s="495">
        <v>41820</v>
      </c>
      <c r="AW32" s="494">
        <v>2014</v>
      </c>
      <c r="AX32" s="496"/>
      <c r="AY32" s="494" t="s">
        <v>186</v>
      </c>
      <c r="AZ32" s="494"/>
      <c r="BA32" s="494">
        <v>2014</v>
      </c>
      <c r="BB32" s="494" t="s">
        <v>5481</v>
      </c>
      <c r="BC32" s="496" t="s">
        <v>5482</v>
      </c>
      <c r="BD32" s="496" t="s">
        <v>1818</v>
      </c>
      <c r="BE32" s="497">
        <v>41820</v>
      </c>
      <c r="BF32" s="498">
        <v>1216.3321999999998</v>
      </c>
      <c r="BG32" s="488">
        <v>1216.3321999999998</v>
      </c>
      <c r="BH32" s="488">
        <v>0</v>
      </c>
      <c r="BI32" s="488">
        <v>0.3</v>
      </c>
      <c r="BJ32" s="494" t="s">
        <v>1465</v>
      </c>
      <c r="BK32" s="401"/>
    </row>
    <row r="33" spans="1:63" ht="112.5">
      <c r="A33" s="401">
        <v>1</v>
      </c>
      <c r="B33" s="494" t="s">
        <v>5348</v>
      </c>
      <c r="C33" s="401" t="s">
        <v>83</v>
      </c>
      <c r="D33" s="401" t="s">
        <v>242</v>
      </c>
      <c r="E33" s="494" t="s">
        <v>5853</v>
      </c>
      <c r="F33" s="401" t="s">
        <v>1768</v>
      </c>
      <c r="G33" s="401" t="s">
        <v>1769</v>
      </c>
      <c r="H33" s="499">
        <v>854724</v>
      </c>
      <c r="I33" s="486" t="s">
        <v>5349</v>
      </c>
      <c r="J33" s="496" t="s">
        <v>5317</v>
      </c>
      <c r="K33" s="496" t="s">
        <v>5317</v>
      </c>
      <c r="L33" s="496" t="s">
        <v>1825</v>
      </c>
      <c r="M33" s="500" t="s">
        <v>1755</v>
      </c>
      <c r="N33" s="496" t="s">
        <v>1773</v>
      </c>
      <c r="O33" s="496" t="s">
        <v>2234</v>
      </c>
      <c r="P33" s="489">
        <v>988.46</v>
      </c>
      <c r="Q33" s="489">
        <f t="shared" si="38"/>
        <v>1166.3828000000001</v>
      </c>
      <c r="R33" s="489">
        <v>804.11284105733137</v>
      </c>
      <c r="S33" s="401" t="s">
        <v>1774</v>
      </c>
      <c r="T33" s="501">
        <v>1.087</v>
      </c>
      <c r="U33" s="501">
        <v>1.077</v>
      </c>
      <c r="V33" s="501">
        <v>1.073</v>
      </c>
      <c r="W33" s="501">
        <v>1.071</v>
      </c>
      <c r="X33" s="596">
        <v>0.9</v>
      </c>
      <c r="Y33" s="502">
        <v>973.63</v>
      </c>
      <c r="Z33" s="489">
        <f t="shared" si="39"/>
        <v>1148.8833999999999</v>
      </c>
      <c r="AA33" s="489">
        <v>924.80399999999997</v>
      </c>
      <c r="AB33" s="488">
        <f t="shared" si="40"/>
        <v>1091.2687199999998</v>
      </c>
      <c r="AC33" s="492">
        <f t="shared" si="41"/>
        <v>924.80399999999997</v>
      </c>
      <c r="AD33" s="493">
        <f t="shared" si="42"/>
        <v>1091.2687199999998</v>
      </c>
      <c r="AE33" s="494" t="s">
        <v>1775</v>
      </c>
      <c r="AF33" s="494" t="s">
        <v>83</v>
      </c>
      <c r="AG33" s="494" t="s">
        <v>211</v>
      </c>
      <c r="AH33" s="494" t="s">
        <v>545</v>
      </c>
      <c r="AI33" s="495">
        <v>41671</v>
      </c>
      <c r="AJ33" s="495">
        <v>41706</v>
      </c>
      <c r="AK33" s="494" t="s">
        <v>96</v>
      </c>
      <c r="AL33" s="494" t="s">
        <v>96</v>
      </c>
      <c r="AM33" s="496" t="s">
        <v>1846</v>
      </c>
      <c r="AN33" s="496" t="s">
        <v>1757</v>
      </c>
      <c r="AO33" s="494">
        <v>796</v>
      </c>
      <c r="AP33" s="494" t="s">
        <v>368</v>
      </c>
      <c r="AQ33" s="494">
        <v>1</v>
      </c>
      <c r="AR33" s="494">
        <v>45</v>
      </c>
      <c r="AS33" s="496" t="s">
        <v>547</v>
      </c>
      <c r="AT33" s="495">
        <v>41726</v>
      </c>
      <c r="AU33" s="495">
        <v>41726</v>
      </c>
      <c r="AV33" s="495">
        <v>41820</v>
      </c>
      <c r="AW33" s="494">
        <v>2014</v>
      </c>
      <c r="AX33" s="496"/>
      <c r="AY33" s="494" t="s">
        <v>186</v>
      </c>
      <c r="AZ33" s="494"/>
      <c r="BA33" s="494">
        <v>2014</v>
      </c>
      <c r="BB33" s="494" t="s">
        <v>5483</v>
      </c>
      <c r="BC33" s="496" t="s">
        <v>5484</v>
      </c>
      <c r="BD33" s="496" t="s">
        <v>1818</v>
      </c>
      <c r="BE33" s="497">
        <v>41820</v>
      </c>
      <c r="BF33" s="498">
        <v>1302.0355999999999</v>
      </c>
      <c r="BG33" s="488">
        <v>1302.0355999999999</v>
      </c>
      <c r="BH33" s="488">
        <v>0</v>
      </c>
      <c r="BI33" s="488">
        <v>0.3</v>
      </c>
      <c r="BJ33" s="494" t="s">
        <v>1465</v>
      </c>
      <c r="BK33" s="401"/>
    </row>
    <row r="34" spans="1:63" ht="112.5">
      <c r="A34" s="401">
        <v>1</v>
      </c>
      <c r="B34" s="494" t="s">
        <v>5350</v>
      </c>
      <c r="C34" s="401" t="s">
        <v>83</v>
      </c>
      <c r="D34" s="401" t="s">
        <v>242</v>
      </c>
      <c r="E34" s="494" t="s">
        <v>5853</v>
      </c>
      <c r="F34" s="401" t="s">
        <v>1768</v>
      </c>
      <c r="G34" s="401" t="s">
        <v>1769</v>
      </c>
      <c r="H34" s="499">
        <v>854725</v>
      </c>
      <c r="I34" s="486" t="s">
        <v>5351</v>
      </c>
      <c r="J34" s="496" t="s">
        <v>5317</v>
      </c>
      <c r="K34" s="496" t="s">
        <v>5317</v>
      </c>
      <c r="L34" s="496" t="s">
        <v>1825</v>
      </c>
      <c r="M34" s="500" t="s">
        <v>1755</v>
      </c>
      <c r="N34" s="496" t="s">
        <v>1773</v>
      </c>
      <c r="O34" s="496" t="s">
        <v>2234</v>
      </c>
      <c r="P34" s="489">
        <v>1282.6516999999999</v>
      </c>
      <c r="Q34" s="489">
        <f t="shared" si="38"/>
        <v>1513.5290059999998</v>
      </c>
      <c r="R34" s="489">
        <v>1043.4479685801109</v>
      </c>
      <c r="S34" s="401" t="s">
        <v>1774</v>
      </c>
      <c r="T34" s="501">
        <v>1.087</v>
      </c>
      <c r="U34" s="501">
        <v>1.077</v>
      </c>
      <c r="V34" s="501">
        <v>1.073</v>
      </c>
      <c r="W34" s="501">
        <v>1.071</v>
      </c>
      <c r="X34" s="596">
        <v>0.9</v>
      </c>
      <c r="Y34" s="502">
        <v>1263.42</v>
      </c>
      <c r="Z34" s="489">
        <f t="shared" si="39"/>
        <v>1490.8356000000001</v>
      </c>
      <c r="AA34" s="489">
        <v>1200.288</v>
      </c>
      <c r="AB34" s="488">
        <f t="shared" si="40"/>
        <v>1416.3398399999999</v>
      </c>
      <c r="AC34" s="492">
        <f t="shared" si="41"/>
        <v>1200.288</v>
      </c>
      <c r="AD34" s="493">
        <f t="shared" si="42"/>
        <v>1416.3398399999999</v>
      </c>
      <c r="AE34" s="494" t="s">
        <v>1775</v>
      </c>
      <c r="AF34" s="494" t="s">
        <v>83</v>
      </c>
      <c r="AG34" s="494" t="s">
        <v>211</v>
      </c>
      <c r="AH34" s="494" t="s">
        <v>545</v>
      </c>
      <c r="AI34" s="495">
        <v>41659</v>
      </c>
      <c r="AJ34" s="495">
        <v>41694</v>
      </c>
      <c r="AK34" s="494" t="s">
        <v>96</v>
      </c>
      <c r="AL34" s="494" t="s">
        <v>96</v>
      </c>
      <c r="AM34" s="496" t="s">
        <v>1846</v>
      </c>
      <c r="AN34" s="496" t="s">
        <v>1757</v>
      </c>
      <c r="AO34" s="494">
        <v>796</v>
      </c>
      <c r="AP34" s="494" t="s">
        <v>368</v>
      </c>
      <c r="AQ34" s="494">
        <v>1</v>
      </c>
      <c r="AR34" s="494">
        <v>45</v>
      </c>
      <c r="AS34" s="496" t="s">
        <v>547</v>
      </c>
      <c r="AT34" s="495">
        <v>41714</v>
      </c>
      <c r="AU34" s="495">
        <v>41714</v>
      </c>
      <c r="AV34" s="495">
        <v>41729</v>
      </c>
      <c r="AW34" s="494">
        <v>2014</v>
      </c>
      <c r="AX34" s="496"/>
      <c r="AY34" s="494" t="s">
        <v>186</v>
      </c>
      <c r="AZ34" s="494"/>
      <c r="BA34" s="494">
        <v>2014</v>
      </c>
      <c r="BB34" s="494" t="s">
        <v>5485</v>
      </c>
      <c r="BC34" s="496" t="s">
        <v>5486</v>
      </c>
      <c r="BD34" s="496" t="s">
        <v>1818</v>
      </c>
      <c r="BE34" s="497">
        <v>41729</v>
      </c>
      <c r="BF34" s="498">
        <v>1684.6034</v>
      </c>
      <c r="BG34" s="488">
        <v>1684.6034</v>
      </c>
      <c r="BH34" s="488">
        <v>0</v>
      </c>
      <c r="BI34" s="488">
        <v>0.4</v>
      </c>
      <c r="BJ34" s="494" t="s">
        <v>1465</v>
      </c>
      <c r="BK34" s="401"/>
    </row>
    <row r="35" spans="1:63" ht="112.5">
      <c r="A35" s="401">
        <v>1</v>
      </c>
      <c r="B35" s="494" t="s">
        <v>5352</v>
      </c>
      <c r="C35" s="401" t="s">
        <v>83</v>
      </c>
      <c r="D35" s="401" t="s">
        <v>242</v>
      </c>
      <c r="E35" s="494" t="s">
        <v>5853</v>
      </c>
      <c r="F35" s="401" t="s">
        <v>1768</v>
      </c>
      <c r="G35" s="401" t="s">
        <v>1769</v>
      </c>
      <c r="H35" s="499">
        <v>854726</v>
      </c>
      <c r="I35" s="486" t="s">
        <v>5353</v>
      </c>
      <c r="J35" s="496" t="s">
        <v>5317</v>
      </c>
      <c r="K35" s="496" t="s">
        <v>5317</v>
      </c>
      <c r="L35" s="496" t="s">
        <v>1825</v>
      </c>
      <c r="M35" s="500" t="s">
        <v>1755</v>
      </c>
      <c r="N35" s="496" t="s">
        <v>1773</v>
      </c>
      <c r="O35" s="496" t="s">
        <v>2234</v>
      </c>
      <c r="P35" s="489">
        <v>961.98627999999997</v>
      </c>
      <c r="Q35" s="489">
        <f t="shared" si="38"/>
        <v>1135.1438103999999</v>
      </c>
      <c r="R35" s="489">
        <v>713.80265145226292</v>
      </c>
      <c r="S35" s="401" t="s">
        <v>1774</v>
      </c>
      <c r="T35" s="501">
        <v>1.087</v>
      </c>
      <c r="U35" s="501">
        <v>1.077</v>
      </c>
      <c r="V35" s="501">
        <v>1.073</v>
      </c>
      <c r="W35" s="501">
        <v>1.071</v>
      </c>
      <c r="X35" s="596">
        <v>0.9</v>
      </c>
      <c r="Y35" s="502">
        <v>864.28127999999992</v>
      </c>
      <c r="Z35" s="489">
        <f t="shared" si="39"/>
        <v>1019.8519103999998</v>
      </c>
      <c r="AA35" s="489">
        <v>900.29300000000001</v>
      </c>
      <c r="AB35" s="488">
        <f t="shared" si="40"/>
        <v>1062.34574</v>
      </c>
      <c r="AC35" s="492">
        <f t="shared" si="41"/>
        <v>864.28127999999992</v>
      </c>
      <c r="AD35" s="493">
        <f t="shared" si="42"/>
        <v>1019.8519103999998</v>
      </c>
      <c r="AE35" s="494" t="s">
        <v>1775</v>
      </c>
      <c r="AF35" s="494" t="s">
        <v>83</v>
      </c>
      <c r="AG35" s="494" t="s">
        <v>211</v>
      </c>
      <c r="AH35" s="494" t="s">
        <v>545</v>
      </c>
      <c r="AI35" s="495">
        <v>41659</v>
      </c>
      <c r="AJ35" s="495">
        <v>41694</v>
      </c>
      <c r="AK35" s="494" t="s">
        <v>96</v>
      </c>
      <c r="AL35" s="494" t="s">
        <v>96</v>
      </c>
      <c r="AM35" s="496" t="s">
        <v>1846</v>
      </c>
      <c r="AN35" s="496" t="s">
        <v>1757</v>
      </c>
      <c r="AO35" s="494">
        <v>796</v>
      </c>
      <c r="AP35" s="494" t="s">
        <v>368</v>
      </c>
      <c r="AQ35" s="494">
        <v>1</v>
      </c>
      <c r="AR35" s="494">
        <v>45</v>
      </c>
      <c r="AS35" s="496" t="s">
        <v>547</v>
      </c>
      <c r="AT35" s="495">
        <v>41714</v>
      </c>
      <c r="AU35" s="495">
        <v>41714</v>
      </c>
      <c r="AV35" s="495">
        <v>41729</v>
      </c>
      <c r="AW35" s="494">
        <v>2014</v>
      </c>
      <c r="AX35" s="496"/>
      <c r="AY35" s="494" t="s">
        <v>186</v>
      </c>
      <c r="AZ35" s="494"/>
      <c r="BA35" s="494">
        <v>2014</v>
      </c>
      <c r="BB35" s="494" t="s">
        <v>5487</v>
      </c>
      <c r="BC35" s="496" t="s">
        <v>5488</v>
      </c>
      <c r="BD35" s="496" t="s">
        <v>1818</v>
      </c>
      <c r="BE35" s="497">
        <v>41729</v>
      </c>
      <c r="BF35" s="498">
        <v>1263.4495999999999</v>
      </c>
      <c r="BG35" s="488">
        <v>1263.4495999999999</v>
      </c>
      <c r="BH35" s="488">
        <v>0</v>
      </c>
      <c r="BI35" s="488">
        <v>0.3</v>
      </c>
      <c r="BJ35" s="494" t="s">
        <v>1465</v>
      </c>
      <c r="BK35" s="401"/>
    </row>
    <row r="36" spans="1:63" ht="112.5">
      <c r="A36" s="401">
        <v>1</v>
      </c>
      <c r="B36" s="494" t="s">
        <v>5354</v>
      </c>
      <c r="C36" s="401" t="s">
        <v>83</v>
      </c>
      <c r="D36" s="401" t="s">
        <v>242</v>
      </c>
      <c r="E36" s="494" t="s">
        <v>5853</v>
      </c>
      <c r="F36" s="401" t="s">
        <v>1768</v>
      </c>
      <c r="G36" s="401" t="s">
        <v>1769</v>
      </c>
      <c r="H36" s="499">
        <v>854727</v>
      </c>
      <c r="I36" s="486" t="s">
        <v>5355</v>
      </c>
      <c r="J36" s="496" t="s">
        <v>5317</v>
      </c>
      <c r="K36" s="496" t="s">
        <v>5317</v>
      </c>
      <c r="L36" s="496" t="s">
        <v>1825</v>
      </c>
      <c r="M36" s="500" t="s">
        <v>1755</v>
      </c>
      <c r="N36" s="496" t="s">
        <v>1773</v>
      </c>
      <c r="O36" s="496" t="s">
        <v>2234</v>
      </c>
      <c r="P36" s="489">
        <v>997.44121000000007</v>
      </c>
      <c r="Q36" s="489">
        <f t="shared" si="38"/>
        <v>1176.9806278000001</v>
      </c>
      <c r="R36" s="489">
        <v>719.01297032353364</v>
      </c>
      <c r="S36" s="401" t="s">
        <v>1774</v>
      </c>
      <c r="T36" s="501">
        <v>1.087</v>
      </c>
      <c r="U36" s="501">
        <v>1.077</v>
      </c>
      <c r="V36" s="501">
        <v>1.073</v>
      </c>
      <c r="W36" s="501">
        <v>1.071</v>
      </c>
      <c r="X36" s="596">
        <v>0.9</v>
      </c>
      <c r="Y36" s="502">
        <v>870.59</v>
      </c>
      <c r="Z36" s="489">
        <f t="shared" si="39"/>
        <v>1027.2962</v>
      </c>
      <c r="AA36" s="489">
        <v>933.74</v>
      </c>
      <c r="AB36" s="488">
        <f t="shared" si="40"/>
        <v>1101.8132000000001</v>
      </c>
      <c r="AC36" s="492">
        <f t="shared" si="41"/>
        <v>870.59</v>
      </c>
      <c r="AD36" s="493">
        <f t="shared" si="42"/>
        <v>1027.2962</v>
      </c>
      <c r="AE36" s="494" t="s">
        <v>1775</v>
      </c>
      <c r="AF36" s="494" t="s">
        <v>83</v>
      </c>
      <c r="AG36" s="494" t="s">
        <v>211</v>
      </c>
      <c r="AH36" s="494" t="s">
        <v>545</v>
      </c>
      <c r="AI36" s="495">
        <v>41699</v>
      </c>
      <c r="AJ36" s="495">
        <v>41734</v>
      </c>
      <c r="AK36" s="494" t="s">
        <v>96</v>
      </c>
      <c r="AL36" s="494" t="s">
        <v>96</v>
      </c>
      <c r="AM36" s="496" t="s">
        <v>1846</v>
      </c>
      <c r="AN36" s="496" t="s">
        <v>1757</v>
      </c>
      <c r="AO36" s="494">
        <v>796</v>
      </c>
      <c r="AP36" s="494" t="s">
        <v>368</v>
      </c>
      <c r="AQ36" s="494">
        <v>1</v>
      </c>
      <c r="AR36" s="494">
        <v>45</v>
      </c>
      <c r="AS36" s="496" t="s">
        <v>547</v>
      </c>
      <c r="AT36" s="495">
        <v>41754</v>
      </c>
      <c r="AU36" s="495">
        <v>41754</v>
      </c>
      <c r="AV36" s="583">
        <v>41912</v>
      </c>
      <c r="AW36" s="494">
        <v>2014</v>
      </c>
      <c r="AX36" s="496"/>
      <c r="AY36" s="494" t="s">
        <v>186</v>
      </c>
      <c r="AZ36" s="494"/>
      <c r="BA36" s="494">
        <v>2014</v>
      </c>
      <c r="BB36" s="494" t="s">
        <v>5489</v>
      </c>
      <c r="BC36" s="496" t="s">
        <v>5490</v>
      </c>
      <c r="BD36" s="496" t="s">
        <v>1818</v>
      </c>
      <c r="BE36" s="497">
        <v>41912</v>
      </c>
      <c r="BF36" s="498">
        <v>1308.3603999999998</v>
      </c>
      <c r="BG36" s="488">
        <v>1308.3603999999998</v>
      </c>
      <c r="BH36" s="488">
        <v>0</v>
      </c>
      <c r="BI36" s="488">
        <v>0.4</v>
      </c>
      <c r="BJ36" s="494" t="s">
        <v>1465</v>
      </c>
      <c r="BK36" s="401"/>
    </row>
    <row r="37" spans="1:63" ht="112.5">
      <c r="A37" s="401">
        <v>1</v>
      </c>
      <c r="B37" s="494" t="s">
        <v>5356</v>
      </c>
      <c r="C37" s="401" t="s">
        <v>83</v>
      </c>
      <c r="D37" s="401" t="s">
        <v>242</v>
      </c>
      <c r="E37" s="494" t="s">
        <v>5853</v>
      </c>
      <c r="F37" s="401" t="s">
        <v>1768</v>
      </c>
      <c r="G37" s="401" t="s">
        <v>1769</v>
      </c>
      <c r="H37" s="499">
        <v>854729</v>
      </c>
      <c r="I37" s="486" t="s">
        <v>5357</v>
      </c>
      <c r="J37" s="496" t="s">
        <v>2237</v>
      </c>
      <c r="K37" s="496" t="s">
        <v>2237</v>
      </c>
      <c r="L37" s="496" t="s">
        <v>5358</v>
      </c>
      <c r="M37" s="500" t="s">
        <v>1755</v>
      </c>
      <c r="N37" s="496" t="s">
        <v>1773</v>
      </c>
      <c r="O37" s="496" t="s">
        <v>2234</v>
      </c>
      <c r="P37" s="489">
        <v>212067.80342727274</v>
      </c>
      <c r="Q37" s="489">
        <f t="shared" si="38"/>
        <v>250240.00804418183</v>
      </c>
      <c r="R37" s="489">
        <v>134116.7891454187</v>
      </c>
      <c r="S37" s="401" t="s">
        <v>1774</v>
      </c>
      <c r="T37" s="501">
        <v>1.087</v>
      </c>
      <c r="U37" s="501">
        <v>1.077</v>
      </c>
      <c r="V37" s="501">
        <v>1.073</v>
      </c>
      <c r="W37" s="501">
        <v>1.071</v>
      </c>
      <c r="X37" s="596">
        <v>0.9</v>
      </c>
      <c r="Y37" s="502">
        <v>173108.065</v>
      </c>
      <c r="Z37" s="489">
        <f t="shared" si="39"/>
        <v>204267.51669999998</v>
      </c>
      <c r="AA37" s="489">
        <v>179034.93100000001</v>
      </c>
      <c r="AB37" s="488">
        <f t="shared" si="40"/>
        <v>211261.21858000002</v>
      </c>
      <c r="AC37" s="492">
        <f t="shared" si="41"/>
        <v>173108.065</v>
      </c>
      <c r="AD37" s="493">
        <f t="shared" si="42"/>
        <v>204267.51669999998</v>
      </c>
      <c r="AE37" s="494" t="s">
        <v>1775</v>
      </c>
      <c r="AF37" s="494" t="s">
        <v>83</v>
      </c>
      <c r="AG37" s="494" t="s">
        <v>211</v>
      </c>
      <c r="AH37" s="494" t="s">
        <v>545</v>
      </c>
      <c r="AI37" s="495">
        <v>41791</v>
      </c>
      <c r="AJ37" s="495">
        <v>41826</v>
      </c>
      <c r="AK37" s="494" t="s">
        <v>96</v>
      </c>
      <c r="AL37" s="494" t="s">
        <v>96</v>
      </c>
      <c r="AM37" s="496" t="s">
        <v>2238</v>
      </c>
      <c r="AN37" s="496" t="s">
        <v>1757</v>
      </c>
      <c r="AO37" s="494">
        <v>796</v>
      </c>
      <c r="AP37" s="494" t="s">
        <v>368</v>
      </c>
      <c r="AQ37" s="494">
        <v>1</v>
      </c>
      <c r="AR37" s="494">
        <v>45</v>
      </c>
      <c r="AS37" s="496" t="s">
        <v>547</v>
      </c>
      <c r="AT37" s="495">
        <v>41846</v>
      </c>
      <c r="AU37" s="495">
        <v>41846</v>
      </c>
      <c r="AV37" s="495">
        <v>42369</v>
      </c>
      <c r="AW37" s="494" t="s">
        <v>99</v>
      </c>
      <c r="AX37" s="496"/>
      <c r="AY37" s="494" t="s">
        <v>186</v>
      </c>
      <c r="AZ37" s="494"/>
      <c r="BA37" s="494">
        <v>2014</v>
      </c>
      <c r="BB37" s="494" t="s">
        <v>5491</v>
      </c>
      <c r="BC37" s="496" t="s">
        <v>5492</v>
      </c>
      <c r="BD37" s="496" t="s">
        <v>1818</v>
      </c>
      <c r="BE37" s="497">
        <v>42369</v>
      </c>
      <c r="BF37" s="498">
        <v>230044.61875319996</v>
      </c>
      <c r="BG37" s="488">
        <v>230044.61875319996</v>
      </c>
      <c r="BH37" s="488">
        <v>4.5</v>
      </c>
      <c r="BI37" s="488">
        <v>17.399999999999999</v>
      </c>
      <c r="BJ37" s="494" t="s">
        <v>1465</v>
      </c>
      <c r="BK37" s="401"/>
    </row>
    <row r="38" spans="1:63" ht="131.25">
      <c r="A38" s="401">
        <v>1</v>
      </c>
      <c r="B38" s="494" t="s">
        <v>5359</v>
      </c>
      <c r="C38" s="401" t="s">
        <v>83</v>
      </c>
      <c r="D38" s="401" t="s">
        <v>242</v>
      </c>
      <c r="E38" s="494" t="s">
        <v>5853</v>
      </c>
      <c r="F38" s="401" t="s">
        <v>1768</v>
      </c>
      <c r="G38" s="401" t="s">
        <v>1769</v>
      </c>
      <c r="H38" s="499">
        <v>854730</v>
      </c>
      <c r="I38" s="486" t="s">
        <v>5360</v>
      </c>
      <c r="J38" s="496" t="s">
        <v>2237</v>
      </c>
      <c r="K38" s="496" t="s">
        <v>2237</v>
      </c>
      <c r="L38" s="496" t="s">
        <v>5358</v>
      </c>
      <c r="M38" s="500" t="s">
        <v>1755</v>
      </c>
      <c r="N38" s="496" t="s">
        <v>1773</v>
      </c>
      <c r="O38" s="496" t="s">
        <v>2234</v>
      </c>
      <c r="P38" s="489">
        <v>117344.72418363637</v>
      </c>
      <c r="Q38" s="489">
        <f t="shared" si="38"/>
        <v>138466.77453669091</v>
      </c>
      <c r="R38" s="489">
        <v>84252.228586290061</v>
      </c>
      <c r="S38" s="401" t="s">
        <v>1774</v>
      </c>
      <c r="T38" s="501">
        <v>1.087</v>
      </c>
      <c r="U38" s="501">
        <v>1.077</v>
      </c>
      <c r="V38" s="501">
        <v>1.073</v>
      </c>
      <c r="W38" s="501">
        <v>1.071</v>
      </c>
      <c r="X38" s="596">
        <v>0.9</v>
      </c>
      <c r="Y38" s="502">
        <v>108746.56600000001</v>
      </c>
      <c r="Z38" s="489">
        <f t="shared" si="39"/>
        <v>128320.94788000001</v>
      </c>
      <c r="AA38" s="489">
        <v>115078.65</v>
      </c>
      <c r="AB38" s="488">
        <f t="shared" si="40"/>
        <v>135792.80699999997</v>
      </c>
      <c r="AC38" s="492">
        <f t="shared" si="41"/>
        <v>108746.56600000001</v>
      </c>
      <c r="AD38" s="493">
        <f t="shared" si="42"/>
        <v>128320.94788000001</v>
      </c>
      <c r="AE38" s="494" t="s">
        <v>1775</v>
      </c>
      <c r="AF38" s="494" t="s">
        <v>83</v>
      </c>
      <c r="AG38" s="494" t="s">
        <v>211</v>
      </c>
      <c r="AH38" s="494" t="s">
        <v>545</v>
      </c>
      <c r="AI38" s="495">
        <v>41791</v>
      </c>
      <c r="AJ38" s="495">
        <v>41826</v>
      </c>
      <c r="AK38" s="494" t="s">
        <v>96</v>
      </c>
      <c r="AL38" s="494" t="s">
        <v>96</v>
      </c>
      <c r="AM38" s="496" t="s">
        <v>2238</v>
      </c>
      <c r="AN38" s="496" t="s">
        <v>1757</v>
      </c>
      <c r="AO38" s="494">
        <v>796</v>
      </c>
      <c r="AP38" s="494" t="s">
        <v>368</v>
      </c>
      <c r="AQ38" s="494">
        <v>1</v>
      </c>
      <c r="AR38" s="494">
        <v>45</v>
      </c>
      <c r="AS38" s="496" t="s">
        <v>547</v>
      </c>
      <c r="AT38" s="495">
        <v>41846</v>
      </c>
      <c r="AU38" s="495">
        <v>41846</v>
      </c>
      <c r="AV38" s="495">
        <v>42369</v>
      </c>
      <c r="AW38" s="494" t="s">
        <v>99</v>
      </c>
      <c r="AX38" s="496"/>
      <c r="AY38" s="494" t="s">
        <v>186</v>
      </c>
      <c r="AZ38" s="494"/>
      <c r="BA38" s="494">
        <v>2014</v>
      </c>
      <c r="BB38" s="494" t="s">
        <v>5493</v>
      </c>
      <c r="BC38" s="496" t="s">
        <v>5494</v>
      </c>
      <c r="BD38" s="496" t="s">
        <v>1818</v>
      </c>
      <c r="BE38" s="497">
        <v>42369</v>
      </c>
      <c r="BF38" s="498">
        <v>132985.7749622</v>
      </c>
      <c r="BG38" s="488">
        <v>129113.78988</v>
      </c>
      <c r="BH38" s="488">
        <v>6.4</v>
      </c>
      <c r="BI38" s="488">
        <v>12.3</v>
      </c>
      <c r="BJ38" s="494" t="s">
        <v>1465</v>
      </c>
      <c r="BK38" s="401"/>
    </row>
    <row r="39" spans="1:63" ht="131.25">
      <c r="A39" s="401">
        <v>1</v>
      </c>
      <c r="B39" s="494" t="s">
        <v>5361</v>
      </c>
      <c r="C39" s="401" t="s">
        <v>83</v>
      </c>
      <c r="D39" s="401" t="s">
        <v>242</v>
      </c>
      <c r="E39" s="494" t="s">
        <v>5853</v>
      </c>
      <c r="F39" s="401" t="s">
        <v>1768</v>
      </c>
      <c r="G39" s="401" t="s">
        <v>1769</v>
      </c>
      <c r="H39" s="499">
        <v>854732</v>
      </c>
      <c r="I39" s="486" t="s">
        <v>5362</v>
      </c>
      <c r="J39" s="496" t="s">
        <v>2237</v>
      </c>
      <c r="K39" s="496" t="s">
        <v>2237</v>
      </c>
      <c r="L39" s="496" t="s">
        <v>1825</v>
      </c>
      <c r="M39" s="500" t="s">
        <v>1755</v>
      </c>
      <c r="N39" s="496" t="s">
        <v>1773</v>
      </c>
      <c r="O39" s="496" t="s">
        <v>2234</v>
      </c>
      <c r="P39" s="489">
        <v>77435.115050000008</v>
      </c>
      <c r="Q39" s="489">
        <f t="shared" si="38"/>
        <v>91373.435759</v>
      </c>
      <c r="R39" s="489">
        <v>52842.890267675248</v>
      </c>
      <c r="S39" s="401" t="s">
        <v>1774</v>
      </c>
      <c r="T39" s="501">
        <v>1.087</v>
      </c>
      <c r="U39" s="501">
        <v>1.077</v>
      </c>
      <c r="V39" s="501">
        <v>1.073</v>
      </c>
      <c r="W39" s="501">
        <v>1.071</v>
      </c>
      <c r="X39" s="596">
        <v>0.9</v>
      </c>
      <c r="Y39" s="502">
        <v>63982.84</v>
      </c>
      <c r="Z39" s="489">
        <f t="shared" si="39"/>
        <v>75499.751199999999</v>
      </c>
      <c r="AA39" s="489">
        <v>68880.591</v>
      </c>
      <c r="AB39" s="488">
        <f t="shared" si="40"/>
        <v>81279.097379999992</v>
      </c>
      <c r="AC39" s="492">
        <f t="shared" si="41"/>
        <v>63982.84</v>
      </c>
      <c r="AD39" s="493">
        <f t="shared" si="42"/>
        <v>75499.751199999999</v>
      </c>
      <c r="AE39" s="494" t="s">
        <v>1775</v>
      </c>
      <c r="AF39" s="494" t="s">
        <v>83</v>
      </c>
      <c r="AG39" s="494" t="s">
        <v>211</v>
      </c>
      <c r="AH39" s="494" t="s">
        <v>545</v>
      </c>
      <c r="AI39" s="495">
        <v>41791</v>
      </c>
      <c r="AJ39" s="495">
        <v>41826</v>
      </c>
      <c r="AK39" s="494" t="s">
        <v>96</v>
      </c>
      <c r="AL39" s="494" t="s">
        <v>96</v>
      </c>
      <c r="AM39" s="496" t="s">
        <v>2238</v>
      </c>
      <c r="AN39" s="496" t="s">
        <v>1757</v>
      </c>
      <c r="AO39" s="494">
        <v>796</v>
      </c>
      <c r="AP39" s="494" t="s">
        <v>368</v>
      </c>
      <c r="AQ39" s="494">
        <v>1</v>
      </c>
      <c r="AR39" s="494">
        <v>45</v>
      </c>
      <c r="AS39" s="496" t="s">
        <v>547</v>
      </c>
      <c r="AT39" s="495">
        <v>41846</v>
      </c>
      <c r="AU39" s="495">
        <v>41846</v>
      </c>
      <c r="AV39" s="495">
        <v>42004</v>
      </c>
      <c r="AW39" s="494">
        <v>2014</v>
      </c>
      <c r="AX39" s="496"/>
      <c r="AY39" s="494" t="s">
        <v>186</v>
      </c>
      <c r="AZ39" s="494"/>
      <c r="BA39" s="494">
        <v>2014</v>
      </c>
      <c r="BB39" s="494" t="s">
        <v>5495</v>
      </c>
      <c r="BC39" s="496" t="s">
        <v>5496</v>
      </c>
      <c r="BD39" s="496" t="s">
        <v>1818</v>
      </c>
      <c r="BE39" s="497">
        <v>42004</v>
      </c>
      <c r="BF39" s="498">
        <v>95365.700199999992</v>
      </c>
      <c r="BG39" s="488">
        <v>95365.700199999992</v>
      </c>
      <c r="BH39" s="488">
        <v>0</v>
      </c>
      <c r="BI39" s="488">
        <v>8.75</v>
      </c>
      <c r="BJ39" s="494" t="s">
        <v>1465</v>
      </c>
      <c r="BK39" s="401"/>
    </row>
    <row r="40" spans="1:63" ht="150">
      <c r="A40" s="401">
        <v>1</v>
      </c>
      <c r="B40" s="494" t="s">
        <v>5363</v>
      </c>
      <c r="C40" s="401" t="s">
        <v>83</v>
      </c>
      <c r="D40" s="401" t="s">
        <v>242</v>
      </c>
      <c r="E40" s="494" t="s">
        <v>5853</v>
      </c>
      <c r="F40" s="401" t="s">
        <v>1768</v>
      </c>
      <c r="G40" s="401" t="s">
        <v>1769</v>
      </c>
      <c r="H40" s="499">
        <v>854733</v>
      </c>
      <c r="I40" s="486" t="s">
        <v>5364</v>
      </c>
      <c r="J40" s="496" t="s">
        <v>2237</v>
      </c>
      <c r="K40" s="496" t="s">
        <v>2237</v>
      </c>
      <c r="L40" s="496" t="s">
        <v>1825</v>
      </c>
      <c r="M40" s="500" t="s">
        <v>1755</v>
      </c>
      <c r="N40" s="496" t="s">
        <v>1773</v>
      </c>
      <c r="O40" s="496" t="s">
        <v>2234</v>
      </c>
      <c r="P40" s="489">
        <v>139385.71</v>
      </c>
      <c r="Q40" s="489">
        <f t="shared" si="38"/>
        <v>164475.13779999997</v>
      </c>
      <c r="R40" s="489">
        <v>95576.371784339979</v>
      </c>
      <c r="S40" s="401" t="s">
        <v>1774</v>
      </c>
      <c r="T40" s="501">
        <v>1.087</v>
      </c>
      <c r="U40" s="501">
        <v>1.077</v>
      </c>
      <c r="V40" s="501">
        <v>1.073</v>
      </c>
      <c r="W40" s="501">
        <v>1.071</v>
      </c>
      <c r="X40" s="596">
        <v>0.9</v>
      </c>
      <c r="Y40" s="502">
        <v>115725.08</v>
      </c>
      <c r="Z40" s="489">
        <f t="shared" si="39"/>
        <v>136555.5944</v>
      </c>
      <c r="AA40" s="489">
        <v>124682.485</v>
      </c>
      <c r="AB40" s="488">
        <f t="shared" si="40"/>
        <v>147125.33229999998</v>
      </c>
      <c r="AC40" s="492">
        <f t="shared" si="41"/>
        <v>115725.08</v>
      </c>
      <c r="AD40" s="493">
        <f t="shared" si="42"/>
        <v>136555.5944</v>
      </c>
      <c r="AE40" s="494" t="s">
        <v>1775</v>
      </c>
      <c r="AF40" s="494" t="s">
        <v>83</v>
      </c>
      <c r="AG40" s="494" t="s">
        <v>211</v>
      </c>
      <c r="AH40" s="494" t="s">
        <v>545</v>
      </c>
      <c r="AI40" s="495">
        <v>41685</v>
      </c>
      <c r="AJ40" s="495">
        <v>41720</v>
      </c>
      <c r="AK40" s="494" t="s">
        <v>96</v>
      </c>
      <c r="AL40" s="494" t="s">
        <v>96</v>
      </c>
      <c r="AM40" s="496" t="s">
        <v>2238</v>
      </c>
      <c r="AN40" s="496" t="s">
        <v>1757</v>
      </c>
      <c r="AO40" s="494">
        <v>796</v>
      </c>
      <c r="AP40" s="494" t="s">
        <v>368</v>
      </c>
      <c r="AQ40" s="494">
        <v>1</v>
      </c>
      <c r="AR40" s="494">
        <v>45</v>
      </c>
      <c r="AS40" s="496" t="s">
        <v>547</v>
      </c>
      <c r="AT40" s="495">
        <v>41740</v>
      </c>
      <c r="AU40" s="495">
        <v>41740</v>
      </c>
      <c r="AV40" s="495">
        <v>41820</v>
      </c>
      <c r="AW40" s="494">
        <v>2014</v>
      </c>
      <c r="AX40" s="496"/>
      <c r="AY40" s="494" t="s">
        <v>186</v>
      </c>
      <c r="AZ40" s="494"/>
      <c r="BA40" s="494">
        <v>2014</v>
      </c>
      <c r="BB40" s="494" t="s">
        <v>5497</v>
      </c>
      <c r="BC40" s="496" t="s">
        <v>5498</v>
      </c>
      <c r="BD40" s="496" t="s">
        <v>1818</v>
      </c>
      <c r="BE40" s="497">
        <v>41820</v>
      </c>
      <c r="BF40" s="498">
        <v>71638.862035400016</v>
      </c>
      <c r="BG40" s="488">
        <v>71638.862035400016</v>
      </c>
      <c r="BH40" s="488">
        <v>2.5</v>
      </c>
      <c r="BI40" s="488">
        <v>3.2</v>
      </c>
      <c r="BJ40" s="494" t="s">
        <v>1465</v>
      </c>
      <c r="BK40" s="401"/>
    </row>
    <row r="41" spans="1:63" ht="150">
      <c r="A41" s="401">
        <v>1</v>
      </c>
      <c r="B41" s="494" t="s">
        <v>5365</v>
      </c>
      <c r="C41" s="401" t="s">
        <v>83</v>
      </c>
      <c r="D41" s="401" t="s">
        <v>242</v>
      </c>
      <c r="E41" s="494" t="s">
        <v>5853</v>
      </c>
      <c r="F41" s="401" t="s">
        <v>1768</v>
      </c>
      <c r="G41" s="401" t="s">
        <v>1769</v>
      </c>
      <c r="H41" s="499">
        <v>854735</v>
      </c>
      <c r="I41" s="486" t="s">
        <v>5366</v>
      </c>
      <c r="J41" s="496" t="s">
        <v>2237</v>
      </c>
      <c r="K41" s="496" t="s">
        <v>2237</v>
      </c>
      <c r="L41" s="496" t="s">
        <v>1825</v>
      </c>
      <c r="M41" s="500" t="s">
        <v>1755</v>
      </c>
      <c r="N41" s="496" t="s">
        <v>1773</v>
      </c>
      <c r="O41" s="496" t="s">
        <v>2234</v>
      </c>
      <c r="P41" s="489">
        <v>104301.376</v>
      </c>
      <c r="Q41" s="489">
        <f t="shared" si="38"/>
        <v>123075.62368</v>
      </c>
      <c r="R41" s="489">
        <v>80476.302422149267</v>
      </c>
      <c r="S41" s="401" t="s">
        <v>1774</v>
      </c>
      <c r="T41" s="501">
        <v>1.087</v>
      </c>
      <c r="U41" s="501">
        <v>1.077</v>
      </c>
      <c r="V41" s="501">
        <v>1.073</v>
      </c>
      <c r="W41" s="501">
        <v>1.071</v>
      </c>
      <c r="X41" s="596">
        <v>0.9</v>
      </c>
      <c r="Y41" s="502">
        <v>97441.725000000006</v>
      </c>
      <c r="Z41" s="489">
        <f t="shared" si="39"/>
        <v>114981.2355</v>
      </c>
      <c r="AA41" s="489">
        <v>104231.264</v>
      </c>
      <c r="AB41" s="488">
        <f t="shared" si="40"/>
        <v>122992.89151999999</v>
      </c>
      <c r="AC41" s="492">
        <f t="shared" si="41"/>
        <v>97441.725000000006</v>
      </c>
      <c r="AD41" s="493">
        <f t="shared" si="42"/>
        <v>114981.2355</v>
      </c>
      <c r="AE41" s="494" t="s">
        <v>1775</v>
      </c>
      <c r="AF41" s="494" t="s">
        <v>83</v>
      </c>
      <c r="AG41" s="494" t="s">
        <v>211</v>
      </c>
      <c r="AH41" s="494" t="s">
        <v>545</v>
      </c>
      <c r="AI41" s="495">
        <v>41685</v>
      </c>
      <c r="AJ41" s="495">
        <v>41720</v>
      </c>
      <c r="AK41" s="494" t="s">
        <v>96</v>
      </c>
      <c r="AL41" s="494" t="s">
        <v>96</v>
      </c>
      <c r="AM41" s="496" t="s">
        <v>2238</v>
      </c>
      <c r="AN41" s="496" t="s">
        <v>1757</v>
      </c>
      <c r="AO41" s="494">
        <v>796</v>
      </c>
      <c r="AP41" s="494" t="s">
        <v>368</v>
      </c>
      <c r="AQ41" s="494">
        <v>1</v>
      </c>
      <c r="AR41" s="494">
        <v>45</v>
      </c>
      <c r="AS41" s="496" t="s">
        <v>547</v>
      </c>
      <c r="AT41" s="495">
        <v>41740</v>
      </c>
      <c r="AU41" s="495">
        <v>41740</v>
      </c>
      <c r="AV41" s="495">
        <v>41820</v>
      </c>
      <c r="AW41" s="494">
        <v>2014</v>
      </c>
      <c r="AX41" s="496"/>
      <c r="AY41" s="494" t="s">
        <v>186</v>
      </c>
      <c r="AZ41" s="494"/>
      <c r="BA41" s="494">
        <v>2014</v>
      </c>
      <c r="BB41" s="494" t="s">
        <v>5499</v>
      </c>
      <c r="BC41" s="496" t="s">
        <v>5500</v>
      </c>
      <c r="BD41" s="496" t="s">
        <v>1818</v>
      </c>
      <c r="BE41" s="497">
        <v>41820</v>
      </c>
      <c r="BF41" s="498">
        <v>123131.90424020001</v>
      </c>
      <c r="BG41" s="488">
        <v>128806.24647999999</v>
      </c>
      <c r="BH41" s="488">
        <v>7.5</v>
      </c>
      <c r="BI41" s="488">
        <v>9.8000000000000007</v>
      </c>
      <c r="BJ41" s="494" t="s">
        <v>1465</v>
      </c>
      <c r="BK41" s="401"/>
    </row>
    <row r="42" spans="1:63" ht="168.75">
      <c r="A42" s="401">
        <v>1</v>
      </c>
      <c r="B42" s="494" t="s">
        <v>5367</v>
      </c>
      <c r="C42" s="401" t="s">
        <v>83</v>
      </c>
      <c r="D42" s="401" t="s">
        <v>242</v>
      </c>
      <c r="E42" s="494" t="s">
        <v>5853</v>
      </c>
      <c r="F42" s="401" t="s">
        <v>1768</v>
      </c>
      <c r="G42" s="401" t="s">
        <v>1769</v>
      </c>
      <c r="H42" s="499">
        <v>854737</v>
      </c>
      <c r="I42" s="486" t="s">
        <v>5368</v>
      </c>
      <c r="J42" s="496" t="s">
        <v>2237</v>
      </c>
      <c r="K42" s="496" t="s">
        <v>2237</v>
      </c>
      <c r="L42" s="496" t="s">
        <v>2513</v>
      </c>
      <c r="M42" s="500" t="s">
        <v>1755</v>
      </c>
      <c r="N42" s="496" t="s">
        <v>1773</v>
      </c>
      <c r="O42" s="496" t="s">
        <v>2234</v>
      </c>
      <c r="P42" s="489">
        <v>138025.41071</v>
      </c>
      <c r="Q42" s="489">
        <f t="shared" si="38"/>
        <v>162869.98463779999</v>
      </c>
      <c r="R42" s="489">
        <v>95161.06723661373</v>
      </c>
      <c r="S42" s="401" t="s">
        <v>1774</v>
      </c>
      <c r="T42" s="501">
        <v>1.087</v>
      </c>
      <c r="U42" s="501">
        <v>1.077</v>
      </c>
      <c r="V42" s="501">
        <v>1.073</v>
      </c>
      <c r="W42" s="501">
        <v>1.071</v>
      </c>
      <c r="X42" s="596">
        <v>0.9</v>
      </c>
      <c r="Y42" s="502">
        <v>115222.224</v>
      </c>
      <c r="Z42" s="489">
        <f t="shared" si="39"/>
        <v>135962.22432000001</v>
      </c>
      <c r="AA42" s="489">
        <v>125910.443</v>
      </c>
      <c r="AB42" s="488">
        <f t="shared" si="40"/>
        <v>148574.32274</v>
      </c>
      <c r="AC42" s="492">
        <f t="shared" si="41"/>
        <v>115222.224</v>
      </c>
      <c r="AD42" s="493">
        <f t="shared" si="42"/>
        <v>135962.22432000001</v>
      </c>
      <c r="AE42" s="494" t="s">
        <v>1775</v>
      </c>
      <c r="AF42" s="494" t="s">
        <v>83</v>
      </c>
      <c r="AG42" s="494" t="s">
        <v>211</v>
      </c>
      <c r="AH42" s="494" t="s">
        <v>545</v>
      </c>
      <c r="AI42" s="495">
        <v>41791</v>
      </c>
      <c r="AJ42" s="495">
        <v>41826</v>
      </c>
      <c r="AK42" s="494" t="s">
        <v>96</v>
      </c>
      <c r="AL42" s="494" t="s">
        <v>96</v>
      </c>
      <c r="AM42" s="496" t="s">
        <v>2238</v>
      </c>
      <c r="AN42" s="496" t="s">
        <v>1757</v>
      </c>
      <c r="AO42" s="494">
        <v>796</v>
      </c>
      <c r="AP42" s="494" t="s">
        <v>368</v>
      </c>
      <c r="AQ42" s="494">
        <v>1</v>
      </c>
      <c r="AR42" s="494">
        <v>45</v>
      </c>
      <c r="AS42" s="496" t="s">
        <v>547</v>
      </c>
      <c r="AT42" s="495">
        <v>41846</v>
      </c>
      <c r="AU42" s="495">
        <v>41846</v>
      </c>
      <c r="AV42" s="495">
        <v>42004</v>
      </c>
      <c r="AW42" s="494">
        <v>2014</v>
      </c>
      <c r="AX42" s="496"/>
      <c r="AY42" s="494" t="s">
        <v>186</v>
      </c>
      <c r="AZ42" s="494"/>
      <c r="BA42" s="494">
        <v>2014</v>
      </c>
      <c r="BB42" s="494" t="s">
        <v>5501</v>
      </c>
      <c r="BC42" s="496" t="s">
        <v>5502</v>
      </c>
      <c r="BD42" s="496" t="s">
        <v>1818</v>
      </c>
      <c r="BE42" s="497">
        <v>42004</v>
      </c>
      <c r="BF42" s="498">
        <v>182296.11139999999</v>
      </c>
      <c r="BG42" s="488">
        <v>148574.32274</v>
      </c>
      <c r="BH42" s="488">
        <v>22.4</v>
      </c>
      <c r="BI42" s="488">
        <v>5</v>
      </c>
      <c r="BJ42" s="494" t="s">
        <v>1465</v>
      </c>
      <c r="BK42" s="401"/>
    </row>
    <row r="43" spans="1:63" ht="131.25">
      <c r="A43" s="401">
        <v>1</v>
      </c>
      <c r="B43" s="494" t="s">
        <v>5369</v>
      </c>
      <c r="C43" s="401" t="s">
        <v>83</v>
      </c>
      <c r="D43" s="401" t="s">
        <v>242</v>
      </c>
      <c r="E43" s="494" t="s">
        <v>5853</v>
      </c>
      <c r="F43" s="401" t="s">
        <v>1768</v>
      </c>
      <c r="G43" s="401" t="s">
        <v>1769</v>
      </c>
      <c r="H43" s="499">
        <v>854738</v>
      </c>
      <c r="I43" s="486" t="s">
        <v>5370</v>
      </c>
      <c r="J43" s="496" t="s">
        <v>2237</v>
      </c>
      <c r="K43" s="496" t="s">
        <v>2237</v>
      </c>
      <c r="L43" s="496" t="s">
        <v>1825</v>
      </c>
      <c r="M43" s="500" t="s">
        <v>1755</v>
      </c>
      <c r="N43" s="496" t="s">
        <v>1773</v>
      </c>
      <c r="O43" s="496" t="s">
        <v>2234</v>
      </c>
      <c r="P43" s="489">
        <v>86354.530643636361</v>
      </c>
      <c r="Q43" s="489">
        <f t="shared" si="38"/>
        <v>101898.3461594909</v>
      </c>
      <c r="R43" s="489">
        <v>63659.371440358525</v>
      </c>
      <c r="S43" s="401" t="s">
        <v>1774</v>
      </c>
      <c r="T43" s="501">
        <v>1.087</v>
      </c>
      <c r="U43" s="501">
        <v>1.077</v>
      </c>
      <c r="V43" s="501">
        <v>1.073</v>
      </c>
      <c r="W43" s="501">
        <v>1.071</v>
      </c>
      <c r="X43" s="596">
        <v>0.9</v>
      </c>
      <c r="Y43" s="502">
        <v>82166.823999999993</v>
      </c>
      <c r="Z43" s="489">
        <f t="shared" si="39"/>
        <v>96956.852319999991</v>
      </c>
      <c r="AA43" s="489">
        <v>84862.334000000003</v>
      </c>
      <c r="AB43" s="488">
        <f t="shared" si="40"/>
        <v>100137.55412</v>
      </c>
      <c r="AC43" s="492">
        <f t="shared" si="41"/>
        <v>82166.823999999993</v>
      </c>
      <c r="AD43" s="493">
        <f t="shared" si="42"/>
        <v>96956.852319999991</v>
      </c>
      <c r="AE43" s="494" t="s">
        <v>1775</v>
      </c>
      <c r="AF43" s="494" t="s">
        <v>83</v>
      </c>
      <c r="AG43" s="494" t="s">
        <v>211</v>
      </c>
      <c r="AH43" s="494" t="s">
        <v>545</v>
      </c>
      <c r="AI43" s="495">
        <v>41883</v>
      </c>
      <c r="AJ43" s="495">
        <v>41918</v>
      </c>
      <c r="AK43" s="494" t="s">
        <v>96</v>
      </c>
      <c r="AL43" s="494" t="s">
        <v>96</v>
      </c>
      <c r="AM43" s="496" t="s">
        <v>2238</v>
      </c>
      <c r="AN43" s="496" t="s">
        <v>1757</v>
      </c>
      <c r="AO43" s="494">
        <v>796</v>
      </c>
      <c r="AP43" s="494" t="s">
        <v>368</v>
      </c>
      <c r="AQ43" s="494">
        <v>1</v>
      </c>
      <c r="AR43" s="494">
        <v>45</v>
      </c>
      <c r="AS43" s="496" t="s">
        <v>547</v>
      </c>
      <c r="AT43" s="495">
        <v>41938</v>
      </c>
      <c r="AU43" s="495">
        <v>41938</v>
      </c>
      <c r="AV43" s="495">
        <v>42185</v>
      </c>
      <c r="AW43" s="494" t="s">
        <v>99</v>
      </c>
      <c r="AX43" s="496"/>
      <c r="AY43" s="494" t="s">
        <v>186</v>
      </c>
      <c r="AZ43" s="494"/>
      <c r="BA43" s="494">
        <v>2014</v>
      </c>
      <c r="BB43" s="494" t="s">
        <v>5503</v>
      </c>
      <c r="BC43" s="496" t="s">
        <v>5504</v>
      </c>
      <c r="BD43" s="496" t="s">
        <v>1818</v>
      </c>
      <c r="BE43" s="497">
        <v>42185</v>
      </c>
      <c r="BF43" s="498">
        <v>106079.41958779999</v>
      </c>
      <c r="BG43" s="488">
        <v>107701.52522</v>
      </c>
      <c r="BH43" s="488">
        <v>5</v>
      </c>
      <c r="BI43" s="488">
        <v>7.1</v>
      </c>
      <c r="BJ43" s="494" t="s">
        <v>1465</v>
      </c>
      <c r="BK43" s="401"/>
    </row>
    <row r="44" spans="1:63" ht="150">
      <c r="A44" s="401">
        <v>1</v>
      </c>
      <c r="B44" s="494" t="s">
        <v>5371</v>
      </c>
      <c r="C44" s="401" t="s">
        <v>83</v>
      </c>
      <c r="D44" s="401" t="s">
        <v>242</v>
      </c>
      <c r="E44" s="494" t="s">
        <v>5853</v>
      </c>
      <c r="F44" s="401" t="s">
        <v>1768</v>
      </c>
      <c r="G44" s="401" t="s">
        <v>1769</v>
      </c>
      <c r="H44" s="499">
        <v>854739</v>
      </c>
      <c r="I44" s="486" t="s">
        <v>5372</v>
      </c>
      <c r="J44" s="496" t="s">
        <v>2237</v>
      </c>
      <c r="K44" s="496" t="s">
        <v>2237</v>
      </c>
      <c r="L44" s="496" t="s">
        <v>1825</v>
      </c>
      <c r="M44" s="500" t="s">
        <v>1755</v>
      </c>
      <c r="N44" s="496" t="s">
        <v>1773</v>
      </c>
      <c r="O44" s="496" t="s">
        <v>2234</v>
      </c>
      <c r="P44" s="489">
        <v>105878.79</v>
      </c>
      <c r="Q44" s="489">
        <f t="shared" si="38"/>
        <v>124936.97219999999</v>
      </c>
      <c r="R44" s="489">
        <v>65710.595647162219</v>
      </c>
      <c r="S44" s="401" t="s">
        <v>1774</v>
      </c>
      <c r="T44" s="501">
        <v>1.087</v>
      </c>
      <c r="U44" s="501">
        <v>1.077</v>
      </c>
      <c r="V44" s="501">
        <v>1.073</v>
      </c>
      <c r="W44" s="501">
        <v>1.071</v>
      </c>
      <c r="X44" s="596">
        <v>0.9</v>
      </c>
      <c r="Y44" s="502">
        <v>84814.392999999996</v>
      </c>
      <c r="Z44" s="489">
        <f t="shared" si="39"/>
        <v>100080.98374</v>
      </c>
      <c r="AA44" s="489">
        <v>85028.918000000005</v>
      </c>
      <c r="AB44" s="488">
        <f t="shared" si="40"/>
        <v>100334.12324</v>
      </c>
      <c r="AC44" s="492">
        <f t="shared" si="41"/>
        <v>84814.392999999996</v>
      </c>
      <c r="AD44" s="493">
        <f t="shared" si="42"/>
        <v>100080.98374</v>
      </c>
      <c r="AE44" s="494" t="s">
        <v>1775</v>
      </c>
      <c r="AF44" s="494" t="s">
        <v>83</v>
      </c>
      <c r="AG44" s="494" t="s">
        <v>211</v>
      </c>
      <c r="AH44" s="494" t="s">
        <v>545</v>
      </c>
      <c r="AI44" s="495">
        <v>41913</v>
      </c>
      <c r="AJ44" s="495">
        <v>41948</v>
      </c>
      <c r="AK44" s="494" t="s">
        <v>96</v>
      </c>
      <c r="AL44" s="494" t="s">
        <v>96</v>
      </c>
      <c r="AM44" s="496" t="s">
        <v>2238</v>
      </c>
      <c r="AN44" s="496" t="s">
        <v>1757</v>
      </c>
      <c r="AO44" s="494">
        <v>796</v>
      </c>
      <c r="AP44" s="494" t="s">
        <v>368</v>
      </c>
      <c r="AQ44" s="494">
        <v>1</v>
      </c>
      <c r="AR44" s="494">
        <v>45</v>
      </c>
      <c r="AS44" s="496" t="s">
        <v>547</v>
      </c>
      <c r="AT44" s="495">
        <v>41968</v>
      </c>
      <c r="AU44" s="495">
        <v>41968</v>
      </c>
      <c r="AV44" s="495">
        <v>42277</v>
      </c>
      <c r="AW44" s="494" t="s">
        <v>99</v>
      </c>
      <c r="AX44" s="496"/>
      <c r="AY44" s="494" t="s">
        <v>186</v>
      </c>
      <c r="AZ44" s="494"/>
      <c r="BA44" s="494">
        <v>2014</v>
      </c>
      <c r="BB44" s="494" t="s">
        <v>5505</v>
      </c>
      <c r="BC44" s="496" t="s">
        <v>5506</v>
      </c>
      <c r="BD44" s="496" t="s">
        <v>1818</v>
      </c>
      <c r="BE44" s="497">
        <v>42277</v>
      </c>
      <c r="BF44" s="498">
        <v>143845.04439999998</v>
      </c>
      <c r="BG44" s="488">
        <v>106350.09836</v>
      </c>
      <c r="BH44" s="488">
        <v>4</v>
      </c>
      <c r="BI44" s="488">
        <v>11.8</v>
      </c>
      <c r="BJ44" s="494" t="s">
        <v>1465</v>
      </c>
      <c r="BK44" s="401"/>
    </row>
    <row r="45" spans="1:63" ht="131.25">
      <c r="A45" s="401">
        <v>1</v>
      </c>
      <c r="B45" s="494" t="s">
        <v>5373</v>
      </c>
      <c r="C45" s="401" t="s">
        <v>83</v>
      </c>
      <c r="D45" s="401" t="s">
        <v>242</v>
      </c>
      <c r="E45" s="494" t="s">
        <v>5853</v>
      </c>
      <c r="F45" s="401" t="s">
        <v>1768</v>
      </c>
      <c r="G45" s="401" t="s">
        <v>1769</v>
      </c>
      <c r="H45" s="499">
        <v>854740</v>
      </c>
      <c r="I45" s="486" t="s">
        <v>5374</v>
      </c>
      <c r="J45" s="496" t="s">
        <v>2237</v>
      </c>
      <c r="K45" s="496" t="s">
        <v>2237</v>
      </c>
      <c r="L45" s="496" t="s">
        <v>1825</v>
      </c>
      <c r="M45" s="500" t="s">
        <v>1755</v>
      </c>
      <c r="N45" s="496" t="s">
        <v>1773</v>
      </c>
      <c r="O45" s="496" t="s">
        <v>2234</v>
      </c>
      <c r="P45" s="489">
        <v>54108.799999999996</v>
      </c>
      <c r="Q45" s="489">
        <f t="shared" si="38"/>
        <v>63848.383999999991</v>
      </c>
      <c r="R45" s="489">
        <v>38745.000844876689</v>
      </c>
      <c r="S45" s="401" t="s">
        <v>1774</v>
      </c>
      <c r="T45" s="501">
        <v>1.087</v>
      </c>
      <c r="U45" s="501">
        <v>1.077</v>
      </c>
      <c r="V45" s="501">
        <v>1.073</v>
      </c>
      <c r="W45" s="501">
        <v>1.071</v>
      </c>
      <c r="X45" s="596">
        <v>0.9</v>
      </c>
      <c r="Y45" s="502">
        <v>50009.190999999999</v>
      </c>
      <c r="Z45" s="489">
        <f t="shared" si="39"/>
        <v>59010.845379999999</v>
      </c>
      <c r="AA45" s="489">
        <v>49703.531999999999</v>
      </c>
      <c r="AB45" s="488">
        <f t="shared" si="40"/>
        <v>58650.167759999997</v>
      </c>
      <c r="AC45" s="492">
        <f t="shared" si="41"/>
        <v>49703.531999999999</v>
      </c>
      <c r="AD45" s="493">
        <f t="shared" si="42"/>
        <v>58650.167759999997</v>
      </c>
      <c r="AE45" s="494" t="s">
        <v>1775</v>
      </c>
      <c r="AF45" s="494" t="s">
        <v>83</v>
      </c>
      <c r="AG45" s="494" t="s">
        <v>211</v>
      </c>
      <c r="AH45" s="494" t="s">
        <v>545</v>
      </c>
      <c r="AI45" s="495">
        <v>41883</v>
      </c>
      <c r="AJ45" s="495">
        <v>41918</v>
      </c>
      <c r="AK45" s="494" t="s">
        <v>96</v>
      </c>
      <c r="AL45" s="494" t="s">
        <v>96</v>
      </c>
      <c r="AM45" s="496" t="s">
        <v>2238</v>
      </c>
      <c r="AN45" s="496" t="s">
        <v>1757</v>
      </c>
      <c r="AO45" s="494">
        <v>796</v>
      </c>
      <c r="AP45" s="494" t="s">
        <v>368</v>
      </c>
      <c r="AQ45" s="494">
        <v>1</v>
      </c>
      <c r="AR45" s="494">
        <v>45</v>
      </c>
      <c r="AS45" s="496" t="s">
        <v>547</v>
      </c>
      <c r="AT45" s="495">
        <v>41938</v>
      </c>
      <c r="AU45" s="495">
        <v>41938</v>
      </c>
      <c r="AV45" s="495">
        <v>42185</v>
      </c>
      <c r="AW45" s="494" t="s">
        <v>99</v>
      </c>
      <c r="AX45" s="496"/>
      <c r="AY45" s="494" t="s">
        <v>186</v>
      </c>
      <c r="AZ45" s="494"/>
      <c r="BA45" s="494">
        <v>2014</v>
      </c>
      <c r="BB45" s="494" t="s">
        <v>5507</v>
      </c>
      <c r="BC45" s="496" t="s">
        <v>5508</v>
      </c>
      <c r="BD45" s="496" t="s">
        <v>1818</v>
      </c>
      <c r="BE45" s="497">
        <v>42185</v>
      </c>
      <c r="BF45" s="498">
        <v>70818.431599999996</v>
      </c>
      <c r="BG45" s="488">
        <v>70818.431599999996</v>
      </c>
      <c r="BH45" s="488">
        <v>6.4</v>
      </c>
      <c r="BI45" s="488">
        <v>6</v>
      </c>
      <c r="BJ45" s="494" t="s">
        <v>1465</v>
      </c>
      <c r="BK45" s="401"/>
    </row>
    <row r="46" spans="1:63" ht="131.25">
      <c r="A46" s="401">
        <v>1</v>
      </c>
      <c r="B46" s="494" t="s">
        <v>5375</v>
      </c>
      <c r="C46" s="401" t="s">
        <v>83</v>
      </c>
      <c r="D46" s="401" t="s">
        <v>242</v>
      </c>
      <c r="E46" s="494" t="s">
        <v>5853</v>
      </c>
      <c r="F46" s="401" t="s">
        <v>1768</v>
      </c>
      <c r="G46" s="401" t="s">
        <v>1769</v>
      </c>
      <c r="H46" s="499">
        <v>854741</v>
      </c>
      <c r="I46" s="486" t="s">
        <v>5376</v>
      </c>
      <c r="J46" s="496" t="s">
        <v>2237</v>
      </c>
      <c r="K46" s="496" t="s">
        <v>2237</v>
      </c>
      <c r="L46" s="496" t="s">
        <v>1825</v>
      </c>
      <c r="M46" s="500" t="s">
        <v>1755</v>
      </c>
      <c r="N46" s="496" t="s">
        <v>1773</v>
      </c>
      <c r="O46" s="496" t="s">
        <v>2234</v>
      </c>
      <c r="P46" s="489">
        <v>82773.882970000006</v>
      </c>
      <c r="Q46" s="489">
        <f t="shared" si="38"/>
        <v>97673.181904600002</v>
      </c>
      <c r="R46" s="489">
        <v>62337.856313627759</v>
      </c>
      <c r="S46" s="401" t="s">
        <v>1774</v>
      </c>
      <c r="T46" s="501">
        <v>1.087</v>
      </c>
      <c r="U46" s="501">
        <v>1.077</v>
      </c>
      <c r="V46" s="501">
        <v>1.073</v>
      </c>
      <c r="W46" s="501">
        <v>1.071</v>
      </c>
      <c r="X46" s="596">
        <v>0.9</v>
      </c>
      <c r="Y46" s="502">
        <v>75479.464999999997</v>
      </c>
      <c r="Z46" s="489">
        <f t="shared" si="39"/>
        <v>89065.768699999986</v>
      </c>
      <c r="AA46" s="489">
        <v>81658.649999999994</v>
      </c>
      <c r="AB46" s="488">
        <f t="shared" si="40"/>
        <v>96357.206999999995</v>
      </c>
      <c r="AC46" s="492">
        <f t="shared" si="41"/>
        <v>75479.464999999997</v>
      </c>
      <c r="AD46" s="493">
        <f t="shared" si="42"/>
        <v>89065.768699999986</v>
      </c>
      <c r="AE46" s="494" t="s">
        <v>1775</v>
      </c>
      <c r="AF46" s="494" t="s">
        <v>83</v>
      </c>
      <c r="AG46" s="494" t="s">
        <v>211</v>
      </c>
      <c r="AH46" s="494" t="s">
        <v>545</v>
      </c>
      <c r="AI46" s="495">
        <v>41699</v>
      </c>
      <c r="AJ46" s="495">
        <v>41734</v>
      </c>
      <c r="AK46" s="494" t="s">
        <v>96</v>
      </c>
      <c r="AL46" s="494" t="s">
        <v>96</v>
      </c>
      <c r="AM46" s="496" t="s">
        <v>2238</v>
      </c>
      <c r="AN46" s="496" t="s">
        <v>1757</v>
      </c>
      <c r="AO46" s="494">
        <v>796</v>
      </c>
      <c r="AP46" s="494" t="s">
        <v>368</v>
      </c>
      <c r="AQ46" s="494">
        <v>1</v>
      </c>
      <c r="AR46" s="494">
        <v>45</v>
      </c>
      <c r="AS46" s="496" t="s">
        <v>547</v>
      </c>
      <c r="AT46" s="495">
        <v>41754</v>
      </c>
      <c r="AU46" s="495">
        <v>41754</v>
      </c>
      <c r="AV46" s="583">
        <v>41912</v>
      </c>
      <c r="AW46" s="494">
        <v>2014</v>
      </c>
      <c r="AX46" s="496"/>
      <c r="AY46" s="494" t="s">
        <v>186</v>
      </c>
      <c r="AZ46" s="494"/>
      <c r="BA46" s="494">
        <v>2014</v>
      </c>
      <c r="BB46" s="494" t="s">
        <v>5509</v>
      </c>
      <c r="BC46" s="496" t="s">
        <v>5510</v>
      </c>
      <c r="BD46" s="496" t="s">
        <v>1818</v>
      </c>
      <c r="BE46" s="497">
        <v>41912</v>
      </c>
      <c r="BF46" s="498">
        <v>99977.547028599991</v>
      </c>
      <c r="BG46" s="488">
        <v>99977.547028599991</v>
      </c>
      <c r="BH46" s="488">
        <v>5.8</v>
      </c>
      <c r="BI46" s="488">
        <v>8</v>
      </c>
      <c r="BJ46" s="494" t="s">
        <v>1465</v>
      </c>
      <c r="BK46" s="401"/>
    </row>
    <row r="47" spans="1:63" ht="131.25">
      <c r="A47" s="401">
        <v>1</v>
      </c>
      <c r="B47" s="494" t="s">
        <v>5377</v>
      </c>
      <c r="C47" s="401" t="s">
        <v>83</v>
      </c>
      <c r="D47" s="401" t="s">
        <v>242</v>
      </c>
      <c r="E47" s="494" t="s">
        <v>5853</v>
      </c>
      <c r="F47" s="401" t="s">
        <v>1768</v>
      </c>
      <c r="G47" s="401" t="s">
        <v>1769</v>
      </c>
      <c r="H47" s="499">
        <v>854742</v>
      </c>
      <c r="I47" s="486" t="s">
        <v>5378</v>
      </c>
      <c r="J47" s="496" t="s">
        <v>2237</v>
      </c>
      <c r="K47" s="496" t="s">
        <v>2237</v>
      </c>
      <c r="L47" s="496" t="s">
        <v>1825</v>
      </c>
      <c r="M47" s="500" t="s">
        <v>1755</v>
      </c>
      <c r="N47" s="496" t="s">
        <v>1773</v>
      </c>
      <c r="O47" s="496" t="s">
        <v>2234</v>
      </c>
      <c r="P47" s="489">
        <v>55208.972446700005</v>
      </c>
      <c r="Q47" s="489">
        <f t="shared" si="38"/>
        <v>65146.587487106</v>
      </c>
      <c r="R47" s="489">
        <v>38319.403087695297</v>
      </c>
      <c r="S47" s="401" t="s">
        <v>1774</v>
      </c>
      <c r="T47" s="501">
        <v>1.087</v>
      </c>
      <c r="U47" s="501">
        <v>1.077</v>
      </c>
      <c r="V47" s="501">
        <v>1.073</v>
      </c>
      <c r="W47" s="501">
        <v>1.071</v>
      </c>
      <c r="X47" s="596">
        <v>0.9</v>
      </c>
      <c r="Y47" s="502">
        <v>46397.618000000002</v>
      </c>
      <c r="Z47" s="489">
        <f t="shared" si="39"/>
        <v>54749.18924</v>
      </c>
      <c r="AA47" s="489">
        <v>50615.612000000001</v>
      </c>
      <c r="AB47" s="488">
        <f t="shared" si="40"/>
        <v>59726.422159999995</v>
      </c>
      <c r="AC47" s="492">
        <f t="shared" si="41"/>
        <v>46397.618000000002</v>
      </c>
      <c r="AD47" s="493">
        <f t="shared" si="42"/>
        <v>54749.18924</v>
      </c>
      <c r="AE47" s="494" t="s">
        <v>1775</v>
      </c>
      <c r="AF47" s="494" t="s">
        <v>83</v>
      </c>
      <c r="AG47" s="494" t="s">
        <v>211</v>
      </c>
      <c r="AH47" s="494" t="s">
        <v>545</v>
      </c>
      <c r="AI47" s="495">
        <v>41685</v>
      </c>
      <c r="AJ47" s="495">
        <v>41720</v>
      </c>
      <c r="AK47" s="494" t="s">
        <v>96</v>
      </c>
      <c r="AL47" s="494" t="s">
        <v>96</v>
      </c>
      <c r="AM47" s="496" t="s">
        <v>2238</v>
      </c>
      <c r="AN47" s="496" t="s">
        <v>1757</v>
      </c>
      <c r="AO47" s="494">
        <v>796</v>
      </c>
      <c r="AP47" s="494" t="s">
        <v>368</v>
      </c>
      <c r="AQ47" s="494">
        <v>1</v>
      </c>
      <c r="AR47" s="494">
        <v>45</v>
      </c>
      <c r="AS47" s="496" t="s">
        <v>547</v>
      </c>
      <c r="AT47" s="495">
        <v>41740</v>
      </c>
      <c r="AU47" s="495">
        <v>41740</v>
      </c>
      <c r="AV47" s="495">
        <v>41820</v>
      </c>
      <c r="AW47" s="494">
        <v>2014</v>
      </c>
      <c r="AX47" s="496"/>
      <c r="AY47" s="494" t="s">
        <v>186</v>
      </c>
      <c r="AZ47" s="494"/>
      <c r="BA47" s="494">
        <v>2014</v>
      </c>
      <c r="BB47" s="494" t="s">
        <v>5511</v>
      </c>
      <c r="BC47" s="496" t="s">
        <v>5512</v>
      </c>
      <c r="BD47" s="496" t="s">
        <v>1818</v>
      </c>
      <c r="BE47" s="497">
        <v>41820</v>
      </c>
      <c r="BF47" s="498">
        <v>65317.449779999995</v>
      </c>
      <c r="BG47" s="488">
        <v>65317.449779999995</v>
      </c>
      <c r="BH47" s="488">
        <v>2.5</v>
      </c>
      <c r="BI47" s="488">
        <v>3</v>
      </c>
      <c r="BJ47" s="494" t="s">
        <v>1465</v>
      </c>
      <c r="BK47" s="401"/>
    </row>
    <row r="48" spans="1:63" ht="131.25">
      <c r="A48" s="401">
        <v>1</v>
      </c>
      <c r="B48" s="494" t="s">
        <v>5379</v>
      </c>
      <c r="C48" s="401" t="s">
        <v>83</v>
      </c>
      <c r="D48" s="401" t="s">
        <v>242</v>
      </c>
      <c r="E48" s="494" t="s">
        <v>5853</v>
      </c>
      <c r="F48" s="401" t="s">
        <v>1768</v>
      </c>
      <c r="G48" s="401" t="s">
        <v>1769</v>
      </c>
      <c r="H48" s="499">
        <v>854743</v>
      </c>
      <c r="I48" s="486" t="s">
        <v>5380</v>
      </c>
      <c r="J48" s="496" t="s">
        <v>2237</v>
      </c>
      <c r="K48" s="496" t="s">
        <v>2237</v>
      </c>
      <c r="L48" s="496" t="s">
        <v>1825</v>
      </c>
      <c r="M48" s="500" t="s">
        <v>1755</v>
      </c>
      <c r="N48" s="496" t="s">
        <v>1773</v>
      </c>
      <c r="O48" s="496" t="s">
        <v>2234</v>
      </c>
      <c r="P48" s="489">
        <v>272588.24809745006</v>
      </c>
      <c r="Q48" s="489">
        <f t="shared" si="38"/>
        <v>321654.13275499106</v>
      </c>
      <c r="R48" s="489">
        <v>170301.14278678159</v>
      </c>
      <c r="S48" s="401" t="s">
        <v>1774</v>
      </c>
      <c r="T48" s="501">
        <v>1.087</v>
      </c>
      <c r="U48" s="501">
        <v>1.077</v>
      </c>
      <c r="V48" s="501">
        <v>1.073</v>
      </c>
      <c r="W48" s="501">
        <v>1.071</v>
      </c>
      <c r="X48" s="596">
        <v>0.9</v>
      </c>
      <c r="Y48" s="502">
        <v>206202.77799999999</v>
      </c>
      <c r="Z48" s="489">
        <f t="shared" si="39"/>
        <v>243319.27803999998</v>
      </c>
      <c r="AA48" s="489">
        <v>222059.989</v>
      </c>
      <c r="AB48" s="488">
        <f t="shared" si="40"/>
        <v>262030.78701999999</v>
      </c>
      <c r="AC48" s="492">
        <f t="shared" si="41"/>
        <v>206202.77799999999</v>
      </c>
      <c r="AD48" s="493">
        <f t="shared" si="42"/>
        <v>243319.27803999998</v>
      </c>
      <c r="AE48" s="494" t="s">
        <v>1775</v>
      </c>
      <c r="AF48" s="494" t="s">
        <v>83</v>
      </c>
      <c r="AG48" s="494" t="s">
        <v>211</v>
      </c>
      <c r="AH48" s="494" t="s">
        <v>545</v>
      </c>
      <c r="AI48" s="495">
        <v>41671</v>
      </c>
      <c r="AJ48" s="495">
        <v>41706</v>
      </c>
      <c r="AK48" s="494" t="s">
        <v>96</v>
      </c>
      <c r="AL48" s="494" t="s">
        <v>96</v>
      </c>
      <c r="AM48" s="496" t="s">
        <v>2238</v>
      </c>
      <c r="AN48" s="496" t="s">
        <v>1757</v>
      </c>
      <c r="AO48" s="494">
        <v>796</v>
      </c>
      <c r="AP48" s="494" t="s">
        <v>368</v>
      </c>
      <c r="AQ48" s="494">
        <v>1</v>
      </c>
      <c r="AR48" s="494">
        <v>45</v>
      </c>
      <c r="AS48" s="496" t="s">
        <v>547</v>
      </c>
      <c r="AT48" s="495">
        <v>41726</v>
      </c>
      <c r="AU48" s="495">
        <v>41726</v>
      </c>
      <c r="AV48" s="495">
        <v>41759</v>
      </c>
      <c r="AW48" s="494">
        <v>2014</v>
      </c>
      <c r="AX48" s="496"/>
      <c r="AY48" s="494" t="s">
        <v>186</v>
      </c>
      <c r="AZ48" s="494"/>
      <c r="BA48" s="494">
        <v>2014</v>
      </c>
      <c r="BB48" s="494" t="s">
        <v>5513</v>
      </c>
      <c r="BC48" s="496" t="s">
        <v>5514</v>
      </c>
      <c r="BD48" s="496" t="s">
        <v>1818</v>
      </c>
      <c r="BE48" s="497">
        <v>41759</v>
      </c>
      <c r="BF48" s="498">
        <v>335731.53499999997</v>
      </c>
      <c r="BG48" s="488">
        <v>262030.78701999999</v>
      </c>
      <c r="BH48" s="488">
        <v>5</v>
      </c>
      <c r="BI48" s="488">
        <v>24</v>
      </c>
      <c r="BJ48" s="494" t="s">
        <v>1465</v>
      </c>
      <c r="BK48" s="401"/>
    </row>
    <row r="49" spans="1:63" ht="112.5">
      <c r="A49" s="401">
        <v>1</v>
      </c>
      <c r="B49" s="494" t="s">
        <v>5381</v>
      </c>
      <c r="C49" s="401" t="s">
        <v>83</v>
      </c>
      <c r="D49" s="401" t="s">
        <v>242</v>
      </c>
      <c r="E49" s="494" t="s">
        <v>5853</v>
      </c>
      <c r="F49" s="401" t="s">
        <v>1768</v>
      </c>
      <c r="G49" s="401" t="s">
        <v>1769</v>
      </c>
      <c r="H49" s="499">
        <v>854746</v>
      </c>
      <c r="I49" s="486" t="s">
        <v>5382</v>
      </c>
      <c r="J49" s="496" t="s">
        <v>2237</v>
      </c>
      <c r="K49" s="496" t="s">
        <v>2237</v>
      </c>
      <c r="L49" s="496" t="s">
        <v>1825</v>
      </c>
      <c r="M49" s="500" t="s">
        <v>1755</v>
      </c>
      <c r="N49" s="496" t="s">
        <v>1773</v>
      </c>
      <c r="O49" s="496" t="s">
        <v>2234</v>
      </c>
      <c r="P49" s="489">
        <v>296358.78210000001</v>
      </c>
      <c r="Q49" s="489">
        <f t="shared" si="38"/>
        <v>349703.36287800001</v>
      </c>
      <c r="R49" s="489">
        <v>204267.98480742009</v>
      </c>
      <c r="S49" s="401" t="s">
        <v>1774</v>
      </c>
      <c r="T49" s="501">
        <v>1.087</v>
      </c>
      <c r="U49" s="501">
        <v>1.077</v>
      </c>
      <c r="V49" s="501">
        <v>1.073</v>
      </c>
      <c r="W49" s="501">
        <v>1.071</v>
      </c>
      <c r="X49" s="596">
        <v>0.9</v>
      </c>
      <c r="Y49" s="502">
        <v>247330.26</v>
      </c>
      <c r="Z49" s="489">
        <f t="shared" si="39"/>
        <v>291849.70679999999</v>
      </c>
      <c r="AA49" s="489">
        <v>249916.07699999999</v>
      </c>
      <c r="AB49" s="488">
        <f t="shared" si="40"/>
        <v>294900.97086</v>
      </c>
      <c r="AC49" s="492">
        <f t="shared" si="41"/>
        <v>247330.26</v>
      </c>
      <c r="AD49" s="493">
        <f t="shared" si="42"/>
        <v>291849.70679999999</v>
      </c>
      <c r="AE49" s="494" t="s">
        <v>1775</v>
      </c>
      <c r="AF49" s="494" t="s">
        <v>83</v>
      </c>
      <c r="AG49" s="494" t="s">
        <v>211</v>
      </c>
      <c r="AH49" s="494" t="s">
        <v>545</v>
      </c>
      <c r="AI49" s="495">
        <v>41699</v>
      </c>
      <c r="AJ49" s="495">
        <v>41734</v>
      </c>
      <c r="AK49" s="494" t="s">
        <v>96</v>
      </c>
      <c r="AL49" s="494" t="s">
        <v>96</v>
      </c>
      <c r="AM49" s="496" t="s">
        <v>2238</v>
      </c>
      <c r="AN49" s="496" t="s">
        <v>1757</v>
      </c>
      <c r="AO49" s="494">
        <v>796</v>
      </c>
      <c r="AP49" s="494" t="s">
        <v>368</v>
      </c>
      <c r="AQ49" s="494">
        <v>1</v>
      </c>
      <c r="AR49" s="494">
        <v>45</v>
      </c>
      <c r="AS49" s="496" t="s">
        <v>547</v>
      </c>
      <c r="AT49" s="495">
        <v>41754</v>
      </c>
      <c r="AU49" s="495">
        <v>41754</v>
      </c>
      <c r="AV49" s="583">
        <v>41912</v>
      </c>
      <c r="AW49" s="494">
        <v>2014</v>
      </c>
      <c r="AX49" s="496"/>
      <c r="AY49" s="494" t="s">
        <v>186</v>
      </c>
      <c r="AZ49" s="494"/>
      <c r="BA49" s="494">
        <v>2014</v>
      </c>
      <c r="BB49" s="494" t="s">
        <v>5515</v>
      </c>
      <c r="BC49" s="496" t="s">
        <v>5516</v>
      </c>
      <c r="BD49" s="496" t="s">
        <v>1818</v>
      </c>
      <c r="BE49" s="497">
        <v>41912</v>
      </c>
      <c r="BF49" s="498">
        <v>365660.20540000004</v>
      </c>
      <c r="BG49" s="488">
        <v>304479.99728000001</v>
      </c>
      <c r="BH49" s="488">
        <v>8</v>
      </c>
      <c r="BI49" s="488">
        <v>21.9</v>
      </c>
      <c r="BJ49" s="494" t="s">
        <v>1465</v>
      </c>
      <c r="BK49" s="401"/>
    </row>
    <row r="50" spans="1:63" ht="150">
      <c r="A50" s="401">
        <v>1</v>
      </c>
      <c r="B50" s="494" t="s">
        <v>5383</v>
      </c>
      <c r="C50" s="401" t="s">
        <v>83</v>
      </c>
      <c r="D50" s="401" t="s">
        <v>242</v>
      </c>
      <c r="E50" s="494" t="s">
        <v>5853</v>
      </c>
      <c r="F50" s="401" t="s">
        <v>1768</v>
      </c>
      <c r="G50" s="401" t="s">
        <v>1769</v>
      </c>
      <c r="H50" s="499">
        <v>854750</v>
      </c>
      <c r="I50" s="486" t="s">
        <v>5384</v>
      </c>
      <c r="J50" s="496" t="s">
        <v>2237</v>
      </c>
      <c r="K50" s="496" t="s">
        <v>2237</v>
      </c>
      <c r="L50" s="496" t="s">
        <v>1825</v>
      </c>
      <c r="M50" s="500" t="s">
        <v>1755</v>
      </c>
      <c r="N50" s="496" t="s">
        <v>1773</v>
      </c>
      <c r="O50" s="496" t="s">
        <v>2234</v>
      </c>
      <c r="P50" s="489">
        <v>103425.36262999999</v>
      </c>
      <c r="Q50" s="489">
        <f t="shared" si="38"/>
        <v>122041.92790339998</v>
      </c>
      <c r="R50" s="489">
        <v>61705.740349516775</v>
      </c>
      <c r="S50" s="401" t="s">
        <v>1774</v>
      </c>
      <c r="T50" s="501">
        <v>1.087</v>
      </c>
      <c r="U50" s="501">
        <v>1.077</v>
      </c>
      <c r="V50" s="501">
        <v>1.073</v>
      </c>
      <c r="W50" s="501">
        <v>1.071</v>
      </c>
      <c r="X50" s="596">
        <v>0.9</v>
      </c>
      <c r="Y50" s="502">
        <v>79645.221000000005</v>
      </c>
      <c r="Z50" s="489">
        <f t="shared" si="39"/>
        <v>93981.360780000003</v>
      </c>
      <c r="AA50" s="489">
        <v>80479.467000000004</v>
      </c>
      <c r="AB50" s="488">
        <f t="shared" si="40"/>
        <v>94965.771059999999</v>
      </c>
      <c r="AC50" s="492">
        <f t="shared" si="41"/>
        <v>79645.221000000005</v>
      </c>
      <c r="AD50" s="493">
        <f t="shared" si="42"/>
        <v>93981.360780000003</v>
      </c>
      <c r="AE50" s="494" t="s">
        <v>1775</v>
      </c>
      <c r="AF50" s="494" t="s">
        <v>83</v>
      </c>
      <c r="AG50" s="494" t="s">
        <v>211</v>
      </c>
      <c r="AH50" s="494" t="s">
        <v>545</v>
      </c>
      <c r="AI50" s="495">
        <v>41913</v>
      </c>
      <c r="AJ50" s="495">
        <v>41948</v>
      </c>
      <c r="AK50" s="494" t="s">
        <v>96</v>
      </c>
      <c r="AL50" s="494" t="s">
        <v>96</v>
      </c>
      <c r="AM50" s="496" t="s">
        <v>2238</v>
      </c>
      <c r="AN50" s="496" t="s">
        <v>1757</v>
      </c>
      <c r="AO50" s="494">
        <v>796</v>
      </c>
      <c r="AP50" s="494" t="s">
        <v>368</v>
      </c>
      <c r="AQ50" s="494">
        <v>1</v>
      </c>
      <c r="AR50" s="494">
        <v>45</v>
      </c>
      <c r="AS50" s="496" t="s">
        <v>547</v>
      </c>
      <c r="AT50" s="495">
        <v>41968</v>
      </c>
      <c r="AU50" s="495">
        <v>41968</v>
      </c>
      <c r="AV50" s="495">
        <v>42277</v>
      </c>
      <c r="AW50" s="494" t="s">
        <v>99</v>
      </c>
      <c r="AX50" s="496"/>
      <c r="AY50" s="494" t="s">
        <v>186</v>
      </c>
      <c r="AZ50" s="494"/>
      <c r="BA50" s="494">
        <v>2014</v>
      </c>
      <c r="BB50" s="494" t="s">
        <v>5517</v>
      </c>
      <c r="BC50" s="496" t="s">
        <v>5518</v>
      </c>
      <c r="BD50" s="496" t="s">
        <v>1818</v>
      </c>
      <c r="BE50" s="497">
        <v>42277</v>
      </c>
      <c r="BF50" s="498">
        <v>126417.43041979999</v>
      </c>
      <c r="BG50" s="488">
        <v>99385.643960000001</v>
      </c>
      <c r="BH50" s="488">
        <v>10</v>
      </c>
      <c r="BI50" s="488">
        <v>13</v>
      </c>
      <c r="BJ50" s="494" t="s">
        <v>1465</v>
      </c>
      <c r="BK50" s="401"/>
    </row>
    <row r="51" spans="1:63" ht="112.5">
      <c r="A51" s="401">
        <v>1</v>
      </c>
      <c r="B51" s="494" t="s">
        <v>5385</v>
      </c>
      <c r="C51" s="401" t="s">
        <v>83</v>
      </c>
      <c r="D51" s="401" t="s">
        <v>242</v>
      </c>
      <c r="E51" s="494" t="s">
        <v>5853</v>
      </c>
      <c r="F51" s="401" t="s">
        <v>1768</v>
      </c>
      <c r="G51" s="401" t="s">
        <v>1769</v>
      </c>
      <c r="H51" s="499">
        <v>854751</v>
      </c>
      <c r="I51" s="486" t="s">
        <v>5386</v>
      </c>
      <c r="J51" s="496" t="s">
        <v>2237</v>
      </c>
      <c r="K51" s="496" t="s">
        <v>2237</v>
      </c>
      <c r="L51" s="496" t="s">
        <v>1825</v>
      </c>
      <c r="M51" s="500" t="s">
        <v>1755</v>
      </c>
      <c r="N51" s="496" t="s">
        <v>1773</v>
      </c>
      <c r="O51" s="496" t="s">
        <v>2234</v>
      </c>
      <c r="P51" s="489">
        <v>107176.34230975001</v>
      </c>
      <c r="Q51" s="489">
        <f t="shared" si="38"/>
        <v>126468.08392550499</v>
      </c>
      <c r="R51" s="489">
        <v>78119.134302517938</v>
      </c>
      <c r="S51" s="401" t="s">
        <v>1774</v>
      </c>
      <c r="T51" s="501">
        <v>1.087</v>
      </c>
      <c r="U51" s="501">
        <v>1.077</v>
      </c>
      <c r="V51" s="501">
        <v>1.073</v>
      </c>
      <c r="W51" s="501">
        <v>1.071</v>
      </c>
      <c r="X51" s="596">
        <v>0.9</v>
      </c>
      <c r="Y51" s="502">
        <v>100830.42</v>
      </c>
      <c r="Z51" s="489">
        <f t="shared" si="39"/>
        <v>118979.89559999999</v>
      </c>
      <c r="AA51" s="489">
        <v>84896.403000000006</v>
      </c>
      <c r="AB51" s="488">
        <f t="shared" si="40"/>
        <v>100177.75554</v>
      </c>
      <c r="AC51" s="492">
        <f t="shared" si="41"/>
        <v>84896.403000000006</v>
      </c>
      <c r="AD51" s="493">
        <f t="shared" si="42"/>
        <v>100177.75554</v>
      </c>
      <c r="AE51" s="494" t="s">
        <v>1775</v>
      </c>
      <c r="AF51" s="494" t="s">
        <v>83</v>
      </c>
      <c r="AG51" s="494" t="s">
        <v>211</v>
      </c>
      <c r="AH51" s="494" t="s">
        <v>545</v>
      </c>
      <c r="AI51" s="495">
        <v>41913</v>
      </c>
      <c r="AJ51" s="495">
        <v>41948</v>
      </c>
      <c r="AK51" s="494" t="s">
        <v>96</v>
      </c>
      <c r="AL51" s="494" t="s">
        <v>96</v>
      </c>
      <c r="AM51" s="496" t="s">
        <v>2238</v>
      </c>
      <c r="AN51" s="496" t="s">
        <v>1757</v>
      </c>
      <c r="AO51" s="494">
        <v>796</v>
      </c>
      <c r="AP51" s="494" t="s">
        <v>368</v>
      </c>
      <c r="AQ51" s="494">
        <v>1</v>
      </c>
      <c r="AR51" s="494">
        <v>45</v>
      </c>
      <c r="AS51" s="496" t="s">
        <v>547</v>
      </c>
      <c r="AT51" s="495">
        <v>41968</v>
      </c>
      <c r="AU51" s="495">
        <v>41968</v>
      </c>
      <c r="AV51" s="495">
        <v>42277</v>
      </c>
      <c r="AW51" s="494" t="s">
        <v>99</v>
      </c>
      <c r="AX51" s="496"/>
      <c r="AY51" s="494" t="s">
        <v>186</v>
      </c>
      <c r="AZ51" s="494"/>
      <c r="BA51" s="494">
        <v>2014</v>
      </c>
      <c r="BB51" s="494" t="s">
        <v>5519</v>
      </c>
      <c r="BC51" s="496" t="s">
        <v>5520</v>
      </c>
      <c r="BD51" s="496" t="s">
        <v>1818</v>
      </c>
      <c r="BE51" s="497">
        <v>42277</v>
      </c>
      <c r="BF51" s="498">
        <v>132800.054833</v>
      </c>
      <c r="BG51" s="488">
        <v>112009.95301999999</v>
      </c>
      <c r="BH51" s="488">
        <v>12</v>
      </c>
      <c r="BI51" s="488">
        <v>11</v>
      </c>
      <c r="BJ51" s="494" t="s">
        <v>1465</v>
      </c>
      <c r="BK51" s="401"/>
    </row>
    <row r="52" spans="1:63" ht="131.25">
      <c r="A52" s="401">
        <v>1</v>
      </c>
      <c r="B52" s="494" t="s">
        <v>5387</v>
      </c>
      <c r="C52" s="401" t="s">
        <v>83</v>
      </c>
      <c r="D52" s="401" t="s">
        <v>242</v>
      </c>
      <c r="E52" s="494" t="s">
        <v>5853</v>
      </c>
      <c r="F52" s="401" t="s">
        <v>1768</v>
      </c>
      <c r="G52" s="401" t="s">
        <v>1769</v>
      </c>
      <c r="H52" s="499">
        <v>854752</v>
      </c>
      <c r="I52" s="486" t="s">
        <v>5388</v>
      </c>
      <c r="J52" s="496" t="s">
        <v>2237</v>
      </c>
      <c r="K52" s="496" t="s">
        <v>2237</v>
      </c>
      <c r="L52" s="496" t="s">
        <v>1825</v>
      </c>
      <c r="M52" s="500" t="s">
        <v>1755</v>
      </c>
      <c r="N52" s="496" t="s">
        <v>1773</v>
      </c>
      <c r="O52" s="496" t="s">
        <v>2234</v>
      </c>
      <c r="P52" s="489">
        <v>101055.74099999999</v>
      </c>
      <c r="Q52" s="489">
        <f t="shared" si="38"/>
        <v>119245.77437999999</v>
      </c>
      <c r="R52" s="489">
        <v>71848.764593220592</v>
      </c>
      <c r="S52" s="401" t="s">
        <v>1774</v>
      </c>
      <c r="T52" s="501">
        <v>1.087</v>
      </c>
      <c r="U52" s="501">
        <v>1.077</v>
      </c>
      <c r="V52" s="501">
        <v>1.073</v>
      </c>
      <c r="W52" s="501">
        <v>1.071</v>
      </c>
      <c r="X52" s="596">
        <v>0.9</v>
      </c>
      <c r="Y52" s="502">
        <v>92737.089000000007</v>
      </c>
      <c r="Z52" s="489">
        <f t="shared" si="39"/>
        <v>109429.76502000001</v>
      </c>
      <c r="AA52" s="489">
        <v>97938.429000000004</v>
      </c>
      <c r="AB52" s="488">
        <f t="shared" si="40"/>
        <v>115567.34621999999</v>
      </c>
      <c r="AC52" s="492">
        <f t="shared" si="41"/>
        <v>92737.089000000007</v>
      </c>
      <c r="AD52" s="493">
        <f t="shared" si="42"/>
        <v>109429.76502000001</v>
      </c>
      <c r="AE52" s="494" t="s">
        <v>1775</v>
      </c>
      <c r="AF52" s="494" t="s">
        <v>83</v>
      </c>
      <c r="AG52" s="494" t="s">
        <v>211</v>
      </c>
      <c r="AH52" s="494" t="s">
        <v>545</v>
      </c>
      <c r="AI52" s="495">
        <v>41883</v>
      </c>
      <c r="AJ52" s="495">
        <v>41918</v>
      </c>
      <c r="AK52" s="494" t="s">
        <v>96</v>
      </c>
      <c r="AL52" s="494" t="s">
        <v>96</v>
      </c>
      <c r="AM52" s="496" t="s">
        <v>2238</v>
      </c>
      <c r="AN52" s="496" t="s">
        <v>1757</v>
      </c>
      <c r="AO52" s="494">
        <v>796</v>
      </c>
      <c r="AP52" s="494" t="s">
        <v>368</v>
      </c>
      <c r="AQ52" s="494">
        <v>1</v>
      </c>
      <c r="AR52" s="494">
        <v>45</v>
      </c>
      <c r="AS52" s="496" t="s">
        <v>547</v>
      </c>
      <c r="AT52" s="495">
        <v>41938</v>
      </c>
      <c r="AU52" s="495">
        <v>41938</v>
      </c>
      <c r="AV52" s="495">
        <v>42185</v>
      </c>
      <c r="AW52" s="494" t="s">
        <v>99</v>
      </c>
      <c r="AX52" s="496"/>
      <c r="AY52" s="494" t="s">
        <v>186</v>
      </c>
      <c r="AZ52" s="494"/>
      <c r="BA52" s="494">
        <v>2014</v>
      </c>
      <c r="BB52" s="494" t="s">
        <v>5521</v>
      </c>
      <c r="BC52" s="496" t="s">
        <v>5522</v>
      </c>
      <c r="BD52" s="496" t="s">
        <v>1818</v>
      </c>
      <c r="BE52" s="497">
        <v>42185</v>
      </c>
      <c r="BF52" s="498">
        <v>124061.97043440002</v>
      </c>
      <c r="BG52" s="488">
        <v>99385.643960000001</v>
      </c>
      <c r="BH52" s="488">
        <v>8</v>
      </c>
      <c r="BI52" s="488">
        <v>10</v>
      </c>
      <c r="BJ52" s="494" t="s">
        <v>1465</v>
      </c>
      <c r="BK52" s="401"/>
    </row>
    <row r="53" spans="1:63" ht="112.5">
      <c r="A53" s="401">
        <v>1</v>
      </c>
      <c r="B53" s="494" t="s">
        <v>5389</v>
      </c>
      <c r="C53" s="401" t="s">
        <v>83</v>
      </c>
      <c r="D53" s="401" t="s">
        <v>242</v>
      </c>
      <c r="E53" s="494" t="s">
        <v>5853</v>
      </c>
      <c r="F53" s="401" t="s">
        <v>1768</v>
      </c>
      <c r="G53" s="401" t="s">
        <v>1769</v>
      </c>
      <c r="H53" s="499">
        <v>854754</v>
      </c>
      <c r="I53" s="486" t="s">
        <v>5390</v>
      </c>
      <c r="J53" s="496" t="s">
        <v>5317</v>
      </c>
      <c r="K53" s="496" t="s">
        <v>5317</v>
      </c>
      <c r="L53" s="496" t="s">
        <v>1825</v>
      </c>
      <c r="M53" s="500" t="s">
        <v>1755</v>
      </c>
      <c r="N53" s="496" t="s">
        <v>1773</v>
      </c>
      <c r="O53" s="496" t="s">
        <v>2234</v>
      </c>
      <c r="P53" s="489">
        <v>890.09860818181824</v>
      </c>
      <c r="Q53" s="489">
        <f t="shared" si="38"/>
        <v>1050.3163576545455</v>
      </c>
      <c r="R53" s="489">
        <v>609.04715521810192</v>
      </c>
      <c r="S53" s="401" t="s">
        <v>1774</v>
      </c>
      <c r="T53" s="501">
        <v>1.087</v>
      </c>
      <c r="U53" s="501">
        <v>1.077</v>
      </c>
      <c r="V53" s="501">
        <v>1.073</v>
      </c>
      <c r="W53" s="501">
        <v>1.071</v>
      </c>
      <c r="X53" s="596">
        <v>0.9</v>
      </c>
      <c r="Y53" s="502">
        <v>737.44200000000001</v>
      </c>
      <c r="Z53" s="489">
        <f t="shared" si="39"/>
        <v>870.18155999999999</v>
      </c>
      <c r="AA53" s="489">
        <v>794.33399999999995</v>
      </c>
      <c r="AB53" s="488">
        <f t="shared" si="40"/>
        <v>937.31411999999989</v>
      </c>
      <c r="AC53" s="492">
        <f t="shared" si="41"/>
        <v>737.44200000000001</v>
      </c>
      <c r="AD53" s="493">
        <f t="shared" si="42"/>
        <v>870.18155999999999</v>
      </c>
      <c r="AE53" s="494" t="s">
        <v>1775</v>
      </c>
      <c r="AF53" s="494" t="s">
        <v>83</v>
      </c>
      <c r="AG53" s="494" t="s">
        <v>211</v>
      </c>
      <c r="AH53" s="494" t="s">
        <v>545</v>
      </c>
      <c r="AI53" s="495">
        <v>41659</v>
      </c>
      <c r="AJ53" s="495">
        <v>41694</v>
      </c>
      <c r="AK53" s="494" t="s">
        <v>96</v>
      </c>
      <c r="AL53" s="494" t="s">
        <v>96</v>
      </c>
      <c r="AM53" s="496" t="s">
        <v>1846</v>
      </c>
      <c r="AN53" s="496" t="s">
        <v>1757</v>
      </c>
      <c r="AO53" s="494">
        <v>796</v>
      </c>
      <c r="AP53" s="494" t="s">
        <v>368</v>
      </c>
      <c r="AQ53" s="494">
        <v>1</v>
      </c>
      <c r="AR53" s="494">
        <v>45</v>
      </c>
      <c r="AS53" s="496" t="s">
        <v>547</v>
      </c>
      <c r="AT53" s="495">
        <v>41714</v>
      </c>
      <c r="AU53" s="495">
        <v>41714</v>
      </c>
      <c r="AV53" s="495">
        <v>41729</v>
      </c>
      <c r="AW53" s="494">
        <v>2014</v>
      </c>
      <c r="AX53" s="496"/>
      <c r="AY53" s="494" t="s">
        <v>186</v>
      </c>
      <c r="AZ53" s="494"/>
      <c r="BA53" s="494">
        <v>2014</v>
      </c>
      <c r="BB53" s="494" t="s">
        <v>5523</v>
      </c>
      <c r="BC53" s="496" t="s">
        <v>5524</v>
      </c>
      <c r="BD53" s="496" t="s">
        <v>1818</v>
      </c>
      <c r="BE53" s="497">
        <v>41729</v>
      </c>
      <c r="BF53" s="498">
        <v>1092.6587599999998</v>
      </c>
      <c r="BG53" s="488">
        <v>1092.6587599999998</v>
      </c>
      <c r="BH53" s="488">
        <v>0.4</v>
      </c>
      <c r="BI53" s="488">
        <v>0</v>
      </c>
      <c r="BJ53" s="494" t="s">
        <v>1465</v>
      </c>
      <c r="BK53" s="401"/>
    </row>
    <row r="54" spans="1:63" ht="112.5">
      <c r="A54" s="401">
        <v>1</v>
      </c>
      <c r="B54" s="494" t="s">
        <v>5391</v>
      </c>
      <c r="C54" s="401" t="s">
        <v>83</v>
      </c>
      <c r="D54" s="401" t="s">
        <v>242</v>
      </c>
      <c r="E54" s="494" t="s">
        <v>5853</v>
      </c>
      <c r="F54" s="401" t="s">
        <v>1768</v>
      </c>
      <c r="G54" s="401" t="s">
        <v>1769</v>
      </c>
      <c r="H54" s="499">
        <v>854755</v>
      </c>
      <c r="I54" s="486" t="s">
        <v>5392</v>
      </c>
      <c r="J54" s="496" t="s">
        <v>5317</v>
      </c>
      <c r="K54" s="496" t="s">
        <v>5317</v>
      </c>
      <c r="L54" s="496" t="s">
        <v>1825</v>
      </c>
      <c r="M54" s="500" t="s">
        <v>1755</v>
      </c>
      <c r="N54" s="496" t="s">
        <v>1773</v>
      </c>
      <c r="O54" s="496" t="s">
        <v>2234</v>
      </c>
      <c r="P54" s="489">
        <v>888.67770000000007</v>
      </c>
      <c r="Q54" s="489">
        <f t="shared" si="38"/>
        <v>1048.639686</v>
      </c>
      <c r="R54" s="489">
        <v>640.4954556626044</v>
      </c>
      <c r="S54" s="401" t="s">
        <v>1774</v>
      </c>
      <c r="T54" s="501">
        <v>1.087</v>
      </c>
      <c r="U54" s="501">
        <v>1.077</v>
      </c>
      <c r="V54" s="501">
        <v>1.073</v>
      </c>
      <c r="W54" s="501">
        <v>1.071</v>
      </c>
      <c r="X54" s="596">
        <v>0.9</v>
      </c>
      <c r="Y54" s="502">
        <v>775.52</v>
      </c>
      <c r="Z54" s="489">
        <f t="shared" si="39"/>
        <v>915.11359999999991</v>
      </c>
      <c r="AA54" s="489">
        <v>831.53499999999997</v>
      </c>
      <c r="AB54" s="488">
        <f t="shared" si="40"/>
        <v>981.21129999999994</v>
      </c>
      <c r="AC54" s="492">
        <f t="shared" si="41"/>
        <v>775.52</v>
      </c>
      <c r="AD54" s="493">
        <f t="shared" si="42"/>
        <v>915.11359999999991</v>
      </c>
      <c r="AE54" s="494" t="s">
        <v>1775</v>
      </c>
      <c r="AF54" s="494" t="s">
        <v>83</v>
      </c>
      <c r="AG54" s="494" t="s">
        <v>211</v>
      </c>
      <c r="AH54" s="494" t="s">
        <v>545</v>
      </c>
      <c r="AI54" s="495">
        <v>41659</v>
      </c>
      <c r="AJ54" s="495">
        <v>41694</v>
      </c>
      <c r="AK54" s="494" t="s">
        <v>96</v>
      </c>
      <c r="AL54" s="494" t="s">
        <v>96</v>
      </c>
      <c r="AM54" s="496" t="s">
        <v>1846</v>
      </c>
      <c r="AN54" s="496" t="s">
        <v>1757</v>
      </c>
      <c r="AO54" s="494">
        <v>796</v>
      </c>
      <c r="AP54" s="494" t="s">
        <v>368</v>
      </c>
      <c r="AQ54" s="494">
        <v>1</v>
      </c>
      <c r="AR54" s="494">
        <v>45</v>
      </c>
      <c r="AS54" s="496" t="s">
        <v>547</v>
      </c>
      <c r="AT54" s="495">
        <v>41714</v>
      </c>
      <c r="AU54" s="495">
        <v>41714</v>
      </c>
      <c r="AV54" s="495">
        <v>41729</v>
      </c>
      <c r="AW54" s="494">
        <v>2014</v>
      </c>
      <c r="AX54" s="496"/>
      <c r="AY54" s="494" t="s">
        <v>186</v>
      </c>
      <c r="AZ54" s="494"/>
      <c r="BA54" s="494">
        <v>2014</v>
      </c>
      <c r="BB54" s="494" t="s">
        <v>5525</v>
      </c>
      <c r="BC54" s="496" t="s">
        <v>5526</v>
      </c>
      <c r="BD54" s="496" t="s">
        <v>1818</v>
      </c>
      <c r="BE54" s="497">
        <v>41729</v>
      </c>
      <c r="BF54" s="498">
        <v>1167.1615999999999</v>
      </c>
      <c r="BG54" s="488">
        <v>1167.1615999999999</v>
      </c>
      <c r="BH54" s="488">
        <v>0.3</v>
      </c>
      <c r="BI54" s="488">
        <v>0</v>
      </c>
      <c r="BJ54" s="494" t="s">
        <v>1465</v>
      </c>
      <c r="BK54" s="401"/>
    </row>
    <row r="55" spans="1:63" ht="112.5">
      <c r="A55" s="401">
        <v>1</v>
      </c>
      <c r="B55" s="494" t="s">
        <v>5393</v>
      </c>
      <c r="C55" s="401" t="s">
        <v>83</v>
      </c>
      <c r="D55" s="401" t="s">
        <v>242</v>
      </c>
      <c r="E55" s="494" t="s">
        <v>5853</v>
      </c>
      <c r="F55" s="401" t="s">
        <v>1768</v>
      </c>
      <c r="G55" s="401" t="s">
        <v>1769</v>
      </c>
      <c r="H55" s="499">
        <v>854756</v>
      </c>
      <c r="I55" s="486" t="s">
        <v>5394</v>
      </c>
      <c r="J55" s="496" t="s">
        <v>5317</v>
      </c>
      <c r="K55" s="496" t="s">
        <v>5317</v>
      </c>
      <c r="L55" s="496" t="s">
        <v>1825</v>
      </c>
      <c r="M55" s="500" t="s">
        <v>1755</v>
      </c>
      <c r="N55" s="496" t="s">
        <v>1773</v>
      </c>
      <c r="O55" s="496" t="s">
        <v>2234</v>
      </c>
      <c r="P55" s="489">
        <v>888.67770000000007</v>
      </c>
      <c r="Q55" s="489">
        <f t="shared" si="38"/>
        <v>1048.639686</v>
      </c>
      <c r="R55" s="489">
        <v>640.4954556626044</v>
      </c>
      <c r="S55" s="401" t="s">
        <v>1774</v>
      </c>
      <c r="T55" s="501">
        <v>1.087</v>
      </c>
      <c r="U55" s="501">
        <v>1.077</v>
      </c>
      <c r="V55" s="501">
        <v>1.073</v>
      </c>
      <c r="W55" s="501">
        <v>1.071</v>
      </c>
      <c r="X55" s="596">
        <v>0.9</v>
      </c>
      <c r="Y55" s="502">
        <v>775.52</v>
      </c>
      <c r="Z55" s="489">
        <f t="shared" si="39"/>
        <v>915.11359999999991</v>
      </c>
      <c r="AA55" s="489">
        <v>831.53499999999997</v>
      </c>
      <c r="AB55" s="488">
        <f t="shared" si="40"/>
        <v>981.21129999999994</v>
      </c>
      <c r="AC55" s="492">
        <f t="shared" si="41"/>
        <v>775.52</v>
      </c>
      <c r="AD55" s="493">
        <f t="shared" si="42"/>
        <v>915.11359999999991</v>
      </c>
      <c r="AE55" s="494" t="s">
        <v>1775</v>
      </c>
      <c r="AF55" s="494" t="s">
        <v>83</v>
      </c>
      <c r="AG55" s="494" t="s">
        <v>211</v>
      </c>
      <c r="AH55" s="494" t="s">
        <v>545</v>
      </c>
      <c r="AI55" s="495">
        <v>41659</v>
      </c>
      <c r="AJ55" s="495">
        <v>41694</v>
      </c>
      <c r="AK55" s="494" t="s">
        <v>96</v>
      </c>
      <c r="AL55" s="494" t="s">
        <v>96</v>
      </c>
      <c r="AM55" s="496" t="s">
        <v>1846</v>
      </c>
      <c r="AN55" s="496" t="s">
        <v>1757</v>
      </c>
      <c r="AO55" s="494">
        <v>796</v>
      </c>
      <c r="AP55" s="494" t="s">
        <v>368</v>
      </c>
      <c r="AQ55" s="494">
        <v>1</v>
      </c>
      <c r="AR55" s="494">
        <v>45</v>
      </c>
      <c r="AS55" s="496" t="s">
        <v>547</v>
      </c>
      <c r="AT55" s="495">
        <v>41714</v>
      </c>
      <c r="AU55" s="495">
        <v>41714</v>
      </c>
      <c r="AV55" s="495">
        <v>41729</v>
      </c>
      <c r="AW55" s="494">
        <v>2014</v>
      </c>
      <c r="AX55" s="496"/>
      <c r="AY55" s="494" t="s">
        <v>186</v>
      </c>
      <c r="AZ55" s="494"/>
      <c r="BA55" s="494">
        <v>2014</v>
      </c>
      <c r="BB55" s="494" t="s">
        <v>5527</v>
      </c>
      <c r="BC55" s="496" t="s">
        <v>5528</v>
      </c>
      <c r="BD55" s="496" t="s">
        <v>1818</v>
      </c>
      <c r="BE55" s="497">
        <v>41729</v>
      </c>
      <c r="BF55" s="498">
        <v>1167.1615999999999</v>
      </c>
      <c r="BG55" s="488">
        <v>1167.1615999999999</v>
      </c>
      <c r="BH55" s="488">
        <v>0.3</v>
      </c>
      <c r="BI55" s="488">
        <v>0</v>
      </c>
      <c r="BJ55" s="494" t="s">
        <v>1465</v>
      </c>
      <c r="BK55" s="401"/>
    </row>
    <row r="56" spans="1:63" ht="112.5">
      <c r="A56" s="401">
        <v>1</v>
      </c>
      <c r="B56" s="494" t="s">
        <v>5395</v>
      </c>
      <c r="C56" s="401" t="s">
        <v>83</v>
      </c>
      <c r="D56" s="401" t="s">
        <v>242</v>
      </c>
      <c r="E56" s="494" t="s">
        <v>5853</v>
      </c>
      <c r="F56" s="401" t="s">
        <v>1768</v>
      </c>
      <c r="G56" s="401" t="s">
        <v>1769</v>
      </c>
      <c r="H56" s="499">
        <v>854757</v>
      </c>
      <c r="I56" s="486" t="s">
        <v>5396</v>
      </c>
      <c r="J56" s="496" t="s">
        <v>5317</v>
      </c>
      <c r="K56" s="496" t="s">
        <v>5317</v>
      </c>
      <c r="L56" s="496" t="s">
        <v>1825</v>
      </c>
      <c r="M56" s="500" t="s">
        <v>1755</v>
      </c>
      <c r="N56" s="496" t="s">
        <v>1773</v>
      </c>
      <c r="O56" s="496" t="s">
        <v>2234</v>
      </c>
      <c r="P56" s="489">
        <v>945.83838818181823</v>
      </c>
      <c r="Q56" s="489">
        <f t="shared" si="38"/>
        <v>1116.0892980545455</v>
      </c>
      <c r="R56" s="489">
        <v>717.94261480654018</v>
      </c>
      <c r="S56" s="401" t="s">
        <v>1774</v>
      </c>
      <c r="T56" s="501">
        <v>1.087</v>
      </c>
      <c r="U56" s="501">
        <v>1.077</v>
      </c>
      <c r="V56" s="501">
        <v>1.073</v>
      </c>
      <c r="W56" s="501">
        <v>1.071</v>
      </c>
      <c r="X56" s="596">
        <v>0.9</v>
      </c>
      <c r="Y56" s="502">
        <v>869.29399999999998</v>
      </c>
      <c r="Z56" s="489">
        <f t="shared" si="39"/>
        <v>1025.76692</v>
      </c>
      <c r="AA56" s="489">
        <v>851.02499999999998</v>
      </c>
      <c r="AB56" s="488">
        <f t="shared" si="40"/>
        <v>1004.2094999999999</v>
      </c>
      <c r="AC56" s="492">
        <f t="shared" si="41"/>
        <v>851.02499999999998</v>
      </c>
      <c r="AD56" s="493">
        <f t="shared" si="42"/>
        <v>1004.2094999999999</v>
      </c>
      <c r="AE56" s="494" t="s">
        <v>1775</v>
      </c>
      <c r="AF56" s="494" t="s">
        <v>83</v>
      </c>
      <c r="AG56" s="494" t="s">
        <v>211</v>
      </c>
      <c r="AH56" s="494" t="s">
        <v>545</v>
      </c>
      <c r="AI56" s="495">
        <v>41659</v>
      </c>
      <c r="AJ56" s="495">
        <v>41694</v>
      </c>
      <c r="AK56" s="494" t="s">
        <v>96</v>
      </c>
      <c r="AL56" s="494" t="s">
        <v>96</v>
      </c>
      <c r="AM56" s="496" t="s">
        <v>1846</v>
      </c>
      <c r="AN56" s="496" t="s">
        <v>1757</v>
      </c>
      <c r="AO56" s="494">
        <v>796</v>
      </c>
      <c r="AP56" s="494" t="s">
        <v>368</v>
      </c>
      <c r="AQ56" s="494">
        <v>1</v>
      </c>
      <c r="AR56" s="494">
        <v>45</v>
      </c>
      <c r="AS56" s="496" t="s">
        <v>547</v>
      </c>
      <c r="AT56" s="495">
        <v>41714</v>
      </c>
      <c r="AU56" s="495">
        <v>41714</v>
      </c>
      <c r="AV56" s="495">
        <v>41729</v>
      </c>
      <c r="AW56" s="494">
        <v>2014</v>
      </c>
      <c r="AX56" s="496"/>
      <c r="AY56" s="494" t="s">
        <v>186</v>
      </c>
      <c r="AZ56" s="494"/>
      <c r="BA56" s="494">
        <v>2014</v>
      </c>
      <c r="BB56" s="494" t="s">
        <v>5529</v>
      </c>
      <c r="BC56" s="496" t="s">
        <v>5530</v>
      </c>
      <c r="BD56" s="496" t="s">
        <v>1818</v>
      </c>
      <c r="BE56" s="497">
        <v>41729</v>
      </c>
      <c r="BF56" s="498">
        <v>1170.086348</v>
      </c>
      <c r="BG56" s="488">
        <v>1170.086348</v>
      </c>
      <c r="BH56" s="488">
        <v>0.4</v>
      </c>
      <c r="BI56" s="488">
        <v>0</v>
      </c>
      <c r="BJ56" s="494" t="s">
        <v>1465</v>
      </c>
      <c r="BK56" s="401"/>
    </row>
    <row r="57" spans="1:63" ht="112.5">
      <c r="A57" s="401">
        <v>1</v>
      </c>
      <c r="B57" s="494" t="s">
        <v>5397</v>
      </c>
      <c r="C57" s="401" t="s">
        <v>83</v>
      </c>
      <c r="D57" s="401" t="s">
        <v>242</v>
      </c>
      <c r="E57" s="494" t="s">
        <v>5853</v>
      </c>
      <c r="F57" s="401" t="s">
        <v>1768</v>
      </c>
      <c r="G57" s="401" t="s">
        <v>1769</v>
      </c>
      <c r="H57" s="499">
        <v>854758</v>
      </c>
      <c r="I57" s="486" t="s">
        <v>5398</v>
      </c>
      <c r="J57" s="496" t="s">
        <v>5317</v>
      </c>
      <c r="K57" s="496" t="s">
        <v>5317</v>
      </c>
      <c r="L57" s="496" t="s">
        <v>1825</v>
      </c>
      <c r="M57" s="500" t="s">
        <v>1755</v>
      </c>
      <c r="N57" s="496" t="s">
        <v>1773</v>
      </c>
      <c r="O57" s="496" t="s">
        <v>2234</v>
      </c>
      <c r="P57" s="489">
        <v>829.43119000000002</v>
      </c>
      <c r="Q57" s="489">
        <f t="shared" si="38"/>
        <v>978.72880420000001</v>
      </c>
      <c r="R57" s="489">
        <v>597.79685980723434</v>
      </c>
      <c r="S57" s="401" t="s">
        <v>1774</v>
      </c>
      <c r="T57" s="501">
        <v>1.087</v>
      </c>
      <c r="U57" s="501">
        <v>1.077</v>
      </c>
      <c r="V57" s="501">
        <v>1.073</v>
      </c>
      <c r="W57" s="501">
        <v>1.071</v>
      </c>
      <c r="X57" s="596">
        <v>0.9</v>
      </c>
      <c r="Y57" s="502">
        <v>723.82</v>
      </c>
      <c r="Z57" s="489">
        <f t="shared" si="39"/>
        <v>854.10760000000005</v>
      </c>
      <c r="AA57" s="489">
        <v>776.08600000000001</v>
      </c>
      <c r="AB57" s="488">
        <f t="shared" si="40"/>
        <v>915.78147999999999</v>
      </c>
      <c r="AC57" s="492">
        <f t="shared" si="41"/>
        <v>723.82</v>
      </c>
      <c r="AD57" s="493">
        <f t="shared" si="42"/>
        <v>854.10760000000005</v>
      </c>
      <c r="AE57" s="494" t="s">
        <v>1775</v>
      </c>
      <c r="AF57" s="494" t="s">
        <v>83</v>
      </c>
      <c r="AG57" s="494" t="s">
        <v>211</v>
      </c>
      <c r="AH57" s="494" t="s">
        <v>545</v>
      </c>
      <c r="AI57" s="495">
        <v>41659</v>
      </c>
      <c r="AJ57" s="495">
        <v>41694</v>
      </c>
      <c r="AK57" s="494" t="s">
        <v>96</v>
      </c>
      <c r="AL57" s="494" t="s">
        <v>96</v>
      </c>
      <c r="AM57" s="496" t="s">
        <v>1846</v>
      </c>
      <c r="AN57" s="496" t="s">
        <v>1757</v>
      </c>
      <c r="AO57" s="494">
        <v>796</v>
      </c>
      <c r="AP57" s="494" t="s">
        <v>368</v>
      </c>
      <c r="AQ57" s="494">
        <v>1</v>
      </c>
      <c r="AR57" s="494">
        <v>45</v>
      </c>
      <c r="AS57" s="496" t="s">
        <v>547</v>
      </c>
      <c r="AT57" s="495">
        <v>41714</v>
      </c>
      <c r="AU57" s="495">
        <v>41714</v>
      </c>
      <c r="AV57" s="495">
        <v>41729</v>
      </c>
      <c r="AW57" s="494">
        <v>2014</v>
      </c>
      <c r="AX57" s="496"/>
      <c r="AY57" s="494" t="s">
        <v>186</v>
      </c>
      <c r="AZ57" s="494"/>
      <c r="BA57" s="494">
        <v>2014</v>
      </c>
      <c r="BB57" s="494" t="s">
        <v>5531</v>
      </c>
      <c r="BC57" s="496" t="s">
        <v>5532</v>
      </c>
      <c r="BD57" s="496" t="s">
        <v>1818</v>
      </c>
      <c r="BE57" s="497">
        <v>41729</v>
      </c>
      <c r="BF57" s="498">
        <v>1089.3524</v>
      </c>
      <c r="BG57" s="488">
        <v>1089.3524</v>
      </c>
      <c r="BH57" s="488">
        <v>0.28000000000000003</v>
      </c>
      <c r="BI57" s="488">
        <v>0</v>
      </c>
      <c r="BJ57" s="494" t="s">
        <v>1465</v>
      </c>
      <c r="BK57" s="401"/>
    </row>
    <row r="58" spans="1:63" ht="112.5">
      <c r="A58" s="401">
        <v>1</v>
      </c>
      <c r="B58" s="494" t="s">
        <v>5399</v>
      </c>
      <c r="C58" s="401" t="s">
        <v>83</v>
      </c>
      <c r="D58" s="401" t="s">
        <v>242</v>
      </c>
      <c r="E58" s="494" t="s">
        <v>5853</v>
      </c>
      <c r="F58" s="401" t="s">
        <v>1768</v>
      </c>
      <c r="G58" s="401" t="s">
        <v>1769</v>
      </c>
      <c r="H58" s="499">
        <v>854759</v>
      </c>
      <c r="I58" s="486" t="s">
        <v>5400</v>
      </c>
      <c r="J58" s="496" t="s">
        <v>5317</v>
      </c>
      <c r="K58" s="496" t="s">
        <v>5317</v>
      </c>
      <c r="L58" s="496" t="s">
        <v>2513</v>
      </c>
      <c r="M58" s="500" t="s">
        <v>1755</v>
      </c>
      <c r="N58" s="496" t="s">
        <v>1773</v>
      </c>
      <c r="O58" s="496" t="s">
        <v>2234</v>
      </c>
      <c r="P58" s="489">
        <v>851.25455090909099</v>
      </c>
      <c r="Q58" s="489">
        <f t="shared" si="38"/>
        <v>1004.4803700727273</v>
      </c>
      <c r="R58" s="489">
        <v>646.13794709169315</v>
      </c>
      <c r="S58" s="401" t="s">
        <v>1774</v>
      </c>
      <c r="T58" s="501">
        <v>1.087</v>
      </c>
      <c r="U58" s="501">
        <v>1.077</v>
      </c>
      <c r="V58" s="501">
        <v>1.073</v>
      </c>
      <c r="W58" s="501">
        <v>1.071</v>
      </c>
      <c r="X58" s="596">
        <v>0.9</v>
      </c>
      <c r="Y58" s="502">
        <v>782.35199999999998</v>
      </c>
      <c r="Z58" s="489">
        <f t="shared" si="39"/>
        <v>923.17535999999996</v>
      </c>
      <c r="AA58" s="489">
        <v>765.904</v>
      </c>
      <c r="AB58" s="488">
        <f t="shared" si="40"/>
        <v>903.76671999999996</v>
      </c>
      <c r="AC58" s="492">
        <f t="shared" si="41"/>
        <v>765.904</v>
      </c>
      <c r="AD58" s="493">
        <f t="shared" si="42"/>
        <v>903.76671999999996</v>
      </c>
      <c r="AE58" s="494" t="s">
        <v>1775</v>
      </c>
      <c r="AF58" s="494" t="s">
        <v>83</v>
      </c>
      <c r="AG58" s="494" t="s">
        <v>211</v>
      </c>
      <c r="AH58" s="494" t="s">
        <v>545</v>
      </c>
      <c r="AI58" s="495">
        <v>41699</v>
      </c>
      <c r="AJ58" s="495">
        <v>41734</v>
      </c>
      <c r="AK58" s="494" t="s">
        <v>96</v>
      </c>
      <c r="AL58" s="494" t="s">
        <v>96</v>
      </c>
      <c r="AM58" s="496" t="s">
        <v>1846</v>
      </c>
      <c r="AN58" s="496" t="s">
        <v>1757</v>
      </c>
      <c r="AO58" s="494">
        <v>796</v>
      </c>
      <c r="AP58" s="494" t="s">
        <v>368</v>
      </c>
      <c r="AQ58" s="494">
        <v>1</v>
      </c>
      <c r="AR58" s="494">
        <v>45</v>
      </c>
      <c r="AS58" s="496" t="s">
        <v>547</v>
      </c>
      <c r="AT58" s="495">
        <v>41754</v>
      </c>
      <c r="AU58" s="495">
        <v>41754</v>
      </c>
      <c r="AV58" s="583">
        <v>41912</v>
      </c>
      <c r="AW58" s="494">
        <v>2014</v>
      </c>
      <c r="AX58" s="496"/>
      <c r="AY58" s="494" t="s">
        <v>186</v>
      </c>
      <c r="AZ58" s="494"/>
      <c r="BA58" s="494">
        <v>2014</v>
      </c>
      <c r="BB58" s="494" t="s">
        <v>5533</v>
      </c>
      <c r="BC58" s="496" t="s">
        <v>5534</v>
      </c>
      <c r="BD58" s="496" t="s">
        <v>1818</v>
      </c>
      <c r="BE58" s="497">
        <v>41912</v>
      </c>
      <c r="BF58" s="498">
        <v>1053.0777131999998</v>
      </c>
      <c r="BG58" s="488">
        <v>1053.0777131999998</v>
      </c>
      <c r="BH58" s="488">
        <v>0.36</v>
      </c>
      <c r="BI58" s="488">
        <v>0</v>
      </c>
      <c r="BJ58" s="494" t="s">
        <v>1465</v>
      </c>
      <c r="BK58" s="401"/>
    </row>
    <row r="59" spans="1:63" ht="112.5">
      <c r="A59" s="401">
        <v>1</v>
      </c>
      <c r="B59" s="494" t="s">
        <v>5401</v>
      </c>
      <c r="C59" s="401" t="s">
        <v>83</v>
      </c>
      <c r="D59" s="401" t="s">
        <v>242</v>
      </c>
      <c r="E59" s="494" t="s">
        <v>5853</v>
      </c>
      <c r="F59" s="401" t="s">
        <v>1768</v>
      </c>
      <c r="G59" s="401" t="s">
        <v>1769</v>
      </c>
      <c r="H59" s="499">
        <v>854760</v>
      </c>
      <c r="I59" s="486" t="s">
        <v>5402</v>
      </c>
      <c r="J59" s="496" t="s">
        <v>5317</v>
      </c>
      <c r="K59" s="496" t="s">
        <v>5317</v>
      </c>
      <c r="L59" s="496" t="s">
        <v>1825</v>
      </c>
      <c r="M59" s="500" t="s">
        <v>1755</v>
      </c>
      <c r="N59" s="496" t="s">
        <v>1773</v>
      </c>
      <c r="O59" s="496" t="s">
        <v>2234</v>
      </c>
      <c r="P59" s="489">
        <v>848.64</v>
      </c>
      <c r="Q59" s="489">
        <f t="shared" si="38"/>
        <v>1001.3951999999999</v>
      </c>
      <c r="R59" s="489">
        <v>611.90308837995622</v>
      </c>
      <c r="S59" s="401" t="s">
        <v>1774</v>
      </c>
      <c r="T59" s="501">
        <v>1.087</v>
      </c>
      <c r="U59" s="501">
        <v>1.077</v>
      </c>
      <c r="V59" s="501">
        <v>1.073</v>
      </c>
      <c r="W59" s="501">
        <v>1.071</v>
      </c>
      <c r="X59" s="596">
        <v>0.9</v>
      </c>
      <c r="Y59" s="502">
        <v>740.9</v>
      </c>
      <c r="Z59" s="489">
        <f t="shared" si="39"/>
        <v>874.26199999999994</v>
      </c>
      <c r="AA59" s="489">
        <v>794.024</v>
      </c>
      <c r="AB59" s="488">
        <f t="shared" si="40"/>
        <v>936.94831999999997</v>
      </c>
      <c r="AC59" s="492">
        <f t="shared" si="41"/>
        <v>740.9</v>
      </c>
      <c r="AD59" s="493">
        <f t="shared" si="42"/>
        <v>874.26199999999994</v>
      </c>
      <c r="AE59" s="494" t="s">
        <v>1775</v>
      </c>
      <c r="AF59" s="494" t="s">
        <v>83</v>
      </c>
      <c r="AG59" s="494" t="s">
        <v>211</v>
      </c>
      <c r="AH59" s="494" t="s">
        <v>545</v>
      </c>
      <c r="AI59" s="495">
        <v>41659</v>
      </c>
      <c r="AJ59" s="495">
        <v>41694</v>
      </c>
      <c r="AK59" s="494" t="s">
        <v>96</v>
      </c>
      <c r="AL59" s="494" t="s">
        <v>96</v>
      </c>
      <c r="AM59" s="496" t="s">
        <v>1846</v>
      </c>
      <c r="AN59" s="496" t="s">
        <v>1757</v>
      </c>
      <c r="AO59" s="494">
        <v>796</v>
      </c>
      <c r="AP59" s="494" t="s">
        <v>368</v>
      </c>
      <c r="AQ59" s="494">
        <v>1</v>
      </c>
      <c r="AR59" s="494">
        <v>45</v>
      </c>
      <c r="AS59" s="496" t="s">
        <v>547</v>
      </c>
      <c r="AT59" s="495">
        <v>41714</v>
      </c>
      <c r="AU59" s="495">
        <v>41714</v>
      </c>
      <c r="AV59" s="495">
        <v>41729</v>
      </c>
      <c r="AW59" s="494">
        <v>2014</v>
      </c>
      <c r="AX59" s="496"/>
      <c r="AY59" s="494" t="s">
        <v>186</v>
      </c>
      <c r="AZ59" s="494"/>
      <c r="BA59" s="494">
        <v>2014</v>
      </c>
      <c r="BB59" s="494" t="s">
        <v>5535</v>
      </c>
      <c r="BC59" s="496" t="s">
        <v>5536</v>
      </c>
      <c r="BD59" s="496" t="s">
        <v>1818</v>
      </c>
      <c r="BE59" s="497">
        <v>41729</v>
      </c>
      <c r="BF59" s="498">
        <v>1117.873</v>
      </c>
      <c r="BG59" s="488">
        <v>1117.873</v>
      </c>
      <c r="BH59" s="488">
        <v>0.4</v>
      </c>
      <c r="BI59" s="488">
        <v>0</v>
      </c>
      <c r="BJ59" s="494" t="s">
        <v>1465</v>
      </c>
      <c r="BK59" s="401"/>
    </row>
    <row r="60" spans="1:63" ht="112.5">
      <c r="A60" s="401">
        <v>1</v>
      </c>
      <c r="B60" s="494" t="s">
        <v>5403</v>
      </c>
      <c r="C60" s="401" t="s">
        <v>83</v>
      </c>
      <c r="D60" s="401" t="s">
        <v>242</v>
      </c>
      <c r="E60" s="494" t="s">
        <v>5853</v>
      </c>
      <c r="F60" s="401" t="s">
        <v>1768</v>
      </c>
      <c r="G60" s="401" t="s">
        <v>1769</v>
      </c>
      <c r="H60" s="499">
        <v>854761</v>
      </c>
      <c r="I60" s="486" t="s">
        <v>5404</v>
      </c>
      <c r="J60" s="496" t="s">
        <v>5317</v>
      </c>
      <c r="K60" s="496" t="s">
        <v>5317</v>
      </c>
      <c r="L60" s="496" t="s">
        <v>1825</v>
      </c>
      <c r="M60" s="500" t="s">
        <v>1755</v>
      </c>
      <c r="N60" s="496" t="s">
        <v>1773</v>
      </c>
      <c r="O60" s="496" t="s">
        <v>2234</v>
      </c>
      <c r="P60" s="489">
        <v>769.59301999999991</v>
      </c>
      <c r="Q60" s="489">
        <f t="shared" si="38"/>
        <v>908.11976359999983</v>
      </c>
      <c r="R60" s="489">
        <v>554.66054140247638</v>
      </c>
      <c r="S60" s="401" t="s">
        <v>1774</v>
      </c>
      <c r="T60" s="501">
        <v>1.087</v>
      </c>
      <c r="U60" s="501">
        <v>1.077</v>
      </c>
      <c r="V60" s="501">
        <v>1.073</v>
      </c>
      <c r="W60" s="501">
        <v>1.071</v>
      </c>
      <c r="X60" s="596">
        <v>0.9</v>
      </c>
      <c r="Y60" s="502">
        <v>671.59</v>
      </c>
      <c r="Z60" s="489">
        <f t="shared" si="39"/>
        <v>792.47619999999995</v>
      </c>
      <c r="AA60" s="489">
        <v>720.07</v>
      </c>
      <c r="AB60" s="488">
        <f t="shared" si="40"/>
        <v>849.68259999999998</v>
      </c>
      <c r="AC60" s="492">
        <f t="shared" si="41"/>
        <v>671.59</v>
      </c>
      <c r="AD60" s="493">
        <f t="shared" si="42"/>
        <v>792.47619999999995</v>
      </c>
      <c r="AE60" s="494" t="s">
        <v>1775</v>
      </c>
      <c r="AF60" s="494" t="s">
        <v>83</v>
      </c>
      <c r="AG60" s="494" t="s">
        <v>211</v>
      </c>
      <c r="AH60" s="494" t="s">
        <v>545</v>
      </c>
      <c r="AI60" s="495">
        <v>41659</v>
      </c>
      <c r="AJ60" s="495">
        <v>41694</v>
      </c>
      <c r="AK60" s="494" t="s">
        <v>96</v>
      </c>
      <c r="AL60" s="494" t="s">
        <v>96</v>
      </c>
      <c r="AM60" s="496" t="s">
        <v>1846</v>
      </c>
      <c r="AN60" s="496" t="s">
        <v>1757</v>
      </c>
      <c r="AO60" s="494">
        <v>796</v>
      </c>
      <c r="AP60" s="494" t="s">
        <v>368</v>
      </c>
      <c r="AQ60" s="494">
        <v>1</v>
      </c>
      <c r="AR60" s="494">
        <v>45</v>
      </c>
      <c r="AS60" s="496" t="s">
        <v>547</v>
      </c>
      <c r="AT60" s="495">
        <v>41714</v>
      </c>
      <c r="AU60" s="495">
        <v>41714</v>
      </c>
      <c r="AV60" s="495">
        <v>41729</v>
      </c>
      <c r="AW60" s="494">
        <v>2014</v>
      </c>
      <c r="AX60" s="496"/>
      <c r="AY60" s="494" t="s">
        <v>186</v>
      </c>
      <c r="AZ60" s="494"/>
      <c r="BA60" s="494">
        <v>2014</v>
      </c>
      <c r="BB60" s="494" t="s">
        <v>5537</v>
      </c>
      <c r="BC60" s="496" t="s">
        <v>5538</v>
      </c>
      <c r="BD60" s="496" t="s">
        <v>1818</v>
      </c>
      <c r="BE60" s="497">
        <v>41729</v>
      </c>
      <c r="BF60" s="498">
        <v>1010.7591961999999</v>
      </c>
      <c r="BG60" s="488">
        <v>1010.7591961999999</v>
      </c>
      <c r="BH60" s="488">
        <v>0.24</v>
      </c>
      <c r="BI60" s="488">
        <v>0</v>
      </c>
      <c r="BJ60" s="494" t="s">
        <v>1465</v>
      </c>
      <c r="BK60" s="401"/>
    </row>
    <row r="61" spans="1:63" ht="112.5">
      <c r="A61" s="401">
        <v>1</v>
      </c>
      <c r="B61" s="494" t="s">
        <v>5405</v>
      </c>
      <c r="C61" s="401" t="s">
        <v>83</v>
      </c>
      <c r="D61" s="401" t="s">
        <v>242</v>
      </c>
      <c r="E61" s="494" t="s">
        <v>5853</v>
      </c>
      <c r="F61" s="401" t="s">
        <v>1768</v>
      </c>
      <c r="G61" s="401" t="s">
        <v>1769</v>
      </c>
      <c r="H61" s="499">
        <v>854762</v>
      </c>
      <c r="I61" s="486" t="s">
        <v>5406</v>
      </c>
      <c r="J61" s="496" t="s">
        <v>5317</v>
      </c>
      <c r="K61" s="496" t="s">
        <v>5317</v>
      </c>
      <c r="L61" s="496" t="s">
        <v>1825</v>
      </c>
      <c r="M61" s="500" t="s">
        <v>1755</v>
      </c>
      <c r="N61" s="496" t="s">
        <v>1773</v>
      </c>
      <c r="O61" s="496" t="s">
        <v>2234</v>
      </c>
      <c r="P61" s="489">
        <v>792.10422999999992</v>
      </c>
      <c r="Q61" s="489">
        <f t="shared" si="38"/>
        <v>934.68299139999988</v>
      </c>
      <c r="R61" s="489">
        <v>570.9058292259798</v>
      </c>
      <c r="S61" s="401" t="s">
        <v>1774</v>
      </c>
      <c r="T61" s="501">
        <v>1.087</v>
      </c>
      <c r="U61" s="501">
        <v>1.077</v>
      </c>
      <c r="V61" s="501">
        <v>1.073</v>
      </c>
      <c r="W61" s="501">
        <v>1.071</v>
      </c>
      <c r="X61" s="596">
        <v>0.9</v>
      </c>
      <c r="Y61" s="502">
        <v>691.26</v>
      </c>
      <c r="Z61" s="489">
        <f t="shared" si="39"/>
        <v>815.68679999999995</v>
      </c>
      <c r="AA61" s="489">
        <v>741.12900000000002</v>
      </c>
      <c r="AB61" s="488">
        <f t="shared" si="40"/>
        <v>874.53221999999994</v>
      </c>
      <c r="AC61" s="492">
        <f t="shared" si="41"/>
        <v>691.26</v>
      </c>
      <c r="AD61" s="493">
        <f t="shared" si="42"/>
        <v>815.68679999999995</v>
      </c>
      <c r="AE61" s="494" t="s">
        <v>1775</v>
      </c>
      <c r="AF61" s="494" t="s">
        <v>83</v>
      </c>
      <c r="AG61" s="494" t="s">
        <v>211</v>
      </c>
      <c r="AH61" s="494" t="s">
        <v>545</v>
      </c>
      <c r="AI61" s="495">
        <v>41659</v>
      </c>
      <c r="AJ61" s="495">
        <v>41694</v>
      </c>
      <c r="AK61" s="494" t="s">
        <v>96</v>
      </c>
      <c r="AL61" s="494" t="s">
        <v>96</v>
      </c>
      <c r="AM61" s="496" t="s">
        <v>1846</v>
      </c>
      <c r="AN61" s="496" t="s">
        <v>1757</v>
      </c>
      <c r="AO61" s="494">
        <v>796</v>
      </c>
      <c r="AP61" s="494" t="s">
        <v>368</v>
      </c>
      <c r="AQ61" s="494">
        <v>1</v>
      </c>
      <c r="AR61" s="494">
        <v>45</v>
      </c>
      <c r="AS61" s="496" t="s">
        <v>547</v>
      </c>
      <c r="AT61" s="495">
        <v>41714</v>
      </c>
      <c r="AU61" s="495">
        <v>41714</v>
      </c>
      <c r="AV61" s="495">
        <v>41729</v>
      </c>
      <c r="AW61" s="494">
        <v>2014</v>
      </c>
      <c r="AX61" s="496"/>
      <c r="AY61" s="494" t="s">
        <v>186</v>
      </c>
      <c r="AZ61" s="494"/>
      <c r="BA61" s="494">
        <v>2014</v>
      </c>
      <c r="BB61" s="494" t="s">
        <v>5539</v>
      </c>
      <c r="BC61" s="496" t="s">
        <v>5540</v>
      </c>
      <c r="BD61" s="496" t="s">
        <v>1818</v>
      </c>
      <c r="BE61" s="497">
        <v>41729</v>
      </c>
      <c r="BF61" s="498">
        <v>1040.3352</v>
      </c>
      <c r="BG61" s="488">
        <v>1040.3352</v>
      </c>
      <c r="BH61" s="488">
        <v>0.2</v>
      </c>
      <c r="BI61" s="488">
        <v>0</v>
      </c>
      <c r="BJ61" s="494" t="s">
        <v>1465</v>
      </c>
      <c r="BK61" s="401"/>
    </row>
    <row r="62" spans="1:63" ht="112.5">
      <c r="A62" s="401">
        <v>1</v>
      </c>
      <c r="B62" s="494" t="s">
        <v>5407</v>
      </c>
      <c r="C62" s="401" t="s">
        <v>83</v>
      </c>
      <c r="D62" s="401" t="s">
        <v>242</v>
      </c>
      <c r="E62" s="494" t="s">
        <v>5853</v>
      </c>
      <c r="F62" s="401" t="s">
        <v>1768</v>
      </c>
      <c r="G62" s="401" t="s">
        <v>1769</v>
      </c>
      <c r="H62" s="499">
        <v>854763</v>
      </c>
      <c r="I62" s="486" t="s">
        <v>5408</v>
      </c>
      <c r="J62" s="496" t="s">
        <v>5317</v>
      </c>
      <c r="K62" s="496" t="s">
        <v>5317</v>
      </c>
      <c r="L62" s="496" t="s">
        <v>1825</v>
      </c>
      <c r="M62" s="500" t="s">
        <v>1755</v>
      </c>
      <c r="N62" s="496" t="s">
        <v>1773</v>
      </c>
      <c r="O62" s="496" t="s">
        <v>2234</v>
      </c>
      <c r="P62" s="489">
        <v>772.77</v>
      </c>
      <c r="Q62" s="489">
        <f t="shared" si="38"/>
        <v>911.8685999999999</v>
      </c>
      <c r="R62" s="489">
        <v>557.19602862251475</v>
      </c>
      <c r="S62" s="401" t="s">
        <v>1774</v>
      </c>
      <c r="T62" s="501">
        <v>1.087</v>
      </c>
      <c r="U62" s="501">
        <v>1.077</v>
      </c>
      <c r="V62" s="501">
        <v>1.073</v>
      </c>
      <c r="W62" s="501">
        <v>1.071</v>
      </c>
      <c r="X62" s="596">
        <v>0.9</v>
      </c>
      <c r="Y62" s="502">
        <v>674.66</v>
      </c>
      <c r="Z62" s="489">
        <f t="shared" si="39"/>
        <v>796.09879999999987</v>
      </c>
      <c r="AA62" s="489">
        <v>722.95799999999997</v>
      </c>
      <c r="AB62" s="488">
        <f t="shared" si="40"/>
        <v>853.09043999999994</v>
      </c>
      <c r="AC62" s="492">
        <f t="shared" si="41"/>
        <v>674.66</v>
      </c>
      <c r="AD62" s="493">
        <f t="shared" si="42"/>
        <v>796.09879999999987</v>
      </c>
      <c r="AE62" s="494" t="s">
        <v>1775</v>
      </c>
      <c r="AF62" s="494" t="s">
        <v>83</v>
      </c>
      <c r="AG62" s="494" t="s">
        <v>211</v>
      </c>
      <c r="AH62" s="494" t="s">
        <v>545</v>
      </c>
      <c r="AI62" s="495">
        <v>41685</v>
      </c>
      <c r="AJ62" s="495">
        <v>41720</v>
      </c>
      <c r="AK62" s="494" t="s">
        <v>96</v>
      </c>
      <c r="AL62" s="494" t="s">
        <v>96</v>
      </c>
      <c r="AM62" s="496" t="s">
        <v>1846</v>
      </c>
      <c r="AN62" s="496" t="s">
        <v>1757</v>
      </c>
      <c r="AO62" s="494">
        <v>796</v>
      </c>
      <c r="AP62" s="494" t="s">
        <v>368</v>
      </c>
      <c r="AQ62" s="494">
        <v>1</v>
      </c>
      <c r="AR62" s="494">
        <v>45</v>
      </c>
      <c r="AS62" s="496" t="s">
        <v>547</v>
      </c>
      <c r="AT62" s="495">
        <v>41740</v>
      </c>
      <c r="AU62" s="495">
        <v>41740</v>
      </c>
      <c r="AV62" s="495">
        <v>41820</v>
      </c>
      <c r="AW62" s="494">
        <v>2014</v>
      </c>
      <c r="AX62" s="496"/>
      <c r="AY62" s="494" t="s">
        <v>186</v>
      </c>
      <c r="AZ62" s="494"/>
      <c r="BA62" s="494">
        <v>2014</v>
      </c>
      <c r="BB62" s="494" t="s">
        <v>5541</v>
      </c>
      <c r="BC62" s="496" t="s">
        <v>5542</v>
      </c>
      <c r="BD62" s="496" t="s">
        <v>1818</v>
      </c>
      <c r="BE62" s="497">
        <v>41820</v>
      </c>
      <c r="BF62" s="498">
        <v>1017.9623999999999</v>
      </c>
      <c r="BG62" s="488">
        <v>1017.9623999999999</v>
      </c>
      <c r="BH62" s="488">
        <v>0.24</v>
      </c>
      <c r="BI62" s="488">
        <v>0</v>
      </c>
      <c r="BJ62" s="494" t="s">
        <v>1465</v>
      </c>
      <c r="BK62" s="401"/>
    </row>
    <row r="63" spans="1:63" ht="112.5">
      <c r="A63" s="401">
        <v>1</v>
      </c>
      <c r="B63" s="494" t="s">
        <v>5409</v>
      </c>
      <c r="C63" s="401" t="s">
        <v>83</v>
      </c>
      <c r="D63" s="401" t="s">
        <v>242</v>
      </c>
      <c r="E63" s="494" t="s">
        <v>5853</v>
      </c>
      <c r="F63" s="401" t="s">
        <v>1768</v>
      </c>
      <c r="G63" s="401" t="s">
        <v>1769</v>
      </c>
      <c r="H63" s="499">
        <v>854764</v>
      </c>
      <c r="I63" s="486" t="s">
        <v>5410</v>
      </c>
      <c r="J63" s="496" t="s">
        <v>5317</v>
      </c>
      <c r="K63" s="496" t="s">
        <v>5317</v>
      </c>
      <c r="L63" s="496" t="s">
        <v>1825</v>
      </c>
      <c r="M63" s="500" t="s">
        <v>1755</v>
      </c>
      <c r="N63" s="496" t="s">
        <v>1773</v>
      </c>
      <c r="O63" s="496" t="s">
        <v>2234</v>
      </c>
      <c r="P63" s="489">
        <v>899.46519000000001</v>
      </c>
      <c r="Q63" s="489">
        <f t="shared" si="38"/>
        <v>1061.3689242</v>
      </c>
      <c r="R63" s="489">
        <v>648.42401504774068</v>
      </c>
      <c r="S63" s="401" t="s">
        <v>1774</v>
      </c>
      <c r="T63" s="501">
        <v>1.087</v>
      </c>
      <c r="U63" s="501">
        <v>1.077</v>
      </c>
      <c r="V63" s="501">
        <v>1.073</v>
      </c>
      <c r="W63" s="501">
        <v>1.071</v>
      </c>
      <c r="X63" s="596">
        <v>0.9</v>
      </c>
      <c r="Y63" s="502">
        <v>785.12</v>
      </c>
      <c r="Z63" s="489">
        <f t="shared" si="39"/>
        <v>926.44159999999999</v>
      </c>
      <c r="AA63" s="489">
        <v>841.947</v>
      </c>
      <c r="AB63" s="488">
        <f t="shared" si="40"/>
        <v>993.49745999999993</v>
      </c>
      <c r="AC63" s="492">
        <f t="shared" si="41"/>
        <v>785.12</v>
      </c>
      <c r="AD63" s="493">
        <f t="shared" si="42"/>
        <v>926.44159999999999</v>
      </c>
      <c r="AE63" s="494" t="s">
        <v>1775</v>
      </c>
      <c r="AF63" s="494" t="s">
        <v>83</v>
      </c>
      <c r="AG63" s="494" t="s">
        <v>211</v>
      </c>
      <c r="AH63" s="494" t="s">
        <v>545</v>
      </c>
      <c r="AI63" s="495">
        <v>41659</v>
      </c>
      <c r="AJ63" s="495">
        <v>41694</v>
      </c>
      <c r="AK63" s="494" t="s">
        <v>96</v>
      </c>
      <c r="AL63" s="494" t="s">
        <v>96</v>
      </c>
      <c r="AM63" s="496" t="s">
        <v>1846</v>
      </c>
      <c r="AN63" s="496" t="s">
        <v>1757</v>
      </c>
      <c r="AO63" s="494">
        <v>796</v>
      </c>
      <c r="AP63" s="494" t="s">
        <v>368</v>
      </c>
      <c r="AQ63" s="494">
        <v>1</v>
      </c>
      <c r="AR63" s="494">
        <v>45</v>
      </c>
      <c r="AS63" s="496" t="s">
        <v>547</v>
      </c>
      <c r="AT63" s="495">
        <v>41714</v>
      </c>
      <c r="AU63" s="495">
        <v>41714</v>
      </c>
      <c r="AV63" s="495">
        <v>41729</v>
      </c>
      <c r="AW63" s="494">
        <v>2014</v>
      </c>
      <c r="AX63" s="496"/>
      <c r="AY63" s="494" t="s">
        <v>186</v>
      </c>
      <c r="AZ63" s="494"/>
      <c r="BA63" s="494">
        <v>2014</v>
      </c>
      <c r="BB63" s="494" t="s">
        <v>5543</v>
      </c>
      <c r="BC63" s="496" t="s">
        <v>5544</v>
      </c>
      <c r="BD63" s="496" t="s">
        <v>1818</v>
      </c>
      <c r="BE63" s="497">
        <v>41729</v>
      </c>
      <c r="BF63" s="498">
        <v>1179.3391999999999</v>
      </c>
      <c r="BG63" s="488">
        <v>1179.3391999999999</v>
      </c>
      <c r="BH63" s="488">
        <v>0.28000000000000003</v>
      </c>
      <c r="BI63" s="488">
        <v>0</v>
      </c>
      <c r="BJ63" s="494" t="s">
        <v>1465</v>
      </c>
      <c r="BK63" s="401"/>
    </row>
    <row r="64" spans="1:63" ht="112.5">
      <c r="A64" s="401">
        <v>1</v>
      </c>
      <c r="B64" s="494" t="s">
        <v>5411</v>
      </c>
      <c r="C64" s="401" t="s">
        <v>83</v>
      </c>
      <c r="D64" s="401" t="s">
        <v>242</v>
      </c>
      <c r="E64" s="494" t="s">
        <v>5853</v>
      </c>
      <c r="F64" s="401" t="s">
        <v>1768</v>
      </c>
      <c r="G64" s="401" t="s">
        <v>1769</v>
      </c>
      <c r="H64" s="499">
        <v>854765</v>
      </c>
      <c r="I64" s="486" t="s">
        <v>5412</v>
      </c>
      <c r="J64" s="496" t="s">
        <v>5317</v>
      </c>
      <c r="K64" s="496" t="s">
        <v>5317</v>
      </c>
      <c r="L64" s="496" t="s">
        <v>1825</v>
      </c>
      <c r="M64" s="500" t="s">
        <v>1755</v>
      </c>
      <c r="N64" s="496" t="s">
        <v>1773</v>
      </c>
      <c r="O64" s="496" t="s">
        <v>2234</v>
      </c>
      <c r="P64" s="489">
        <v>881.0350545454545</v>
      </c>
      <c r="Q64" s="489">
        <f t="shared" si="38"/>
        <v>1039.6213643636363</v>
      </c>
      <c r="R64" s="489">
        <v>607.96275954386385</v>
      </c>
      <c r="S64" s="401" t="s">
        <v>1774</v>
      </c>
      <c r="T64" s="501">
        <v>1.087</v>
      </c>
      <c r="U64" s="501">
        <v>1.077</v>
      </c>
      <c r="V64" s="501">
        <v>1.073</v>
      </c>
      <c r="W64" s="501">
        <v>1.071</v>
      </c>
      <c r="X64" s="596">
        <v>0.9</v>
      </c>
      <c r="Y64" s="502">
        <v>736.12900000000002</v>
      </c>
      <c r="Z64" s="489">
        <f t="shared" si="39"/>
        <v>868.63221999999996</v>
      </c>
      <c r="AA64" s="489">
        <v>792.75199999999995</v>
      </c>
      <c r="AB64" s="488">
        <f t="shared" si="40"/>
        <v>935.44735999999989</v>
      </c>
      <c r="AC64" s="492">
        <f t="shared" si="41"/>
        <v>736.12900000000002</v>
      </c>
      <c r="AD64" s="493">
        <f t="shared" si="42"/>
        <v>868.63221999999996</v>
      </c>
      <c r="AE64" s="494" t="s">
        <v>1775</v>
      </c>
      <c r="AF64" s="494" t="s">
        <v>83</v>
      </c>
      <c r="AG64" s="494" t="s">
        <v>211</v>
      </c>
      <c r="AH64" s="494" t="s">
        <v>545</v>
      </c>
      <c r="AI64" s="495">
        <v>41659</v>
      </c>
      <c r="AJ64" s="495">
        <v>41694</v>
      </c>
      <c r="AK64" s="494" t="s">
        <v>96</v>
      </c>
      <c r="AL64" s="494" t="s">
        <v>96</v>
      </c>
      <c r="AM64" s="496" t="s">
        <v>1846</v>
      </c>
      <c r="AN64" s="496" t="s">
        <v>1757</v>
      </c>
      <c r="AO64" s="494">
        <v>796</v>
      </c>
      <c r="AP64" s="494" t="s">
        <v>368</v>
      </c>
      <c r="AQ64" s="494">
        <v>1</v>
      </c>
      <c r="AR64" s="494">
        <v>45</v>
      </c>
      <c r="AS64" s="496" t="s">
        <v>547</v>
      </c>
      <c r="AT64" s="495">
        <v>41714</v>
      </c>
      <c r="AU64" s="495">
        <v>41714</v>
      </c>
      <c r="AV64" s="495">
        <v>41729</v>
      </c>
      <c r="AW64" s="494">
        <v>2014</v>
      </c>
      <c r="AX64" s="496"/>
      <c r="AY64" s="494" t="s">
        <v>186</v>
      </c>
      <c r="AZ64" s="494"/>
      <c r="BA64" s="494">
        <v>2014</v>
      </c>
      <c r="BB64" s="494" t="s">
        <v>5545</v>
      </c>
      <c r="BC64" s="496" t="s">
        <v>5546</v>
      </c>
      <c r="BD64" s="496" t="s">
        <v>1818</v>
      </c>
      <c r="BE64" s="497">
        <v>41729</v>
      </c>
      <c r="BF64" s="498">
        <v>1089.9727495999998</v>
      </c>
      <c r="BG64" s="488">
        <v>1089.9727495999998</v>
      </c>
      <c r="BH64" s="488">
        <v>0.2</v>
      </c>
      <c r="BI64" s="488">
        <v>0</v>
      </c>
      <c r="BJ64" s="494" t="s">
        <v>1465</v>
      </c>
      <c r="BK64" s="401"/>
    </row>
    <row r="65" spans="1:63" ht="112.5">
      <c r="A65" s="401">
        <v>1</v>
      </c>
      <c r="B65" s="494" t="s">
        <v>5413</v>
      </c>
      <c r="C65" s="401" t="s">
        <v>83</v>
      </c>
      <c r="D65" s="401" t="s">
        <v>242</v>
      </c>
      <c r="E65" s="494" t="s">
        <v>5853</v>
      </c>
      <c r="F65" s="401" t="s">
        <v>1768</v>
      </c>
      <c r="G65" s="401" t="s">
        <v>1769</v>
      </c>
      <c r="H65" s="499">
        <v>854766</v>
      </c>
      <c r="I65" s="486" t="s">
        <v>5414</v>
      </c>
      <c r="J65" s="496" t="s">
        <v>5317</v>
      </c>
      <c r="K65" s="496" t="s">
        <v>5317</v>
      </c>
      <c r="L65" s="496" t="s">
        <v>1825</v>
      </c>
      <c r="M65" s="500" t="s">
        <v>1755</v>
      </c>
      <c r="N65" s="496" t="s">
        <v>1773</v>
      </c>
      <c r="O65" s="496" t="s">
        <v>2234</v>
      </c>
      <c r="P65" s="489">
        <v>738.85176000000001</v>
      </c>
      <c r="Q65" s="489">
        <f t="shared" si="38"/>
        <v>871.84507680000002</v>
      </c>
      <c r="R65" s="489">
        <v>532.625753444618</v>
      </c>
      <c r="S65" s="401" t="s">
        <v>1774</v>
      </c>
      <c r="T65" s="501">
        <v>1.087</v>
      </c>
      <c r="U65" s="501">
        <v>1.077</v>
      </c>
      <c r="V65" s="501">
        <v>1.073</v>
      </c>
      <c r="W65" s="501">
        <v>1.071</v>
      </c>
      <c r="X65" s="596">
        <v>0.9</v>
      </c>
      <c r="Y65" s="502">
        <v>644.91</v>
      </c>
      <c r="Z65" s="489">
        <f t="shared" si="39"/>
        <v>760.99379999999996</v>
      </c>
      <c r="AA65" s="489">
        <v>691.69</v>
      </c>
      <c r="AB65" s="488">
        <f t="shared" si="40"/>
        <v>816.19420000000002</v>
      </c>
      <c r="AC65" s="492">
        <f t="shared" si="41"/>
        <v>644.91</v>
      </c>
      <c r="AD65" s="493">
        <f t="shared" si="42"/>
        <v>760.99379999999996</v>
      </c>
      <c r="AE65" s="494" t="s">
        <v>1775</v>
      </c>
      <c r="AF65" s="494" t="s">
        <v>83</v>
      </c>
      <c r="AG65" s="494" t="s">
        <v>211</v>
      </c>
      <c r="AH65" s="494" t="s">
        <v>545</v>
      </c>
      <c r="AI65" s="495">
        <v>41659</v>
      </c>
      <c r="AJ65" s="495">
        <v>41694</v>
      </c>
      <c r="AK65" s="494" t="s">
        <v>96</v>
      </c>
      <c r="AL65" s="494" t="s">
        <v>96</v>
      </c>
      <c r="AM65" s="496" t="s">
        <v>1846</v>
      </c>
      <c r="AN65" s="496" t="s">
        <v>1757</v>
      </c>
      <c r="AO65" s="494">
        <v>796</v>
      </c>
      <c r="AP65" s="494" t="s">
        <v>368</v>
      </c>
      <c r="AQ65" s="494">
        <v>1</v>
      </c>
      <c r="AR65" s="494">
        <v>45</v>
      </c>
      <c r="AS65" s="496" t="s">
        <v>547</v>
      </c>
      <c r="AT65" s="495">
        <v>41714</v>
      </c>
      <c r="AU65" s="495">
        <v>41714</v>
      </c>
      <c r="AV65" s="495">
        <v>41729</v>
      </c>
      <c r="AW65" s="494">
        <v>2014</v>
      </c>
      <c r="AX65" s="496"/>
      <c r="AY65" s="494" t="s">
        <v>186</v>
      </c>
      <c r="AZ65" s="494"/>
      <c r="BA65" s="494">
        <v>2014</v>
      </c>
      <c r="BB65" s="494" t="s">
        <v>5547</v>
      </c>
      <c r="BC65" s="496" t="s">
        <v>5548</v>
      </c>
      <c r="BD65" s="496" t="s">
        <v>1818</v>
      </c>
      <c r="BE65" s="497">
        <v>41729</v>
      </c>
      <c r="BF65" s="498">
        <v>968.7328</v>
      </c>
      <c r="BG65" s="488">
        <v>968.7328</v>
      </c>
      <c r="BH65" s="488">
        <v>0.23</v>
      </c>
      <c r="BI65" s="488">
        <v>0</v>
      </c>
      <c r="BJ65" s="494" t="s">
        <v>1465</v>
      </c>
      <c r="BK65" s="401"/>
    </row>
    <row r="66" spans="1:63" ht="112.5">
      <c r="A66" s="401">
        <v>1</v>
      </c>
      <c r="B66" s="494" t="s">
        <v>5415</v>
      </c>
      <c r="C66" s="401" t="s">
        <v>83</v>
      </c>
      <c r="D66" s="401" t="s">
        <v>242</v>
      </c>
      <c r="E66" s="494" t="s">
        <v>5853</v>
      </c>
      <c r="F66" s="401" t="s">
        <v>1768</v>
      </c>
      <c r="G66" s="401" t="s">
        <v>1769</v>
      </c>
      <c r="H66" s="499">
        <v>854767</v>
      </c>
      <c r="I66" s="486" t="s">
        <v>5416</v>
      </c>
      <c r="J66" s="496" t="s">
        <v>5317</v>
      </c>
      <c r="K66" s="496" t="s">
        <v>5317</v>
      </c>
      <c r="L66" s="496" t="s">
        <v>1825</v>
      </c>
      <c r="M66" s="500" t="s">
        <v>1755</v>
      </c>
      <c r="N66" s="496" t="s">
        <v>1773</v>
      </c>
      <c r="O66" s="496" t="s">
        <v>2234</v>
      </c>
      <c r="P66" s="489">
        <v>732.59944999999993</v>
      </c>
      <c r="Q66" s="489">
        <f t="shared" si="38"/>
        <v>864.46735099999989</v>
      </c>
      <c r="R66" s="489">
        <v>528.12464421034804</v>
      </c>
      <c r="S66" s="401" t="s">
        <v>1774</v>
      </c>
      <c r="T66" s="501">
        <v>1.087</v>
      </c>
      <c r="U66" s="501">
        <v>1.077</v>
      </c>
      <c r="V66" s="501">
        <v>1.073</v>
      </c>
      <c r="W66" s="501">
        <v>1.071</v>
      </c>
      <c r="X66" s="596">
        <v>0.9</v>
      </c>
      <c r="Y66" s="502">
        <v>639.46</v>
      </c>
      <c r="Z66" s="489">
        <f t="shared" si="39"/>
        <v>754.56280000000004</v>
      </c>
      <c r="AA66" s="489">
        <v>685.77300000000002</v>
      </c>
      <c r="AB66" s="488">
        <f t="shared" si="40"/>
        <v>809.21213999999998</v>
      </c>
      <c r="AC66" s="492">
        <f t="shared" si="41"/>
        <v>639.46</v>
      </c>
      <c r="AD66" s="493">
        <f t="shared" si="42"/>
        <v>754.56280000000004</v>
      </c>
      <c r="AE66" s="494" t="s">
        <v>1775</v>
      </c>
      <c r="AF66" s="494" t="s">
        <v>83</v>
      </c>
      <c r="AG66" s="494" t="s">
        <v>211</v>
      </c>
      <c r="AH66" s="494" t="s">
        <v>545</v>
      </c>
      <c r="AI66" s="495">
        <v>41659</v>
      </c>
      <c r="AJ66" s="495">
        <v>41694</v>
      </c>
      <c r="AK66" s="494" t="s">
        <v>96</v>
      </c>
      <c r="AL66" s="494" t="s">
        <v>96</v>
      </c>
      <c r="AM66" s="496" t="s">
        <v>1846</v>
      </c>
      <c r="AN66" s="496" t="s">
        <v>1757</v>
      </c>
      <c r="AO66" s="494">
        <v>796</v>
      </c>
      <c r="AP66" s="494" t="s">
        <v>368</v>
      </c>
      <c r="AQ66" s="494">
        <v>1</v>
      </c>
      <c r="AR66" s="494">
        <v>45</v>
      </c>
      <c r="AS66" s="496" t="s">
        <v>547</v>
      </c>
      <c r="AT66" s="495">
        <v>41714</v>
      </c>
      <c r="AU66" s="495">
        <v>41714</v>
      </c>
      <c r="AV66" s="495">
        <v>41729</v>
      </c>
      <c r="AW66" s="494">
        <v>2014</v>
      </c>
      <c r="AX66" s="496"/>
      <c r="AY66" s="494" t="s">
        <v>186</v>
      </c>
      <c r="AZ66" s="494"/>
      <c r="BA66" s="494">
        <v>2014</v>
      </c>
      <c r="BB66" s="494" t="s">
        <v>5549</v>
      </c>
      <c r="BC66" s="496" t="s">
        <v>5550</v>
      </c>
      <c r="BD66" s="496" t="s">
        <v>1818</v>
      </c>
      <c r="BE66" s="497">
        <v>41729</v>
      </c>
      <c r="BF66" s="498">
        <v>960.4846</v>
      </c>
      <c r="BG66" s="488">
        <v>960.4846</v>
      </c>
      <c r="BH66" s="488">
        <v>0.22</v>
      </c>
      <c r="BI66" s="488">
        <v>0</v>
      </c>
      <c r="BJ66" s="494" t="s">
        <v>1465</v>
      </c>
      <c r="BK66" s="401"/>
    </row>
    <row r="67" spans="1:63" ht="112.5">
      <c r="A67" s="401">
        <v>1</v>
      </c>
      <c r="B67" s="494" t="s">
        <v>5417</v>
      </c>
      <c r="C67" s="401" t="s">
        <v>83</v>
      </c>
      <c r="D67" s="401" t="s">
        <v>242</v>
      </c>
      <c r="E67" s="494" t="s">
        <v>5853</v>
      </c>
      <c r="F67" s="401" t="s">
        <v>1768</v>
      </c>
      <c r="G67" s="401" t="s">
        <v>1769</v>
      </c>
      <c r="H67" s="499">
        <v>854768</v>
      </c>
      <c r="I67" s="486" t="s">
        <v>5418</v>
      </c>
      <c r="J67" s="496" t="s">
        <v>5317</v>
      </c>
      <c r="K67" s="496" t="s">
        <v>5317</v>
      </c>
      <c r="L67" s="496" t="s">
        <v>1825</v>
      </c>
      <c r="M67" s="500" t="s">
        <v>1755</v>
      </c>
      <c r="N67" s="496" t="s">
        <v>1773</v>
      </c>
      <c r="O67" s="496" t="s">
        <v>2234</v>
      </c>
      <c r="P67" s="489">
        <v>769.59301999999991</v>
      </c>
      <c r="Q67" s="489">
        <f t="shared" si="38"/>
        <v>908.11976359999983</v>
      </c>
      <c r="R67" s="489">
        <v>554.66054140247638</v>
      </c>
      <c r="S67" s="401" t="s">
        <v>1774</v>
      </c>
      <c r="T67" s="501">
        <v>1.087</v>
      </c>
      <c r="U67" s="501">
        <v>1.077</v>
      </c>
      <c r="V67" s="501">
        <v>1.073</v>
      </c>
      <c r="W67" s="501">
        <v>1.071</v>
      </c>
      <c r="X67" s="596">
        <v>0.9</v>
      </c>
      <c r="Y67" s="502">
        <v>671.59</v>
      </c>
      <c r="Z67" s="489">
        <f t="shared" si="39"/>
        <v>792.47619999999995</v>
      </c>
      <c r="AA67" s="489">
        <v>720.07</v>
      </c>
      <c r="AB67" s="488">
        <f t="shared" si="40"/>
        <v>849.68259999999998</v>
      </c>
      <c r="AC67" s="492">
        <f t="shared" si="41"/>
        <v>671.59</v>
      </c>
      <c r="AD67" s="493">
        <f t="shared" si="42"/>
        <v>792.47619999999995</v>
      </c>
      <c r="AE67" s="494" t="s">
        <v>1775</v>
      </c>
      <c r="AF67" s="494" t="s">
        <v>83</v>
      </c>
      <c r="AG67" s="494" t="s">
        <v>211</v>
      </c>
      <c r="AH67" s="494" t="s">
        <v>545</v>
      </c>
      <c r="AI67" s="495">
        <v>41659</v>
      </c>
      <c r="AJ67" s="495">
        <v>41694</v>
      </c>
      <c r="AK67" s="494" t="s">
        <v>96</v>
      </c>
      <c r="AL67" s="494" t="s">
        <v>96</v>
      </c>
      <c r="AM67" s="496" t="s">
        <v>1846</v>
      </c>
      <c r="AN67" s="496" t="s">
        <v>1757</v>
      </c>
      <c r="AO67" s="494">
        <v>796</v>
      </c>
      <c r="AP67" s="494" t="s">
        <v>368</v>
      </c>
      <c r="AQ67" s="494">
        <v>1</v>
      </c>
      <c r="AR67" s="494">
        <v>45</v>
      </c>
      <c r="AS67" s="496" t="s">
        <v>547</v>
      </c>
      <c r="AT67" s="495">
        <v>41714</v>
      </c>
      <c r="AU67" s="495">
        <v>41714</v>
      </c>
      <c r="AV67" s="495">
        <v>41729</v>
      </c>
      <c r="AW67" s="494">
        <v>2014</v>
      </c>
      <c r="AX67" s="496"/>
      <c r="AY67" s="494" t="s">
        <v>186</v>
      </c>
      <c r="AZ67" s="494"/>
      <c r="BA67" s="494">
        <v>2014</v>
      </c>
      <c r="BB67" s="494" t="s">
        <v>5551</v>
      </c>
      <c r="BC67" s="496" t="s">
        <v>5552</v>
      </c>
      <c r="BD67" s="496" t="s">
        <v>1818</v>
      </c>
      <c r="BE67" s="497">
        <v>41729</v>
      </c>
      <c r="BF67" s="498">
        <v>1010.7644</v>
      </c>
      <c r="BG67" s="488">
        <v>1010.7644</v>
      </c>
      <c r="BH67" s="488">
        <v>0.24</v>
      </c>
      <c r="BI67" s="488">
        <v>0</v>
      </c>
      <c r="BJ67" s="494" t="s">
        <v>1465</v>
      </c>
      <c r="BK67" s="401"/>
    </row>
    <row r="68" spans="1:63" ht="112.5">
      <c r="A68" s="401">
        <v>1</v>
      </c>
      <c r="B68" s="494" t="s">
        <v>5419</v>
      </c>
      <c r="C68" s="401" t="s">
        <v>83</v>
      </c>
      <c r="D68" s="401" t="s">
        <v>242</v>
      </c>
      <c r="E68" s="494" t="s">
        <v>5853</v>
      </c>
      <c r="F68" s="401" t="s">
        <v>1768</v>
      </c>
      <c r="G68" s="401" t="s">
        <v>1769</v>
      </c>
      <c r="H68" s="499">
        <v>854769</v>
      </c>
      <c r="I68" s="486" t="s">
        <v>5420</v>
      </c>
      <c r="J68" s="496" t="s">
        <v>5317</v>
      </c>
      <c r="K68" s="496" t="s">
        <v>5317</v>
      </c>
      <c r="L68" s="496" t="s">
        <v>1825</v>
      </c>
      <c r="M68" s="500" t="s">
        <v>1755</v>
      </c>
      <c r="N68" s="496" t="s">
        <v>1773</v>
      </c>
      <c r="O68" s="496" t="s">
        <v>2234</v>
      </c>
      <c r="P68" s="489">
        <v>822.17557999999997</v>
      </c>
      <c r="Q68" s="489">
        <f t="shared" si="38"/>
        <v>970.16718439999988</v>
      </c>
      <c r="R68" s="489">
        <v>592.70110861907892</v>
      </c>
      <c r="S68" s="401" t="s">
        <v>1774</v>
      </c>
      <c r="T68" s="501">
        <v>1.087</v>
      </c>
      <c r="U68" s="501">
        <v>1.077</v>
      </c>
      <c r="V68" s="501">
        <v>1.073</v>
      </c>
      <c r="W68" s="501">
        <v>1.071</v>
      </c>
      <c r="X68" s="596">
        <v>0.9</v>
      </c>
      <c r="Y68" s="502">
        <v>717.65</v>
      </c>
      <c r="Z68" s="489">
        <f t="shared" si="39"/>
        <v>846.82699999999988</v>
      </c>
      <c r="AA68" s="489">
        <v>769.76099999999997</v>
      </c>
      <c r="AB68" s="488">
        <f t="shared" si="40"/>
        <v>908.31797999999992</v>
      </c>
      <c r="AC68" s="492">
        <f t="shared" si="41"/>
        <v>717.65</v>
      </c>
      <c r="AD68" s="493">
        <f t="shared" si="42"/>
        <v>846.82699999999988</v>
      </c>
      <c r="AE68" s="494" t="s">
        <v>1775</v>
      </c>
      <c r="AF68" s="494" t="s">
        <v>83</v>
      </c>
      <c r="AG68" s="494" t="s">
        <v>211</v>
      </c>
      <c r="AH68" s="494" t="s">
        <v>545</v>
      </c>
      <c r="AI68" s="495">
        <v>41659</v>
      </c>
      <c r="AJ68" s="495">
        <v>41694</v>
      </c>
      <c r="AK68" s="494" t="s">
        <v>96</v>
      </c>
      <c r="AL68" s="494" t="s">
        <v>96</v>
      </c>
      <c r="AM68" s="496" t="s">
        <v>1846</v>
      </c>
      <c r="AN68" s="496" t="s">
        <v>1757</v>
      </c>
      <c r="AO68" s="494">
        <v>796</v>
      </c>
      <c r="AP68" s="494" t="s">
        <v>368</v>
      </c>
      <c r="AQ68" s="494">
        <v>1</v>
      </c>
      <c r="AR68" s="494">
        <v>45</v>
      </c>
      <c r="AS68" s="496" t="s">
        <v>547</v>
      </c>
      <c r="AT68" s="495">
        <v>41714</v>
      </c>
      <c r="AU68" s="495">
        <v>41714</v>
      </c>
      <c r="AV68" s="495">
        <v>41729</v>
      </c>
      <c r="AW68" s="494">
        <v>2014</v>
      </c>
      <c r="AX68" s="496"/>
      <c r="AY68" s="494" t="s">
        <v>186</v>
      </c>
      <c r="AZ68" s="494"/>
      <c r="BA68" s="494">
        <v>2014</v>
      </c>
      <c r="BB68" s="494" t="s">
        <v>5553</v>
      </c>
      <c r="BC68" s="496" t="s">
        <v>5554</v>
      </c>
      <c r="BD68" s="496" t="s">
        <v>1818</v>
      </c>
      <c r="BE68" s="497">
        <v>41729</v>
      </c>
      <c r="BF68" s="498">
        <v>1077.8946000000001</v>
      </c>
      <c r="BG68" s="488">
        <v>1077.8946000000001</v>
      </c>
      <c r="BH68" s="488">
        <v>0.24</v>
      </c>
      <c r="BI68" s="488">
        <v>0</v>
      </c>
      <c r="BJ68" s="494" t="s">
        <v>1465</v>
      </c>
      <c r="BK68" s="401"/>
    </row>
    <row r="69" spans="1:63" ht="112.5">
      <c r="A69" s="401">
        <v>1</v>
      </c>
      <c r="B69" s="494" t="s">
        <v>5421</v>
      </c>
      <c r="C69" s="401" t="s">
        <v>83</v>
      </c>
      <c r="D69" s="401" t="s">
        <v>242</v>
      </c>
      <c r="E69" s="494" t="s">
        <v>5853</v>
      </c>
      <c r="F69" s="401" t="s">
        <v>1768</v>
      </c>
      <c r="G69" s="401" t="s">
        <v>1769</v>
      </c>
      <c r="H69" s="499">
        <v>854770</v>
      </c>
      <c r="I69" s="486" t="s">
        <v>5422</v>
      </c>
      <c r="J69" s="496" t="s">
        <v>5317</v>
      </c>
      <c r="K69" s="496" t="s">
        <v>5317</v>
      </c>
      <c r="L69" s="496" t="s">
        <v>1825</v>
      </c>
      <c r="M69" s="500" t="s">
        <v>1755</v>
      </c>
      <c r="N69" s="496" t="s">
        <v>1773</v>
      </c>
      <c r="O69" s="496" t="s">
        <v>2234</v>
      </c>
      <c r="P69" s="489">
        <v>736.25183000000004</v>
      </c>
      <c r="Q69" s="489">
        <f t="shared" si="38"/>
        <v>868.77715939999996</v>
      </c>
      <c r="R69" s="489">
        <v>598.94484913487383</v>
      </c>
      <c r="S69" s="401" t="s">
        <v>1774</v>
      </c>
      <c r="T69" s="501">
        <v>1.087</v>
      </c>
      <c r="U69" s="501">
        <v>1.077</v>
      </c>
      <c r="V69" s="501">
        <v>1.073</v>
      </c>
      <c r="W69" s="501">
        <v>1.071</v>
      </c>
      <c r="X69" s="596">
        <v>0.9</v>
      </c>
      <c r="Y69" s="502">
        <v>725.21</v>
      </c>
      <c r="Z69" s="489">
        <f t="shared" si="39"/>
        <v>855.74779999999998</v>
      </c>
      <c r="AA69" s="489">
        <v>689.18700000000001</v>
      </c>
      <c r="AB69" s="488">
        <f t="shared" si="40"/>
        <v>813.24065999999993</v>
      </c>
      <c r="AC69" s="492">
        <f t="shared" si="41"/>
        <v>689.18700000000001</v>
      </c>
      <c r="AD69" s="493">
        <f t="shared" si="42"/>
        <v>813.24065999999993</v>
      </c>
      <c r="AE69" s="494" t="s">
        <v>1775</v>
      </c>
      <c r="AF69" s="494" t="s">
        <v>83</v>
      </c>
      <c r="AG69" s="494" t="s">
        <v>211</v>
      </c>
      <c r="AH69" s="494" t="s">
        <v>545</v>
      </c>
      <c r="AI69" s="495">
        <v>41659</v>
      </c>
      <c r="AJ69" s="495">
        <v>41694</v>
      </c>
      <c r="AK69" s="494" t="s">
        <v>96</v>
      </c>
      <c r="AL69" s="494" t="s">
        <v>96</v>
      </c>
      <c r="AM69" s="496" t="s">
        <v>1846</v>
      </c>
      <c r="AN69" s="496" t="s">
        <v>1757</v>
      </c>
      <c r="AO69" s="494">
        <v>796</v>
      </c>
      <c r="AP69" s="494" t="s">
        <v>368</v>
      </c>
      <c r="AQ69" s="494">
        <v>1</v>
      </c>
      <c r="AR69" s="494">
        <v>45</v>
      </c>
      <c r="AS69" s="496" t="s">
        <v>547</v>
      </c>
      <c r="AT69" s="495">
        <v>41714</v>
      </c>
      <c r="AU69" s="495">
        <v>41714</v>
      </c>
      <c r="AV69" s="495">
        <v>41729</v>
      </c>
      <c r="AW69" s="494">
        <v>2014</v>
      </c>
      <c r="AX69" s="496"/>
      <c r="AY69" s="494" t="s">
        <v>186</v>
      </c>
      <c r="AZ69" s="494"/>
      <c r="BA69" s="494">
        <v>2014</v>
      </c>
      <c r="BB69" s="494" t="s">
        <v>5555</v>
      </c>
      <c r="BC69" s="496" t="s">
        <v>5556</v>
      </c>
      <c r="BD69" s="496" t="s">
        <v>1818</v>
      </c>
      <c r="BE69" s="497">
        <v>41729</v>
      </c>
      <c r="BF69" s="498">
        <v>965.14249659999996</v>
      </c>
      <c r="BG69" s="488">
        <v>965.14249659999996</v>
      </c>
      <c r="BH69" s="488">
        <v>0.24</v>
      </c>
      <c r="BI69" s="488">
        <v>0</v>
      </c>
      <c r="BJ69" s="494" t="s">
        <v>1465</v>
      </c>
      <c r="BK69" s="401"/>
    </row>
    <row r="70" spans="1:63" ht="112.5">
      <c r="A70" s="401">
        <v>1</v>
      </c>
      <c r="B70" s="494" t="s">
        <v>5423</v>
      </c>
      <c r="C70" s="401" t="s">
        <v>83</v>
      </c>
      <c r="D70" s="401" t="s">
        <v>242</v>
      </c>
      <c r="E70" s="494" t="s">
        <v>5853</v>
      </c>
      <c r="F70" s="401" t="s">
        <v>1768</v>
      </c>
      <c r="G70" s="401" t="s">
        <v>1769</v>
      </c>
      <c r="H70" s="499">
        <v>854771</v>
      </c>
      <c r="I70" s="486" t="s">
        <v>5424</v>
      </c>
      <c r="J70" s="496" t="s">
        <v>5317</v>
      </c>
      <c r="K70" s="496" t="s">
        <v>5317</v>
      </c>
      <c r="L70" s="496" t="s">
        <v>1825</v>
      </c>
      <c r="M70" s="500" t="s">
        <v>1755</v>
      </c>
      <c r="N70" s="496" t="s">
        <v>1773</v>
      </c>
      <c r="O70" s="496" t="s">
        <v>2234</v>
      </c>
      <c r="P70" s="489">
        <v>737.65632000000005</v>
      </c>
      <c r="Q70" s="489">
        <f t="shared" si="38"/>
        <v>870.43445759999997</v>
      </c>
      <c r="R70" s="489">
        <v>520.88157485538477</v>
      </c>
      <c r="S70" s="401" t="s">
        <v>1774</v>
      </c>
      <c r="T70" s="501">
        <v>1.087</v>
      </c>
      <c r="U70" s="501">
        <v>1.077</v>
      </c>
      <c r="V70" s="501">
        <v>1.073</v>
      </c>
      <c r="W70" s="501">
        <v>1.071</v>
      </c>
      <c r="X70" s="596">
        <v>0.9</v>
      </c>
      <c r="Y70" s="502">
        <v>630.69000000000005</v>
      </c>
      <c r="Z70" s="489">
        <f t="shared" si="39"/>
        <v>744.21420000000001</v>
      </c>
      <c r="AA70" s="489">
        <v>652.46299999999997</v>
      </c>
      <c r="AB70" s="488">
        <f t="shared" si="40"/>
        <v>769.90633999999989</v>
      </c>
      <c r="AC70" s="492">
        <f t="shared" si="41"/>
        <v>630.69000000000005</v>
      </c>
      <c r="AD70" s="493">
        <f t="shared" si="42"/>
        <v>744.21420000000001</v>
      </c>
      <c r="AE70" s="494" t="s">
        <v>1775</v>
      </c>
      <c r="AF70" s="494" t="s">
        <v>83</v>
      </c>
      <c r="AG70" s="494" t="s">
        <v>211</v>
      </c>
      <c r="AH70" s="494" t="s">
        <v>545</v>
      </c>
      <c r="AI70" s="495">
        <v>41685</v>
      </c>
      <c r="AJ70" s="495">
        <v>41720</v>
      </c>
      <c r="AK70" s="494" t="s">
        <v>96</v>
      </c>
      <c r="AL70" s="494" t="s">
        <v>96</v>
      </c>
      <c r="AM70" s="496" t="s">
        <v>1846</v>
      </c>
      <c r="AN70" s="496" t="s">
        <v>1757</v>
      </c>
      <c r="AO70" s="494">
        <v>796</v>
      </c>
      <c r="AP70" s="494" t="s">
        <v>368</v>
      </c>
      <c r="AQ70" s="494">
        <v>1</v>
      </c>
      <c r="AR70" s="494">
        <v>45</v>
      </c>
      <c r="AS70" s="496" t="s">
        <v>547</v>
      </c>
      <c r="AT70" s="495">
        <v>41740</v>
      </c>
      <c r="AU70" s="495">
        <v>41740</v>
      </c>
      <c r="AV70" s="495">
        <v>41820</v>
      </c>
      <c r="AW70" s="494">
        <v>2014</v>
      </c>
      <c r="AX70" s="496"/>
      <c r="AY70" s="494" t="s">
        <v>186</v>
      </c>
      <c r="AZ70" s="494"/>
      <c r="BA70" s="494">
        <v>2014</v>
      </c>
      <c r="BB70" s="494" t="s">
        <v>5557</v>
      </c>
      <c r="BC70" s="496" t="s">
        <v>5558</v>
      </c>
      <c r="BD70" s="496" t="s">
        <v>1818</v>
      </c>
      <c r="BE70" s="497">
        <v>41820</v>
      </c>
      <c r="BF70" s="498">
        <v>966.51523779999991</v>
      </c>
      <c r="BG70" s="488">
        <v>966.51523779999991</v>
      </c>
      <c r="BH70" s="488">
        <v>0.24</v>
      </c>
      <c r="BI70" s="488">
        <v>0</v>
      </c>
      <c r="BJ70" s="494" t="s">
        <v>1465</v>
      </c>
      <c r="BK70" s="401"/>
    </row>
    <row r="71" spans="1:63" ht="112.5">
      <c r="A71" s="401">
        <v>1</v>
      </c>
      <c r="B71" s="494" t="s">
        <v>5425</v>
      </c>
      <c r="C71" s="401" t="s">
        <v>83</v>
      </c>
      <c r="D71" s="401" t="s">
        <v>242</v>
      </c>
      <c r="E71" s="494" t="s">
        <v>5853</v>
      </c>
      <c r="F71" s="401" t="s">
        <v>1768</v>
      </c>
      <c r="G71" s="401" t="s">
        <v>1769</v>
      </c>
      <c r="H71" s="499">
        <v>854772</v>
      </c>
      <c r="I71" s="486" t="s">
        <v>5426</v>
      </c>
      <c r="J71" s="496" t="s">
        <v>5317</v>
      </c>
      <c r="K71" s="496" t="s">
        <v>5317</v>
      </c>
      <c r="L71" s="496" t="s">
        <v>1825</v>
      </c>
      <c r="M71" s="500" t="s">
        <v>1755</v>
      </c>
      <c r="N71" s="496" t="s">
        <v>1773</v>
      </c>
      <c r="O71" s="496" t="s">
        <v>2234</v>
      </c>
      <c r="P71" s="489">
        <v>764.40368000000001</v>
      </c>
      <c r="Q71" s="489">
        <f t="shared" si="38"/>
        <v>901.9963424</v>
      </c>
      <c r="R71" s="489">
        <v>535.66503454225369</v>
      </c>
      <c r="S71" s="401" t="s">
        <v>1774</v>
      </c>
      <c r="T71" s="501">
        <v>1.087</v>
      </c>
      <c r="U71" s="501">
        <v>1.077</v>
      </c>
      <c r="V71" s="501">
        <v>1.073</v>
      </c>
      <c r="W71" s="501">
        <v>1.071</v>
      </c>
      <c r="X71" s="596">
        <v>0.9</v>
      </c>
      <c r="Y71" s="502">
        <v>648.59</v>
      </c>
      <c r="Z71" s="489">
        <f t="shared" si="39"/>
        <v>765.33619999999996</v>
      </c>
      <c r="AA71" s="489">
        <v>709.92700000000002</v>
      </c>
      <c r="AB71" s="488">
        <f t="shared" si="40"/>
        <v>837.71385999999995</v>
      </c>
      <c r="AC71" s="492">
        <f t="shared" si="41"/>
        <v>648.59</v>
      </c>
      <c r="AD71" s="493">
        <f t="shared" si="42"/>
        <v>765.33619999999996</v>
      </c>
      <c r="AE71" s="494" t="s">
        <v>1775</v>
      </c>
      <c r="AF71" s="494" t="s">
        <v>83</v>
      </c>
      <c r="AG71" s="494" t="s">
        <v>211</v>
      </c>
      <c r="AH71" s="494" t="s">
        <v>545</v>
      </c>
      <c r="AI71" s="495">
        <v>41685</v>
      </c>
      <c r="AJ71" s="495">
        <v>41720</v>
      </c>
      <c r="AK71" s="494" t="s">
        <v>96</v>
      </c>
      <c r="AL71" s="494" t="s">
        <v>96</v>
      </c>
      <c r="AM71" s="496" t="s">
        <v>1846</v>
      </c>
      <c r="AN71" s="496" t="s">
        <v>1757</v>
      </c>
      <c r="AO71" s="494">
        <v>796</v>
      </c>
      <c r="AP71" s="494" t="s">
        <v>368</v>
      </c>
      <c r="AQ71" s="494">
        <v>1</v>
      </c>
      <c r="AR71" s="494">
        <v>45</v>
      </c>
      <c r="AS71" s="496" t="s">
        <v>547</v>
      </c>
      <c r="AT71" s="495">
        <v>41740</v>
      </c>
      <c r="AU71" s="495">
        <v>41740</v>
      </c>
      <c r="AV71" s="495">
        <v>41820</v>
      </c>
      <c r="AW71" s="494">
        <v>2014</v>
      </c>
      <c r="AX71" s="496"/>
      <c r="AY71" s="494" t="s">
        <v>186</v>
      </c>
      <c r="AZ71" s="494"/>
      <c r="BA71" s="494">
        <v>2014</v>
      </c>
      <c r="BB71" s="494" t="s">
        <v>5559</v>
      </c>
      <c r="BC71" s="496" t="s">
        <v>5560</v>
      </c>
      <c r="BD71" s="496" t="s">
        <v>1818</v>
      </c>
      <c r="BE71" s="497">
        <v>41820</v>
      </c>
      <c r="BF71" s="498">
        <v>1001.2771999999999</v>
      </c>
      <c r="BG71" s="488">
        <v>1001.2771999999999</v>
      </c>
      <c r="BH71" s="488">
        <v>0.14000000000000001</v>
      </c>
      <c r="BI71" s="488">
        <v>0</v>
      </c>
      <c r="BJ71" s="494" t="s">
        <v>1465</v>
      </c>
      <c r="BK71" s="401"/>
    </row>
    <row r="72" spans="1:63" ht="112.5">
      <c r="A72" s="401">
        <v>1</v>
      </c>
      <c r="B72" s="494" t="s">
        <v>5427</v>
      </c>
      <c r="C72" s="401" t="s">
        <v>83</v>
      </c>
      <c r="D72" s="401" t="s">
        <v>242</v>
      </c>
      <c r="E72" s="494" t="s">
        <v>5853</v>
      </c>
      <c r="F72" s="401" t="s">
        <v>1768</v>
      </c>
      <c r="G72" s="401" t="s">
        <v>1769</v>
      </c>
      <c r="H72" s="499">
        <v>854774</v>
      </c>
      <c r="I72" s="486" t="s">
        <v>5428</v>
      </c>
      <c r="J72" s="496" t="s">
        <v>5317</v>
      </c>
      <c r="K72" s="496" t="s">
        <v>5317</v>
      </c>
      <c r="L72" s="496" t="s">
        <v>5019</v>
      </c>
      <c r="M72" s="500" t="s">
        <v>1755</v>
      </c>
      <c r="N72" s="496" t="s">
        <v>1773</v>
      </c>
      <c r="O72" s="496" t="s">
        <v>2234</v>
      </c>
      <c r="P72" s="489">
        <v>728.02418</v>
      </c>
      <c r="Q72" s="489">
        <f t="shared" ref="Q72:Q89" si="43">P72*1.18</f>
        <v>859.06853239999998</v>
      </c>
      <c r="R72" s="489">
        <v>592.24686823763886</v>
      </c>
      <c r="S72" s="401" t="s">
        <v>1774</v>
      </c>
      <c r="T72" s="501">
        <v>1.087</v>
      </c>
      <c r="U72" s="501">
        <v>1.077</v>
      </c>
      <c r="V72" s="501">
        <v>1.073</v>
      </c>
      <c r="W72" s="501">
        <v>1.071</v>
      </c>
      <c r="X72" s="596">
        <v>0.9</v>
      </c>
      <c r="Y72" s="502">
        <v>717.1</v>
      </c>
      <c r="Z72" s="489">
        <f t="shared" ref="Z72:Z111" si="44">Y72*1.18</f>
        <v>846.178</v>
      </c>
      <c r="AA72" s="489">
        <v>689.18700000000001</v>
      </c>
      <c r="AB72" s="488">
        <f t="shared" ref="AB72:AB106" si="45">AA72*1.18</f>
        <v>813.24065999999993</v>
      </c>
      <c r="AC72" s="492">
        <f t="shared" ref="AC72:AC104" si="46">IF(Y72&lt;AA72,Y72,AA72)</f>
        <v>689.18700000000001</v>
      </c>
      <c r="AD72" s="493">
        <f t="shared" ref="AD72:AD135" si="47">AC72*1.18</f>
        <v>813.24065999999993</v>
      </c>
      <c r="AE72" s="494" t="s">
        <v>1775</v>
      </c>
      <c r="AF72" s="494" t="s">
        <v>83</v>
      </c>
      <c r="AG72" s="494" t="s">
        <v>211</v>
      </c>
      <c r="AH72" s="494" t="s">
        <v>545</v>
      </c>
      <c r="AI72" s="495">
        <v>41685</v>
      </c>
      <c r="AJ72" s="495">
        <v>41720</v>
      </c>
      <c r="AK72" s="494" t="s">
        <v>96</v>
      </c>
      <c r="AL72" s="494" t="s">
        <v>96</v>
      </c>
      <c r="AM72" s="496" t="s">
        <v>1846</v>
      </c>
      <c r="AN72" s="496" t="s">
        <v>1757</v>
      </c>
      <c r="AO72" s="494">
        <v>796</v>
      </c>
      <c r="AP72" s="494" t="s">
        <v>368</v>
      </c>
      <c r="AQ72" s="494">
        <v>1</v>
      </c>
      <c r="AR72" s="494">
        <v>45</v>
      </c>
      <c r="AS72" s="496" t="s">
        <v>547</v>
      </c>
      <c r="AT72" s="495">
        <v>41740</v>
      </c>
      <c r="AU72" s="495">
        <v>41740</v>
      </c>
      <c r="AV72" s="495">
        <v>41820</v>
      </c>
      <c r="AW72" s="494">
        <v>2014</v>
      </c>
      <c r="AX72" s="496"/>
      <c r="AY72" s="494" t="s">
        <v>186</v>
      </c>
      <c r="AZ72" s="494"/>
      <c r="BA72" s="494">
        <v>2014</v>
      </c>
      <c r="BB72" s="494" t="s">
        <v>5561</v>
      </c>
      <c r="BC72" s="496" t="s">
        <v>5562</v>
      </c>
      <c r="BD72" s="496" t="s">
        <v>1818</v>
      </c>
      <c r="BE72" s="497">
        <v>41820</v>
      </c>
      <c r="BF72" s="498">
        <v>953.62879999999996</v>
      </c>
      <c r="BG72" s="488">
        <v>953.62879999999996</v>
      </c>
      <c r="BH72" s="488">
        <v>0.28000000000000003</v>
      </c>
      <c r="BI72" s="488">
        <v>0</v>
      </c>
      <c r="BJ72" s="494" t="s">
        <v>1465</v>
      </c>
      <c r="BK72" s="401"/>
    </row>
    <row r="73" spans="1:63" ht="112.5">
      <c r="A73" s="614">
        <v>1</v>
      </c>
      <c r="B73" s="615" t="s">
        <v>5429</v>
      </c>
      <c r="C73" s="614" t="s">
        <v>83</v>
      </c>
      <c r="D73" s="614" t="s">
        <v>242</v>
      </c>
      <c r="E73" s="615" t="s">
        <v>5853</v>
      </c>
      <c r="F73" s="614" t="s">
        <v>1768</v>
      </c>
      <c r="G73" s="614" t="s">
        <v>1769</v>
      </c>
      <c r="H73" s="616">
        <v>854773</v>
      </c>
      <c r="I73" s="617" t="s">
        <v>5430</v>
      </c>
      <c r="J73" s="618" t="s">
        <v>5317</v>
      </c>
      <c r="K73" s="618" t="s">
        <v>5317</v>
      </c>
      <c r="L73" s="618" t="s">
        <v>1825</v>
      </c>
      <c r="M73" s="619" t="s">
        <v>1755</v>
      </c>
      <c r="N73" s="618" t="s">
        <v>1773</v>
      </c>
      <c r="O73" s="618" t="s">
        <v>2234</v>
      </c>
      <c r="P73" s="620">
        <v>837.38037000000008</v>
      </c>
      <c r="Q73" s="620">
        <f t="shared" si="43"/>
        <v>988.10883660000002</v>
      </c>
      <c r="R73" s="620">
        <v>635.64499428042677</v>
      </c>
      <c r="S73" s="614" t="s">
        <v>1774</v>
      </c>
      <c r="T73" s="621">
        <v>1.087</v>
      </c>
      <c r="U73" s="621">
        <v>1.077</v>
      </c>
      <c r="V73" s="621">
        <v>1.073</v>
      </c>
      <c r="W73" s="621">
        <v>1.071</v>
      </c>
      <c r="X73" s="622">
        <v>0.9</v>
      </c>
      <c r="Y73" s="623">
        <v>769.64700000000005</v>
      </c>
      <c r="Z73" s="620">
        <f t="shared" si="44"/>
        <v>908.18345999999997</v>
      </c>
      <c r="AA73" s="620">
        <v>753.46199999999999</v>
      </c>
      <c r="AB73" s="624">
        <f t="shared" si="45"/>
        <v>889.08515999999997</v>
      </c>
      <c r="AC73" s="625">
        <f t="shared" si="46"/>
        <v>753.46199999999999</v>
      </c>
      <c r="AD73" s="626">
        <f t="shared" si="47"/>
        <v>889.08515999999997</v>
      </c>
      <c r="AE73" s="615" t="s">
        <v>1775</v>
      </c>
      <c r="AF73" s="615" t="s">
        <v>83</v>
      </c>
      <c r="AG73" s="615" t="s">
        <v>211</v>
      </c>
      <c r="AH73" s="615" t="s">
        <v>545</v>
      </c>
      <c r="AI73" s="627">
        <v>41685</v>
      </c>
      <c r="AJ73" s="627">
        <v>41720</v>
      </c>
      <c r="AK73" s="615" t="s">
        <v>96</v>
      </c>
      <c r="AL73" s="615" t="s">
        <v>96</v>
      </c>
      <c r="AM73" s="618" t="s">
        <v>1846</v>
      </c>
      <c r="AN73" s="618" t="s">
        <v>1757</v>
      </c>
      <c r="AO73" s="615">
        <v>796</v>
      </c>
      <c r="AP73" s="615" t="s">
        <v>368</v>
      </c>
      <c r="AQ73" s="615">
        <v>1</v>
      </c>
      <c r="AR73" s="615">
        <v>45</v>
      </c>
      <c r="AS73" s="618" t="s">
        <v>547</v>
      </c>
      <c r="AT73" s="627">
        <v>41740</v>
      </c>
      <c r="AU73" s="627">
        <v>41740</v>
      </c>
      <c r="AV73" s="627">
        <v>41820</v>
      </c>
      <c r="AW73" s="615">
        <v>2014</v>
      </c>
      <c r="AX73" s="618"/>
      <c r="AY73" s="615" t="s">
        <v>186</v>
      </c>
      <c r="AZ73" s="615"/>
      <c r="BA73" s="615">
        <v>2014</v>
      </c>
      <c r="BB73" s="615" t="s">
        <v>5563</v>
      </c>
      <c r="BC73" s="618" t="s">
        <v>5564</v>
      </c>
      <c r="BD73" s="618" t="s">
        <v>1818</v>
      </c>
      <c r="BE73" s="628">
        <v>41820</v>
      </c>
      <c r="BF73" s="629">
        <v>1035.9364195999999</v>
      </c>
      <c r="BG73" s="624">
        <v>1035.9364195999999</v>
      </c>
      <c r="BH73" s="624">
        <v>0.3</v>
      </c>
      <c r="BI73" s="624">
        <v>0</v>
      </c>
      <c r="BJ73" s="615" t="s">
        <v>1465</v>
      </c>
      <c r="BK73" s="614"/>
    </row>
    <row r="74" spans="1:63" s="613" customFormat="1" ht="150">
      <c r="A74" s="555">
        <v>1</v>
      </c>
      <c r="B74" s="562" t="s">
        <v>5431</v>
      </c>
      <c r="C74" s="555" t="s">
        <v>83</v>
      </c>
      <c r="D74" s="555" t="s">
        <v>242</v>
      </c>
      <c r="E74" s="562" t="s">
        <v>5853</v>
      </c>
      <c r="F74" s="555" t="s">
        <v>1752</v>
      </c>
      <c r="G74" s="555" t="s">
        <v>2344</v>
      </c>
      <c r="H74" s="556">
        <v>854775</v>
      </c>
      <c r="I74" s="486" t="s">
        <v>5432</v>
      </c>
      <c r="J74" s="486" t="s">
        <v>5433</v>
      </c>
      <c r="K74" s="486" t="s">
        <v>5433</v>
      </c>
      <c r="L74" s="486" t="s">
        <v>1772</v>
      </c>
      <c r="M74" s="576" t="s">
        <v>1755</v>
      </c>
      <c r="N74" s="486" t="s">
        <v>1773</v>
      </c>
      <c r="O74" s="486" t="s">
        <v>2234</v>
      </c>
      <c r="P74" s="492">
        <v>1251130</v>
      </c>
      <c r="Q74" s="492">
        <f t="shared" si="43"/>
        <v>1476333.4</v>
      </c>
      <c r="R74" s="492">
        <v>988699.61424253858</v>
      </c>
      <c r="S74" s="555" t="s">
        <v>1774</v>
      </c>
      <c r="T74" s="630">
        <v>1.087</v>
      </c>
      <c r="U74" s="630">
        <v>1.077</v>
      </c>
      <c r="V74" s="630">
        <v>1.073</v>
      </c>
      <c r="W74" s="630">
        <v>1.071</v>
      </c>
      <c r="X74" s="560">
        <v>0.9</v>
      </c>
      <c r="Y74" s="514">
        <v>1197130</v>
      </c>
      <c r="Z74" s="492">
        <f t="shared" si="44"/>
        <v>1412613.4</v>
      </c>
      <c r="AA74" s="492">
        <v>1229698</v>
      </c>
      <c r="AB74" s="493">
        <f t="shared" si="45"/>
        <v>1451043.64</v>
      </c>
      <c r="AC74" s="492">
        <f t="shared" si="46"/>
        <v>1197130</v>
      </c>
      <c r="AD74" s="493">
        <f t="shared" si="47"/>
        <v>1412613.4</v>
      </c>
      <c r="AE74" s="562" t="s">
        <v>218</v>
      </c>
      <c r="AF74" s="562" t="s">
        <v>83</v>
      </c>
      <c r="AG74" s="562" t="s">
        <v>211</v>
      </c>
      <c r="AH74" s="562" t="s">
        <v>545</v>
      </c>
      <c r="AI74" s="561">
        <v>41671</v>
      </c>
      <c r="AJ74" s="561">
        <v>41706</v>
      </c>
      <c r="AK74" s="562" t="s">
        <v>96</v>
      </c>
      <c r="AL74" s="562" t="s">
        <v>96</v>
      </c>
      <c r="AM74" s="486" t="s">
        <v>5565</v>
      </c>
      <c r="AN74" s="486" t="s">
        <v>1757</v>
      </c>
      <c r="AO74" s="562">
        <v>796</v>
      </c>
      <c r="AP74" s="562" t="s">
        <v>368</v>
      </c>
      <c r="AQ74" s="562">
        <v>1</v>
      </c>
      <c r="AR74" s="562">
        <v>45</v>
      </c>
      <c r="AS74" s="486" t="s">
        <v>547</v>
      </c>
      <c r="AT74" s="561">
        <v>41726</v>
      </c>
      <c r="AU74" s="561">
        <v>41726</v>
      </c>
      <c r="AV74" s="561">
        <v>42004</v>
      </c>
      <c r="AW74" s="562">
        <v>2014</v>
      </c>
      <c r="AX74" s="486"/>
      <c r="AY74" s="562" t="s">
        <v>186</v>
      </c>
      <c r="AZ74" s="562"/>
      <c r="BA74" s="562">
        <v>2014</v>
      </c>
      <c r="BB74" s="562" t="s">
        <v>5566</v>
      </c>
      <c r="BC74" s="486" t="s">
        <v>5567</v>
      </c>
      <c r="BD74" s="486" t="s">
        <v>1818</v>
      </c>
      <c r="BE74" s="575">
        <v>42004</v>
      </c>
      <c r="BF74" s="580">
        <v>1148884.2684799999</v>
      </c>
      <c r="BG74" s="493">
        <f>BF74</f>
        <v>1148884.2684799999</v>
      </c>
      <c r="BH74" s="493">
        <v>0</v>
      </c>
      <c r="BI74" s="493">
        <v>0</v>
      </c>
      <c r="BJ74" s="562" t="s">
        <v>400</v>
      </c>
      <c r="BK74" s="555"/>
    </row>
    <row r="75" spans="1:63" ht="112.5">
      <c r="A75" s="631">
        <v>1</v>
      </c>
      <c r="B75" s="632" t="s">
        <v>2277</v>
      </c>
      <c r="C75" s="631" t="s">
        <v>83</v>
      </c>
      <c r="D75" s="631" t="s">
        <v>213</v>
      </c>
      <c r="E75" s="632" t="s">
        <v>5853</v>
      </c>
      <c r="F75" s="631" t="s">
        <v>1768</v>
      </c>
      <c r="G75" s="631" t="s">
        <v>1769</v>
      </c>
      <c r="H75" s="633">
        <v>825162</v>
      </c>
      <c r="I75" s="634" t="s">
        <v>2278</v>
      </c>
      <c r="J75" s="635" t="s">
        <v>2237</v>
      </c>
      <c r="K75" s="635" t="s">
        <v>2237</v>
      </c>
      <c r="L75" s="635" t="s">
        <v>1772</v>
      </c>
      <c r="M75" s="636" t="s">
        <v>1755</v>
      </c>
      <c r="N75" s="635" t="s">
        <v>1773</v>
      </c>
      <c r="O75" s="635" t="s">
        <v>2234</v>
      </c>
      <c r="P75" s="637">
        <v>33526.25</v>
      </c>
      <c r="Q75" s="637">
        <f t="shared" si="43"/>
        <v>39560.974999999999</v>
      </c>
      <c r="R75" s="637">
        <v>24940.829000000002</v>
      </c>
      <c r="S75" s="631" t="s">
        <v>1774</v>
      </c>
      <c r="T75" s="638">
        <v>1.087</v>
      </c>
      <c r="U75" s="638">
        <v>1.077</v>
      </c>
      <c r="V75" s="638">
        <v>1.073</v>
      </c>
      <c r="W75" s="638">
        <v>1.071</v>
      </c>
      <c r="X75" s="639">
        <v>0.9</v>
      </c>
      <c r="Y75" s="640">
        <v>30190.874</v>
      </c>
      <c r="Z75" s="637">
        <f t="shared" si="44"/>
        <v>35625.231319999999</v>
      </c>
      <c r="AA75" s="637">
        <v>29705.32</v>
      </c>
      <c r="AB75" s="641">
        <f t="shared" si="45"/>
        <v>35052.277600000001</v>
      </c>
      <c r="AC75" s="642">
        <f t="shared" si="46"/>
        <v>29705.32</v>
      </c>
      <c r="AD75" s="643">
        <f t="shared" si="47"/>
        <v>35052.277600000001</v>
      </c>
      <c r="AE75" s="632" t="s">
        <v>218</v>
      </c>
      <c r="AF75" s="632" t="s">
        <v>83</v>
      </c>
      <c r="AG75" s="632" t="s">
        <v>211</v>
      </c>
      <c r="AH75" s="632" t="s">
        <v>545</v>
      </c>
      <c r="AI75" s="644">
        <v>41759</v>
      </c>
      <c r="AJ75" s="644">
        <v>41819</v>
      </c>
      <c r="AK75" s="632" t="s">
        <v>96</v>
      </c>
      <c r="AL75" s="632" t="s">
        <v>96</v>
      </c>
      <c r="AM75" s="635" t="s">
        <v>2238</v>
      </c>
      <c r="AN75" s="635" t="s">
        <v>1757</v>
      </c>
      <c r="AO75" s="632">
        <v>796</v>
      </c>
      <c r="AP75" s="632" t="s">
        <v>368</v>
      </c>
      <c r="AQ75" s="632">
        <v>1</v>
      </c>
      <c r="AR75" s="632">
        <v>46</v>
      </c>
      <c r="AS75" s="635" t="s">
        <v>605</v>
      </c>
      <c r="AT75" s="644">
        <v>41839</v>
      </c>
      <c r="AU75" s="644">
        <v>41839</v>
      </c>
      <c r="AV75" s="707">
        <v>42003</v>
      </c>
      <c r="AW75" s="632">
        <v>2014</v>
      </c>
      <c r="AX75" s="635"/>
      <c r="AY75" s="632" t="s">
        <v>186</v>
      </c>
      <c r="AZ75" s="632"/>
      <c r="BA75" s="632">
        <v>2014</v>
      </c>
      <c r="BB75" s="632" t="s">
        <v>2279</v>
      </c>
      <c r="BC75" s="635" t="s">
        <v>2280</v>
      </c>
      <c r="BD75" s="635" t="s">
        <v>1818</v>
      </c>
      <c r="BE75" s="645">
        <v>41974</v>
      </c>
      <c r="BF75" s="646">
        <v>39057.444338000008</v>
      </c>
      <c r="BG75" s="641">
        <v>43331.604819999993</v>
      </c>
      <c r="BH75" s="641">
        <v>0</v>
      </c>
      <c r="BI75" s="641">
        <v>0</v>
      </c>
      <c r="BJ75" s="632" t="s">
        <v>186</v>
      </c>
      <c r="BK75" s="631"/>
    </row>
    <row r="76" spans="1:63" ht="168.75">
      <c r="A76" s="401">
        <v>1</v>
      </c>
      <c r="B76" s="494" t="s">
        <v>2398</v>
      </c>
      <c r="C76" s="401" t="s">
        <v>83</v>
      </c>
      <c r="D76" s="401" t="s">
        <v>235</v>
      </c>
      <c r="E76" s="494" t="s">
        <v>5853</v>
      </c>
      <c r="F76" s="401" t="s">
        <v>1768</v>
      </c>
      <c r="G76" s="401" t="s">
        <v>1769</v>
      </c>
      <c r="H76" s="499">
        <v>842503</v>
      </c>
      <c r="I76" s="486" t="s">
        <v>5434</v>
      </c>
      <c r="J76" s="496" t="s">
        <v>2237</v>
      </c>
      <c r="K76" s="496" t="s">
        <v>2237</v>
      </c>
      <c r="L76" s="496" t="s">
        <v>2325</v>
      </c>
      <c r="M76" s="500" t="s">
        <v>1755</v>
      </c>
      <c r="N76" s="496" t="s">
        <v>1773</v>
      </c>
      <c r="O76" s="496" t="s">
        <v>2234</v>
      </c>
      <c r="P76" s="489">
        <v>22781.9</v>
      </c>
      <c r="Q76" s="489">
        <f t="shared" si="43"/>
        <v>26882.642</v>
      </c>
      <c r="R76" s="489">
        <v>18336.150000000001</v>
      </c>
      <c r="S76" s="401" t="s">
        <v>1774</v>
      </c>
      <c r="T76" s="501">
        <v>1.087</v>
      </c>
      <c r="U76" s="501">
        <v>1.077</v>
      </c>
      <c r="V76" s="501">
        <v>1.073</v>
      </c>
      <c r="W76" s="501">
        <v>1.071</v>
      </c>
      <c r="X76" s="596">
        <v>0.9</v>
      </c>
      <c r="Y76" s="502">
        <v>22195.91</v>
      </c>
      <c r="Z76" s="489">
        <f t="shared" si="44"/>
        <v>26191.173799999997</v>
      </c>
      <c r="AA76" s="489">
        <v>21503.991176077798</v>
      </c>
      <c r="AB76" s="488">
        <f t="shared" si="45"/>
        <v>25374.709587771798</v>
      </c>
      <c r="AC76" s="492">
        <f t="shared" si="46"/>
        <v>21503.991176077798</v>
      </c>
      <c r="AD76" s="493">
        <f t="shared" si="47"/>
        <v>25374.709587771798</v>
      </c>
      <c r="AE76" s="494" t="s">
        <v>218</v>
      </c>
      <c r="AF76" s="494" t="s">
        <v>83</v>
      </c>
      <c r="AG76" s="494" t="s">
        <v>211</v>
      </c>
      <c r="AH76" s="494" t="s">
        <v>545</v>
      </c>
      <c r="AI76" s="495">
        <v>41713</v>
      </c>
      <c r="AJ76" s="495">
        <v>41773</v>
      </c>
      <c r="AK76" s="494" t="s">
        <v>96</v>
      </c>
      <c r="AL76" s="494" t="s">
        <v>96</v>
      </c>
      <c r="AM76" s="496" t="s">
        <v>2238</v>
      </c>
      <c r="AN76" s="496" t="s">
        <v>1757</v>
      </c>
      <c r="AO76" s="494">
        <v>796</v>
      </c>
      <c r="AP76" s="494" t="s">
        <v>368</v>
      </c>
      <c r="AQ76" s="494">
        <v>1</v>
      </c>
      <c r="AR76" s="494">
        <v>46</v>
      </c>
      <c r="AS76" s="496" t="s">
        <v>605</v>
      </c>
      <c r="AT76" s="495">
        <v>41793</v>
      </c>
      <c r="AU76" s="495">
        <v>41793</v>
      </c>
      <c r="AV76" s="495">
        <v>42135</v>
      </c>
      <c r="AW76" s="494" t="s">
        <v>99</v>
      </c>
      <c r="AX76" s="496"/>
      <c r="AY76" s="494" t="s">
        <v>186</v>
      </c>
      <c r="AZ76" s="494"/>
      <c r="BA76" s="494">
        <v>2014</v>
      </c>
      <c r="BB76" s="494" t="s">
        <v>2399</v>
      </c>
      <c r="BC76" s="496" t="s">
        <v>2400</v>
      </c>
      <c r="BD76" s="496" t="s">
        <v>1818</v>
      </c>
      <c r="BE76" s="497">
        <v>42185</v>
      </c>
      <c r="BF76" s="498">
        <v>30033.300999999999</v>
      </c>
      <c r="BG76" s="488">
        <v>28231.302939999994</v>
      </c>
      <c r="BH76" s="488">
        <v>0</v>
      </c>
      <c r="BI76" s="488">
        <v>0</v>
      </c>
      <c r="BJ76" s="494" t="s">
        <v>186</v>
      </c>
      <c r="BK76" s="401"/>
    </row>
    <row r="77" spans="1:63" ht="112.5">
      <c r="A77" s="401">
        <v>1</v>
      </c>
      <c r="B77" s="494" t="s">
        <v>2407</v>
      </c>
      <c r="C77" s="401" t="s">
        <v>83</v>
      </c>
      <c r="D77" s="401" t="s">
        <v>235</v>
      </c>
      <c r="E77" s="494" t="s">
        <v>5853</v>
      </c>
      <c r="F77" s="401" t="s">
        <v>1768</v>
      </c>
      <c r="G77" s="401" t="s">
        <v>1769</v>
      </c>
      <c r="H77" s="499">
        <v>842507</v>
      </c>
      <c r="I77" s="486" t="s">
        <v>5435</v>
      </c>
      <c r="J77" s="496" t="s">
        <v>2237</v>
      </c>
      <c r="K77" s="496" t="s">
        <v>2237</v>
      </c>
      <c r="L77" s="496" t="s">
        <v>2325</v>
      </c>
      <c r="M77" s="500" t="s">
        <v>1755</v>
      </c>
      <c r="N77" s="496" t="s">
        <v>1773</v>
      </c>
      <c r="O77" s="496" t="s">
        <v>2234</v>
      </c>
      <c r="P77" s="489">
        <v>41738.239999999998</v>
      </c>
      <c r="Q77" s="489">
        <f t="shared" si="43"/>
        <v>49251.123199999995</v>
      </c>
      <c r="R77" s="489">
        <v>33226.85</v>
      </c>
      <c r="S77" s="401" t="s">
        <v>1774</v>
      </c>
      <c r="T77" s="501">
        <v>1.087</v>
      </c>
      <c r="U77" s="501">
        <v>1.077</v>
      </c>
      <c r="V77" s="501">
        <v>1.073</v>
      </c>
      <c r="W77" s="501">
        <v>1.071</v>
      </c>
      <c r="X77" s="596">
        <v>0.9</v>
      </c>
      <c r="Y77" s="502">
        <v>40221.101999999999</v>
      </c>
      <c r="Z77" s="489">
        <f t="shared" si="44"/>
        <v>47460.90036</v>
      </c>
      <c r="AA77" s="489">
        <v>39396.85366072035</v>
      </c>
      <c r="AB77" s="488">
        <f t="shared" si="45"/>
        <v>46488.287319650008</v>
      </c>
      <c r="AC77" s="492">
        <f t="shared" si="46"/>
        <v>39396.85366072035</v>
      </c>
      <c r="AD77" s="493">
        <f t="shared" si="47"/>
        <v>46488.287319650008</v>
      </c>
      <c r="AE77" s="494" t="s">
        <v>218</v>
      </c>
      <c r="AF77" s="494" t="s">
        <v>83</v>
      </c>
      <c r="AG77" s="494" t="s">
        <v>211</v>
      </c>
      <c r="AH77" s="494" t="s">
        <v>545</v>
      </c>
      <c r="AI77" s="495">
        <v>41852</v>
      </c>
      <c r="AJ77" s="495">
        <v>41912</v>
      </c>
      <c r="AK77" s="494" t="s">
        <v>96</v>
      </c>
      <c r="AL77" s="494" t="s">
        <v>96</v>
      </c>
      <c r="AM77" s="496" t="s">
        <v>2238</v>
      </c>
      <c r="AN77" s="496" t="s">
        <v>1757</v>
      </c>
      <c r="AO77" s="494">
        <v>796</v>
      </c>
      <c r="AP77" s="494" t="s">
        <v>368</v>
      </c>
      <c r="AQ77" s="494">
        <v>1</v>
      </c>
      <c r="AR77" s="494">
        <v>46</v>
      </c>
      <c r="AS77" s="496" t="s">
        <v>605</v>
      </c>
      <c r="AT77" s="495">
        <v>41932</v>
      </c>
      <c r="AU77" s="495">
        <v>41932</v>
      </c>
      <c r="AV77" s="495">
        <v>42257</v>
      </c>
      <c r="AW77" s="494" t="s">
        <v>99</v>
      </c>
      <c r="AX77" s="496"/>
      <c r="AY77" s="494" t="s">
        <v>186</v>
      </c>
      <c r="AZ77" s="494"/>
      <c r="BA77" s="494">
        <v>2014</v>
      </c>
      <c r="BB77" s="494" t="s">
        <v>2408</v>
      </c>
      <c r="BC77" s="496" t="s">
        <v>2409</v>
      </c>
      <c r="BD77" s="496" t="s">
        <v>1818</v>
      </c>
      <c r="BE77" s="497">
        <v>42307</v>
      </c>
      <c r="BF77" s="498">
        <v>51813.229411</v>
      </c>
      <c r="BG77" s="488">
        <v>51813.229411</v>
      </c>
      <c r="BH77" s="488">
        <v>0</v>
      </c>
      <c r="BI77" s="488">
        <v>0</v>
      </c>
      <c r="BJ77" s="494" t="s">
        <v>186</v>
      </c>
      <c r="BK77" s="401"/>
    </row>
    <row r="78" spans="1:63" ht="150">
      <c r="A78" s="401">
        <v>1</v>
      </c>
      <c r="B78" s="494" t="s">
        <v>2413</v>
      </c>
      <c r="C78" s="401" t="s">
        <v>83</v>
      </c>
      <c r="D78" s="401" t="s">
        <v>235</v>
      </c>
      <c r="E78" s="494" t="s">
        <v>5853</v>
      </c>
      <c r="F78" s="401" t="s">
        <v>1768</v>
      </c>
      <c r="G78" s="401" t="s">
        <v>1769</v>
      </c>
      <c r="H78" s="499">
        <v>842509</v>
      </c>
      <c r="I78" s="486" t="s">
        <v>5436</v>
      </c>
      <c r="J78" s="496" t="s">
        <v>2237</v>
      </c>
      <c r="K78" s="496" t="s">
        <v>2237</v>
      </c>
      <c r="L78" s="496" t="s">
        <v>2325</v>
      </c>
      <c r="M78" s="500" t="s">
        <v>1755</v>
      </c>
      <c r="N78" s="496" t="s">
        <v>1773</v>
      </c>
      <c r="O78" s="496" t="s">
        <v>2234</v>
      </c>
      <c r="P78" s="489">
        <v>55136.29</v>
      </c>
      <c r="Q78" s="489">
        <f t="shared" si="43"/>
        <v>65060.822199999995</v>
      </c>
      <c r="R78" s="489">
        <v>43892.74</v>
      </c>
      <c r="S78" s="401" t="s">
        <v>1774</v>
      </c>
      <c r="T78" s="501">
        <v>1.087</v>
      </c>
      <c r="U78" s="501">
        <v>1.077</v>
      </c>
      <c r="V78" s="501">
        <v>1.073</v>
      </c>
      <c r="W78" s="501">
        <v>1.071</v>
      </c>
      <c r="X78" s="596">
        <v>0.9</v>
      </c>
      <c r="Y78" s="502">
        <v>53132.161999999997</v>
      </c>
      <c r="Z78" s="489">
        <f t="shared" si="44"/>
        <v>62695.95115999999</v>
      </c>
      <c r="AA78" s="489">
        <v>50697.016086705087</v>
      </c>
      <c r="AB78" s="488">
        <f t="shared" si="45"/>
        <v>59822.478982312001</v>
      </c>
      <c r="AC78" s="492">
        <f t="shared" si="46"/>
        <v>50697.016086705087</v>
      </c>
      <c r="AD78" s="493">
        <f t="shared" si="47"/>
        <v>59822.478982312001</v>
      </c>
      <c r="AE78" s="494" t="s">
        <v>218</v>
      </c>
      <c r="AF78" s="494" t="s">
        <v>83</v>
      </c>
      <c r="AG78" s="494" t="s">
        <v>211</v>
      </c>
      <c r="AH78" s="494" t="s">
        <v>545</v>
      </c>
      <c r="AI78" s="495">
        <v>41852</v>
      </c>
      <c r="AJ78" s="495">
        <v>41912</v>
      </c>
      <c r="AK78" s="494" t="s">
        <v>96</v>
      </c>
      <c r="AL78" s="494" t="s">
        <v>96</v>
      </c>
      <c r="AM78" s="496" t="s">
        <v>2238</v>
      </c>
      <c r="AN78" s="496" t="s">
        <v>1757</v>
      </c>
      <c r="AO78" s="494">
        <v>796</v>
      </c>
      <c r="AP78" s="494" t="s">
        <v>368</v>
      </c>
      <c r="AQ78" s="494">
        <v>1</v>
      </c>
      <c r="AR78" s="494">
        <v>46</v>
      </c>
      <c r="AS78" s="496" t="s">
        <v>605</v>
      </c>
      <c r="AT78" s="495">
        <v>41932</v>
      </c>
      <c r="AU78" s="495">
        <v>41932</v>
      </c>
      <c r="AV78" s="495">
        <v>42369</v>
      </c>
      <c r="AW78" s="494" t="s">
        <v>99</v>
      </c>
      <c r="AX78" s="496"/>
      <c r="AY78" s="494" t="s">
        <v>186</v>
      </c>
      <c r="AZ78" s="494"/>
      <c r="BA78" s="494">
        <v>2014</v>
      </c>
      <c r="BB78" s="494" t="s">
        <v>2414</v>
      </c>
      <c r="BC78" s="496" t="s">
        <v>2415</v>
      </c>
      <c r="BD78" s="496" t="s">
        <v>1818</v>
      </c>
      <c r="BE78" s="497">
        <v>42384</v>
      </c>
      <c r="BF78" s="498">
        <v>70087.137196400014</v>
      </c>
      <c r="BG78" s="488">
        <v>70087.137196400014</v>
      </c>
      <c r="BH78" s="488">
        <v>0</v>
      </c>
      <c r="BI78" s="488">
        <v>0</v>
      </c>
      <c r="BJ78" s="494" t="s">
        <v>186</v>
      </c>
      <c r="BK78" s="401"/>
    </row>
    <row r="79" spans="1:63" ht="112.5">
      <c r="A79" s="401">
        <v>1</v>
      </c>
      <c r="B79" s="494" t="s">
        <v>3370</v>
      </c>
      <c r="C79" s="401" t="s">
        <v>83</v>
      </c>
      <c r="D79" s="401" t="s">
        <v>235</v>
      </c>
      <c r="E79" s="494" t="s">
        <v>5853</v>
      </c>
      <c r="F79" s="401" t="s">
        <v>1768</v>
      </c>
      <c r="G79" s="401" t="s">
        <v>1769</v>
      </c>
      <c r="H79" s="499">
        <v>842515</v>
      </c>
      <c r="I79" s="486" t="s">
        <v>5437</v>
      </c>
      <c r="J79" s="496" t="s">
        <v>2237</v>
      </c>
      <c r="K79" s="496" t="s">
        <v>2237</v>
      </c>
      <c r="L79" s="496" t="s">
        <v>2325</v>
      </c>
      <c r="M79" s="500" t="s">
        <v>1755</v>
      </c>
      <c r="N79" s="496" t="s">
        <v>1773</v>
      </c>
      <c r="O79" s="496" t="s">
        <v>2234</v>
      </c>
      <c r="P79" s="489">
        <v>36015.22</v>
      </c>
      <c r="Q79" s="489">
        <f t="shared" si="43"/>
        <v>42497.959600000002</v>
      </c>
      <c r="R79" s="489">
        <v>28674.54</v>
      </c>
      <c r="S79" s="401" t="s">
        <v>1774</v>
      </c>
      <c r="T79" s="501">
        <v>1.087</v>
      </c>
      <c r="U79" s="501">
        <v>1.077</v>
      </c>
      <c r="V79" s="501">
        <v>1.073</v>
      </c>
      <c r="W79" s="501">
        <v>1.071</v>
      </c>
      <c r="X79" s="596">
        <v>0.9</v>
      </c>
      <c r="Y79" s="502">
        <v>34710.531000000003</v>
      </c>
      <c r="Z79" s="489">
        <f t="shared" si="44"/>
        <v>40958.426579999999</v>
      </c>
      <c r="AA79" s="489">
        <v>33773.32730205523</v>
      </c>
      <c r="AB79" s="488">
        <f t="shared" si="45"/>
        <v>39852.526216425169</v>
      </c>
      <c r="AC79" s="492">
        <f t="shared" si="46"/>
        <v>33773.32730205523</v>
      </c>
      <c r="AD79" s="493">
        <f t="shared" si="47"/>
        <v>39852.526216425169</v>
      </c>
      <c r="AE79" s="494" t="s">
        <v>218</v>
      </c>
      <c r="AF79" s="494" t="s">
        <v>83</v>
      </c>
      <c r="AG79" s="494" t="s">
        <v>211</v>
      </c>
      <c r="AH79" s="494" t="s">
        <v>545</v>
      </c>
      <c r="AI79" s="495">
        <v>41685</v>
      </c>
      <c r="AJ79" s="495">
        <v>41745</v>
      </c>
      <c r="AK79" s="494" t="s">
        <v>96</v>
      </c>
      <c r="AL79" s="494" t="s">
        <v>96</v>
      </c>
      <c r="AM79" s="496" t="s">
        <v>2238</v>
      </c>
      <c r="AN79" s="496" t="s">
        <v>1757</v>
      </c>
      <c r="AO79" s="494">
        <v>796</v>
      </c>
      <c r="AP79" s="494" t="s">
        <v>368</v>
      </c>
      <c r="AQ79" s="494">
        <v>1</v>
      </c>
      <c r="AR79" s="494">
        <v>46</v>
      </c>
      <c r="AS79" s="496" t="s">
        <v>605</v>
      </c>
      <c r="AT79" s="495">
        <v>41765</v>
      </c>
      <c r="AU79" s="495">
        <v>41765</v>
      </c>
      <c r="AV79" s="495">
        <v>42277</v>
      </c>
      <c r="AW79" s="494" t="s">
        <v>99</v>
      </c>
      <c r="AX79" s="496"/>
      <c r="AY79" s="494" t="s">
        <v>186</v>
      </c>
      <c r="AZ79" s="494"/>
      <c r="BA79" s="494">
        <v>2014</v>
      </c>
      <c r="BB79" s="494" t="s">
        <v>2417</v>
      </c>
      <c r="BC79" s="496" t="s">
        <v>2418</v>
      </c>
      <c r="BD79" s="496" t="s">
        <v>1818</v>
      </c>
      <c r="BE79" s="497">
        <v>42277</v>
      </c>
      <c r="BF79" s="498">
        <v>63185.421060000001</v>
      </c>
      <c r="BG79" s="488">
        <v>63185.421060000001</v>
      </c>
      <c r="BH79" s="488">
        <v>0</v>
      </c>
      <c r="BI79" s="488">
        <v>0</v>
      </c>
      <c r="BJ79" s="494" t="s">
        <v>186</v>
      </c>
      <c r="BK79" s="401"/>
    </row>
    <row r="80" spans="1:63" ht="112.5">
      <c r="A80" s="401">
        <v>1</v>
      </c>
      <c r="B80" s="494" t="s">
        <v>2416</v>
      </c>
      <c r="C80" s="401" t="s">
        <v>83</v>
      </c>
      <c r="D80" s="401" t="s">
        <v>235</v>
      </c>
      <c r="E80" s="494" t="s">
        <v>5853</v>
      </c>
      <c r="F80" s="401" t="s">
        <v>1768</v>
      </c>
      <c r="G80" s="401" t="s">
        <v>1769</v>
      </c>
      <c r="H80" s="499">
        <v>842516</v>
      </c>
      <c r="I80" s="486" t="s">
        <v>5438</v>
      </c>
      <c r="J80" s="496" t="s">
        <v>2237</v>
      </c>
      <c r="K80" s="496" t="s">
        <v>2237</v>
      </c>
      <c r="L80" s="496" t="s">
        <v>2325</v>
      </c>
      <c r="M80" s="500" t="s">
        <v>1755</v>
      </c>
      <c r="N80" s="496" t="s">
        <v>1773</v>
      </c>
      <c r="O80" s="496" t="s">
        <v>2234</v>
      </c>
      <c r="P80" s="489">
        <v>44816.480000000003</v>
      </c>
      <c r="Q80" s="489">
        <f t="shared" si="43"/>
        <v>52883.446400000001</v>
      </c>
      <c r="R80" s="489">
        <v>33320.803</v>
      </c>
      <c r="S80" s="401" t="s">
        <v>1774</v>
      </c>
      <c r="T80" s="501">
        <v>1.087</v>
      </c>
      <c r="U80" s="501">
        <v>1.077</v>
      </c>
      <c r="V80" s="501">
        <v>1.073</v>
      </c>
      <c r="W80" s="501">
        <v>1.071</v>
      </c>
      <c r="X80" s="596">
        <v>0.9</v>
      </c>
      <c r="Y80" s="502">
        <v>40334.832000000002</v>
      </c>
      <c r="Z80" s="489">
        <f t="shared" si="44"/>
        <v>47595.101759999998</v>
      </c>
      <c r="AA80" s="489">
        <v>47098.050828329877</v>
      </c>
      <c r="AB80" s="488">
        <f t="shared" si="45"/>
        <v>55575.699977429249</v>
      </c>
      <c r="AC80" s="492">
        <f t="shared" si="46"/>
        <v>40334.832000000002</v>
      </c>
      <c r="AD80" s="493">
        <f t="shared" si="47"/>
        <v>47595.101759999998</v>
      </c>
      <c r="AE80" s="494" t="s">
        <v>218</v>
      </c>
      <c r="AF80" s="494" t="s">
        <v>83</v>
      </c>
      <c r="AG80" s="494" t="s">
        <v>211</v>
      </c>
      <c r="AH80" s="494" t="s">
        <v>545</v>
      </c>
      <c r="AI80" s="495">
        <v>41852</v>
      </c>
      <c r="AJ80" s="495">
        <v>41912</v>
      </c>
      <c r="AK80" s="494" t="s">
        <v>96</v>
      </c>
      <c r="AL80" s="494" t="s">
        <v>96</v>
      </c>
      <c r="AM80" s="496" t="s">
        <v>2238</v>
      </c>
      <c r="AN80" s="496" t="s">
        <v>1757</v>
      </c>
      <c r="AO80" s="494">
        <v>796</v>
      </c>
      <c r="AP80" s="494" t="s">
        <v>368</v>
      </c>
      <c r="AQ80" s="494">
        <v>1</v>
      </c>
      <c r="AR80" s="494">
        <v>46</v>
      </c>
      <c r="AS80" s="496" t="s">
        <v>605</v>
      </c>
      <c r="AT80" s="495">
        <v>41932</v>
      </c>
      <c r="AU80" s="495">
        <v>41932</v>
      </c>
      <c r="AV80" s="495">
        <v>42227</v>
      </c>
      <c r="AW80" s="494" t="s">
        <v>99</v>
      </c>
      <c r="AX80" s="496"/>
      <c r="AY80" s="494" t="s">
        <v>186</v>
      </c>
      <c r="AZ80" s="494"/>
      <c r="BA80" s="494">
        <v>2014</v>
      </c>
      <c r="BB80" s="494" t="s">
        <v>2419</v>
      </c>
      <c r="BC80" s="496" t="s">
        <v>2420</v>
      </c>
      <c r="BD80" s="496" t="s">
        <v>1818</v>
      </c>
      <c r="BE80" s="497">
        <v>42277</v>
      </c>
      <c r="BF80" s="498">
        <v>55674.574739999989</v>
      </c>
      <c r="BG80" s="488">
        <v>55674.574739999989</v>
      </c>
      <c r="BH80" s="488">
        <v>0</v>
      </c>
      <c r="BI80" s="488">
        <v>0</v>
      </c>
      <c r="BJ80" s="494" t="s">
        <v>186</v>
      </c>
      <c r="BK80" s="401"/>
    </row>
    <row r="81" spans="1:63" ht="131.25">
      <c r="A81" s="401">
        <v>1</v>
      </c>
      <c r="B81" s="494" t="s">
        <v>2410</v>
      </c>
      <c r="C81" s="401" t="s">
        <v>83</v>
      </c>
      <c r="D81" s="401" t="s">
        <v>235</v>
      </c>
      <c r="E81" s="494" t="s">
        <v>5853</v>
      </c>
      <c r="F81" s="401" t="s">
        <v>1768</v>
      </c>
      <c r="G81" s="401" t="s">
        <v>1769</v>
      </c>
      <c r="H81" s="499">
        <v>842508</v>
      </c>
      <c r="I81" s="486" t="s">
        <v>5439</v>
      </c>
      <c r="J81" s="496" t="s">
        <v>2237</v>
      </c>
      <c r="K81" s="496" t="s">
        <v>2237</v>
      </c>
      <c r="L81" s="496" t="s">
        <v>2325</v>
      </c>
      <c r="M81" s="500" t="s">
        <v>1755</v>
      </c>
      <c r="N81" s="496" t="s">
        <v>1773</v>
      </c>
      <c r="O81" s="496" t="s">
        <v>2234</v>
      </c>
      <c r="P81" s="489">
        <v>10784.95</v>
      </c>
      <c r="Q81" s="489">
        <f t="shared" si="43"/>
        <v>12726.241</v>
      </c>
      <c r="R81" s="489">
        <v>8585.65</v>
      </c>
      <c r="S81" s="401" t="s">
        <v>1774</v>
      </c>
      <c r="T81" s="501">
        <v>1.087</v>
      </c>
      <c r="U81" s="501">
        <v>1.077</v>
      </c>
      <c r="V81" s="501">
        <v>1.073</v>
      </c>
      <c r="W81" s="501">
        <v>1.071</v>
      </c>
      <c r="X81" s="596">
        <v>0.9</v>
      </c>
      <c r="Y81" s="502">
        <v>10392.929</v>
      </c>
      <c r="Z81" s="489">
        <f t="shared" si="44"/>
        <v>12263.656219999999</v>
      </c>
      <c r="AA81" s="489">
        <v>10201.077350258576</v>
      </c>
      <c r="AB81" s="488">
        <f t="shared" si="45"/>
        <v>12037.271273305119</v>
      </c>
      <c r="AC81" s="492">
        <f t="shared" si="46"/>
        <v>10201.077350258576</v>
      </c>
      <c r="AD81" s="493">
        <f t="shared" si="47"/>
        <v>12037.271273305119</v>
      </c>
      <c r="AE81" s="494" t="s">
        <v>218</v>
      </c>
      <c r="AF81" s="494" t="s">
        <v>83</v>
      </c>
      <c r="AG81" s="494" t="s">
        <v>211</v>
      </c>
      <c r="AH81" s="494" t="s">
        <v>545</v>
      </c>
      <c r="AI81" s="495">
        <v>41852</v>
      </c>
      <c r="AJ81" s="495">
        <v>41912</v>
      </c>
      <c r="AK81" s="494" t="s">
        <v>96</v>
      </c>
      <c r="AL81" s="494" t="s">
        <v>96</v>
      </c>
      <c r="AM81" s="496" t="s">
        <v>2238</v>
      </c>
      <c r="AN81" s="496" t="s">
        <v>1757</v>
      </c>
      <c r="AO81" s="494">
        <v>796</v>
      </c>
      <c r="AP81" s="494" t="s">
        <v>368</v>
      </c>
      <c r="AQ81" s="494">
        <v>1</v>
      </c>
      <c r="AR81" s="494">
        <v>46</v>
      </c>
      <c r="AS81" s="496" t="s">
        <v>605</v>
      </c>
      <c r="AT81" s="495">
        <v>41932</v>
      </c>
      <c r="AU81" s="495">
        <v>41932</v>
      </c>
      <c r="AV81" s="495">
        <v>42227</v>
      </c>
      <c r="AW81" s="494" t="s">
        <v>99</v>
      </c>
      <c r="AX81" s="496"/>
      <c r="AY81" s="494" t="s">
        <v>186</v>
      </c>
      <c r="AZ81" s="494"/>
      <c r="BA81" s="494">
        <v>2014</v>
      </c>
      <c r="BB81" s="494" t="s">
        <v>2411</v>
      </c>
      <c r="BC81" s="496" t="s">
        <v>2412</v>
      </c>
      <c r="BD81" s="496" t="s">
        <v>1818</v>
      </c>
      <c r="BE81" s="497">
        <v>42277</v>
      </c>
      <c r="BF81" s="498">
        <v>13062.282508746152</v>
      </c>
      <c r="BG81" s="488">
        <v>13062.282508746152</v>
      </c>
      <c r="BH81" s="488">
        <v>0</v>
      </c>
      <c r="BI81" s="488">
        <v>0</v>
      </c>
      <c r="BJ81" s="494" t="s">
        <v>186</v>
      </c>
      <c r="BK81" s="401"/>
    </row>
    <row r="82" spans="1:63" ht="168.75">
      <c r="A82" s="401">
        <v>1</v>
      </c>
      <c r="B82" s="494" t="s">
        <v>2404</v>
      </c>
      <c r="C82" s="401" t="s">
        <v>83</v>
      </c>
      <c r="D82" s="401" t="s">
        <v>235</v>
      </c>
      <c r="E82" s="494" t="s">
        <v>5853</v>
      </c>
      <c r="F82" s="401" t="s">
        <v>1768</v>
      </c>
      <c r="G82" s="401" t="s">
        <v>1769</v>
      </c>
      <c r="H82" s="499">
        <v>842506</v>
      </c>
      <c r="I82" s="486" t="s">
        <v>5440</v>
      </c>
      <c r="J82" s="496" t="s">
        <v>2237</v>
      </c>
      <c r="K82" s="496" t="s">
        <v>2237</v>
      </c>
      <c r="L82" s="496" t="s">
        <v>2325</v>
      </c>
      <c r="M82" s="500" t="s">
        <v>1755</v>
      </c>
      <c r="N82" s="496" t="s">
        <v>1773</v>
      </c>
      <c r="O82" s="496" t="s">
        <v>2234</v>
      </c>
      <c r="P82" s="489">
        <v>62564.51</v>
      </c>
      <c r="Q82" s="489">
        <f t="shared" si="43"/>
        <v>73826.121799999994</v>
      </c>
      <c r="R82" s="489">
        <v>49806.17</v>
      </c>
      <c r="S82" s="401" t="s">
        <v>1774</v>
      </c>
      <c r="T82" s="501">
        <v>1.087</v>
      </c>
      <c r="U82" s="501">
        <v>1.077</v>
      </c>
      <c r="V82" s="501">
        <v>1.073</v>
      </c>
      <c r="W82" s="501">
        <v>1.071</v>
      </c>
      <c r="X82" s="596">
        <v>0.9</v>
      </c>
      <c r="Y82" s="502">
        <v>60290.368999999999</v>
      </c>
      <c r="Z82" s="489">
        <f t="shared" si="44"/>
        <v>71142.635419999991</v>
      </c>
      <c r="AA82" s="489">
        <v>59054.986320575816</v>
      </c>
      <c r="AB82" s="488">
        <f t="shared" si="45"/>
        <v>69684.883858279456</v>
      </c>
      <c r="AC82" s="492">
        <f t="shared" si="46"/>
        <v>59054.986320575816</v>
      </c>
      <c r="AD82" s="493">
        <f t="shared" si="47"/>
        <v>69684.883858279456</v>
      </c>
      <c r="AE82" s="494" t="s">
        <v>218</v>
      </c>
      <c r="AF82" s="494" t="s">
        <v>83</v>
      </c>
      <c r="AG82" s="494" t="s">
        <v>211</v>
      </c>
      <c r="AH82" s="494" t="s">
        <v>545</v>
      </c>
      <c r="AI82" s="495">
        <v>41852</v>
      </c>
      <c r="AJ82" s="495">
        <v>41912</v>
      </c>
      <c r="AK82" s="494" t="s">
        <v>96</v>
      </c>
      <c r="AL82" s="494" t="s">
        <v>96</v>
      </c>
      <c r="AM82" s="496" t="s">
        <v>2238</v>
      </c>
      <c r="AN82" s="496" t="s">
        <v>1757</v>
      </c>
      <c r="AO82" s="494">
        <v>796</v>
      </c>
      <c r="AP82" s="494" t="s">
        <v>368</v>
      </c>
      <c r="AQ82" s="494">
        <v>1</v>
      </c>
      <c r="AR82" s="494">
        <v>46</v>
      </c>
      <c r="AS82" s="496" t="s">
        <v>605</v>
      </c>
      <c r="AT82" s="495">
        <v>41932</v>
      </c>
      <c r="AU82" s="495">
        <v>41932</v>
      </c>
      <c r="AV82" s="495">
        <v>42288</v>
      </c>
      <c r="AW82" s="494" t="s">
        <v>99</v>
      </c>
      <c r="AX82" s="496"/>
      <c r="AY82" s="494" t="s">
        <v>186</v>
      </c>
      <c r="AZ82" s="494"/>
      <c r="BA82" s="494">
        <v>2014</v>
      </c>
      <c r="BB82" s="494" t="s">
        <v>2405</v>
      </c>
      <c r="BC82" s="496" t="s">
        <v>2406</v>
      </c>
      <c r="BD82" s="496" t="s">
        <v>1818</v>
      </c>
      <c r="BE82" s="497">
        <v>42338</v>
      </c>
      <c r="BF82" s="498">
        <v>82478.589800000002</v>
      </c>
      <c r="BG82" s="488">
        <v>77454.509074599991</v>
      </c>
      <c r="BH82" s="488">
        <v>0</v>
      </c>
      <c r="BI82" s="488">
        <v>0</v>
      </c>
      <c r="BJ82" s="494" t="s">
        <v>186</v>
      </c>
      <c r="BK82" s="401"/>
    </row>
    <row r="83" spans="1:63" ht="168.75">
      <c r="A83" s="401">
        <v>1</v>
      </c>
      <c r="B83" s="494" t="s">
        <v>2401</v>
      </c>
      <c r="C83" s="401" t="s">
        <v>83</v>
      </c>
      <c r="D83" s="401" t="s">
        <v>235</v>
      </c>
      <c r="E83" s="494" t="s">
        <v>5853</v>
      </c>
      <c r="F83" s="401" t="s">
        <v>1768</v>
      </c>
      <c r="G83" s="401" t="s">
        <v>1769</v>
      </c>
      <c r="H83" s="499">
        <v>842504</v>
      </c>
      <c r="I83" s="486" t="s">
        <v>5441</v>
      </c>
      <c r="J83" s="496" t="s">
        <v>2237</v>
      </c>
      <c r="K83" s="496" t="s">
        <v>2237</v>
      </c>
      <c r="L83" s="496" t="s">
        <v>2325</v>
      </c>
      <c r="M83" s="500" t="s">
        <v>1755</v>
      </c>
      <c r="N83" s="496" t="s">
        <v>1773</v>
      </c>
      <c r="O83" s="496" t="s">
        <v>2234</v>
      </c>
      <c r="P83" s="489">
        <v>26903.61</v>
      </c>
      <c r="Q83" s="489">
        <f t="shared" si="43"/>
        <v>31746.2598</v>
      </c>
      <c r="R83" s="489">
        <v>22980.82</v>
      </c>
      <c r="S83" s="401" t="s">
        <v>1774</v>
      </c>
      <c r="T83" s="501">
        <v>1.087</v>
      </c>
      <c r="U83" s="501">
        <v>1.077</v>
      </c>
      <c r="V83" s="501">
        <v>1.073</v>
      </c>
      <c r="W83" s="501">
        <v>1.071</v>
      </c>
      <c r="X83" s="596">
        <v>0.9</v>
      </c>
      <c r="Y83" s="502">
        <v>25977.519</v>
      </c>
      <c r="Z83" s="489">
        <f t="shared" si="44"/>
        <v>30653.472419999998</v>
      </c>
      <c r="AA83" s="489">
        <v>26484.024233972672</v>
      </c>
      <c r="AB83" s="488">
        <f t="shared" si="45"/>
        <v>31251.148596087751</v>
      </c>
      <c r="AC83" s="492">
        <f t="shared" si="46"/>
        <v>25977.519</v>
      </c>
      <c r="AD83" s="493">
        <f t="shared" si="47"/>
        <v>30653.472419999998</v>
      </c>
      <c r="AE83" s="494" t="s">
        <v>218</v>
      </c>
      <c r="AF83" s="494" t="s">
        <v>83</v>
      </c>
      <c r="AG83" s="494" t="s">
        <v>211</v>
      </c>
      <c r="AH83" s="494" t="s">
        <v>545</v>
      </c>
      <c r="AI83" s="495">
        <v>41852</v>
      </c>
      <c r="AJ83" s="495">
        <v>41912</v>
      </c>
      <c r="AK83" s="494" t="s">
        <v>96</v>
      </c>
      <c r="AL83" s="494" t="s">
        <v>96</v>
      </c>
      <c r="AM83" s="496" t="s">
        <v>2238</v>
      </c>
      <c r="AN83" s="496" t="s">
        <v>1757</v>
      </c>
      <c r="AO83" s="494">
        <v>796</v>
      </c>
      <c r="AP83" s="494" t="s">
        <v>368</v>
      </c>
      <c r="AQ83" s="494">
        <v>1</v>
      </c>
      <c r="AR83" s="494">
        <v>46</v>
      </c>
      <c r="AS83" s="496" t="s">
        <v>605</v>
      </c>
      <c r="AT83" s="495">
        <v>41932</v>
      </c>
      <c r="AU83" s="495">
        <v>41932</v>
      </c>
      <c r="AV83" s="495">
        <v>42409</v>
      </c>
      <c r="AW83" s="494" t="s">
        <v>1789</v>
      </c>
      <c r="AX83" s="496"/>
      <c r="AY83" s="494" t="s">
        <v>186</v>
      </c>
      <c r="AZ83" s="494"/>
      <c r="BA83" s="494">
        <v>2014</v>
      </c>
      <c r="BB83" s="494" t="s">
        <v>2402</v>
      </c>
      <c r="BC83" s="496" t="s">
        <v>2403</v>
      </c>
      <c r="BD83" s="496" t="s">
        <v>1818</v>
      </c>
      <c r="BE83" s="497">
        <v>42459</v>
      </c>
      <c r="BF83" s="498">
        <v>35505.845999999998</v>
      </c>
      <c r="BG83" s="488">
        <v>33554.477698999995</v>
      </c>
      <c r="BH83" s="488">
        <v>0</v>
      </c>
      <c r="BI83" s="488">
        <v>0</v>
      </c>
      <c r="BJ83" s="494" t="s">
        <v>186</v>
      </c>
      <c r="BK83" s="401"/>
    </row>
    <row r="84" spans="1:63" ht="112.5">
      <c r="A84" s="401">
        <v>1</v>
      </c>
      <c r="B84" s="494" t="s">
        <v>2591</v>
      </c>
      <c r="C84" s="401" t="s">
        <v>83</v>
      </c>
      <c r="D84" s="401" t="s">
        <v>231</v>
      </c>
      <c r="E84" s="494" t="s">
        <v>5853</v>
      </c>
      <c r="F84" s="401" t="s">
        <v>1768</v>
      </c>
      <c r="G84" s="401" t="s">
        <v>1769</v>
      </c>
      <c r="H84" s="499">
        <v>834024</v>
      </c>
      <c r="I84" s="486" t="s">
        <v>2592</v>
      </c>
      <c r="J84" s="496" t="s">
        <v>5442</v>
      </c>
      <c r="K84" s="496" t="s">
        <v>5442</v>
      </c>
      <c r="L84" s="496" t="s">
        <v>1825</v>
      </c>
      <c r="M84" s="500" t="s">
        <v>1755</v>
      </c>
      <c r="N84" s="496" t="s">
        <v>1773</v>
      </c>
      <c r="O84" s="496" t="s">
        <v>2234</v>
      </c>
      <c r="P84" s="489">
        <v>80212.55</v>
      </c>
      <c r="Q84" s="489">
        <f t="shared" si="43"/>
        <v>94650.808999999994</v>
      </c>
      <c r="R84" s="489">
        <v>11243.464</v>
      </c>
      <c r="S84" s="401" t="s">
        <v>1774</v>
      </c>
      <c r="T84" s="501">
        <v>1.087</v>
      </c>
      <c r="U84" s="501">
        <v>1.077</v>
      </c>
      <c r="V84" s="501">
        <v>1.073</v>
      </c>
      <c r="W84" s="501">
        <v>1.071</v>
      </c>
      <c r="X84" s="596">
        <v>0.9</v>
      </c>
      <c r="Y84" s="502">
        <v>77235.305999999997</v>
      </c>
      <c r="Z84" s="489">
        <f t="shared" si="44"/>
        <v>91137.661079999991</v>
      </c>
      <c r="AA84" s="489">
        <v>74002.810933916568</v>
      </c>
      <c r="AB84" s="488">
        <f t="shared" si="45"/>
        <v>87323.316902021543</v>
      </c>
      <c r="AC84" s="492">
        <f t="shared" si="46"/>
        <v>74002.810933916568</v>
      </c>
      <c r="AD84" s="493">
        <f t="shared" si="47"/>
        <v>87323.316902021543</v>
      </c>
      <c r="AE84" s="494" t="s">
        <v>1775</v>
      </c>
      <c r="AF84" s="494" t="s">
        <v>83</v>
      </c>
      <c r="AG84" s="494" t="s">
        <v>211</v>
      </c>
      <c r="AH84" s="494" t="s">
        <v>545</v>
      </c>
      <c r="AI84" s="495">
        <v>41805</v>
      </c>
      <c r="AJ84" s="495">
        <v>41840</v>
      </c>
      <c r="AK84" s="494" t="s">
        <v>96</v>
      </c>
      <c r="AL84" s="494" t="s">
        <v>96</v>
      </c>
      <c r="AM84" s="496" t="s">
        <v>2326</v>
      </c>
      <c r="AN84" s="496" t="s">
        <v>1757</v>
      </c>
      <c r="AO84" s="494">
        <v>796</v>
      </c>
      <c r="AP84" s="494" t="s">
        <v>368</v>
      </c>
      <c r="AQ84" s="494">
        <v>1</v>
      </c>
      <c r="AR84" s="494">
        <v>46</v>
      </c>
      <c r="AS84" s="496" t="s">
        <v>605</v>
      </c>
      <c r="AT84" s="495">
        <v>41860</v>
      </c>
      <c r="AU84" s="495">
        <v>41860</v>
      </c>
      <c r="AV84" s="495">
        <v>42369</v>
      </c>
      <c r="AW84" s="494" t="s">
        <v>99</v>
      </c>
      <c r="AX84" s="496"/>
      <c r="AY84" s="494" t="s">
        <v>186</v>
      </c>
      <c r="AZ84" s="494"/>
      <c r="BA84" s="494">
        <v>2014</v>
      </c>
      <c r="BB84" s="494" t="s">
        <v>2593</v>
      </c>
      <c r="BC84" s="496" t="s">
        <v>2594</v>
      </c>
      <c r="BD84" s="496" t="s">
        <v>1818</v>
      </c>
      <c r="BE84" s="497">
        <v>42369</v>
      </c>
      <c r="BF84" s="498">
        <v>98524.217624996003</v>
      </c>
      <c r="BG84" s="488">
        <v>98524.217624996003</v>
      </c>
      <c r="BH84" s="488">
        <v>0</v>
      </c>
      <c r="BI84" s="488">
        <v>10.199999999999999</v>
      </c>
      <c r="BJ84" s="494" t="s">
        <v>1465</v>
      </c>
      <c r="BK84" s="401"/>
    </row>
    <row r="85" spans="1:63" s="613" customFormat="1" ht="131.25">
      <c r="A85" s="555">
        <v>1</v>
      </c>
      <c r="B85" s="562" t="s">
        <v>2595</v>
      </c>
      <c r="C85" s="555" t="s">
        <v>83</v>
      </c>
      <c r="D85" s="555" t="s">
        <v>231</v>
      </c>
      <c r="E85" s="562" t="s">
        <v>5853</v>
      </c>
      <c r="F85" s="555" t="s">
        <v>1768</v>
      </c>
      <c r="G85" s="555" t="s">
        <v>1769</v>
      </c>
      <c r="H85" s="556">
        <v>834025</v>
      </c>
      <c r="I85" s="486" t="s">
        <v>2596</v>
      </c>
      <c r="J85" s="486" t="s">
        <v>5442</v>
      </c>
      <c r="K85" s="486" t="s">
        <v>5442</v>
      </c>
      <c r="L85" s="486" t="s">
        <v>1825</v>
      </c>
      <c r="M85" s="576" t="s">
        <v>1755</v>
      </c>
      <c r="N85" s="486" t="s">
        <v>1773</v>
      </c>
      <c r="O85" s="486" t="s">
        <v>2234</v>
      </c>
      <c r="P85" s="492">
        <v>122329.43</v>
      </c>
      <c r="Q85" s="492">
        <f t="shared" si="43"/>
        <v>144348.72739999997</v>
      </c>
      <c r="R85" s="492">
        <v>91859.611000000004</v>
      </c>
      <c r="S85" s="555" t="s">
        <v>1774</v>
      </c>
      <c r="T85" s="630">
        <v>1.087</v>
      </c>
      <c r="U85" s="630">
        <v>1.077</v>
      </c>
      <c r="V85" s="630">
        <v>1.073</v>
      </c>
      <c r="W85" s="630">
        <v>1.071</v>
      </c>
      <c r="X85" s="560">
        <v>0.9</v>
      </c>
      <c r="Y85" s="514">
        <v>111196.06</v>
      </c>
      <c r="Z85" s="492">
        <f t="shared" si="44"/>
        <v>131211.35079999999</v>
      </c>
      <c r="AA85" s="492">
        <v>103953.848812</v>
      </c>
      <c r="AB85" s="493">
        <f t="shared" si="45"/>
        <v>122665.54159815999</v>
      </c>
      <c r="AC85" s="492">
        <f t="shared" si="46"/>
        <v>103953.848812</v>
      </c>
      <c r="AD85" s="493">
        <f t="shared" si="47"/>
        <v>122665.54159815999</v>
      </c>
      <c r="AE85" s="562" t="s">
        <v>1775</v>
      </c>
      <c r="AF85" s="562" t="s">
        <v>83</v>
      </c>
      <c r="AG85" s="562" t="s">
        <v>211</v>
      </c>
      <c r="AH85" s="562" t="s">
        <v>545</v>
      </c>
      <c r="AI85" s="561">
        <v>41805</v>
      </c>
      <c r="AJ85" s="561">
        <v>41840</v>
      </c>
      <c r="AK85" s="562" t="s">
        <v>96</v>
      </c>
      <c r="AL85" s="562" t="s">
        <v>96</v>
      </c>
      <c r="AM85" s="486" t="s">
        <v>2326</v>
      </c>
      <c r="AN85" s="486" t="s">
        <v>1757</v>
      </c>
      <c r="AO85" s="562">
        <v>796</v>
      </c>
      <c r="AP85" s="562" t="s">
        <v>368</v>
      </c>
      <c r="AQ85" s="562">
        <v>1</v>
      </c>
      <c r="AR85" s="562">
        <v>46</v>
      </c>
      <c r="AS85" s="486" t="s">
        <v>605</v>
      </c>
      <c r="AT85" s="561">
        <v>41860</v>
      </c>
      <c r="AU85" s="561">
        <v>41860</v>
      </c>
      <c r="AV85" s="561">
        <v>42369</v>
      </c>
      <c r="AW85" s="562" t="s">
        <v>99</v>
      </c>
      <c r="AX85" s="486"/>
      <c r="AY85" s="562" t="s">
        <v>186</v>
      </c>
      <c r="AZ85" s="562"/>
      <c r="BA85" s="562">
        <v>2014</v>
      </c>
      <c r="BB85" s="562" t="s">
        <v>2597</v>
      </c>
      <c r="BC85" s="486" t="s">
        <v>2598</v>
      </c>
      <c r="BD85" s="486" t="s">
        <v>1818</v>
      </c>
      <c r="BE85" s="575">
        <v>42369</v>
      </c>
      <c r="BF85" s="580">
        <v>139564.610293184</v>
      </c>
      <c r="BG85" s="493">
        <v>139564.610293184</v>
      </c>
      <c r="BH85" s="493">
        <v>0</v>
      </c>
      <c r="BI85" s="493">
        <v>17</v>
      </c>
      <c r="BJ85" s="562" t="s">
        <v>1465</v>
      </c>
      <c r="BK85" s="555"/>
    </row>
    <row r="86" spans="1:63" ht="112.5">
      <c r="A86" s="401">
        <v>1</v>
      </c>
      <c r="B86" s="494" t="s">
        <v>5443</v>
      </c>
      <c r="C86" s="401" t="s">
        <v>83</v>
      </c>
      <c r="D86" s="401" t="s">
        <v>231</v>
      </c>
      <c r="E86" s="494" t="s">
        <v>5853</v>
      </c>
      <c r="F86" s="401" t="s">
        <v>1768</v>
      </c>
      <c r="G86" s="401" t="s">
        <v>1769</v>
      </c>
      <c r="H86" s="499">
        <v>834967</v>
      </c>
      <c r="I86" s="486" t="s">
        <v>5444</v>
      </c>
      <c r="J86" s="496" t="s">
        <v>5442</v>
      </c>
      <c r="K86" s="496" t="s">
        <v>5442</v>
      </c>
      <c r="L86" s="496" t="s">
        <v>1825</v>
      </c>
      <c r="M86" s="500" t="s">
        <v>1755</v>
      </c>
      <c r="N86" s="496" t="s">
        <v>1773</v>
      </c>
      <c r="O86" s="496" t="s">
        <v>2234</v>
      </c>
      <c r="P86" s="489">
        <v>55791.41</v>
      </c>
      <c r="Q86" s="489">
        <f t="shared" si="43"/>
        <v>65833.863800000006</v>
      </c>
      <c r="R86" s="489">
        <v>49132.822</v>
      </c>
      <c r="S86" s="401" t="s">
        <v>1774</v>
      </c>
      <c r="T86" s="501">
        <v>1.087</v>
      </c>
      <c r="U86" s="501">
        <v>1.077</v>
      </c>
      <c r="V86" s="501">
        <v>1.073</v>
      </c>
      <c r="W86" s="501">
        <v>1.071</v>
      </c>
      <c r="X86" s="596">
        <v>0.9</v>
      </c>
      <c r="Y86" s="502">
        <v>54345.813999999998</v>
      </c>
      <c r="Z86" s="489">
        <f t="shared" si="44"/>
        <v>64128.060519999992</v>
      </c>
      <c r="AA86" s="489">
        <v>57359.253168020965</v>
      </c>
      <c r="AB86" s="488">
        <f t="shared" si="45"/>
        <v>67683.918738264736</v>
      </c>
      <c r="AC86" s="492">
        <f t="shared" si="46"/>
        <v>54345.813999999998</v>
      </c>
      <c r="AD86" s="493">
        <f t="shared" si="47"/>
        <v>64128.060519999992</v>
      </c>
      <c r="AE86" s="494" t="s">
        <v>218</v>
      </c>
      <c r="AF86" s="494" t="s">
        <v>83</v>
      </c>
      <c r="AG86" s="494" t="s">
        <v>211</v>
      </c>
      <c r="AH86" s="494" t="s">
        <v>545</v>
      </c>
      <c r="AI86" s="495">
        <v>41744</v>
      </c>
      <c r="AJ86" s="495">
        <v>41804</v>
      </c>
      <c r="AK86" s="494" t="s">
        <v>96</v>
      </c>
      <c r="AL86" s="494" t="s">
        <v>96</v>
      </c>
      <c r="AM86" s="496" t="s">
        <v>2326</v>
      </c>
      <c r="AN86" s="496" t="s">
        <v>1757</v>
      </c>
      <c r="AO86" s="494">
        <v>796</v>
      </c>
      <c r="AP86" s="494" t="s">
        <v>368</v>
      </c>
      <c r="AQ86" s="494">
        <v>1</v>
      </c>
      <c r="AR86" s="494">
        <v>46</v>
      </c>
      <c r="AS86" s="496" t="s">
        <v>605</v>
      </c>
      <c r="AT86" s="495">
        <v>41824</v>
      </c>
      <c r="AU86" s="495">
        <v>41824</v>
      </c>
      <c r="AV86" s="495">
        <v>42216</v>
      </c>
      <c r="AW86" s="494" t="s">
        <v>99</v>
      </c>
      <c r="AX86" s="496"/>
      <c r="AY86" s="494" t="s">
        <v>186</v>
      </c>
      <c r="AZ86" s="494"/>
      <c r="BA86" s="494">
        <v>2014</v>
      </c>
      <c r="BB86" s="494" t="s">
        <v>5568</v>
      </c>
      <c r="BC86" s="496" t="s">
        <v>5569</v>
      </c>
      <c r="BD86" s="496" t="s">
        <v>1818</v>
      </c>
      <c r="BE86" s="497">
        <v>42216</v>
      </c>
      <c r="BF86" s="498">
        <v>84912.179638600006</v>
      </c>
      <c r="BG86" s="488">
        <v>84912.179638600006</v>
      </c>
      <c r="BH86" s="488">
        <v>0</v>
      </c>
      <c r="BI86" s="488">
        <v>11</v>
      </c>
      <c r="BJ86" s="494" t="s">
        <v>1465</v>
      </c>
      <c r="BK86" s="401"/>
    </row>
    <row r="87" spans="1:63" ht="131.25">
      <c r="A87" s="401">
        <v>1</v>
      </c>
      <c r="B87" s="494" t="s">
        <v>5445</v>
      </c>
      <c r="C87" s="401" t="s">
        <v>83</v>
      </c>
      <c r="D87" s="401" t="s">
        <v>231</v>
      </c>
      <c r="E87" s="494" t="s">
        <v>5853</v>
      </c>
      <c r="F87" s="401" t="s">
        <v>1768</v>
      </c>
      <c r="G87" s="401" t="s">
        <v>1769</v>
      </c>
      <c r="H87" s="499">
        <v>834968</v>
      </c>
      <c r="I87" s="486" t="s">
        <v>5446</v>
      </c>
      <c r="J87" s="496" t="s">
        <v>5442</v>
      </c>
      <c r="K87" s="496" t="s">
        <v>5442</v>
      </c>
      <c r="L87" s="496" t="s">
        <v>1825</v>
      </c>
      <c r="M87" s="500" t="s">
        <v>1755</v>
      </c>
      <c r="N87" s="496" t="s">
        <v>1773</v>
      </c>
      <c r="O87" s="496" t="s">
        <v>2234</v>
      </c>
      <c r="P87" s="489">
        <v>112147.804</v>
      </c>
      <c r="Q87" s="489">
        <f t="shared" si="43"/>
        <v>132334.40872000001</v>
      </c>
      <c r="R87" s="489">
        <v>87543.67</v>
      </c>
      <c r="S87" s="401" t="s">
        <v>1774</v>
      </c>
      <c r="T87" s="501">
        <v>1.087</v>
      </c>
      <c r="U87" s="501">
        <v>1.077</v>
      </c>
      <c r="V87" s="501">
        <v>1.073</v>
      </c>
      <c r="W87" s="501">
        <v>1.071</v>
      </c>
      <c r="X87" s="596">
        <v>0.9</v>
      </c>
      <c r="Y87" s="502">
        <v>102504.88273464001</v>
      </c>
      <c r="Z87" s="489">
        <f t="shared" si="44"/>
        <v>120955.7616268752</v>
      </c>
      <c r="AA87" s="489">
        <v>116449.78936081176</v>
      </c>
      <c r="AB87" s="488">
        <f t="shared" si="45"/>
        <v>137410.75144575787</v>
      </c>
      <c r="AC87" s="492">
        <f t="shared" si="46"/>
        <v>102504.88273464001</v>
      </c>
      <c r="AD87" s="493">
        <f t="shared" si="47"/>
        <v>120955.7616268752</v>
      </c>
      <c r="AE87" s="494" t="s">
        <v>218</v>
      </c>
      <c r="AF87" s="494" t="s">
        <v>83</v>
      </c>
      <c r="AG87" s="494" t="s">
        <v>211</v>
      </c>
      <c r="AH87" s="494" t="s">
        <v>545</v>
      </c>
      <c r="AI87" s="495">
        <v>41744</v>
      </c>
      <c r="AJ87" s="495">
        <v>41804</v>
      </c>
      <c r="AK87" s="494" t="s">
        <v>96</v>
      </c>
      <c r="AL87" s="494" t="s">
        <v>96</v>
      </c>
      <c r="AM87" s="496" t="s">
        <v>2326</v>
      </c>
      <c r="AN87" s="496" t="s">
        <v>1757</v>
      </c>
      <c r="AO87" s="494">
        <v>796</v>
      </c>
      <c r="AP87" s="494" t="s">
        <v>368</v>
      </c>
      <c r="AQ87" s="494">
        <v>1</v>
      </c>
      <c r="AR87" s="494">
        <v>46</v>
      </c>
      <c r="AS87" s="496" t="s">
        <v>605</v>
      </c>
      <c r="AT87" s="495">
        <v>41824</v>
      </c>
      <c r="AU87" s="495">
        <v>41824</v>
      </c>
      <c r="AV87" s="495">
        <v>42216</v>
      </c>
      <c r="AW87" s="494" t="s">
        <v>99</v>
      </c>
      <c r="AX87" s="496"/>
      <c r="AY87" s="494" t="s">
        <v>186</v>
      </c>
      <c r="AZ87" s="494"/>
      <c r="BA87" s="494">
        <v>2014</v>
      </c>
      <c r="BB87" s="494" t="s">
        <v>5570</v>
      </c>
      <c r="BC87" s="496" t="s">
        <v>5571</v>
      </c>
      <c r="BD87" s="496" t="s">
        <v>1818</v>
      </c>
      <c r="BE87" s="497">
        <v>42216</v>
      </c>
      <c r="BF87" s="580">
        <v>150567.82772</v>
      </c>
      <c r="BG87" s="493">
        <v>132660.84353101798</v>
      </c>
      <c r="BH87" s="488">
        <v>0</v>
      </c>
      <c r="BI87" s="488">
        <v>14.8</v>
      </c>
      <c r="BJ87" s="494" t="s">
        <v>1465</v>
      </c>
      <c r="BK87" s="401"/>
    </row>
    <row r="88" spans="1:63" ht="112.5">
      <c r="A88" s="401">
        <v>1</v>
      </c>
      <c r="B88" s="494" t="s">
        <v>5447</v>
      </c>
      <c r="C88" s="401" t="s">
        <v>83</v>
      </c>
      <c r="D88" s="401" t="s">
        <v>231</v>
      </c>
      <c r="E88" s="494" t="s">
        <v>5853</v>
      </c>
      <c r="F88" s="401" t="s">
        <v>1768</v>
      </c>
      <c r="G88" s="401" t="s">
        <v>1769</v>
      </c>
      <c r="H88" s="499">
        <v>834968</v>
      </c>
      <c r="I88" s="486" t="s">
        <v>5448</v>
      </c>
      <c r="J88" s="496" t="s">
        <v>5442</v>
      </c>
      <c r="K88" s="496" t="s">
        <v>5442</v>
      </c>
      <c r="L88" s="496" t="s">
        <v>1825</v>
      </c>
      <c r="M88" s="500" t="s">
        <v>1755</v>
      </c>
      <c r="N88" s="496" t="s">
        <v>1773</v>
      </c>
      <c r="O88" s="496" t="s">
        <v>2234</v>
      </c>
      <c r="P88" s="489">
        <v>94536.97</v>
      </c>
      <c r="Q88" s="489">
        <f t="shared" si="43"/>
        <v>111553.6246</v>
      </c>
      <c r="R88" s="489">
        <v>71841.792000000001</v>
      </c>
      <c r="S88" s="401" t="s">
        <v>1774</v>
      </c>
      <c r="T88" s="501">
        <v>1.087</v>
      </c>
      <c r="U88" s="501">
        <v>1.077</v>
      </c>
      <c r="V88" s="501">
        <v>1.073</v>
      </c>
      <c r="W88" s="501">
        <v>1.071</v>
      </c>
      <c r="X88" s="596">
        <v>0.9</v>
      </c>
      <c r="Y88" s="502">
        <v>84119.554135710001</v>
      </c>
      <c r="Z88" s="489">
        <f t="shared" si="44"/>
        <v>99261.073880137803</v>
      </c>
      <c r="AA88" s="489">
        <v>83740.997414449594</v>
      </c>
      <c r="AB88" s="488">
        <f t="shared" si="45"/>
        <v>98814.376949050522</v>
      </c>
      <c r="AC88" s="492">
        <f t="shared" si="46"/>
        <v>83740.997414449594</v>
      </c>
      <c r="AD88" s="493">
        <f t="shared" si="47"/>
        <v>98814.376949050522</v>
      </c>
      <c r="AE88" s="494" t="s">
        <v>218</v>
      </c>
      <c r="AF88" s="494" t="s">
        <v>83</v>
      </c>
      <c r="AG88" s="494" t="s">
        <v>211</v>
      </c>
      <c r="AH88" s="494" t="s">
        <v>545</v>
      </c>
      <c r="AI88" s="495">
        <v>41744</v>
      </c>
      <c r="AJ88" s="495">
        <v>41804</v>
      </c>
      <c r="AK88" s="494" t="s">
        <v>96</v>
      </c>
      <c r="AL88" s="494" t="s">
        <v>96</v>
      </c>
      <c r="AM88" s="496" t="s">
        <v>2326</v>
      </c>
      <c r="AN88" s="496" t="s">
        <v>1757</v>
      </c>
      <c r="AO88" s="494">
        <v>796</v>
      </c>
      <c r="AP88" s="494" t="s">
        <v>368</v>
      </c>
      <c r="AQ88" s="494">
        <v>1</v>
      </c>
      <c r="AR88" s="494">
        <v>46</v>
      </c>
      <c r="AS88" s="496" t="s">
        <v>605</v>
      </c>
      <c r="AT88" s="495">
        <v>41824</v>
      </c>
      <c r="AU88" s="495">
        <v>41824</v>
      </c>
      <c r="AV88" s="495">
        <v>42216</v>
      </c>
      <c r="AW88" s="494" t="s">
        <v>99</v>
      </c>
      <c r="AX88" s="496"/>
      <c r="AY88" s="494" t="s">
        <v>186</v>
      </c>
      <c r="AZ88" s="494"/>
      <c r="BA88" s="494">
        <v>2014</v>
      </c>
      <c r="BB88" s="494" t="s">
        <v>5572</v>
      </c>
      <c r="BC88" s="496" t="s">
        <v>5573</v>
      </c>
      <c r="BD88" s="496" t="s">
        <v>1818</v>
      </c>
      <c r="BE88" s="497">
        <v>42216</v>
      </c>
      <c r="BF88" s="580">
        <v>124839.19691378217</v>
      </c>
      <c r="BG88" s="493">
        <v>106660.54616432753</v>
      </c>
      <c r="BH88" s="488">
        <v>0</v>
      </c>
      <c r="BI88" s="488">
        <v>9</v>
      </c>
      <c r="BJ88" s="494" t="s">
        <v>1465</v>
      </c>
      <c r="BK88" s="401"/>
    </row>
    <row r="89" spans="1:63" ht="112.5">
      <c r="A89" s="614">
        <v>1</v>
      </c>
      <c r="B89" s="615" t="s">
        <v>2602</v>
      </c>
      <c r="C89" s="614" t="s">
        <v>83</v>
      </c>
      <c r="D89" s="614" t="s">
        <v>231</v>
      </c>
      <c r="E89" s="615" t="s">
        <v>5853</v>
      </c>
      <c r="F89" s="614" t="s">
        <v>1768</v>
      </c>
      <c r="G89" s="614" t="s">
        <v>1769</v>
      </c>
      <c r="H89" s="616">
        <v>834030</v>
      </c>
      <c r="I89" s="617" t="s">
        <v>5449</v>
      </c>
      <c r="J89" s="618" t="s">
        <v>5442</v>
      </c>
      <c r="K89" s="618" t="s">
        <v>5442</v>
      </c>
      <c r="L89" s="618" t="s">
        <v>1772</v>
      </c>
      <c r="M89" s="619" t="s">
        <v>1755</v>
      </c>
      <c r="N89" s="618" t="s">
        <v>1773</v>
      </c>
      <c r="O89" s="618" t="s">
        <v>2234</v>
      </c>
      <c r="P89" s="620">
        <v>20090.39</v>
      </c>
      <c r="Q89" s="620">
        <f t="shared" si="43"/>
        <v>23706.660199999998</v>
      </c>
      <c r="R89" s="620">
        <v>16146.277</v>
      </c>
      <c r="S89" s="614" t="s">
        <v>1774</v>
      </c>
      <c r="T89" s="621">
        <v>1.087</v>
      </c>
      <c r="U89" s="621">
        <v>1.077</v>
      </c>
      <c r="V89" s="621">
        <v>1.073</v>
      </c>
      <c r="W89" s="621">
        <v>1.071</v>
      </c>
      <c r="X89" s="622">
        <v>0.9</v>
      </c>
      <c r="Y89" s="623">
        <v>18251.751</v>
      </c>
      <c r="Z89" s="620">
        <f t="shared" si="44"/>
        <v>21537.066179999998</v>
      </c>
      <c r="AA89" s="620">
        <v>22221.850766848096</v>
      </c>
      <c r="AB89" s="624">
        <f t="shared" si="45"/>
        <v>26221.783904880751</v>
      </c>
      <c r="AC89" s="625">
        <f t="shared" si="46"/>
        <v>18251.751</v>
      </c>
      <c r="AD89" s="626">
        <f t="shared" si="47"/>
        <v>21537.066179999998</v>
      </c>
      <c r="AE89" s="615" t="s">
        <v>1775</v>
      </c>
      <c r="AF89" s="615" t="s">
        <v>83</v>
      </c>
      <c r="AG89" s="615" t="s">
        <v>211</v>
      </c>
      <c r="AH89" s="615" t="s">
        <v>545</v>
      </c>
      <c r="AI89" s="627">
        <v>41835</v>
      </c>
      <c r="AJ89" s="627">
        <v>41870</v>
      </c>
      <c r="AK89" s="615" t="s">
        <v>96</v>
      </c>
      <c r="AL89" s="615" t="s">
        <v>96</v>
      </c>
      <c r="AM89" s="618" t="s">
        <v>2326</v>
      </c>
      <c r="AN89" s="618" t="s">
        <v>1757</v>
      </c>
      <c r="AO89" s="615">
        <v>796</v>
      </c>
      <c r="AP89" s="615" t="s">
        <v>368</v>
      </c>
      <c r="AQ89" s="615">
        <v>1</v>
      </c>
      <c r="AR89" s="615">
        <v>46</v>
      </c>
      <c r="AS89" s="618" t="s">
        <v>605</v>
      </c>
      <c r="AT89" s="627">
        <v>41890</v>
      </c>
      <c r="AU89" s="627">
        <v>41890</v>
      </c>
      <c r="AV89" s="627">
        <v>42004</v>
      </c>
      <c r="AW89" s="615">
        <v>2014</v>
      </c>
      <c r="AX89" s="618"/>
      <c r="AY89" s="615" t="s">
        <v>186</v>
      </c>
      <c r="AZ89" s="615"/>
      <c r="BA89" s="615">
        <v>2014</v>
      </c>
      <c r="BB89" s="615" t="s">
        <v>2603</v>
      </c>
      <c r="BC89" s="618" t="s">
        <v>2604</v>
      </c>
      <c r="BD89" s="618" t="s">
        <v>1818</v>
      </c>
      <c r="BE89" s="628">
        <v>42019</v>
      </c>
      <c r="BF89" s="629">
        <v>22118.644210318795</v>
      </c>
      <c r="BG89" s="624">
        <v>22118.644210318795</v>
      </c>
      <c r="BH89" s="624">
        <v>0</v>
      </c>
      <c r="BI89" s="624">
        <v>0</v>
      </c>
      <c r="BJ89" s="615" t="s">
        <v>186</v>
      </c>
      <c r="BK89" s="614"/>
    </row>
    <row r="90" spans="1:63" ht="112.5">
      <c r="A90" s="401">
        <v>1</v>
      </c>
      <c r="B90" s="494" t="s">
        <v>5450</v>
      </c>
      <c r="C90" s="401" t="s">
        <v>83</v>
      </c>
      <c r="D90" s="401" t="s">
        <v>7459</v>
      </c>
      <c r="E90" s="494" t="s">
        <v>5853</v>
      </c>
      <c r="F90" s="401" t="s">
        <v>1768</v>
      </c>
      <c r="G90" s="401" t="s">
        <v>1769</v>
      </c>
      <c r="H90" s="499">
        <v>624659</v>
      </c>
      <c r="I90" s="486" t="s">
        <v>5451</v>
      </c>
      <c r="J90" s="496" t="s">
        <v>1771</v>
      </c>
      <c r="K90" s="496" t="s">
        <v>1771</v>
      </c>
      <c r="L90" s="496" t="s">
        <v>1772</v>
      </c>
      <c r="M90" s="500" t="s">
        <v>1755</v>
      </c>
      <c r="N90" s="496" t="s">
        <v>1773</v>
      </c>
      <c r="O90" s="496" t="s">
        <v>1786</v>
      </c>
      <c r="P90" s="489">
        <v>1218199.8670000001</v>
      </c>
      <c r="Q90" s="489">
        <v>1437475.8430600001</v>
      </c>
      <c r="R90" s="489">
        <v>1010168.465</v>
      </c>
      <c r="S90" s="401" t="s">
        <v>5970</v>
      </c>
      <c r="T90" s="501">
        <v>1.087</v>
      </c>
      <c r="U90" s="501">
        <v>1.0680000000000001</v>
      </c>
      <c r="V90" s="501">
        <v>1.0589999999999999</v>
      </c>
      <c r="W90" s="501">
        <v>1.0580000000000001</v>
      </c>
      <c r="X90" s="596">
        <v>0.9</v>
      </c>
      <c r="Y90" s="502">
        <v>1218199.8670000001</v>
      </c>
      <c r="Z90" s="489">
        <f t="shared" si="44"/>
        <v>1437475.8430600001</v>
      </c>
      <c r="AA90" s="489">
        <v>1097292.574</v>
      </c>
      <c r="AB90" s="488">
        <f t="shared" si="45"/>
        <v>1294805.2373200001</v>
      </c>
      <c r="AC90" s="492">
        <f t="shared" si="46"/>
        <v>1097292.574</v>
      </c>
      <c r="AD90" s="493">
        <f t="shared" si="47"/>
        <v>1294805.2373200001</v>
      </c>
      <c r="AE90" s="494" t="s">
        <v>218</v>
      </c>
      <c r="AF90" s="494" t="s">
        <v>83</v>
      </c>
      <c r="AG90" s="494" t="s">
        <v>211</v>
      </c>
      <c r="AH90" s="494" t="s">
        <v>545</v>
      </c>
      <c r="AI90" s="495">
        <v>41670</v>
      </c>
      <c r="AJ90" s="495">
        <v>41730</v>
      </c>
      <c r="AK90" s="494" t="s">
        <v>96</v>
      </c>
      <c r="AL90" s="494" t="s">
        <v>96</v>
      </c>
      <c r="AM90" s="496" t="s">
        <v>1776</v>
      </c>
      <c r="AN90" s="496" t="s">
        <v>1757</v>
      </c>
      <c r="AO90" s="494">
        <v>796</v>
      </c>
      <c r="AP90" s="494" t="s">
        <v>368</v>
      </c>
      <c r="AQ90" s="494">
        <v>1</v>
      </c>
      <c r="AR90" s="494">
        <v>45</v>
      </c>
      <c r="AS90" s="496" t="s">
        <v>547</v>
      </c>
      <c r="AT90" s="495">
        <v>41750</v>
      </c>
      <c r="AU90" s="495">
        <v>41750</v>
      </c>
      <c r="AV90" s="495">
        <v>42735</v>
      </c>
      <c r="AW90" s="494" t="s">
        <v>1789</v>
      </c>
      <c r="AX90" s="496"/>
      <c r="AY90" s="494" t="s">
        <v>186</v>
      </c>
      <c r="AZ90" s="34"/>
      <c r="BA90" s="494">
        <v>2014</v>
      </c>
      <c r="BB90" s="494" t="s">
        <v>5574</v>
      </c>
      <c r="BC90" s="496" t="s">
        <v>5575</v>
      </c>
      <c r="BD90" s="496" t="s">
        <v>5576</v>
      </c>
      <c r="BE90" s="497">
        <v>42735</v>
      </c>
      <c r="BF90" s="498">
        <v>2303705</v>
      </c>
      <c r="BG90" s="488">
        <f>BF90</f>
        <v>2303705</v>
      </c>
      <c r="BH90" s="488">
        <v>360</v>
      </c>
      <c r="BI90" s="488">
        <v>0</v>
      </c>
      <c r="BJ90" s="494" t="s">
        <v>186</v>
      </c>
      <c r="BK90" s="401"/>
    </row>
    <row r="91" spans="1:63" ht="150">
      <c r="A91" s="631">
        <v>1</v>
      </c>
      <c r="B91" s="632" t="s">
        <v>5971</v>
      </c>
      <c r="C91" s="631" t="s">
        <v>83</v>
      </c>
      <c r="D91" s="631" t="s">
        <v>242</v>
      </c>
      <c r="E91" s="632" t="s">
        <v>5853</v>
      </c>
      <c r="F91" s="631" t="s">
        <v>1752</v>
      </c>
      <c r="G91" s="631" t="s">
        <v>2344</v>
      </c>
      <c r="H91" s="633">
        <v>852585</v>
      </c>
      <c r="I91" s="634" t="s">
        <v>5972</v>
      </c>
      <c r="J91" s="635" t="s">
        <v>2237</v>
      </c>
      <c r="K91" s="635" t="s">
        <v>2237</v>
      </c>
      <c r="L91" s="635" t="s">
        <v>1772</v>
      </c>
      <c r="M91" s="636" t="s">
        <v>1755</v>
      </c>
      <c r="N91" s="635" t="s">
        <v>1773</v>
      </c>
      <c r="O91" s="635" t="s">
        <v>2234</v>
      </c>
      <c r="P91" s="637">
        <v>1632.006826690912</v>
      </c>
      <c r="Q91" s="637">
        <f t="shared" ref="Q91:Q111" si="48">P91*1.18</f>
        <v>1925.768055495276</v>
      </c>
      <c r="R91" s="637">
        <v>1379.098</v>
      </c>
      <c r="S91" s="631" t="s">
        <v>1774</v>
      </c>
      <c r="T91" s="638">
        <v>1.087</v>
      </c>
      <c r="U91" s="638">
        <v>1.077</v>
      </c>
      <c r="V91" s="638">
        <v>1.073</v>
      </c>
      <c r="W91" s="638">
        <v>1.071</v>
      </c>
      <c r="X91" s="639">
        <v>0.9</v>
      </c>
      <c r="Y91" s="640">
        <v>1614.7860000000001</v>
      </c>
      <c r="Z91" s="637">
        <f t="shared" si="44"/>
        <v>1905.44748</v>
      </c>
      <c r="AA91" s="637">
        <v>1518.144</v>
      </c>
      <c r="AB91" s="641">
        <f t="shared" si="45"/>
        <v>1791.4099199999998</v>
      </c>
      <c r="AC91" s="642">
        <f t="shared" si="46"/>
        <v>1518.144</v>
      </c>
      <c r="AD91" s="643">
        <f t="shared" si="47"/>
        <v>1791.4099199999998</v>
      </c>
      <c r="AE91" s="632" t="s">
        <v>1775</v>
      </c>
      <c r="AF91" s="632" t="s">
        <v>83</v>
      </c>
      <c r="AG91" s="632" t="s">
        <v>211</v>
      </c>
      <c r="AH91" s="632" t="s">
        <v>545</v>
      </c>
      <c r="AI91" s="644">
        <v>41927</v>
      </c>
      <c r="AJ91" s="644">
        <v>41962</v>
      </c>
      <c r="AK91" s="632" t="s">
        <v>96</v>
      </c>
      <c r="AL91" s="632" t="s">
        <v>96</v>
      </c>
      <c r="AM91" s="635" t="s">
        <v>2238</v>
      </c>
      <c r="AN91" s="635" t="s">
        <v>1757</v>
      </c>
      <c r="AO91" s="632">
        <v>796</v>
      </c>
      <c r="AP91" s="632" t="s">
        <v>368</v>
      </c>
      <c r="AQ91" s="632">
        <v>1</v>
      </c>
      <c r="AR91" s="632">
        <v>45</v>
      </c>
      <c r="AS91" s="635" t="s">
        <v>547</v>
      </c>
      <c r="AT91" s="644">
        <v>41982</v>
      </c>
      <c r="AU91" s="644">
        <v>41982</v>
      </c>
      <c r="AV91" s="644">
        <v>42369</v>
      </c>
      <c r="AW91" s="632" t="s">
        <v>99</v>
      </c>
      <c r="AX91" s="635"/>
      <c r="AY91" s="632" t="s">
        <v>186</v>
      </c>
      <c r="AZ91" s="632"/>
      <c r="BA91" s="632">
        <v>2014</v>
      </c>
      <c r="BB91" s="632" t="s">
        <v>5973</v>
      </c>
      <c r="BC91" s="635" t="s">
        <v>5974</v>
      </c>
      <c r="BD91" s="635" t="s">
        <v>1818</v>
      </c>
      <c r="BE91" s="645">
        <v>42369</v>
      </c>
      <c r="BF91" s="646">
        <v>2699.0411719999997</v>
      </c>
      <c r="BG91" s="641">
        <v>2699.0411719999997</v>
      </c>
      <c r="BH91" s="641">
        <v>0.4</v>
      </c>
      <c r="BI91" s="641">
        <v>0.4</v>
      </c>
      <c r="BJ91" s="632" t="s">
        <v>186</v>
      </c>
      <c r="BK91" s="631"/>
    </row>
    <row r="92" spans="1:63" ht="150">
      <c r="A92" s="401">
        <v>1</v>
      </c>
      <c r="B92" s="494" t="s">
        <v>5975</v>
      </c>
      <c r="C92" s="401" t="s">
        <v>83</v>
      </c>
      <c r="D92" s="401" t="s">
        <v>242</v>
      </c>
      <c r="E92" s="494" t="s">
        <v>5853</v>
      </c>
      <c r="F92" s="401" t="s">
        <v>1752</v>
      </c>
      <c r="G92" s="401" t="s">
        <v>2344</v>
      </c>
      <c r="H92" s="499">
        <v>852600</v>
      </c>
      <c r="I92" s="486" t="s">
        <v>5976</v>
      </c>
      <c r="J92" s="496" t="s">
        <v>2237</v>
      </c>
      <c r="K92" s="496" t="s">
        <v>2237</v>
      </c>
      <c r="L92" s="496" t="s">
        <v>1772</v>
      </c>
      <c r="M92" s="500" t="s">
        <v>1755</v>
      </c>
      <c r="N92" s="496" t="s">
        <v>1773</v>
      </c>
      <c r="O92" s="496" t="s">
        <v>2234</v>
      </c>
      <c r="P92" s="489">
        <v>3684.7055500000024</v>
      </c>
      <c r="Q92" s="489">
        <f t="shared" si="48"/>
        <v>4347.9525490000024</v>
      </c>
      <c r="R92" s="489">
        <v>3127.8130000000001</v>
      </c>
      <c r="S92" s="401" t="s">
        <v>1774</v>
      </c>
      <c r="T92" s="501">
        <v>1.087</v>
      </c>
      <c r="U92" s="501">
        <v>1.077</v>
      </c>
      <c r="V92" s="501">
        <v>1.073</v>
      </c>
      <c r="W92" s="501">
        <v>1.071</v>
      </c>
      <c r="X92" s="596">
        <v>0.9</v>
      </c>
      <c r="Y92" s="502">
        <v>3662.3560000000002</v>
      </c>
      <c r="Z92" s="489">
        <f t="shared" si="44"/>
        <v>4321.5800799999997</v>
      </c>
      <c r="AA92" s="489">
        <v>3406.3580000000002</v>
      </c>
      <c r="AB92" s="488">
        <f t="shared" si="45"/>
        <v>4019.5024400000002</v>
      </c>
      <c r="AC92" s="492">
        <f t="shared" si="46"/>
        <v>3406.3580000000002</v>
      </c>
      <c r="AD92" s="493">
        <f t="shared" si="47"/>
        <v>4019.5024400000002</v>
      </c>
      <c r="AE92" s="494" t="s">
        <v>1775</v>
      </c>
      <c r="AF92" s="494" t="s">
        <v>83</v>
      </c>
      <c r="AG92" s="494" t="s">
        <v>211</v>
      </c>
      <c r="AH92" s="494" t="s">
        <v>545</v>
      </c>
      <c r="AI92" s="495">
        <v>41744</v>
      </c>
      <c r="AJ92" s="495">
        <v>41779</v>
      </c>
      <c r="AK92" s="494" t="s">
        <v>96</v>
      </c>
      <c r="AL92" s="494" t="s">
        <v>96</v>
      </c>
      <c r="AM92" s="496" t="s">
        <v>2238</v>
      </c>
      <c r="AN92" s="496" t="s">
        <v>1757</v>
      </c>
      <c r="AO92" s="494">
        <v>796</v>
      </c>
      <c r="AP92" s="494" t="s">
        <v>368</v>
      </c>
      <c r="AQ92" s="494">
        <v>1</v>
      </c>
      <c r="AR92" s="494">
        <v>45</v>
      </c>
      <c r="AS92" s="496" t="s">
        <v>547</v>
      </c>
      <c r="AT92" s="495">
        <v>41799</v>
      </c>
      <c r="AU92" s="495">
        <v>41799</v>
      </c>
      <c r="AV92" s="495">
        <v>42004</v>
      </c>
      <c r="AW92" s="494">
        <v>2014</v>
      </c>
      <c r="AX92" s="496"/>
      <c r="AY92" s="494" t="s">
        <v>186</v>
      </c>
      <c r="AZ92" s="494"/>
      <c r="BA92" s="494">
        <v>2014</v>
      </c>
      <c r="BB92" s="494" t="s">
        <v>5977</v>
      </c>
      <c r="BC92" s="496" t="s">
        <v>5978</v>
      </c>
      <c r="BD92" s="496" t="s">
        <v>1818</v>
      </c>
      <c r="BE92" s="497">
        <v>42004</v>
      </c>
      <c r="BF92" s="498">
        <v>4802.3552561999995</v>
      </c>
      <c r="BG92" s="488">
        <v>4802.3552561999995</v>
      </c>
      <c r="BH92" s="488">
        <v>0.25</v>
      </c>
      <c r="BI92" s="488">
        <v>0.8</v>
      </c>
      <c r="BJ92" s="494" t="s">
        <v>186</v>
      </c>
      <c r="BK92" s="401"/>
    </row>
    <row r="93" spans="1:63" ht="150">
      <c r="A93" s="401">
        <v>1</v>
      </c>
      <c r="B93" s="494" t="s">
        <v>5979</v>
      </c>
      <c r="C93" s="401" t="s">
        <v>83</v>
      </c>
      <c r="D93" s="401" t="s">
        <v>242</v>
      </c>
      <c r="E93" s="494" t="s">
        <v>5853</v>
      </c>
      <c r="F93" s="401" t="s">
        <v>1752</v>
      </c>
      <c r="G93" s="401" t="s">
        <v>2344</v>
      </c>
      <c r="H93" s="499">
        <v>853846</v>
      </c>
      <c r="I93" s="486" t="s">
        <v>5980</v>
      </c>
      <c r="J93" s="496" t="s">
        <v>5317</v>
      </c>
      <c r="K93" s="496" t="s">
        <v>5317</v>
      </c>
      <c r="L93" s="496" t="s">
        <v>5019</v>
      </c>
      <c r="M93" s="500" t="s">
        <v>1755</v>
      </c>
      <c r="N93" s="496" t="s">
        <v>1773</v>
      </c>
      <c r="O93" s="496" t="s">
        <v>2234</v>
      </c>
      <c r="P93" s="489">
        <v>583.34311000000002</v>
      </c>
      <c r="Q93" s="489">
        <f t="shared" si="48"/>
        <v>688.34486979999997</v>
      </c>
      <c r="R93" s="489">
        <v>467.71800000000002</v>
      </c>
      <c r="S93" s="401" t="s">
        <v>1774</v>
      </c>
      <c r="T93" s="501">
        <v>1.087</v>
      </c>
      <c r="U93" s="501">
        <v>1.077</v>
      </c>
      <c r="V93" s="501">
        <v>1.073</v>
      </c>
      <c r="W93" s="501">
        <v>1.071</v>
      </c>
      <c r="X93" s="596">
        <v>0.9</v>
      </c>
      <c r="Y93" s="502">
        <v>547.65200000000004</v>
      </c>
      <c r="Z93" s="489">
        <f t="shared" si="44"/>
        <v>646.22936000000004</v>
      </c>
      <c r="AA93" s="489">
        <v>510.61599999999999</v>
      </c>
      <c r="AB93" s="488">
        <f t="shared" si="45"/>
        <v>602.52688000000001</v>
      </c>
      <c r="AC93" s="492">
        <f t="shared" si="46"/>
        <v>510.61599999999999</v>
      </c>
      <c r="AD93" s="493">
        <f t="shared" si="47"/>
        <v>602.52688000000001</v>
      </c>
      <c r="AE93" s="494" t="s">
        <v>1775</v>
      </c>
      <c r="AF93" s="494" t="s">
        <v>83</v>
      </c>
      <c r="AG93" s="494" t="s">
        <v>211</v>
      </c>
      <c r="AH93" s="494" t="s">
        <v>545</v>
      </c>
      <c r="AI93" s="495">
        <v>41730</v>
      </c>
      <c r="AJ93" s="495">
        <v>41765</v>
      </c>
      <c r="AK93" s="494" t="s">
        <v>96</v>
      </c>
      <c r="AL93" s="494" t="s">
        <v>96</v>
      </c>
      <c r="AM93" s="496" t="s">
        <v>1846</v>
      </c>
      <c r="AN93" s="496" t="s">
        <v>1757</v>
      </c>
      <c r="AO93" s="494">
        <v>796</v>
      </c>
      <c r="AP93" s="494" t="s">
        <v>368</v>
      </c>
      <c r="AQ93" s="494">
        <v>1</v>
      </c>
      <c r="AR93" s="494">
        <v>45</v>
      </c>
      <c r="AS93" s="496" t="s">
        <v>547</v>
      </c>
      <c r="AT93" s="495">
        <v>41785</v>
      </c>
      <c r="AU93" s="495">
        <v>41785</v>
      </c>
      <c r="AV93" s="495">
        <v>42004</v>
      </c>
      <c r="AW93" s="494">
        <v>2014</v>
      </c>
      <c r="AX93" s="496"/>
      <c r="AY93" s="494" t="s">
        <v>186</v>
      </c>
      <c r="AZ93" s="494"/>
      <c r="BA93" s="494">
        <v>2014</v>
      </c>
      <c r="BB93" s="494" t="s">
        <v>5981</v>
      </c>
      <c r="BC93" s="496" t="s">
        <v>5982</v>
      </c>
      <c r="BD93" s="496" t="s">
        <v>1818</v>
      </c>
      <c r="BE93" s="497">
        <v>42004</v>
      </c>
      <c r="BF93" s="498">
        <v>702.0518088</v>
      </c>
      <c r="BG93" s="488">
        <v>702.0518088</v>
      </c>
      <c r="BH93" s="488">
        <v>0</v>
      </c>
      <c r="BI93" s="488">
        <v>0.24</v>
      </c>
      <c r="BJ93" s="494" t="s">
        <v>1465</v>
      </c>
      <c r="BK93" s="401"/>
    </row>
    <row r="94" spans="1:63" ht="150">
      <c r="A94" s="401">
        <v>1</v>
      </c>
      <c r="B94" s="494" t="s">
        <v>5983</v>
      </c>
      <c r="C94" s="401" t="s">
        <v>83</v>
      </c>
      <c r="D94" s="401" t="s">
        <v>242</v>
      </c>
      <c r="E94" s="494" t="s">
        <v>5853</v>
      </c>
      <c r="F94" s="401" t="s">
        <v>1752</v>
      </c>
      <c r="G94" s="401" t="s">
        <v>2344</v>
      </c>
      <c r="H94" s="499">
        <v>852131</v>
      </c>
      <c r="I94" s="486" t="s">
        <v>5984</v>
      </c>
      <c r="J94" s="496" t="s">
        <v>2237</v>
      </c>
      <c r="K94" s="496" t="s">
        <v>2237</v>
      </c>
      <c r="L94" s="496" t="s">
        <v>5358</v>
      </c>
      <c r="M94" s="500" t="s">
        <v>1755</v>
      </c>
      <c r="N94" s="496" t="s">
        <v>1773</v>
      </c>
      <c r="O94" s="496" t="s">
        <v>2234</v>
      </c>
      <c r="P94" s="489">
        <v>97143.250388199958</v>
      </c>
      <c r="Q94" s="489">
        <f t="shared" si="48"/>
        <v>114629.03545807594</v>
      </c>
      <c r="R94" s="489">
        <v>80173.967999999993</v>
      </c>
      <c r="S94" s="401" t="s">
        <v>1774</v>
      </c>
      <c r="T94" s="501">
        <v>1.087</v>
      </c>
      <c r="U94" s="501">
        <v>1.077</v>
      </c>
      <c r="V94" s="501">
        <v>1.073</v>
      </c>
      <c r="W94" s="501">
        <v>1.071</v>
      </c>
      <c r="X94" s="596">
        <v>0.9</v>
      </c>
      <c r="Y94" s="502">
        <v>93875.698999999993</v>
      </c>
      <c r="Z94" s="489">
        <f t="shared" si="44"/>
        <v>110773.32481999998</v>
      </c>
      <c r="AA94" s="489">
        <v>96824.654999999999</v>
      </c>
      <c r="AB94" s="488">
        <f t="shared" si="45"/>
        <v>114253.09289999999</v>
      </c>
      <c r="AC94" s="492">
        <f t="shared" si="46"/>
        <v>93875.698999999993</v>
      </c>
      <c r="AD94" s="493">
        <f t="shared" si="47"/>
        <v>110773.32481999998</v>
      </c>
      <c r="AE94" s="494" t="s">
        <v>1775</v>
      </c>
      <c r="AF94" s="494" t="s">
        <v>83</v>
      </c>
      <c r="AG94" s="494" t="s">
        <v>211</v>
      </c>
      <c r="AH94" s="494" t="s">
        <v>545</v>
      </c>
      <c r="AI94" s="495">
        <v>41927</v>
      </c>
      <c r="AJ94" s="495">
        <v>41962</v>
      </c>
      <c r="AK94" s="494" t="s">
        <v>96</v>
      </c>
      <c r="AL94" s="494" t="s">
        <v>96</v>
      </c>
      <c r="AM94" s="496" t="s">
        <v>2238</v>
      </c>
      <c r="AN94" s="496" t="s">
        <v>1757</v>
      </c>
      <c r="AO94" s="494">
        <v>796</v>
      </c>
      <c r="AP94" s="494" t="s">
        <v>368</v>
      </c>
      <c r="AQ94" s="494">
        <v>1</v>
      </c>
      <c r="AR94" s="494">
        <v>45</v>
      </c>
      <c r="AS94" s="496" t="s">
        <v>547</v>
      </c>
      <c r="AT94" s="495">
        <v>41982</v>
      </c>
      <c r="AU94" s="495">
        <v>41982</v>
      </c>
      <c r="AV94" s="495">
        <v>42369</v>
      </c>
      <c r="AW94" s="494" t="s">
        <v>99</v>
      </c>
      <c r="AX94" s="496"/>
      <c r="AY94" s="494" t="s">
        <v>186</v>
      </c>
      <c r="AZ94" s="494"/>
      <c r="BA94" s="494">
        <v>2014</v>
      </c>
      <c r="BB94" s="494" t="s">
        <v>5985</v>
      </c>
      <c r="BC94" s="496" t="s">
        <v>5986</v>
      </c>
      <c r="BD94" s="496" t="s">
        <v>1818</v>
      </c>
      <c r="BE94" s="497">
        <v>42369</v>
      </c>
      <c r="BF94" s="498">
        <v>116208.86175139998</v>
      </c>
      <c r="BG94" s="488">
        <v>120551.57182</v>
      </c>
      <c r="BH94" s="488">
        <v>12.8</v>
      </c>
      <c r="BI94" s="488">
        <v>7.2</v>
      </c>
      <c r="BJ94" s="494" t="s">
        <v>1465</v>
      </c>
      <c r="BK94" s="401"/>
    </row>
    <row r="95" spans="1:63" ht="150">
      <c r="A95" s="401">
        <v>1</v>
      </c>
      <c r="B95" s="494" t="s">
        <v>5987</v>
      </c>
      <c r="C95" s="401" t="s">
        <v>83</v>
      </c>
      <c r="D95" s="401" t="s">
        <v>242</v>
      </c>
      <c r="E95" s="494" t="s">
        <v>5853</v>
      </c>
      <c r="F95" s="401" t="s">
        <v>1752</v>
      </c>
      <c r="G95" s="401" t="s">
        <v>2344</v>
      </c>
      <c r="H95" s="499">
        <v>853040</v>
      </c>
      <c r="I95" s="486" t="s">
        <v>5988</v>
      </c>
      <c r="J95" s="496" t="s">
        <v>2237</v>
      </c>
      <c r="K95" s="496" t="s">
        <v>2237</v>
      </c>
      <c r="L95" s="496" t="s">
        <v>1825</v>
      </c>
      <c r="M95" s="500" t="s">
        <v>1755</v>
      </c>
      <c r="N95" s="496" t="s">
        <v>1773</v>
      </c>
      <c r="O95" s="496" t="s">
        <v>2234</v>
      </c>
      <c r="P95" s="489">
        <v>13614.61133</v>
      </c>
      <c r="Q95" s="489">
        <f t="shared" si="48"/>
        <v>16065.241369399999</v>
      </c>
      <c r="R95" s="489">
        <v>11240.968999999999</v>
      </c>
      <c r="S95" s="401" t="s">
        <v>1774</v>
      </c>
      <c r="T95" s="501">
        <v>1.087</v>
      </c>
      <c r="U95" s="501">
        <v>1.077</v>
      </c>
      <c r="V95" s="501">
        <v>1.073</v>
      </c>
      <c r="W95" s="501">
        <v>1.071</v>
      </c>
      <c r="X95" s="596">
        <v>0.9</v>
      </c>
      <c r="Y95" s="502">
        <v>13162.05</v>
      </c>
      <c r="Z95" s="489">
        <f t="shared" si="44"/>
        <v>15531.218999999999</v>
      </c>
      <c r="AA95" s="489">
        <v>12289.534</v>
      </c>
      <c r="AB95" s="488">
        <f t="shared" si="45"/>
        <v>14501.650119999998</v>
      </c>
      <c r="AC95" s="492">
        <f t="shared" si="46"/>
        <v>12289.534</v>
      </c>
      <c r="AD95" s="493">
        <f t="shared" si="47"/>
        <v>14501.650119999998</v>
      </c>
      <c r="AE95" s="494" t="s">
        <v>1775</v>
      </c>
      <c r="AF95" s="494" t="s">
        <v>83</v>
      </c>
      <c r="AG95" s="494" t="s">
        <v>211</v>
      </c>
      <c r="AH95" s="494" t="s">
        <v>545</v>
      </c>
      <c r="AI95" s="495">
        <v>41730</v>
      </c>
      <c r="AJ95" s="495">
        <v>41765</v>
      </c>
      <c r="AK95" s="494" t="s">
        <v>96</v>
      </c>
      <c r="AL95" s="494" t="s">
        <v>96</v>
      </c>
      <c r="AM95" s="496" t="s">
        <v>2238</v>
      </c>
      <c r="AN95" s="496" t="s">
        <v>1757</v>
      </c>
      <c r="AO95" s="494">
        <v>796</v>
      </c>
      <c r="AP95" s="494" t="s">
        <v>368</v>
      </c>
      <c r="AQ95" s="494">
        <v>1</v>
      </c>
      <c r="AR95" s="494">
        <v>45</v>
      </c>
      <c r="AS95" s="496" t="s">
        <v>547</v>
      </c>
      <c r="AT95" s="495">
        <v>41785</v>
      </c>
      <c r="AU95" s="495">
        <v>41785</v>
      </c>
      <c r="AV95" s="495">
        <v>42004</v>
      </c>
      <c r="AW95" s="494">
        <v>2014</v>
      </c>
      <c r="AX95" s="496"/>
      <c r="AY95" s="494" t="s">
        <v>186</v>
      </c>
      <c r="AZ95" s="494"/>
      <c r="BA95" s="494">
        <v>2014</v>
      </c>
      <c r="BB95" s="494" t="s">
        <v>5989</v>
      </c>
      <c r="BC95" s="496" t="s">
        <v>5990</v>
      </c>
      <c r="BD95" s="496" t="s">
        <v>1818</v>
      </c>
      <c r="BE95" s="497">
        <v>42004</v>
      </c>
      <c r="BF95" s="498">
        <v>17272.8903388</v>
      </c>
      <c r="BG95" s="488">
        <v>17272.8903388</v>
      </c>
      <c r="BH95" s="488">
        <v>0</v>
      </c>
      <c r="BI95" s="488">
        <v>3.25</v>
      </c>
      <c r="BJ95" s="494" t="s">
        <v>1465</v>
      </c>
      <c r="BK95" s="401"/>
    </row>
    <row r="96" spans="1:63" ht="112.5">
      <c r="A96" s="401">
        <v>1</v>
      </c>
      <c r="B96" s="494" t="s">
        <v>5991</v>
      </c>
      <c r="C96" s="401" t="s">
        <v>83</v>
      </c>
      <c r="D96" s="401" t="s">
        <v>235</v>
      </c>
      <c r="E96" s="494" t="s">
        <v>5853</v>
      </c>
      <c r="F96" s="401" t="s">
        <v>5297</v>
      </c>
      <c r="G96" s="401" t="s">
        <v>5298</v>
      </c>
      <c r="H96" s="499">
        <v>842405</v>
      </c>
      <c r="I96" s="486" t="s">
        <v>5992</v>
      </c>
      <c r="J96" s="496" t="s">
        <v>5993</v>
      </c>
      <c r="K96" s="496" t="s">
        <v>5993</v>
      </c>
      <c r="L96" s="496" t="s">
        <v>2513</v>
      </c>
      <c r="M96" s="500" t="s">
        <v>1755</v>
      </c>
      <c r="N96" s="496" t="s">
        <v>1773</v>
      </c>
      <c r="O96" s="496" t="s">
        <v>2234</v>
      </c>
      <c r="P96" s="489">
        <v>1073.6969999999999</v>
      </c>
      <c r="Q96" s="489">
        <f t="shared" si="48"/>
        <v>1266.9624599999997</v>
      </c>
      <c r="R96" s="489">
        <v>889.01973651158596</v>
      </c>
      <c r="S96" s="401" t="s">
        <v>5970</v>
      </c>
      <c r="T96" s="501">
        <v>1.087</v>
      </c>
      <c r="U96" s="501">
        <v>1.0680000000000001</v>
      </c>
      <c r="V96" s="501">
        <v>1.0589999999999999</v>
      </c>
      <c r="W96" s="501">
        <v>1.0580000000000001</v>
      </c>
      <c r="X96" s="596">
        <v>0.9</v>
      </c>
      <c r="Y96" s="502">
        <v>1040.7258372579381</v>
      </c>
      <c r="Z96" s="489">
        <f t="shared" si="44"/>
        <v>1228.0564879643669</v>
      </c>
      <c r="AA96" s="489">
        <v>1029.2672489394231</v>
      </c>
      <c r="AB96" s="488">
        <f t="shared" si="45"/>
        <v>1214.5353537485191</v>
      </c>
      <c r="AC96" s="492">
        <f t="shared" si="46"/>
        <v>1029.2672489394231</v>
      </c>
      <c r="AD96" s="493">
        <f t="shared" si="47"/>
        <v>1214.5353537485191</v>
      </c>
      <c r="AE96" s="494" t="s">
        <v>1775</v>
      </c>
      <c r="AF96" s="494" t="s">
        <v>83</v>
      </c>
      <c r="AG96" s="494" t="s">
        <v>211</v>
      </c>
      <c r="AH96" s="494" t="s">
        <v>545</v>
      </c>
      <c r="AI96" s="495">
        <v>41649</v>
      </c>
      <c r="AJ96" s="495">
        <v>41684</v>
      </c>
      <c r="AK96" s="494" t="s">
        <v>96</v>
      </c>
      <c r="AL96" s="494" t="s">
        <v>96</v>
      </c>
      <c r="AM96" s="496" t="s">
        <v>5994</v>
      </c>
      <c r="AN96" s="496" t="s">
        <v>1757</v>
      </c>
      <c r="AO96" s="494">
        <v>796</v>
      </c>
      <c r="AP96" s="494" t="s">
        <v>368</v>
      </c>
      <c r="AQ96" s="494">
        <v>1</v>
      </c>
      <c r="AR96" s="494">
        <v>46</v>
      </c>
      <c r="AS96" s="496" t="s">
        <v>605</v>
      </c>
      <c r="AT96" s="495">
        <v>41704</v>
      </c>
      <c r="AU96" s="495">
        <v>41704</v>
      </c>
      <c r="AV96" s="495">
        <v>41820</v>
      </c>
      <c r="AW96" s="494">
        <v>2014</v>
      </c>
      <c r="AX96" s="496"/>
      <c r="AY96" s="494" t="s">
        <v>186</v>
      </c>
      <c r="AZ96" s="494"/>
      <c r="BA96" s="494">
        <v>2014</v>
      </c>
      <c r="BB96" s="494" t="s">
        <v>5995</v>
      </c>
      <c r="BC96" s="496" t="s">
        <v>5996</v>
      </c>
      <c r="BD96" s="496" t="s">
        <v>1818</v>
      </c>
      <c r="BE96" s="497">
        <v>41850</v>
      </c>
      <c r="BF96" s="498">
        <v>1266.9624599999997</v>
      </c>
      <c r="BG96" s="488">
        <v>1266.9624599999997</v>
      </c>
      <c r="BH96" s="488">
        <v>1.4999999999999999E-2</v>
      </c>
      <c r="BI96" s="488">
        <v>0.6</v>
      </c>
      <c r="BJ96" s="494" t="s">
        <v>1465</v>
      </c>
      <c r="BK96" s="401"/>
    </row>
    <row r="97" spans="1:63" s="199" customFormat="1" ht="112.5">
      <c r="A97" s="503">
        <v>1</v>
      </c>
      <c r="B97" s="504" t="s">
        <v>5997</v>
      </c>
      <c r="C97" s="504" t="s">
        <v>83</v>
      </c>
      <c r="D97" s="504" t="s">
        <v>235</v>
      </c>
      <c r="E97" s="504" t="s">
        <v>5853</v>
      </c>
      <c r="F97" s="504" t="s">
        <v>5297</v>
      </c>
      <c r="G97" s="504" t="s">
        <v>5298</v>
      </c>
      <c r="H97" s="505">
        <v>842803</v>
      </c>
      <c r="I97" s="506" t="s">
        <v>5998</v>
      </c>
      <c r="J97" s="506" t="s">
        <v>5999</v>
      </c>
      <c r="K97" s="506" t="s">
        <v>5999</v>
      </c>
      <c r="L97" s="506" t="s">
        <v>5004</v>
      </c>
      <c r="M97" s="506" t="s">
        <v>1755</v>
      </c>
      <c r="N97" s="506" t="s">
        <v>1773</v>
      </c>
      <c r="O97" s="506" t="s">
        <v>2234</v>
      </c>
      <c r="P97" s="507">
        <v>6115.1109999999999</v>
      </c>
      <c r="Q97" s="507">
        <f t="shared" si="48"/>
        <v>7215.8309799999997</v>
      </c>
      <c r="R97" s="507">
        <v>4648.7318575910058</v>
      </c>
      <c r="S97" s="508" t="s">
        <v>5970</v>
      </c>
      <c r="T97" s="509">
        <v>1.087</v>
      </c>
      <c r="U97" s="509">
        <v>1.0680000000000001</v>
      </c>
      <c r="V97" s="509">
        <v>1.0589999999999999</v>
      </c>
      <c r="W97" s="510">
        <v>1.0580000000000001</v>
      </c>
      <c r="X97" s="511">
        <v>0.9</v>
      </c>
      <c r="Y97" s="507">
        <v>5442.0111905085905</v>
      </c>
      <c r="Z97" s="507">
        <f t="shared" si="44"/>
        <v>6421.5732048001364</v>
      </c>
      <c r="AA97" s="512">
        <v>5823.173593836771</v>
      </c>
      <c r="AB97" s="513">
        <f t="shared" si="45"/>
        <v>6871.3448407273891</v>
      </c>
      <c r="AC97" s="514">
        <f t="shared" si="46"/>
        <v>5442.0111905085905</v>
      </c>
      <c r="AD97" s="493">
        <f t="shared" si="47"/>
        <v>6421.5732048001364</v>
      </c>
      <c r="AE97" s="494" t="s">
        <v>1775</v>
      </c>
      <c r="AF97" s="504" t="s">
        <v>83</v>
      </c>
      <c r="AG97" s="513" t="s">
        <v>211</v>
      </c>
      <c r="AH97" s="513" t="s">
        <v>545</v>
      </c>
      <c r="AI97" s="515">
        <v>41649</v>
      </c>
      <c r="AJ97" s="515">
        <v>41684</v>
      </c>
      <c r="AK97" s="516" t="s">
        <v>96</v>
      </c>
      <c r="AL97" s="516" t="s">
        <v>96</v>
      </c>
      <c r="AM97" s="516" t="s">
        <v>6000</v>
      </c>
      <c r="AN97" s="516" t="s">
        <v>1757</v>
      </c>
      <c r="AO97" s="517">
        <v>796</v>
      </c>
      <c r="AP97" s="504" t="s">
        <v>368</v>
      </c>
      <c r="AQ97" s="504">
        <v>1</v>
      </c>
      <c r="AR97" s="504">
        <v>46</v>
      </c>
      <c r="AS97" s="506" t="s">
        <v>605</v>
      </c>
      <c r="AT97" s="515">
        <v>41704</v>
      </c>
      <c r="AU97" s="515">
        <v>41704</v>
      </c>
      <c r="AV97" s="515">
        <v>41820</v>
      </c>
      <c r="AW97" s="504">
        <v>2014</v>
      </c>
      <c r="AX97" s="518"/>
      <c r="AY97" s="519" t="s">
        <v>186</v>
      </c>
      <c r="AZ97" s="520"/>
      <c r="BA97" s="504">
        <v>2014</v>
      </c>
      <c r="BB97" s="513" t="s">
        <v>2271</v>
      </c>
      <c r="BC97" s="521" t="s">
        <v>2271</v>
      </c>
      <c r="BD97" s="520" t="s">
        <v>2272</v>
      </c>
      <c r="BE97" s="520" t="s">
        <v>2272</v>
      </c>
      <c r="BF97" s="520" t="s">
        <v>2272</v>
      </c>
      <c r="BG97" s="488" t="s">
        <v>2272</v>
      </c>
      <c r="BH97" s="520" t="s">
        <v>2272</v>
      </c>
      <c r="BI97" s="520" t="s">
        <v>2272</v>
      </c>
      <c r="BJ97" s="503" t="s">
        <v>1465</v>
      </c>
      <c r="BK97" s="503"/>
    </row>
    <row r="98" spans="1:63" s="199" customFormat="1" ht="112.5">
      <c r="A98" s="522">
        <v>1</v>
      </c>
      <c r="B98" s="523" t="s">
        <v>6001</v>
      </c>
      <c r="C98" s="523" t="s">
        <v>7247</v>
      </c>
      <c r="D98" s="523" t="s">
        <v>235</v>
      </c>
      <c r="E98" s="523" t="s">
        <v>5853</v>
      </c>
      <c r="F98" s="523" t="s">
        <v>5297</v>
      </c>
      <c r="G98" s="523" t="s">
        <v>5298</v>
      </c>
      <c r="H98" s="524">
        <v>842804</v>
      </c>
      <c r="I98" s="525" t="s">
        <v>6002</v>
      </c>
      <c r="J98" s="525" t="s">
        <v>5999</v>
      </c>
      <c r="K98" s="525" t="s">
        <v>5999</v>
      </c>
      <c r="L98" s="525" t="s">
        <v>5004</v>
      </c>
      <c r="M98" s="525" t="s">
        <v>1755</v>
      </c>
      <c r="N98" s="525" t="s">
        <v>1773</v>
      </c>
      <c r="O98" s="525" t="s">
        <v>2234</v>
      </c>
      <c r="P98" s="526">
        <v>1131.1510000000001</v>
      </c>
      <c r="Q98" s="526">
        <f t="shared" si="48"/>
        <v>1334.75818</v>
      </c>
      <c r="R98" s="526">
        <v>872.30076117537863</v>
      </c>
      <c r="S98" s="527" t="s">
        <v>5970</v>
      </c>
      <c r="T98" s="528">
        <v>1.087</v>
      </c>
      <c r="U98" s="528">
        <v>1.0680000000000001</v>
      </c>
      <c r="V98" s="528">
        <v>1.0589999999999999</v>
      </c>
      <c r="W98" s="529">
        <v>1.0580000000000001</v>
      </c>
      <c r="X98" s="530">
        <v>0.9</v>
      </c>
      <c r="Y98" s="526">
        <v>1021.1538650167545</v>
      </c>
      <c r="Z98" s="526">
        <f t="shared" si="44"/>
        <v>1204.9615607197702</v>
      </c>
      <c r="AA98" s="531">
        <v>1072.0552875305109</v>
      </c>
      <c r="AB98" s="532">
        <f t="shared" si="45"/>
        <v>1265.0252392860027</v>
      </c>
      <c r="AC98" s="514">
        <f t="shared" si="46"/>
        <v>1021.1538650167545</v>
      </c>
      <c r="AD98" s="493">
        <f t="shared" si="47"/>
        <v>1204.9615607197702</v>
      </c>
      <c r="AE98" s="494" t="s">
        <v>1775</v>
      </c>
      <c r="AF98" s="523" t="s">
        <v>83</v>
      </c>
      <c r="AG98" s="523" t="s">
        <v>211</v>
      </c>
      <c r="AH98" s="523" t="s">
        <v>545</v>
      </c>
      <c r="AI98" s="533">
        <v>41649</v>
      </c>
      <c r="AJ98" s="533">
        <v>41684</v>
      </c>
      <c r="AK98" s="534" t="s">
        <v>96</v>
      </c>
      <c r="AL98" s="534" t="s">
        <v>96</v>
      </c>
      <c r="AM98" s="535" t="s">
        <v>6000</v>
      </c>
      <c r="AN98" s="535" t="s">
        <v>1757</v>
      </c>
      <c r="AO98" s="524">
        <v>796</v>
      </c>
      <c r="AP98" s="523" t="s">
        <v>368</v>
      </c>
      <c r="AQ98" s="523">
        <v>1</v>
      </c>
      <c r="AR98" s="523">
        <v>46</v>
      </c>
      <c r="AS98" s="525" t="s">
        <v>605</v>
      </c>
      <c r="AT98" s="533">
        <v>41704</v>
      </c>
      <c r="AU98" s="533">
        <v>41704</v>
      </c>
      <c r="AV98" s="533">
        <v>41820</v>
      </c>
      <c r="AW98" s="523">
        <v>2014</v>
      </c>
      <c r="AX98" s="534"/>
      <c r="AY98" s="535" t="s">
        <v>186</v>
      </c>
      <c r="AZ98" s="534"/>
      <c r="BA98" s="523">
        <v>2014</v>
      </c>
      <c r="BB98" s="523" t="s">
        <v>6003</v>
      </c>
      <c r="BC98" s="536" t="s">
        <v>6004</v>
      </c>
      <c r="BD98" s="537" t="s">
        <v>1818</v>
      </c>
      <c r="BE98" s="538">
        <v>41850</v>
      </c>
      <c r="BF98" s="539">
        <v>1334.75818</v>
      </c>
      <c r="BG98" s="488">
        <v>1265.0252392860027</v>
      </c>
      <c r="BH98" s="526">
        <v>7.0000000000000001E-3</v>
      </c>
      <c r="BI98" s="540">
        <v>0.2</v>
      </c>
      <c r="BJ98" s="522" t="s">
        <v>1465</v>
      </c>
      <c r="BK98" s="523"/>
    </row>
    <row r="99" spans="1:63" ht="112.5">
      <c r="A99" s="523">
        <v>1</v>
      </c>
      <c r="B99" s="534" t="s">
        <v>6005</v>
      </c>
      <c r="C99" s="523" t="s">
        <v>7247</v>
      </c>
      <c r="D99" s="523" t="s">
        <v>235</v>
      </c>
      <c r="E99" s="534" t="s">
        <v>5853</v>
      </c>
      <c r="F99" s="523" t="s">
        <v>5297</v>
      </c>
      <c r="G99" s="523" t="s">
        <v>5298</v>
      </c>
      <c r="H99" s="524">
        <v>842805</v>
      </c>
      <c r="I99" s="525" t="s">
        <v>6006</v>
      </c>
      <c r="J99" s="525" t="s">
        <v>5999</v>
      </c>
      <c r="K99" s="525" t="s">
        <v>5999</v>
      </c>
      <c r="L99" s="525" t="s">
        <v>5004</v>
      </c>
      <c r="M99" s="541" t="s">
        <v>1755</v>
      </c>
      <c r="N99" s="525" t="s">
        <v>1773</v>
      </c>
      <c r="O99" s="525" t="s">
        <v>2234</v>
      </c>
      <c r="P99" s="531">
        <v>1259.31</v>
      </c>
      <c r="Q99" s="531">
        <f t="shared" si="48"/>
        <v>1485.9857999999999</v>
      </c>
      <c r="R99" s="531">
        <v>872.30076117537863</v>
      </c>
      <c r="S99" s="523" t="s">
        <v>5970</v>
      </c>
      <c r="T99" s="542">
        <v>1.087</v>
      </c>
      <c r="U99" s="543">
        <v>1.0680000000000001</v>
      </c>
      <c r="V99" s="543">
        <v>1.0589999999999999</v>
      </c>
      <c r="W99" s="543">
        <v>1.0580000000000001</v>
      </c>
      <c r="X99" s="544">
        <v>0.9</v>
      </c>
      <c r="Y99" s="526">
        <v>1021.1538650167545</v>
      </c>
      <c r="Z99" s="531">
        <f t="shared" si="44"/>
        <v>1204.9615607197702</v>
      </c>
      <c r="AA99" s="531">
        <v>1197.2657005020433</v>
      </c>
      <c r="AB99" s="532">
        <f t="shared" si="45"/>
        <v>1412.7735265924109</v>
      </c>
      <c r="AC99" s="492">
        <f t="shared" si="46"/>
        <v>1021.1538650167545</v>
      </c>
      <c r="AD99" s="493">
        <f t="shared" si="47"/>
        <v>1204.9615607197702</v>
      </c>
      <c r="AE99" s="494" t="s">
        <v>1775</v>
      </c>
      <c r="AF99" s="534" t="s">
        <v>83</v>
      </c>
      <c r="AG99" s="534" t="s">
        <v>211</v>
      </c>
      <c r="AH99" s="534" t="s">
        <v>545</v>
      </c>
      <c r="AI99" s="533">
        <v>41649</v>
      </c>
      <c r="AJ99" s="533">
        <v>41684</v>
      </c>
      <c r="AK99" s="534" t="s">
        <v>96</v>
      </c>
      <c r="AL99" s="534" t="s">
        <v>96</v>
      </c>
      <c r="AM99" s="525" t="s">
        <v>6000</v>
      </c>
      <c r="AN99" s="525" t="s">
        <v>1757</v>
      </c>
      <c r="AO99" s="534">
        <v>796</v>
      </c>
      <c r="AP99" s="534" t="s">
        <v>368</v>
      </c>
      <c r="AQ99" s="534">
        <v>1</v>
      </c>
      <c r="AR99" s="534">
        <v>46</v>
      </c>
      <c r="AS99" s="525" t="s">
        <v>605</v>
      </c>
      <c r="AT99" s="533">
        <v>41704</v>
      </c>
      <c r="AU99" s="533">
        <v>41704</v>
      </c>
      <c r="AV99" s="533">
        <v>41820</v>
      </c>
      <c r="AW99" s="534">
        <v>2014</v>
      </c>
      <c r="AX99" s="525"/>
      <c r="AY99" s="534" t="s">
        <v>186</v>
      </c>
      <c r="AZ99" s="534"/>
      <c r="BA99" s="534">
        <v>2014</v>
      </c>
      <c r="BB99" s="534" t="s">
        <v>6007</v>
      </c>
      <c r="BC99" s="525" t="s">
        <v>6008</v>
      </c>
      <c r="BD99" s="525" t="s">
        <v>1818</v>
      </c>
      <c r="BE99" s="545">
        <v>41850</v>
      </c>
      <c r="BF99" s="546">
        <v>1485.9857999999999</v>
      </c>
      <c r="BG99" s="488">
        <v>1412.7735265924109</v>
      </c>
      <c r="BH99" s="532">
        <v>7.0000000000000001E-3</v>
      </c>
      <c r="BI99" s="532">
        <v>0.35</v>
      </c>
      <c r="BJ99" s="534" t="s">
        <v>1465</v>
      </c>
      <c r="BK99" s="523"/>
    </row>
    <row r="100" spans="1:63" ht="112.5">
      <c r="A100" s="523">
        <v>1</v>
      </c>
      <c r="B100" s="534" t="s">
        <v>6009</v>
      </c>
      <c r="C100" s="523" t="s">
        <v>7247</v>
      </c>
      <c r="D100" s="523" t="s">
        <v>235</v>
      </c>
      <c r="E100" s="534" t="s">
        <v>5853</v>
      </c>
      <c r="F100" s="523" t="s">
        <v>5297</v>
      </c>
      <c r="G100" s="523" t="s">
        <v>5298</v>
      </c>
      <c r="H100" s="524">
        <v>842806</v>
      </c>
      <c r="I100" s="525" t="s">
        <v>6010</v>
      </c>
      <c r="J100" s="525" t="s">
        <v>5999</v>
      </c>
      <c r="K100" s="525" t="s">
        <v>5999</v>
      </c>
      <c r="L100" s="525" t="s">
        <v>5004</v>
      </c>
      <c r="M100" s="541" t="s">
        <v>1755</v>
      </c>
      <c r="N100" s="525" t="s">
        <v>1773</v>
      </c>
      <c r="O100" s="525" t="s">
        <v>2234</v>
      </c>
      <c r="P100" s="531">
        <v>608.10599999999999</v>
      </c>
      <c r="Q100" s="531">
        <f t="shared" si="48"/>
        <v>717.56507999999997</v>
      </c>
      <c r="R100" s="531">
        <v>474.1437235603338</v>
      </c>
      <c r="S100" s="523" t="s">
        <v>5970</v>
      </c>
      <c r="T100" s="542">
        <v>1.087</v>
      </c>
      <c r="U100" s="543">
        <v>1.0680000000000001</v>
      </c>
      <c r="V100" s="543">
        <v>1.0589999999999999</v>
      </c>
      <c r="W100" s="543">
        <v>1.0580000000000001</v>
      </c>
      <c r="X100" s="544">
        <v>0.9</v>
      </c>
      <c r="Y100" s="526">
        <v>555.05362076570032</v>
      </c>
      <c r="Z100" s="531">
        <f t="shared" si="44"/>
        <v>654.96327250352635</v>
      </c>
      <c r="AA100" s="531">
        <v>580.22082821578215</v>
      </c>
      <c r="AB100" s="532">
        <f t="shared" si="45"/>
        <v>684.66057729462295</v>
      </c>
      <c r="AC100" s="492">
        <f t="shared" si="46"/>
        <v>555.05362076570032</v>
      </c>
      <c r="AD100" s="493">
        <f t="shared" si="47"/>
        <v>654.96327250352635</v>
      </c>
      <c r="AE100" s="494" t="s">
        <v>1775</v>
      </c>
      <c r="AF100" s="534" t="s">
        <v>83</v>
      </c>
      <c r="AG100" s="534" t="s">
        <v>211</v>
      </c>
      <c r="AH100" s="534" t="s">
        <v>545</v>
      </c>
      <c r="AI100" s="533">
        <v>41649</v>
      </c>
      <c r="AJ100" s="533">
        <v>41684</v>
      </c>
      <c r="AK100" s="534" t="s">
        <v>96</v>
      </c>
      <c r="AL100" s="534" t="s">
        <v>96</v>
      </c>
      <c r="AM100" s="525" t="s">
        <v>6000</v>
      </c>
      <c r="AN100" s="525" t="s">
        <v>1757</v>
      </c>
      <c r="AO100" s="534">
        <v>796</v>
      </c>
      <c r="AP100" s="534" t="s">
        <v>368</v>
      </c>
      <c r="AQ100" s="534">
        <v>1</v>
      </c>
      <c r="AR100" s="534">
        <v>46</v>
      </c>
      <c r="AS100" s="525" t="s">
        <v>605</v>
      </c>
      <c r="AT100" s="533">
        <v>41704</v>
      </c>
      <c r="AU100" s="533">
        <v>41704</v>
      </c>
      <c r="AV100" s="533">
        <v>41820</v>
      </c>
      <c r="AW100" s="534">
        <v>2014</v>
      </c>
      <c r="AX100" s="525"/>
      <c r="AY100" s="534" t="s">
        <v>186</v>
      </c>
      <c r="AZ100" s="534"/>
      <c r="BA100" s="534">
        <v>2014</v>
      </c>
      <c r="BB100" s="534" t="s">
        <v>6011</v>
      </c>
      <c r="BC100" s="525" t="s">
        <v>6012</v>
      </c>
      <c r="BD100" s="525" t="s">
        <v>1818</v>
      </c>
      <c r="BE100" s="545">
        <v>41850</v>
      </c>
      <c r="BF100" s="546">
        <v>717.56507999999997</v>
      </c>
      <c r="BG100" s="488">
        <v>684.66057729462295</v>
      </c>
      <c r="BH100" s="532">
        <v>1.4999999999999999E-2</v>
      </c>
      <c r="BI100" s="532">
        <v>0.32</v>
      </c>
      <c r="BJ100" s="534" t="s">
        <v>1465</v>
      </c>
      <c r="BK100" s="523"/>
    </row>
    <row r="101" spans="1:63" ht="112.5">
      <c r="A101" s="523">
        <v>1</v>
      </c>
      <c r="B101" s="534" t="s">
        <v>6013</v>
      </c>
      <c r="C101" s="523" t="s">
        <v>7247</v>
      </c>
      <c r="D101" s="523" t="s">
        <v>235</v>
      </c>
      <c r="E101" s="534" t="s">
        <v>5853</v>
      </c>
      <c r="F101" s="523" t="s">
        <v>5297</v>
      </c>
      <c r="G101" s="523" t="s">
        <v>5298</v>
      </c>
      <c r="H101" s="524">
        <v>842807</v>
      </c>
      <c r="I101" s="525" t="s">
        <v>6014</v>
      </c>
      <c r="J101" s="525" t="s">
        <v>5999</v>
      </c>
      <c r="K101" s="525" t="s">
        <v>5999</v>
      </c>
      <c r="L101" s="525" t="s">
        <v>5004</v>
      </c>
      <c r="M101" s="541" t="s">
        <v>1755</v>
      </c>
      <c r="N101" s="525" t="s">
        <v>1773</v>
      </c>
      <c r="O101" s="525" t="s">
        <v>2234</v>
      </c>
      <c r="P101" s="531">
        <v>665.11599999999999</v>
      </c>
      <c r="Q101" s="531">
        <f t="shared" si="48"/>
        <v>784.83687999999995</v>
      </c>
      <c r="R101" s="531">
        <v>518.59470508147012</v>
      </c>
      <c r="S101" s="523" t="s">
        <v>5970</v>
      </c>
      <c r="T101" s="542">
        <v>1.087</v>
      </c>
      <c r="U101" s="543">
        <v>1.0680000000000001</v>
      </c>
      <c r="V101" s="543">
        <v>1.0589999999999999</v>
      </c>
      <c r="W101" s="543">
        <v>1.0580000000000001</v>
      </c>
      <c r="X101" s="544">
        <v>0.9</v>
      </c>
      <c r="Y101" s="526">
        <v>607.08990641898174</v>
      </c>
      <c r="Z101" s="531">
        <f t="shared" si="44"/>
        <v>716.36608957439842</v>
      </c>
      <c r="AA101" s="531">
        <v>634.61653940374538</v>
      </c>
      <c r="AB101" s="532">
        <f t="shared" si="45"/>
        <v>748.84751649641953</v>
      </c>
      <c r="AC101" s="492">
        <f t="shared" si="46"/>
        <v>607.08990641898174</v>
      </c>
      <c r="AD101" s="493">
        <f t="shared" si="47"/>
        <v>716.36608957439842</v>
      </c>
      <c r="AE101" s="494" t="s">
        <v>1775</v>
      </c>
      <c r="AF101" s="534" t="s">
        <v>83</v>
      </c>
      <c r="AG101" s="534" t="s">
        <v>211</v>
      </c>
      <c r="AH101" s="534" t="s">
        <v>545</v>
      </c>
      <c r="AI101" s="533">
        <v>41649</v>
      </c>
      <c r="AJ101" s="533">
        <v>41684</v>
      </c>
      <c r="AK101" s="534" t="s">
        <v>96</v>
      </c>
      <c r="AL101" s="534" t="s">
        <v>96</v>
      </c>
      <c r="AM101" s="525" t="s">
        <v>6000</v>
      </c>
      <c r="AN101" s="525" t="s">
        <v>1757</v>
      </c>
      <c r="AO101" s="534">
        <v>796</v>
      </c>
      <c r="AP101" s="534" t="s">
        <v>368</v>
      </c>
      <c r="AQ101" s="534">
        <v>1</v>
      </c>
      <c r="AR101" s="534">
        <v>46</v>
      </c>
      <c r="AS101" s="525" t="s">
        <v>605</v>
      </c>
      <c r="AT101" s="533">
        <v>41704</v>
      </c>
      <c r="AU101" s="533">
        <v>41704</v>
      </c>
      <c r="AV101" s="533">
        <v>41820</v>
      </c>
      <c r="AW101" s="534">
        <v>2014</v>
      </c>
      <c r="AX101" s="525"/>
      <c r="AY101" s="534" t="s">
        <v>186</v>
      </c>
      <c r="AZ101" s="534"/>
      <c r="BA101" s="534">
        <v>2014</v>
      </c>
      <c r="BB101" s="534" t="s">
        <v>6015</v>
      </c>
      <c r="BC101" s="525" t="s">
        <v>6016</v>
      </c>
      <c r="BD101" s="525" t="s">
        <v>1818</v>
      </c>
      <c r="BE101" s="545">
        <v>41850</v>
      </c>
      <c r="BF101" s="546">
        <v>784.83687999999995</v>
      </c>
      <c r="BG101" s="488">
        <v>748.84751649641953</v>
      </c>
      <c r="BH101" s="532">
        <v>1.4999999999999999E-2</v>
      </c>
      <c r="BI101" s="532">
        <v>0.35</v>
      </c>
      <c r="BJ101" s="534" t="s">
        <v>1465</v>
      </c>
      <c r="BK101" s="523"/>
    </row>
    <row r="102" spans="1:63" ht="112.5">
      <c r="A102" s="523">
        <v>1</v>
      </c>
      <c r="B102" s="534" t="s">
        <v>6017</v>
      </c>
      <c r="C102" s="523" t="s">
        <v>7247</v>
      </c>
      <c r="D102" s="523" t="s">
        <v>235</v>
      </c>
      <c r="E102" s="534" t="s">
        <v>5853</v>
      </c>
      <c r="F102" s="523" t="s">
        <v>5297</v>
      </c>
      <c r="G102" s="523" t="s">
        <v>5298</v>
      </c>
      <c r="H102" s="524">
        <v>842808</v>
      </c>
      <c r="I102" s="525" t="s">
        <v>6018</v>
      </c>
      <c r="J102" s="525" t="s">
        <v>5999</v>
      </c>
      <c r="K102" s="525" t="s">
        <v>5999</v>
      </c>
      <c r="L102" s="525" t="s">
        <v>5004</v>
      </c>
      <c r="M102" s="541" t="s">
        <v>1755</v>
      </c>
      <c r="N102" s="525" t="s">
        <v>1773</v>
      </c>
      <c r="O102" s="525" t="s">
        <v>2234</v>
      </c>
      <c r="P102" s="531">
        <v>608.10599999999999</v>
      </c>
      <c r="Q102" s="531">
        <f t="shared" si="48"/>
        <v>717.56507999999997</v>
      </c>
      <c r="R102" s="531">
        <v>474.1437235603338</v>
      </c>
      <c r="S102" s="523" t="s">
        <v>5970</v>
      </c>
      <c r="T102" s="542">
        <v>1.087</v>
      </c>
      <c r="U102" s="543">
        <v>1.0680000000000001</v>
      </c>
      <c r="V102" s="543">
        <v>1.0589999999999999</v>
      </c>
      <c r="W102" s="543">
        <v>1.0580000000000001</v>
      </c>
      <c r="X102" s="544">
        <v>0.9</v>
      </c>
      <c r="Y102" s="526">
        <v>555.05362076570032</v>
      </c>
      <c r="Z102" s="531">
        <f t="shared" si="44"/>
        <v>654.96327250352635</v>
      </c>
      <c r="AA102" s="531">
        <v>580.22082821578215</v>
      </c>
      <c r="AB102" s="532">
        <f t="shared" si="45"/>
        <v>684.66057729462295</v>
      </c>
      <c r="AC102" s="492">
        <f t="shared" si="46"/>
        <v>555.05362076570032</v>
      </c>
      <c r="AD102" s="493">
        <f t="shared" si="47"/>
        <v>654.96327250352635</v>
      </c>
      <c r="AE102" s="494" t="s">
        <v>1775</v>
      </c>
      <c r="AF102" s="534" t="s">
        <v>83</v>
      </c>
      <c r="AG102" s="534" t="s">
        <v>211</v>
      </c>
      <c r="AH102" s="534" t="s">
        <v>545</v>
      </c>
      <c r="AI102" s="533">
        <v>41649</v>
      </c>
      <c r="AJ102" s="533">
        <v>41684</v>
      </c>
      <c r="AK102" s="534" t="s">
        <v>96</v>
      </c>
      <c r="AL102" s="534" t="s">
        <v>96</v>
      </c>
      <c r="AM102" s="525" t="s">
        <v>6000</v>
      </c>
      <c r="AN102" s="525" t="s">
        <v>1757</v>
      </c>
      <c r="AO102" s="534">
        <v>796</v>
      </c>
      <c r="AP102" s="534" t="s">
        <v>368</v>
      </c>
      <c r="AQ102" s="534">
        <v>1</v>
      </c>
      <c r="AR102" s="534">
        <v>46</v>
      </c>
      <c r="AS102" s="525" t="s">
        <v>605</v>
      </c>
      <c r="AT102" s="533">
        <v>41704</v>
      </c>
      <c r="AU102" s="533">
        <v>41704</v>
      </c>
      <c r="AV102" s="533">
        <v>41820</v>
      </c>
      <c r="AW102" s="534">
        <v>2014</v>
      </c>
      <c r="AX102" s="525"/>
      <c r="AY102" s="534" t="s">
        <v>186</v>
      </c>
      <c r="AZ102" s="534"/>
      <c r="BA102" s="534">
        <v>2014</v>
      </c>
      <c r="BB102" s="534" t="s">
        <v>6019</v>
      </c>
      <c r="BC102" s="525" t="s">
        <v>6020</v>
      </c>
      <c r="BD102" s="525" t="s">
        <v>1818</v>
      </c>
      <c r="BE102" s="545">
        <v>41850</v>
      </c>
      <c r="BF102" s="546">
        <v>717.56507999999997</v>
      </c>
      <c r="BG102" s="488">
        <v>684.66057729462295</v>
      </c>
      <c r="BH102" s="532">
        <v>1.4999999999999999E-2</v>
      </c>
      <c r="BI102" s="532">
        <v>0.32</v>
      </c>
      <c r="BJ102" s="534" t="s">
        <v>1465</v>
      </c>
      <c r="BK102" s="523"/>
    </row>
    <row r="103" spans="1:63" ht="112.5">
      <c r="A103" s="523">
        <v>1</v>
      </c>
      <c r="B103" s="534" t="s">
        <v>6021</v>
      </c>
      <c r="C103" s="523" t="s">
        <v>7247</v>
      </c>
      <c r="D103" s="523" t="s">
        <v>235</v>
      </c>
      <c r="E103" s="534" t="s">
        <v>5853</v>
      </c>
      <c r="F103" s="523" t="s">
        <v>5297</v>
      </c>
      <c r="G103" s="523" t="s">
        <v>5298</v>
      </c>
      <c r="H103" s="524">
        <v>842809</v>
      </c>
      <c r="I103" s="525" t="s">
        <v>6022</v>
      </c>
      <c r="J103" s="525" t="s">
        <v>5999</v>
      </c>
      <c r="K103" s="525" t="s">
        <v>5999</v>
      </c>
      <c r="L103" s="525" t="s">
        <v>5004</v>
      </c>
      <c r="M103" s="541" t="s">
        <v>1755</v>
      </c>
      <c r="N103" s="525" t="s">
        <v>1773</v>
      </c>
      <c r="O103" s="525" t="s">
        <v>2234</v>
      </c>
      <c r="P103" s="531">
        <v>665.11599999999999</v>
      </c>
      <c r="Q103" s="531">
        <f t="shared" si="48"/>
        <v>784.83687999999995</v>
      </c>
      <c r="R103" s="531">
        <v>518.59470508147012</v>
      </c>
      <c r="S103" s="523" t="s">
        <v>5970</v>
      </c>
      <c r="T103" s="542">
        <v>1.087</v>
      </c>
      <c r="U103" s="543">
        <v>1.0680000000000001</v>
      </c>
      <c r="V103" s="543">
        <v>1.0589999999999999</v>
      </c>
      <c r="W103" s="543">
        <v>1.0580000000000001</v>
      </c>
      <c r="X103" s="544">
        <v>0.9</v>
      </c>
      <c r="Y103" s="526">
        <v>607.08990641898174</v>
      </c>
      <c r="Z103" s="531">
        <f t="shared" si="44"/>
        <v>716.36608957439842</v>
      </c>
      <c r="AA103" s="531">
        <v>634.61653940374538</v>
      </c>
      <c r="AB103" s="532">
        <f t="shared" si="45"/>
        <v>748.84751649641953</v>
      </c>
      <c r="AC103" s="492">
        <f t="shared" si="46"/>
        <v>607.08990641898174</v>
      </c>
      <c r="AD103" s="493">
        <f t="shared" si="47"/>
        <v>716.36608957439842</v>
      </c>
      <c r="AE103" s="494" t="s">
        <v>1775</v>
      </c>
      <c r="AF103" s="534" t="s">
        <v>83</v>
      </c>
      <c r="AG103" s="534" t="s">
        <v>211</v>
      </c>
      <c r="AH103" s="534" t="s">
        <v>545</v>
      </c>
      <c r="AI103" s="533">
        <v>41649</v>
      </c>
      <c r="AJ103" s="533">
        <v>41684</v>
      </c>
      <c r="AK103" s="534" t="s">
        <v>96</v>
      </c>
      <c r="AL103" s="534" t="s">
        <v>96</v>
      </c>
      <c r="AM103" s="525" t="s">
        <v>6000</v>
      </c>
      <c r="AN103" s="525" t="s">
        <v>1757</v>
      </c>
      <c r="AO103" s="534">
        <v>796</v>
      </c>
      <c r="AP103" s="534" t="s">
        <v>368</v>
      </c>
      <c r="AQ103" s="534">
        <v>1</v>
      </c>
      <c r="AR103" s="534">
        <v>46</v>
      </c>
      <c r="AS103" s="525" t="s">
        <v>605</v>
      </c>
      <c r="AT103" s="533">
        <v>41704</v>
      </c>
      <c r="AU103" s="533">
        <v>41704</v>
      </c>
      <c r="AV103" s="533">
        <v>41820</v>
      </c>
      <c r="AW103" s="534">
        <v>2014</v>
      </c>
      <c r="AX103" s="525"/>
      <c r="AY103" s="534" t="s">
        <v>186</v>
      </c>
      <c r="AZ103" s="534"/>
      <c r="BA103" s="534">
        <v>2014</v>
      </c>
      <c r="BB103" s="534" t="s">
        <v>6023</v>
      </c>
      <c r="BC103" s="525" t="s">
        <v>6024</v>
      </c>
      <c r="BD103" s="525" t="s">
        <v>1818</v>
      </c>
      <c r="BE103" s="545">
        <v>41850</v>
      </c>
      <c r="BF103" s="546">
        <v>784.83687999999995</v>
      </c>
      <c r="BG103" s="488">
        <v>748.84751649641953</v>
      </c>
      <c r="BH103" s="532">
        <v>1.4999999999999999E-2</v>
      </c>
      <c r="BI103" s="532">
        <v>0.35</v>
      </c>
      <c r="BJ103" s="534" t="s">
        <v>1465</v>
      </c>
      <c r="BK103" s="523"/>
    </row>
    <row r="104" spans="1:63" ht="112.5">
      <c r="A104" s="647">
        <v>1</v>
      </c>
      <c r="B104" s="648" t="s">
        <v>6025</v>
      </c>
      <c r="C104" s="647" t="s">
        <v>7247</v>
      </c>
      <c r="D104" s="647" t="s">
        <v>235</v>
      </c>
      <c r="E104" s="648" t="s">
        <v>5853</v>
      </c>
      <c r="F104" s="647" t="s">
        <v>5297</v>
      </c>
      <c r="G104" s="647" t="s">
        <v>5298</v>
      </c>
      <c r="H104" s="649">
        <v>842810</v>
      </c>
      <c r="I104" s="650" t="s">
        <v>6026</v>
      </c>
      <c r="J104" s="650" t="s">
        <v>5999</v>
      </c>
      <c r="K104" s="650" t="s">
        <v>5999</v>
      </c>
      <c r="L104" s="650" t="s">
        <v>5004</v>
      </c>
      <c r="M104" s="651" t="s">
        <v>1755</v>
      </c>
      <c r="N104" s="650" t="s">
        <v>1773</v>
      </c>
      <c r="O104" s="650" t="s">
        <v>2234</v>
      </c>
      <c r="P104" s="652">
        <v>1178.2059999999999</v>
      </c>
      <c r="Q104" s="652">
        <f t="shared" si="48"/>
        <v>1390.2830799999997</v>
      </c>
      <c r="R104" s="652">
        <v>918.65347795664081</v>
      </c>
      <c r="S104" s="647" t="s">
        <v>5970</v>
      </c>
      <c r="T104" s="653">
        <v>1.087</v>
      </c>
      <c r="U104" s="654">
        <v>1.0680000000000001</v>
      </c>
      <c r="V104" s="654">
        <v>1.0589999999999999</v>
      </c>
      <c r="W104" s="654">
        <v>1.0580000000000001</v>
      </c>
      <c r="X104" s="655">
        <v>0.9</v>
      </c>
      <c r="Y104" s="656">
        <v>1075.4164061057174</v>
      </c>
      <c r="Z104" s="652">
        <f t="shared" si="44"/>
        <v>1268.9913592047465</v>
      </c>
      <c r="AA104" s="652">
        <v>1124.1778705651623</v>
      </c>
      <c r="AB104" s="657">
        <f t="shared" si="45"/>
        <v>1326.5298872668914</v>
      </c>
      <c r="AC104" s="625">
        <f t="shared" si="46"/>
        <v>1075.4164061057174</v>
      </c>
      <c r="AD104" s="626">
        <f t="shared" si="47"/>
        <v>1268.9913592047465</v>
      </c>
      <c r="AE104" s="615" t="s">
        <v>1775</v>
      </c>
      <c r="AF104" s="648" t="s">
        <v>83</v>
      </c>
      <c r="AG104" s="648" t="s">
        <v>211</v>
      </c>
      <c r="AH104" s="648" t="s">
        <v>545</v>
      </c>
      <c r="AI104" s="658">
        <v>41649</v>
      </c>
      <c r="AJ104" s="658">
        <v>41684</v>
      </c>
      <c r="AK104" s="648" t="s">
        <v>96</v>
      </c>
      <c r="AL104" s="648" t="s">
        <v>96</v>
      </c>
      <c r="AM104" s="650" t="s">
        <v>6000</v>
      </c>
      <c r="AN104" s="650" t="s">
        <v>1757</v>
      </c>
      <c r="AO104" s="648">
        <v>796</v>
      </c>
      <c r="AP104" s="648" t="s">
        <v>368</v>
      </c>
      <c r="AQ104" s="648">
        <v>1</v>
      </c>
      <c r="AR104" s="648">
        <v>46</v>
      </c>
      <c r="AS104" s="650" t="s">
        <v>605</v>
      </c>
      <c r="AT104" s="658">
        <v>41704</v>
      </c>
      <c r="AU104" s="658">
        <v>41704</v>
      </c>
      <c r="AV104" s="658">
        <v>41820</v>
      </c>
      <c r="AW104" s="648">
        <v>2014</v>
      </c>
      <c r="AX104" s="650"/>
      <c r="AY104" s="648" t="s">
        <v>186</v>
      </c>
      <c r="AZ104" s="648"/>
      <c r="BA104" s="648">
        <v>2014</v>
      </c>
      <c r="BB104" s="648" t="s">
        <v>6027</v>
      </c>
      <c r="BC104" s="650" t="s">
        <v>6028</v>
      </c>
      <c r="BD104" s="650" t="s">
        <v>1818</v>
      </c>
      <c r="BE104" s="659">
        <v>41850</v>
      </c>
      <c r="BF104" s="660">
        <v>1390.2830799999997</v>
      </c>
      <c r="BG104" s="624">
        <v>1326.5298872668914</v>
      </c>
      <c r="BH104" s="657">
        <v>1.4999999999999999E-2</v>
      </c>
      <c r="BI104" s="657">
        <v>0.62</v>
      </c>
      <c r="BJ104" s="648" t="s">
        <v>1465</v>
      </c>
      <c r="BK104" s="647"/>
    </row>
    <row r="105" spans="1:63" ht="112.5">
      <c r="A105" s="401">
        <v>1</v>
      </c>
      <c r="B105" s="494" t="s">
        <v>4781</v>
      </c>
      <c r="C105" s="401" t="s">
        <v>83</v>
      </c>
      <c r="D105" s="401" t="s">
        <v>160</v>
      </c>
      <c r="E105" s="494" t="s">
        <v>5853</v>
      </c>
      <c r="F105" s="401" t="s">
        <v>1761</v>
      </c>
      <c r="G105" s="401" t="s">
        <v>1762</v>
      </c>
      <c r="H105" s="499">
        <v>626581</v>
      </c>
      <c r="I105" s="496" t="s">
        <v>4782</v>
      </c>
      <c r="J105" s="496" t="s">
        <v>2978</v>
      </c>
      <c r="K105" s="496" t="s">
        <v>2978</v>
      </c>
      <c r="L105" s="496" t="s">
        <v>1772</v>
      </c>
      <c r="M105" s="500" t="s">
        <v>1755</v>
      </c>
      <c r="N105" s="496" t="s">
        <v>1773</v>
      </c>
      <c r="O105" s="496" t="s">
        <v>2234</v>
      </c>
      <c r="P105" s="489">
        <v>6589.576</v>
      </c>
      <c r="Q105" s="489">
        <f t="shared" si="48"/>
        <v>7775.6996799999997</v>
      </c>
      <c r="R105" s="489">
        <v>5500.2489999999998</v>
      </c>
      <c r="S105" s="401" t="s">
        <v>5970</v>
      </c>
      <c r="T105" s="501">
        <v>1.087</v>
      </c>
      <c r="U105" s="501">
        <v>1.0680000000000001</v>
      </c>
      <c r="V105" s="501">
        <v>1.0589999999999999</v>
      </c>
      <c r="W105" s="501">
        <v>1.0580000000000001</v>
      </c>
      <c r="X105" s="596">
        <v>0.9</v>
      </c>
      <c r="Y105" s="502">
        <v>5930.6180000000004</v>
      </c>
      <c r="Z105" s="489">
        <f t="shared" si="44"/>
        <v>6998.1292400000002</v>
      </c>
      <c r="AA105" s="502">
        <v>6429.598</v>
      </c>
      <c r="AB105" s="489">
        <f t="shared" si="45"/>
        <v>7586.9256399999995</v>
      </c>
      <c r="AC105" s="492">
        <f>Y105</f>
        <v>5930.6180000000004</v>
      </c>
      <c r="AD105" s="493">
        <f t="shared" si="47"/>
        <v>6998.1292400000002</v>
      </c>
      <c r="AE105" s="494" t="s">
        <v>173</v>
      </c>
      <c r="AF105" s="401" t="s">
        <v>83</v>
      </c>
      <c r="AG105" s="401" t="s">
        <v>83</v>
      </c>
      <c r="AH105" s="401" t="s">
        <v>545</v>
      </c>
      <c r="AI105" s="495">
        <v>41649</v>
      </c>
      <c r="AJ105" s="495">
        <f>AI105+40</f>
        <v>41689</v>
      </c>
      <c r="AK105" s="487"/>
      <c r="AL105" s="487"/>
      <c r="AM105" s="487" t="s">
        <v>4783</v>
      </c>
      <c r="AN105" s="487" t="s">
        <v>4784</v>
      </c>
      <c r="AO105" s="499">
        <v>796</v>
      </c>
      <c r="AP105" s="401" t="s">
        <v>368</v>
      </c>
      <c r="AQ105" s="401">
        <v>1</v>
      </c>
      <c r="AR105" s="401">
        <v>45</v>
      </c>
      <c r="AS105" s="496" t="s">
        <v>547</v>
      </c>
      <c r="AT105" s="495">
        <f t="shared" ref="AT105:AT168" si="49">AJ105+20</f>
        <v>41709</v>
      </c>
      <c r="AU105" s="495">
        <f t="shared" ref="AU105:AU168" si="50">AT105</f>
        <v>41709</v>
      </c>
      <c r="AV105" s="598">
        <v>42003</v>
      </c>
      <c r="AW105" s="548">
        <v>2014</v>
      </c>
      <c r="AX105" s="487"/>
      <c r="AY105" s="549" t="s">
        <v>186</v>
      </c>
      <c r="AZ105" s="487"/>
      <c r="BA105" s="401">
        <v>2014</v>
      </c>
      <c r="BB105" s="401" t="s">
        <v>4785</v>
      </c>
      <c r="BC105" s="487" t="s">
        <v>4786</v>
      </c>
      <c r="BD105" s="550" t="s">
        <v>1818</v>
      </c>
      <c r="BE105" s="551" t="s">
        <v>7284</v>
      </c>
      <c r="BF105" s="498">
        <f>2643.4888522*1000</f>
        <v>2643488.8522000001</v>
      </c>
      <c r="BG105" s="488">
        <v>2553200.2559428001</v>
      </c>
      <c r="BH105" s="552">
        <v>400</v>
      </c>
      <c r="BI105" s="552">
        <v>54</v>
      </c>
      <c r="BJ105" s="548" t="s">
        <v>186</v>
      </c>
      <c r="BK105" s="555"/>
    </row>
    <row r="106" spans="1:63" s="199" customFormat="1" ht="150">
      <c r="A106" s="661">
        <v>1</v>
      </c>
      <c r="B106" s="662" t="s">
        <v>4997</v>
      </c>
      <c r="C106" s="662" t="s">
        <v>83</v>
      </c>
      <c r="D106" s="662" t="s">
        <v>231</v>
      </c>
      <c r="E106" s="662" t="s">
        <v>5853</v>
      </c>
      <c r="F106" s="662" t="s">
        <v>1752</v>
      </c>
      <c r="G106" s="662" t="s">
        <v>2344</v>
      </c>
      <c r="H106" s="663">
        <v>834922</v>
      </c>
      <c r="I106" s="664" t="s">
        <v>4991</v>
      </c>
      <c r="J106" s="664" t="s">
        <v>5003</v>
      </c>
      <c r="K106" s="664" t="s">
        <v>5003</v>
      </c>
      <c r="L106" s="664" t="s">
        <v>5004</v>
      </c>
      <c r="M106" s="664" t="s">
        <v>1755</v>
      </c>
      <c r="N106" s="664" t="s">
        <v>1773</v>
      </c>
      <c r="O106" s="664" t="s">
        <v>2234</v>
      </c>
      <c r="P106" s="665">
        <v>5111.4449999999997</v>
      </c>
      <c r="Q106" s="665">
        <f t="shared" si="48"/>
        <v>6031.5050999999994</v>
      </c>
      <c r="R106" s="665">
        <v>4069.0904432487837</v>
      </c>
      <c r="S106" s="666" t="s">
        <v>1774</v>
      </c>
      <c r="T106" s="667">
        <v>1.087</v>
      </c>
      <c r="U106" s="667">
        <v>1.077</v>
      </c>
      <c r="V106" s="667">
        <v>1.073</v>
      </c>
      <c r="W106" s="668">
        <v>1.071</v>
      </c>
      <c r="X106" s="669">
        <v>0.9</v>
      </c>
      <c r="Y106" s="665">
        <v>4764.4980000000005</v>
      </c>
      <c r="Z106" s="665">
        <f t="shared" si="44"/>
        <v>5622.1076400000002</v>
      </c>
      <c r="AA106" s="670">
        <v>4851.4977334799996</v>
      </c>
      <c r="AB106" s="671">
        <f t="shared" si="45"/>
        <v>5724.7673255063992</v>
      </c>
      <c r="AC106" s="672">
        <f t="shared" ref="AC106:AC169" si="51">IF(Y106&lt;AA106,Y106,AA106)</f>
        <v>4764.4980000000005</v>
      </c>
      <c r="AD106" s="643">
        <f t="shared" si="47"/>
        <v>5622.1076400000002</v>
      </c>
      <c r="AE106" s="632" t="s">
        <v>1775</v>
      </c>
      <c r="AF106" s="662" t="s">
        <v>83</v>
      </c>
      <c r="AG106" s="671" t="s">
        <v>211</v>
      </c>
      <c r="AH106" s="671" t="s">
        <v>545</v>
      </c>
      <c r="AI106" s="673">
        <v>41654</v>
      </c>
      <c r="AJ106" s="673">
        <f t="shared" ref="AJ106:AJ169" si="52">AI106+35</f>
        <v>41689</v>
      </c>
      <c r="AK106" s="674"/>
      <c r="AL106" s="674"/>
      <c r="AM106" s="674" t="s">
        <v>5005</v>
      </c>
      <c r="AN106" s="674" t="s">
        <v>1757</v>
      </c>
      <c r="AO106" s="675">
        <v>796</v>
      </c>
      <c r="AP106" s="662" t="s">
        <v>368</v>
      </c>
      <c r="AQ106" s="662">
        <v>1</v>
      </c>
      <c r="AR106" s="662">
        <v>46</v>
      </c>
      <c r="AS106" s="664" t="s">
        <v>605</v>
      </c>
      <c r="AT106" s="673">
        <f t="shared" si="49"/>
        <v>41709</v>
      </c>
      <c r="AU106" s="673">
        <f t="shared" si="50"/>
        <v>41709</v>
      </c>
      <c r="AV106" s="673">
        <v>41820</v>
      </c>
      <c r="AW106" s="662">
        <v>2014</v>
      </c>
      <c r="AX106" s="676"/>
      <c r="AY106" s="677" t="s">
        <v>186</v>
      </c>
      <c r="AZ106" s="678"/>
      <c r="BA106" s="662">
        <v>2014</v>
      </c>
      <c r="BB106" s="671" t="s">
        <v>2271</v>
      </c>
      <c r="BC106" s="679" t="s">
        <v>2271</v>
      </c>
      <c r="BD106" s="678" t="s">
        <v>2272</v>
      </c>
      <c r="BE106" s="680" t="s">
        <v>2272</v>
      </c>
      <c r="BF106" s="665" t="s">
        <v>2272</v>
      </c>
      <c r="BG106" s="641" t="s">
        <v>2272</v>
      </c>
      <c r="BH106" s="661" t="s">
        <v>2272</v>
      </c>
      <c r="BI106" s="661" t="s">
        <v>2272</v>
      </c>
      <c r="BJ106" s="661" t="s">
        <v>1465</v>
      </c>
      <c r="BK106" s="661"/>
    </row>
    <row r="107" spans="1:63" s="199" customFormat="1" ht="150">
      <c r="A107" s="522">
        <v>1</v>
      </c>
      <c r="B107" s="523" t="s">
        <v>4998</v>
      </c>
      <c r="C107" s="523" t="s">
        <v>7247</v>
      </c>
      <c r="D107" s="523" t="s">
        <v>231</v>
      </c>
      <c r="E107" s="523" t="s">
        <v>5853</v>
      </c>
      <c r="F107" s="523" t="s">
        <v>1752</v>
      </c>
      <c r="G107" s="523" t="s">
        <v>2344</v>
      </c>
      <c r="H107" s="524">
        <v>834923</v>
      </c>
      <c r="I107" s="525" t="s">
        <v>4992</v>
      </c>
      <c r="J107" s="525" t="s">
        <v>5003</v>
      </c>
      <c r="K107" s="525" t="s">
        <v>5003</v>
      </c>
      <c r="L107" s="525" t="s">
        <v>5004</v>
      </c>
      <c r="M107" s="525" t="s">
        <v>1755</v>
      </c>
      <c r="N107" s="525" t="s">
        <v>1773</v>
      </c>
      <c r="O107" s="525" t="s">
        <v>2234</v>
      </c>
      <c r="P107" s="526">
        <v>1340.0989999999999</v>
      </c>
      <c r="Q107" s="526">
        <f t="shared" si="48"/>
        <v>1581.3168199999998</v>
      </c>
      <c r="R107" s="526">
        <v>1066.8203945682808</v>
      </c>
      <c r="S107" s="527" t="s">
        <v>1774</v>
      </c>
      <c r="T107" s="528">
        <v>1.087</v>
      </c>
      <c r="U107" s="528">
        <v>1.077</v>
      </c>
      <c r="V107" s="528">
        <v>1.073</v>
      </c>
      <c r="W107" s="529">
        <v>1.071</v>
      </c>
      <c r="X107" s="530">
        <v>0.9</v>
      </c>
      <c r="Y107" s="526">
        <v>1249.1400000000001</v>
      </c>
      <c r="Z107" s="526">
        <f t="shared" si="44"/>
        <v>1473.9852000000001</v>
      </c>
      <c r="AA107" s="531">
        <v>1271.9492964000001</v>
      </c>
      <c r="AB107" s="532">
        <v>1500.900169752</v>
      </c>
      <c r="AC107" s="514">
        <f t="shared" si="51"/>
        <v>1249.1400000000001</v>
      </c>
      <c r="AD107" s="493">
        <f t="shared" si="47"/>
        <v>1473.9852000000001</v>
      </c>
      <c r="AE107" s="494" t="s">
        <v>1775</v>
      </c>
      <c r="AF107" s="523" t="s">
        <v>83</v>
      </c>
      <c r="AG107" s="523" t="s">
        <v>211</v>
      </c>
      <c r="AH107" s="523" t="s">
        <v>545</v>
      </c>
      <c r="AI107" s="533">
        <v>41654</v>
      </c>
      <c r="AJ107" s="533">
        <f t="shared" si="52"/>
        <v>41689</v>
      </c>
      <c r="AK107" s="534" t="s">
        <v>132</v>
      </c>
      <c r="AL107" s="534" t="s">
        <v>132</v>
      </c>
      <c r="AM107" s="535" t="s">
        <v>5005</v>
      </c>
      <c r="AN107" s="535" t="s">
        <v>1757</v>
      </c>
      <c r="AO107" s="524">
        <v>796</v>
      </c>
      <c r="AP107" s="523" t="s">
        <v>368</v>
      </c>
      <c r="AQ107" s="523">
        <v>1</v>
      </c>
      <c r="AR107" s="523">
        <v>46</v>
      </c>
      <c r="AS107" s="525" t="s">
        <v>605</v>
      </c>
      <c r="AT107" s="533">
        <f t="shared" si="49"/>
        <v>41709</v>
      </c>
      <c r="AU107" s="533">
        <f t="shared" si="50"/>
        <v>41709</v>
      </c>
      <c r="AV107" s="533">
        <v>41820</v>
      </c>
      <c r="AW107" s="523">
        <v>2014</v>
      </c>
      <c r="AX107" s="534"/>
      <c r="AY107" s="535" t="s">
        <v>186</v>
      </c>
      <c r="AZ107" s="534"/>
      <c r="BA107" s="523">
        <v>2014</v>
      </c>
      <c r="BB107" s="523" t="s">
        <v>5006</v>
      </c>
      <c r="BC107" s="536" t="s">
        <v>5011</v>
      </c>
      <c r="BD107" s="537" t="s">
        <v>1818</v>
      </c>
      <c r="BE107" s="538">
        <f>AV107+30</f>
        <v>41850</v>
      </c>
      <c r="BF107" s="539">
        <v>1620.8668327999997</v>
      </c>
      <c r="BG107" s="488">
        <v>1588.4494961439996</v>
      </c>
      <c r="BH107" s="526"/>
      <c r="BI107" s="540">
        <v>0.72</v>
      </c>
      <c r="BJ107" s="522" t="s">
        <v>5016</v>
      </c>
      <c r="BK107" s="523"/>
    </row>
    <row r="108" spans="1:63" s="199" customFormat="1" ht="150">
      <c r="A108" s="522">
        <v>1</v>
      </c>
      <c r="B108" s="523" t="s">
        <v>4999</v>
      </c>
      <c r="C108" s="523" t="s">
        <v>7247</v>
      </c>
      <c r="D108" s="523" t="s">
        <v>231</v>
      </c>
      <c r="E108" s="523" t="s">
        <v>5853</v>
      </c>
      <c r="F108" s="523" t="s">
        <v>1752</v>
      </c>
      <c r="G108" s="523" t="s">
        <v>2344</v>
      </c>
      <c r="H108" s="524">
        <v>834924</v>
      </c>
      <c r="I108" s="525" t="s">
        <v>4993</v>
      </c>
      <c r="J108" s="525" t="s">
        <v>5003</v>
      </c>
      <c r="K108" s="525" t="s">
        <v>5003</v>
      </c>
      <c r="L108" s="525" t="s">
        <v>5004</v>
      </c>
      <c r="M108" s="525" t="s">
        <v>1755</v>
      </c>
      <c r="N108" s="525" t="s">
        <v>1773</v>
      </c>
      <c r="O108" s="525" t="s">
        <v>2234</v>
      </c>
      <c r="P108" s="526">
        <v>1041.5709999999999</v>
      </c>
      <c r="Q108" s="526">
        <f t="shared" si="48"/>
        <v>1229.0537799999997</v>
      </c>
      <c r="R108" s="526">
        <v>829.16986933128362</v>
      </c>
      <c r="S108" s="527" t="s">
        <v>1774</v>
      </c>
      <c r="T108" s="528">
        <v>1.087</v>
      </c>
      <c r="U108" s="528">
        <v>1.077</v>
      </c>
      <c r="V108" s="528">
        <v>1.073</v>
      </c>
      <c r="W108" s="529">
        <v>1.071</v>
      </c>
      <c r="X108" s="530">
        <v>0.9</v>
      </c>
      <c r="Y108" s="526">
        <v>970.875</v>
      </c>
      <c r="Z108" s="526">
        <f t="shared" si="44"/>
        <v>1145.6324999999999</v>
      </c>
      <c r="AA108" s="531">
        <v>988.6031774999999</v>
      </c>
      <c r="AB108" s="532">
        <v>1166.5517494499998</v>
      </c>
      <c r="AC108" s="514">
        <f t="shared" si="51"/>
        <v>970.875</v>
      </c>
      <c r="AD108" s="493">
        <f t="shared" si="47"/>
        <v>1145.6324999999999</v>
      </c>
      <c r="AE108" s="494" t="s">
        <v>1775</v>
      </c>
      <c r="AF108" s="523" t="s">
        <v>83</v>
      </c>
      <c r="AG108" s="523" t="s">
        <v>211</v>
      </c>
      <c r="AH108" s="523" t="s">
        <v>545</v>
      </c>
      <c r="AI108" s="533">
        <v>41654</v>
      </c>
      <c r="AJ108" s="533">
        <f t="shared" si="52"/>
        <v>41689</v>
      </c>
      <c r="AK108" s="534" t="s">
        <v>132</v>
      </c>
      <c r="AL108" s="534" t="s">
        <v>132</v>
      </c>
      <c r="AM108" s="535" t="s">
        <v>5005</v>
      </c>
      <c r="AN108" s="535" t="s">
        <v>1757</v>
      </c>
      <c r="AO108" s="524">
        <v>796</v>
      </c>
      <c r="AP108" s="523" t="s">
        <v>368</v>
      </c>
      <c r="AQ108" s="523">
        <v>1</v>
      </c>
      <c r="AR108" s="523">
        <v>46</v>
      </c>
      <c r="AS108" s="525" t="s">
        <v>605</v>
      </c>
      <c r="AT108" s="533">
        <f t="shared" si="49"/>
        <v>41709</v>
      </c>
      <c r="AU108" s="533">
        <f t="shared" si="50"/>
        <v>41709</v>
      </c>
      <c r="AV108" s="533">
        <v>41820</v>
      </c>
      <c r="AW108" s="523">
        <v>2014</v>
      </c>
      <c r="AX108" s="534"/>
      <c r="AY108" s="535" t="s">
        <v>186</v>
      </c>
      <c r="AZ108" s="534"/>
      <c r="BA108" s="523">
        <v>2014</v>
      </c>
      <c r="BB108" s="523" t="s">
        <v>5007</v>
      </c>
      <c r="BC108" s="536" t="s">
        <v>5012</v>
      </c>
      <c r="BD108" s="537" t="s">
        <v>1818</v>
      </c>
      <c r="BE108" s="538">
        <f>AV108+30</f>
        <v>41850</v>
      </c>
      <c r="BF108" s="539">
        <v>1260.0771009999999</v>
      </c>
      <c r="BG108" s="488">
        <v>1234.8755589799998</v>
      </c>
      <c r="BH108" s="526">
        <v>0.04</v>
      </c>
      <c r="BI108" s="540">
        <v>0.37</v>
      </c>
      <c r="BJ108" s="522" t="s">
        <v>5016</v>
      </c>
      <c r="BK108" s="523"/>
    </row>
    <row r="109" spans="1:63" s="199" customFormat="1" ht="150">
      <c r="A109" s="522">
        <v>1</v>
      </c>
      <c r="B109" s="523" t="s">
        <v>5000</v>
      </c>
      <c r="C109" s="523" t="s">
        <v>7247</v>
      </c>
      <c r="D109" s="523" t="s">
        <v>231</v>
      </c>
      <c r="E109" s="523" t="s">
        <v>5853</v>
      </c>
      <c r="F109" s="523" t="s">
        <v>1752</v>
      </c>
      <c r="G109" s="523" t="s">
        <v>2344</v>
      </c>
      <c r="H109" s="524">
        <v>834925</v>
      </c>
      <c r="I109" s="525" t="s">
        <v>4994</v>
      </c>
      <c r="J109" s="525" t="s">
        <v>5003</v>
      </c>
      <c r="K109" s="525" t="s">
        <v>5003</v>
      </c>
      <c r="L109" s="525" t="s">
        <v>5004</v>
      </c>
      <c r="M109" s="525" t="s">
        <v>1755</v>
      </c>
      <c r="N109" s="525" t="s">
        <v>1773</v>
      </c>
      <c r="O109" s="525" t="s">
        <v>2234</v>
      </c>
      <c r="P109" s="526">
        <v>1023.686</v>
      </c>
      <c r="Q109" s="526">
        <f t="shared" si="48"/>
        <v>1207.94948</v>
      </c>
      <c r="R109" s="526">
        <v>814.93039542232464</v>
      </c>
      <c r="S109" s="527" t="s">
        <v>1774</v>
      </c>
      <c r="T109" s="528">
        <v>1.087</v>
      </c>
      <c r="U109" s="528">
        <v>1.077</v>
      </c>
      <c r="V109" s="528">
        <v>1.073</v>
      </c>
      <c r="W109" s="529">
        <v>1.071</v>
      </c>
      <c r="X109" s="530">
        <v>0.9</v>
      </c>
      <c r="Y109" s="526">
        <v>954.202</v>
      </c>
      <c r="Z109" s="526">
        <f t="shared" si="44"/>
        <v>1125.9583599999999</v>
      </c>
      <c r="AA109" s="531">
        <v>971.62572851999994</v>
      </c>
      <c r="AB109" s="532">
        <v>1146.5183596535999</v>
      </c>
      <c r="AC109" s="514">
        <f t="shared" si="51"/>
        <v>954.202</v>
      </c>
      <c r="AD109" s="493">
        <f t="shared" si="47"/>
        <v>1125.9583599999999</v>
      </c>
      <c r="AE109" s="494" t="s">
        <v>1775</v>
      </c>
      <c r="AF109" s="523" t="s">
        <v>83</v>
      </c>
      <c r="AG109" s="523" t="s">
        <v>211</v>
      </c>
      <c r="AH109" s="523" t="s">
        <v>545</v>
      </c>
      <c r="AI109" s="533">
        <v>41654</v>
      </c>
      <c r="AJ109" s="533">
        <f t="shared" si="52"/>
        <v>41689</v>
      </c>
      <c r="AK109" s="534" t="s">
        <v>132</v>
      </c>
      <c r="AL109" s="534" t="s">
        <v>132</v>
      </c>
      <c r="AM109" s="535" t="s">
        <v>5005</v>
      </c>
      <c r="AN109" s="535" t="s">
        <v>1757</v>
      </c>
      <c r="AO109" s="524">
        <v>796</v>
      </c>
      <c r="AP109" s="523" t="s">
        <v>368</v>
      </c>
      <c r="AQ109" s="523">
        <v>1</v>
      </c>
      <c r="AR109" s="523">
        <v>46</v>
      </c>
      <c r="AS109" s="525" t="s">
        <v>605</v>
      </c>
      <c r="AT109" s="533">
        <f t="shared" si="49"/>
        <v>41709</v>
      </c>
      <c r="AU109" s="533">
        <f t="shared" si="50"/>
        <v>41709</v>
      </c>
      <c r="AV109" s="533">
        <v>41820</v>
      </c>
      <c r="AW109" s="523">
        <v>2014</v>
      </c>
      <c r="AX109" s="534"/>
      <c r="AY109" s="535" t="s">
        <v>186</v>
      </c>
      <c r="AZ109" s="534"/>
      <c r="BA109" s="523">
        <v>2014</v>
      </c>
      <c r="BB109" s="523" t="s">
        <v>5008</v>
      </c>
      <c r="BC109" s="536" t="s">
        <v>5013</v>
      </c>
      <c r="BD109" s="537" t="s">
        <v>1818</v>
      </c>
      <c r="BE109" s="538">
        <f>AV109+30</f>
        <v>41850</v>
      </c>
      <c r="BF109" s="539">
        <v>1238.1621645999999</v>
      </c>
      <c r="BG109" s="488">
        <v>1213.3989213079999</v>
      </c>
      <c r="BH109" s="526"/>
      <c r="BI109" s="540">
        <v>0.55000000000000004</v>
      </c>
      <c r="BJ109" s="522" t="s">
        <v>5016</v>
      </c>
      <c r="BK109" s="523"/>
    </row>
    <row r="110" spans="1:63" s="199" customFormat="1" ht="150">
      <c r="A110" s="522">
        <v>1</v>
      </c>
      <c r="B110" s="523" t="s">
        <v>5001</v>
      </c>
      <c r="C110" s="523" t="s">
        <v>7247</v>
      </c>
      <c r="D110" s="523" t="s">
        <v>231</v>
      </c>
      <c r="E110" s="523" t="s">
        <v>5853</v>
      </c>
      <c r="F110" s="523" t="s">
        <v>1752</v>
      </c>
      <c r="G110" s="523" t="s">
        <v>2344</v>
      </c>
      <c r="H110" s="524">
        <v>834926</v>
      </c>
      <c r="I110" s="525" t="s">
        <v>4995</v>
      </c>
      <c r="J110" s="525" t="s">
        <v>5003</v>
      </c>
      <c r="K110" s="525" t="s">
        <v>5003</v>
      </c>
      <c r="L110" s="525" t="s">
        <v>5004</v>
      </c>
      <c r="M110" s="525" t="s">
        <v>1755</v>
      </c>
      <c r="N110" s="525" t="s">
        <v>1773</v>
      </c>
      <c r="O110" s="525" t="s">
        <v>2234</v>
      </c>
      <c r="P110" s="526">
        <v>868.52700000000004</v>
      </c>
      <c r="Q110" s="526">
        <f t="shared" si="48"/>
        <v>1024.86186</v>
      </c>
      <c r="R110" s="526">
        <v>691.41002647536084</v>
      </c>
      <c r="S110" s="527" t="s">
        <v>1774</v>
      </c>
      <c r="T110" s="528">
        <v>1.087</v>
      </c>
      <c r="U110" s="528">
        <v>1.077</v>
      </c>
      <c r="V110" s="528">
        <v>1.073</v>
      </c>
      <c r="W110" s="529">
        <v>1.071</v>
      </c>
      <c r="X110" s="530">
        <v>0.9</v>
      </c>
      <c r="Y110" s="526">
        <v>809.572</v>
      </c>
      <c r="Z110" s="526">
        <f t="shared" si="44"/>
        <v>955.29495999999995</v>
      </c>
      <c r="AA110" s="531">
        <v>824.35478472</v>
      </c>
      <c r="AB110" s="532">
        <v>972.73864596959993</v>
      </c>
      <c r="AC110" s="514">
        <f t="shared" si="51"/>
        <v>809.572</v>
      </c>
      <c r="AD110" s="493">
        <f t="shared" si="47"/>
        <v>955.29495999999995</v>
      </c>
      <c r="AE110" s="494" t="s">
        <v>1775</v>
      </c>
      <c r="AF110" s="523" t="s">
        <v>83</v>
      </c>
      <c r="AG110" s="523" t="s">
        <v>211</v>
      </c>
      <c r="AH110" s="523" t="s">
        <v>545</v>
      </c>
      <c r="AI110" s="533">
        <v>41654</v>
      </c>
      <c r="AJ110" s="533">
        <f t="shared" si="52"/>
        <v>41689</v>
      </c>
      <c r="AK110" s="534" t="s">
        <v>132</v>
      </c>
      <c r="AL110" s="534" t="s">
        <v>132</v>
      </c>
      <c r="AM110" s="535" t="s">
        <v>5005</v>
      </c>
      <c r="AN110" s="535" t="s">
        <v>1757</v>
      </c>
      <c r="AO110" s="524">
        <v>796</v>
      </c>
      <c r="AP110" s="523" t="s">
        <v>368</v>
      </c>
      <c r="AQ110" s="523">
        <v>1</v>
      </c>
      <c r="AR110" s="523">
        <v>46</v>
      </c>
      <c r="AS110" s="525" t="s">
        <v>605</v>
      </c>
      <c r="AT110" s="533">
        <f t="shared" si="49"/>
        <v>41709</v>
      </c>
      <c r="AU110" s="533">
        <f t="shared" si="50"/>
        <v>41709</v>
      </c>
      <c r="AV110" s="533">
        <v>41820</v>
      </c>
      <c r="AW110" s="523">
        <v>2014</v>
      </c>
      <c r="AX110" s="534"/>
      <c r="AY110" s="535" t="s">
        <v>186</v>
      </c>
      <c r="AZ110" s="534"/>
      <c r="BA110" s="523">
        <v>2014</v>
      </c>
      <c r="BB110" s="523" t="s">
        <v>5009</v>
      </c>
      <c r="BC110" s="536" t="s">
        <v>5014</v>
      </c>
      <c r="BD110" s="537" t="s">
        <v>1818</v>
      </c>
      <c r="BE110" s="538">
        <f>AV110+30</f>
        <v>41850</v>
      </c>
      <c r="BF110" s="539">
        <v>1051.0541193999998</v>
      </c>
      <c r="BG110" s="488">
        <v>1030.0330370119998</v>
      </c>
      <c r="BH110" s="526">
        <v>0.16</v>
      </c>
      <c r="BI110" s="540">
        <v>0.39</v>
      </c>
      <c r="BJ110" s="522" t="s">
        <v>5016</v>
      </c>
      <c r="BK110" s="523"/>
    </row>
    <row r="111" spans="1:63" s="199" customFormat="1" ht="150">
      <c r="A111" s="522">
        <v>1</v>
      </c>
      <c r="B111" s="523" t="s">
        <v>5002</v>
      </c>
      <c r="C111" s="523" t="s">
        <v>7247</v>
      </c>
      <c r="D111" s="523" t="s">
        <v>231</v>
      </c>
      <c r="E111" s="523" t="s">
        <v>5853</v>
      </c>
      <c r="F111" s="523" t="s">
        <v>1752</v>
      </c>
      <c r="G111" s="523" t="s">
        <v>2344</v>
      </c>
      <c r="H111" s="524">
        <v>834927</v>
      </c>
      <c r="I111" s="525" t="s">
        <v>4996</v>
      </c>
      <c r="J111" s="525" t="s">
        <v>5003</v>
      </c>
      <c r="K111" s="525" t="s">
        <v>5003</v>
      </c>
      <c r="L111" s="525" t="s">
        <v>5004</v>
      </c>
      <c r="M111" s="525" t="s">
        <v>1755</v>
      </c>
      <c r="N111" s="525" t="s">
        <v>1773</v>
      </c>
      <c r="O111" s="525" t="s">
        <v>2234</v>
      </c>
      <c r="P111" s="526">
        <v>837.56200000000001</v>
      </c>
      <c r="Q111" s="526">
        <f t="shared" si="48"/>
        <v>988.32315999999992</v>
      </c>
      <c r="R111" s="526">
        <v>666.75975745153301</v>
      </c>
      <c r="S111" s="527" t="s">
        <v>1774</v>
      </c>
      <c r="T111" s="528">
        <v>1.087</v>
      </c>
      <c r="U111" s="528">
        <v>1.077</v>
      </c>
      <c r="V111" s="528">
        <v>1.073</v>
      </c>
      <c r="W111" s="529">
        <v>1.071</v>
      </c>
      <c r="X111" s="530">
        <v>0.9</v>
      </c>
      <c r="Y111" s="526">
        <v>780.70899999999995</v>
      </c>
      <c r="Z111" s="526">
        <f t="shared" si="44"/>
        <v>921.2366199999999</v>
      </c>
      <c r="AA111" s="531">
        <v>794.96474633999992</v>
      </c>
      <c r="AB111" s="532">
        <v>938.05840068119983</v>
      </c>
      <c r="AC111" s="514">
        <f t="shared" si="51"/>
        <v>780.70899999999995</v>
      </c>
      <c r="AD111" s="493">
        <f t="shared" si="47"/>
        <v>921.2366199999999</v>
      </c>
      <c r="AE111" s="494" t="s">
        <v>1775</v>
      </c>
      <c r="AF111" s="523" t="s">
        <v>83</v>
      </c>
      <c r="AG111" s="523" t="s">
        <v>211</v>
      </c>
      <c r="AH111" s="523" t="s">
        <v>545</v>
      </c>
      <c r="AI111" s="533">
        <v>41654</v>
      </c>
      <c r="AJ111" s="533">
        <f t="shared" si="52"/>
        <v>41689</v>
      </c>
      <c r="AK111" s="534" t="s">
        <v>132</v>
      </c>
      <c r="AL111" s="534" t="s">
        <v>132</v>
      </c>
      <c r="AM111" s="535" t="s">
        <v>5005</v>
      </c>
      <c r="AN111" s="535" t="s">
        <v>1757</v>
      </c>
      <c r="AO111" s="524">
        <v>796</v>
      </c>
      <c r="AP111" s="523" t="s">
        <v>368</v>
      </c>
      <c r="AQ111" s="523">
        <v>1</v>
      </c>
      <c r="AR111" s="523">
        <v>46</v>
      </c>
      <c r="AS111" s="525" t="s">
        <v>605</v>
      </c>
      <c r="AT111" s="533">
        <f t="shared" si="49"/>
        <v>41709</v>
      </c>
      <c r="AU111" s="533">
        <f t="shared" si="50"/>
        <v>41709</v>
      </c>
      <c r="AV111" s="533">
        <v>41820</v>
      </c>
      <c r="AW111" s="523">
        <v>2014</v>
      </c>
      <c r="AX111" s="534"/>
      <c r="AY111" s="535" t="s">
        <v>186</v>
      </c>
      <c r="AZ111" s="534"/>
      <c r="BA111" s="523">
        <v>2014</v>
      </c>
      <c r="BB111" s="523" t="s">
        <v>5010</v>
      </c>
      <c r="BC111" s="536" t="s">
        <v>5015</v>
      </c>
      <c r="BD111" s="537" t="s">
        <v>1818</v>
      </c>
      <c r="BE111" s="538">
        <f>AV111+30</f>
        <v>41850</v>
      </c>
      <c r="BF111" s="539">
        <v>1013.0417645999999</v>
      </c>
      <c r="BG111" s="488">
        <v>992.78092930799983</v>
      </c>
      <c r="BH111" s="526"/>
      <c r="BI111" s="540">
        <v>0.45</v>
      </c>
      <c r="BJ111" s="522" t="s">
        <v>5016</v>
      </c>
      <c r="BK111" s="523"/>
    </row>
    <row r="112" spans="1:63" ht="150">
      <c r="A112" s="401">
        <v>1</v>
      </c>
      <c r="B112" s="494" t="s">
        <v>5023</v>
      </c>
      <c r="C112" s="401" t="s">
        <v>83</v>
      </c>
      <c r="D112" s="401" t="s">
        <v>231</v>
      </c>
      <c r="E112" s="494" t="s">
        <v>5853</v>
      </c>
      <c r="F112" s="401" t="s">
        <v>1752</v>
      </c>
      <c r="G112" s="401" t="s">
        <v>2344</v>
      </c>
      <c r="H112" s="499">
        <v>834928</v>
      </c>
      <c r="I112" s="496" t="s">
        <v>5024</v>
      </c>
      <c r="J112" s="496" t="s">
        <v>5003</v>
      </c>
      <c r="K112" s="496" t="s">
        <v>5003</v>
      </c>
      <c r="L112" s="496" t="s">
        <v>5025</v>
      </c>
      <c r="M112" s="500" t="s">
        <v>1755</v>
      </c>
      <c r="N112" s="496" t="s">
        <v>1773</v>
      </c>
      <c r="O112" s="496" t="s">
        <v>2234</v>
      </c>
      <c r="P112" s="489">
        <v>7665.5119999999997</v>
      </c>
      <c r="Q112" s="489">
        <v>9045.3041599999997</v>
      </c>
      <c r="R112" s="489">
        <v>5925.6469382526257</v>
      </c>
      <c r="S112" s="401" t="s">
        <v>1774</v>
      </c>
      <c r="T112" s="501">
        <v>1.087</v>
      </c>
      <c r="U112" s="501">
        <v>1.077</v>
      </c>
      <c r="V112" s="501">
        <v>1.073</v>
      </c>
      <c r="W112" s="501">
        <v>1.071</v>
      </c>
      <c r="X112" s="596">
        <v>0.9</v>
      </c>
      <c r="Y112" s="502">
        <v>6938.34</v>
      </c>
      <c r="Z112" s="489">
        <v>8187.2411999999995</v>
      </c>
      <c r="AA112" s="489">
        <v>7065.0340883999997</v>
      </c>
      <c r="AB112" s="488">
        <v>8336.7402243119996</v>
      </c>
      <c r="AC112" s="492">
        <f t="shared" si="51"/>
        <v>6938.34</v>
      </c>
      <c r="AD112" s="493">
        <f t="shared" si="47"/>
        <v>8187.2411999999995</v>
      </c>
      <c r="AE112" s="494" t="s">
        <v>1775</v>
      </c>
      <c r="AF112" s="401" t="s">
        <v>83</v>
      </c>
      <c r="AG112" s="401" t="s">
        <v>83</v>
      </c>
      <c r="AH112" s="401" t="s">
        <v>545</v>
      </c>
      <c r="AI112" s="495">
        <v>41654</v>
      </c>
      <c r="AJ112" s="495">
        <f t="shared" si="52"/>
        <v>41689</v>
      </c>
      <c r="AK112" s="487"/>
      <c r="AL112" s="487"/>
      <c r="AM112" s="487" t="s">
        <v>5005</v>
      </c>
      <c r="AN112" s="487" t="s">
        <v>4784</v>
      </c>
      <c r="AO112" s="499">
        <v>796</v>
      </c>
      <c r="AP112" s="401" t="s">
        <v>368</v>
      </c>
      <c r="AQ112" s="401">
        <v>1</v>
      </c>
      <c r="AR112" s="401">
        <v>46</v>
      </c>
      <c r="AS112" s="496" t="s">
        <v>605</v>
      </c>
      <c r="AT112" s="495">
        <f t="shared" si="49"/>
        <v>41709</v>
      </c>
      <c r="AU112" s="495">
        <f t="shared" si="50"/>
        <v>41709</v>
      </c>
      <c r="AV112" s="547">
        <v>42004</v>
      </c>
      <c r="AW112" s="548">
        <v>2014</v>
      </c>
      <c r="AX112" s="487"/>
      <c r="AY112" s="549" t="s">
        <v>186</v>
      </c>
      <c r="AZ112" s="487"/>
      <c r="BA112" s="401">
        <v>2014</v>
      </c>
      <c r="BB112" s="401" t="s">
        <v>5026</v>
      </c>
      <c r="BC112" s="487" t="s">
        <v>5027</v>
      </c>
      <c r="BD112" s="550" t="s">
        <v>1818</v>
      </c>
      <c r="BE112" s="551">
        <v>42004</v>
      </c>
      <c r="BF112" s="552">
        <v>9290.2566193999992</v>
      </c>
      <c r="BG112" s="488">
        <v>9104.4514870119983</v>
      </c>
      <c r="BH112" s="552"/>
      <c r="BI112" s="552">
        <v>1.4</v>
      </c>
      <c r="BJ112" s="548" t="s">
        <v>5016</v>
      </c>
      <c r="BK112" s="401"/>
    </row>
    <row r="113" spans="1:63" s="199" customFormat="1" ht="150">
      <c r="A113" s="554">
        <v>1</v>
      </c>
      <c r="B113" s="555" t="s">
        <v>5017</v>
      </c>
      <c r="C113" s="555" t="s">
        <v>83</v>
      </c>
      <c r="D113" s="555" t="s">
        <v>231</v>
      </c>
      <c r="E113" s="555" t="s">
        <v>5853</v>
      </c>
      <c r="F113" s="555" t="s">
        <v>1752</v>
      </c>
      <c r="G113" s="555" t="s">
        <v>2344</v>
      </c>
      <c r="H113" s="556">
        <v>834965</v>
      </c>
      <c r="I113" s="486" t="s">
        <v>5018</v>
      </c>
      <c r="J113" s="486" t="s">
        <v>5003</v>
      </c>
      <c r="K113" s="486" t="s">
        <v>5003</v>
      </c>
      <c r="L113" s="486" t="s">
        <v>5019</v>
      </c>
      <c r="M113" s="486" t="s">
        <v>1755</v>
      </c>
      <c r="N113" s="486" t="s">
        <v>1773</v>
      </c>
      <c r="O113" s="486" t="s">
        <v>2234</v>
      </c>
      <c r="P113" s="514">
        <v>1079.3086499999999</v>
      </c>
      <c r="Q113" s="514">
        <f>P113*1.18</f>
        <v>1273.5842069999999</v>
      </c>
      <c r="R113" s="514">
        <v>859.22230000000013</v>
      </c>
      <c r="S113" s="557" t="s">
        <v>1774</v>
      </c>
      <c r="T113" s="558">
        <v>1.087</v>
      </c>
      <c r="U113" s="558">
        <v>1.077</v>
      </c>
      <c r="V113" s="558">
        <v>1.073</v>
      </c>
      <c r="W113" s="559">
        <v>1.071</v>
      </c>
      <c r="X113" s="560">
        <v>0.9</v>
      </c>
      <c r="Y113" s="514">
        <v>1006.0633910700001</v>
      </c>
      <c r="Z113" s="514">
        <f>Y113*1.18</f>
        <v>1187.1548014626001</v>
      </c>
      <c r="AA113" s="492">
        <v>1028.5997001000151</v>
      </c>
      <c r="AB113" s="493">
        <f t="shared" ref="AB113:AB118" si="53">AA113*1.18</f>
        <v>1213.7476461180177</v>
      </c>
      <c r="AC113" s="514">
        <f t="shared" si="51"/>
        <v>1006.0633910700001</v>
      </c>
      <c r="AD113" s="493">
        <f t="shared" si="47"/>
        <v>1187.1548014626001</v>
      </c>
      <c r="AE113" s="494" t="s">
        <v>1775</v>
      </c>
      <c r="AF113" s="555" t="s">
        <v>231</v>
      </c>
      <c r="AG113" s="555" t="s">
        <v>231</v>
      </c>
      <c r="AH113" s="555" t="s">
        <v>545</v>
      </c>
      <c r="AI113" s="561">
        <v>41654</v>
      </c>
      <c r="AJ113" s="561">
        <f t="shared" si="52"/>
        <v>41689</v>
      </c>
      <c r="AK113" s="562"/>
      <c r="AL113" s="562"/>
      <c r="AM113" s="563" t="s">
        <v>5005</v>
      </c>
      <c r="AN113" s="563" t="s">
        <v>4784</v>
      </c>
      <c r="AO113" s="556">
        <v>796</v>
      </c>
      <c r="AP113" s="555" t="s">
        <v>368</v>
      </c>
      <c r="AQ113" s="555">
        <v>1</v>
      </c>
      <c r="AR113" s="555">
        <v>46</v>
      </c>
      <c r="AS113" s="486" t="s">
        <v>605</v>
      </c>
      <c r="AT113" s="561">
        <f t="shared" si="49"/>
        <v>41709</v>
      </c>
      <c r="AU113" s="561">
        <f t="shared" si="50"/>
        <v>41709</v>
      </c>
      <c r="AV113" s="561">
        <v>41820</v>
      </c>
      <c r="AW113" s="555">
        <v>2014</v>
      </c>
      <c r="AX113" s="562"/>
      <c r="AY113" s="563" t="s">
        <v>186</v>
      </c>
      <c r="AZ113" s="562"/>
      <c r="BA113" s="555">
        <v>2014</v>
      </c>
      <c r="BB113" s="555" t="s">
        <v>5020</v>
      </c>
      <c r="BC113" s="564" t="s">
        <v>5021</v>
      </c>
      <c r="BD113" s="565" t="s">
        <v>5022</v>
      </c>
      <c r="BE113" s="566">
        <f>AV113+30</f>
        <v>41850</v>
      </c>
      <c r="BF113" s="567">
        <v>1319.468566</v>
      </c>
      <c r="BG113" s="488">
        <v>1213.7476461180177</v>
      </c>
      <c r="BH113" s="514"/>
      <c r="BI113" s="568">
        <v>0.54</v>
      </c>
      <c r="BJ113" s="554" t="s">
        <v>1465</v>
      </c>
      <c r="BK113" s="555"/>
    </row>
    <row r="114" spans="1:63" s="199" customFormat="1" ht="150">
      <c r="A114" s="503">
        <v>1</v>
      </c>
      <c r="B114" s="504" t="s">
        <v>5043</v>
      </c>
      <c r="C114" s="504" t="s">
        <v>83</v>
      </c>
      <c r="D114" s="504" t="s">
        <v>5048</v>
      </c>
      <c r="E114" s="504" t="s">
        <v>5853</v>
      </c>
      <c r="F114" s="504" t="s">
        <v>1752</v>
      </c>
      <c r="G114" s="504" t="s">
        <v>2344</v>
      </c>
      <c r="H114" s="505">
        <v>834311</v>
      </c>
      <c r="I114" s="506" t="s">
        <v>5050</v>
      </c>
      <c r="J114" s="506" t="s">
        <v>5003</v>
      </c>
      <c r="K114" s="506" t="s">
        <v>5003</v>
      </c>
      <c r="L114" s="506" t="s">
        <v>2513</v>
      </c>
      <c r="M114" s="506" t="s">
        <v>1755</v>
      </c>
      <c r="N114" s="506" t="s">
        <v>1773</v>
      </c>
      <c r="O114" s="506" t="s">
        <v>2234</v>
      </c>
      <c r="P114" s="507">
        <v>2759.2339999999999</v>
      </c>
      <c r="Q114" s="507">
        <f>P114*1.18</f>
        <v>3255.8961199999999</v>
      </c>
      <c r="R114" s="507">
        <v>2197.5</v>
      </c>
      <c r="S114" s="508" t="s">
        <v>1774</v>
      </c>
      <c r="T114" s="509">
        <v>1.087</v>
      </c>
      <c r="U114" s="509">
        <v>1.077</v>
      </c>
      <c r="V114" s="509">
        <v>1.073</v>
      </c>
      <c r="W114" s="510">
        <v>1.071</v>
      </c>
      <c r="X114" s="511">
        <v>0.9</v>
      </c>
      <c r="Y114" s="507">
        <v>2573.058</v>
      </c>
      <c r="Z114" s="507">
        <f>Y114*1.18</f>
        <v>3036.2084399999999</v>
      </c>
      <c r="AA114" s="512">
        <v>2619.1929299399999</v>
      </c>
      <c r="AB114" s="513">
        <f t="shared" si="53"/>
        <v>3090.6476573291998</v>
      </c>
      <c r="AC114" s="514">
        <f t="shared" si="51"/>
        <v>2573.058</v>
      </c>
      <c r="AD114" s="493">
        <f t="shared" si="47"/>
        <v>3036.2084399999999</v>
      </c>
      <c r="AE114" s="494" t="s">
        <v>1775</v>
      </c>
      <c r="AF114" s="504" t="s">
        <v>231</v>
      </c>
      <c r="AG114" s="513" t="s">
        <v>231</v>
      </c>
      <c r="AH114" s="513" t="s">
        <v>545</v>
      </c>
      <c r="AI114" s="515">
        <v>41654</v>
      </c>
      <c r="AJ114" s="515">
        <f t="shared" si="52"/>
        <v>41689</v>
      </c>
      <c r="AK114" s="516"/>
      <c r="AL114" s="516"/>
      <c r="AM114" s="516" t="s">
        <v>5005</v>
      </c>
      <c r="AN114" s="516" t="s">
        <v>1757</v>
      </c>
      <c r="AO114" s="517">
        <v>796</v>
      </c>
      <c r="AP114" s="504" t="s">
        <v>368</v>
      </c>
      <c r="AQ114" s="504">
        <v>1</v>
      </c>
      <c r="AR114" s="504">
        <v>46</v>
      </c>
      <c r="AS114" s="506" t="s">
        <v>605</v>
      </c>
      <c r="AT114" s="515">
        <f t="shared" si="49"/>
        <v>41709</v>
      </c>
      <c r="AU114" s="515">
        <f t="shared" si="50"/>
        <v>41709</v>
      </c>
      <c r="AV114" s="515">
        <v>41820</v>
      </c>
      <c r="AW114" s="504" t="s">
        <v>99</v>
      </c>
      <c r="AX114" s="518"/>
      <c r="AY114" s="519" t="s">
        <v>186</v>
      </c>
      <c r="AZ114" s="520"/>
      <c r="BA114" s="504">
        <v>2014</v>
      </c>
      <c r="BB114" s="513" t="s">
        <v>2271</v>
      </c>
      <c r="BC114" s="521" t="s">
        <v>2271</v>
      </c>
      <c r="BD114" s="520" t="s">
        <v>2272</v>
      </c>
      <c r="BE114" s="553" t="s">
        <v>2272</v>
      </c>
      <c r="BF114" s="507" t="s">
        <v>2272</v>
      </c>
      <c r="BG114" s="488" t="s">
        <v>2272</v>
      </c>
      <c r="BH114" s="503" t="s">
        <v>2272</v>
      </c>
      <c r="BI114" s="503" t="s">
        <v>2272</v>
      </c>
      <c r="BJ114" s="503" t="s">
        <v>1465</v>
      </c>
      <c r="BK114" s="503"/>
    </row>
    <row r="115" spans="1:63" s="199" customFormat="1" ht="150">
      <c r="A115" s="522">
        <v>1</v>
      </c>
      <c r="B115" s="523" t="s">
        <v>5044</v>
      </c>
      <c r="C115" s="523" t="s">
        <v>7247</v>
      </c>
      <c r="D115" s="523" t="s">
        <v>5049</v>
      </c>
      <c r="E115" s="523" t="s">
        <v>5853</v>
      </c>
      <c r="F115" s="523" t="s">
        <v>1752</v>
      </c>
      <c r="G115" s="523" t="s">
        <v>2344</v>
      </c>
      <c r="H115" s="524">
        <v>834312</v>
      </c>
      <c r="I115" s="525" t="s">
        <v>5051</v>
      </c>
      <c r="J115" s="525" t="s">
        <v>5003</v>
      </c>
      <c r="K115" s="525" t="s">
        <v>5003</v>
      </c>
      <c r="L115" s="525" t="s">
        <v>5019</v>
      </c>
      <c r="M115" s="525" t="s">
        <v>1755</v>
      </c>
      <c r="N115" s="525" t="s">
        <v>1773</v>
      </c>
      <c r="O115" s="525" t="s">
        <v>2234</v>
      </c>
      <c r="P115" s="526">
        <v>707.27300000000002</v>
      </c>
      <c r="Q115" s="526">
        <v>834.58213999999998</v>
      </c>
      <c r="R115" s="526">
        <v>563.0403962763686</v>
      </c>
      <c r="S115" s="527" t="s">
        <v>1774</v>
      </c>
      <c r="T115" s="528">
        <v>1.087</v>
      </c>
      <c r="U115" s="528">
        <v>1.077</v>
      </c>
      <c r="V115" s="528">
        <v>1.073</v>
      </c>
      <c r="W115" s="529">
        <v>1.071</v>
      </c>
      <c r="X115" s="530">
        <v>0.9</v>
      </c>
      <c r="Y115" s="526">
        <v>659.26400000000001</v>
      </c>
      <c r="Z115" s="526">
        <v>777.93151999999998</v>
      </c>
      <c r="AA115" s="531">
        <v>671.08460351999997</v>
      </c>
      <c r="AB115" s="532">
        <f t="shared" si="53"/>
        <v>791.87983215359998</v>
      </c>
      <c r="AC115" s="514">
        <f t="shared" si="51"/>
        <v>659.26400000000001</v>
      </c>
      <c r="AD115" s="493">
        <f t="shared" si="47"/>
        <v>777.93151999999998</v>
      </c>
      <c r="AE115" s="523" t="s">
        <v>132</v>
      </c>
      <c r="AF115" s="523" t="s">
        <v>83</v>
      </c>
      <c r="AG115" s="523" t="s">
        <v>83</v>
      </c>
      <c r="AH115" s="523" t="s">
        <v>545</v>
      </c>
      <c r="AI115" s="533">
        <v>41654</v>
      </c>
      <c r="AJ115" s="533">
        <f t="shared" si="52"/>
        <v>41689</v>
      </c>
      <c r="AK115" s="534" t="s">
        <v>132</v>
      </c>
      <c r="AL115" s="534" t="s">
        <v>132</v>
      </c>
      <c r="AM115" s="535" t="s">
        <v>5005</v>
      </c>
      <c r="AN115" s="535" t="s">
        <v>1757</v>
      </c>
      <c r="AO115" s="524">
        <v>796</v>
      </c>
      <c r="AP115" s="523" t="s">
        <v>368</v>
      </c>
      <c r="AQ115" s="523">
        <v>1</v>
      </c>
      <c r="AR115" s="523">
        <v>46</v>
      </c>
      <c r="AS115" s="525" t="s">
        <v>605</v>
      </c>
      <c r="AT115" s="533">
        <f t="shared" si="49"/>
        <v>41709</v>
      </c>
      <c r="AU115" s="533">
        <f t="shared" si="50"/>
        <v>41709</v>
      </c>
      <c r="AV115" s="533">
        <v>41820</v>
      </c>
      <c r="AW115" s="523" t="s">
        <v>99</v>
      </c>
      <c r="AX115" s="534"/>
      <c r="AY115" s="535" t="s">
        <v>186</v>
      </c>
      <c r="AZ115" s="534"/>
      <c r="BA115" s="523">
        <v>2014</v>
      </c>
      <c r="BB115" s="523" t="s">
        <v>5055</v>
      </c>
      <c r="BC115" s="536" t="s">
        <v>5059</v>
      </c>
      <c r="BD115" s="537" t="s">
        <v>1818</v>
      </c>
      <c r="BE115" s="538">
        <f>AV115+30</f>
        <v>41850</v>
      </c>
      <c r="BF115" s="539">
        <v>855.45749639999997</v>
      </c>
      <c r="BG115" s="488">
        <v>795.57547165200003</v>
      </c>
      <c r="BH115" s="526"/>
      <c r="BI115" s="540">
        <v>0.38</v>
      </c>
      <c r="BJ115" s="522" t="s">
        <v>1465</v>
      </c>
      <c r="BK115" s="523"/>
    </row>
    <row r="116" spans="1:63" s="199" customFormat="1" ht="150">
      <c r="A116" s="522">
        <v>1</v>
      </c>
      <c r="B116" s="523" t="s">
        <v>5045</v>
      </c>
      <c r="C116" s="523" t="s">
        <v>7247</v>
      </c>
      <c r="D116" s="523" t="s">
        <v>5049</v>
      </c>
      <c r="E116" s="523" t="s">
        <v>5853</v>
      </c>
      <c r="F116" s="523" t="s">
        <v>1752</v>
      </c>
      <c r="G116" s="523" t="s">
        <v>2344</v>
      </c>
      <c r="H116" s="524">
        <v>834313</v>
      </c>
      <c r="I116" s="525" t="s">
        <v>5052</v>
      </c>
      <c r="J116" s="525" t="s">
        <v>5003</v>
      </c>
      <c r="K116" s="525" t="s">
        <v>5003</v>
      </c>
      <c r="L116" s="525" t="s">
        <v>5019</v>
      </c>
      <c r="M116" s="525" t="s">
        <v>1755</v>
      </c>
      <c r="N116" s="525" t="s">
        <v>1773</v>
      </c>
      <c r="O116" s="525" t="s">
        <v>2234</v>
      </c>
      <c r="P116" s="526">
        <v>502.536</v>
      </c>
      <c r="Q116" s="526">
        <v>592.99248</v>
      </c>
      <c r="R116" s="526">
        <v>400.05038858997352</v>
      </c>
      <c r="S116" s="527" t="s">
        <v>1774</v>
      </c>
      <c r="T116" s="528">
        <v>1.087</v>
      </c>
      <c r="U116" s="528">
        <v>1.077</v>
      </c>
      <c r="V116" s="528">
        <v>1.073</v>
      </c>
      <c r="W116" s="529">
        <v>1.071</v>
      </c>
      <c r="X116" s="530">
        <v>0.9</v>
      </c>
      <c r="Y116" s="526">
        <v>468.41899999999998</v>
      </c>
      <c r="Z116" s="526">
        <v>552.73442</v>
      </c>
      <c r="AA116" s="531">
        <v>476.81775267</v>
      </c>
      <c r="AB116" s="532">
        <f t="shared" si="53"/>
        <v>562.64494815059993</v>
      </c>
      <c r="AC116" s="514">
        <f t="shared" si="51"/>
        <v>468.41899999999998</v>
      </c>
      <c r="AD116" s="493">
        <f t="shared" si="47"/>
        <v>552.73442</v>
      </c>
      <c r="AE116" s="523" t="s">
        <v>132</v>
      </c>
      <c r="AF116" s="523" t="s">
        <v>83</v>
      </c>
      <c r="AG116" s="523" t="s">
        <v>83</v>
      </c>
      <c r="AH116" s="523" t="s">
        <v>545</v>
      </c>
      <c r="AI116" s="533">
        <v>41654</v>
      </c>
      <c r="AJ116" s="533">
        <f t="shared" si="52"/>
        <v>41689</v>
      </c>
      <c r="AK116" s="534" t="s">
        <v>132</v>
      </c>
      <c r="AL116" s="534" t="s">
        <v>132</v>
      </c>
      <c r="AM116" s="535" t="s">
        <v>5005</v>
      </c>
      <c r="AN116" s="535" t="s">
        <v>1757</v>
      </c>
      <c r="AO116" s="524">
        <v>796</v>
      </c>
      <c r="AP116" s="523" t="s">
        <v>368</v>
      </c>
      <c r="AQ116" s="523">
        <v>1</v>
      </c>
      <c r="AR116" s="523">
        <v>46</v>
      </c>
      <c r="AS116" s="525" t="s">
        <v>605</v>
      </c>
      <c r="AT116" s="533">
        <f t="shared" si="49"/>
        <v>41709</v>
      </c>
      <c r="AU116" s="533">
        <f t="shared" si="50"/>
        <v>41709</v>
      </c>
      <c r="AV116" s="533">
        <v>41820</v>
      </c>
      <c r="AW116" s="523" t="s">
        <v>99</v>
      </c>
      <c r="AX116" s="534"/>
      <c r="AY116" s="535" t="s">
        <v>186</v>
      </c>
      <c r="AZ116" s="534"/>
      <c r="BA116" s="523">
        <v>2014</v>
      </c>
      <c r="BB116" s="523" t="s">
        <v>5056</v>
      </c>
      <c r="BC116" s="536" t="s">
        <v>5060</v>
      </c>
      <c r="BD116" s="537" t="s">
        <v>1818</v>
      </c>
      <c r="BE116" s="538">
        <f>AV116+30</f>
        <v>41850</v>
      </c>
      <c r="BF116" s="539">
        <v>607.82505639999988</v>
      </c>
      <c r="BG116" s="488">
        <v>565.27730245199996</v>
      </c>
      <c r="BH116" s="526"/>
      <c r="BI116" s="540">
        <v>0.22</v>
      </c>
      <c r="BJ116" s="522" t="s">
        <v>1465</v>
      </c>
      <c r="BK116" s="523"/>
    </row>
    <row r="117" spans="1:63" s="199" customFormat="1" ht="150">
      <c r="A117" s="522">
        <v>1</v>
      </c>
      <c r="B117" s="523" t="s">
        <v>5046</v>
      </c>
      <c r="C117" s="523" t="s">
        <v>7247</v>
      </c>
      <c r="D117" s="523" t="s">
        <v>5049</v>
      </c>
      <c r="E117" s="523" t="s">
        <v>5853</v>
      </c>
      <c r="F117" s="523" t="s">
        <v>1752</v>
      </c>
      <c r="G117" s="523" t="s">
        <v>2344</v>
      </c>
      <c r="H117" s="524">
        <v>834314</v>
      </c>
      <c r="I117" s="525" t="s">
        <v>5053</v>
      </c>
      <c r="J117" s="525" t="s">
        <v>5003</v>
      </c>
      <c r="K117" s="525" t="s">
        <v>5003</v>
      </c>
      <c r="L117" s="525" t="s">
        <v>2513</v>
      </c>
      <c r="M117" s="525" t="s">
        <v>1755</v>
      </c>
      <c r="N117" s="525" t="s">
        <v>1773</v>
      </c>
      <c r="O117" s="525" t="s">
        <v>2234</v>
      </c>
      <c r="P117" s="526">
        <v>537.80499999999995</v>
      </c>
      <c r="Q117" s="526">
        <v>634.60989999999993</v>
      </c>
      <c r="R117" s="526">
        <v>428.18857289264668</v>
      </c>
      <c r="S117" s="527" t="s">
        <v>1774</v>
      </c>
      <c r="T117" s="528">
        <v>1.087</v>
      </c>
      <c r="U117" s="528">
        <v>1.077</v>
      </c>
      <c r="V117" s="528">
        <v>1.073</v>
      </c>
      <c r="W117" s="529">
        <v>1.071</v>
      </c>
      <c r="X117" s="530">
        <v>0.9</v>
      </c>
      <c r="Y117" s="526">
        <v>501.36599999999999</v>
      </c>
      <c r="Z117" s="526">
        <v>591.61187999999993</v>
      </c>
      <c r="AA117" s="531">
        <v>510.35549237999999</v>
      </c>
      <c r="AB117" s="532">
        <f t="shared" si="53"/>
        <v>602.21948100839995</v>
      </c>
      <c r="AC117" s="514">
        <f t="shared" si="51"/>
        <v>501.36599999999999</v>
      </c>
      <c r="AD117" s="493">
        <f t="shared" si="47"/>
        <v>591.61187999999993</v>
      </c>
      <c r="AE117" s="523" t="s">
        <v>132</v>
      </c>
      <c r="AF117" s="523" t="s">
        <v>83</v>
      </c>
      <c r="AG117" s="523" t="s">
        <v>83</v>
      </c>
      <c r="AH117" s="523" t="s">
        <v>545</v>
      </c>
      <c r="AI117" s="533">
        <v>41654</v>
      </c>
      <c r="AJ117" s="533">
        <f t="shared" si="52"/>
        <v>41689</v>
      </c>
      <c r="AK117" s="534" t="s">
        <v>132</v>
      </c>
      <c r="AL117" s="534" t="s">
        <v>132</v>
      </c>
      <c r="AM117" s="535" t="s">
        <v>5005</v>
      </c>
      <c r="AN117" s="535" t="s">
        <v>1757</v>
      </c>
      <c r="AO117" s="524">
        <v>796</v>
      </c>
      <c r="AP117" s="523" t="s">
        <v>368</v>
      </c>
      <c r="AQ117" s="523">
        <v>1</v>
      </c>
      <c r="AR117" s="523">
        <v>46</v>
      </c>
      <c r="AS117" s="525" t="s">
        <v>605</v>
      </c>
      <c r="AT117" s="533">
        <f t="shared" si="49"/>
        <v>41709</v>
      </c>
      <c r="AU117" s="533">
        <f t="shared" si="50"/>
        <v>41709</v>
      </c>
      <c r="AV117" s="533">
        <v>41820</v>
      </c>
      <c r="AW117" s="523" t="s">
        <v>99</v>
      </c>
      <c r="AX117" s="534"/>
      <c r="AY117" s="535" t="s">
        <v>186</v>
      </c>
      <c r="AZ117" s="534"/>
      <c r="BA117" s="523">
        <v>2014</v>
      </c>
      <c r="BB117" s="523" t="s">
        <v>5057</v>
      </c>
      <c r="BC117" s="536" t="s">
        <v>5061</v>
      </c>
      <c r="BD117" s="537" t="s">
        <v>1818</v>
      </c>
      <c r="BE117" s="538">
        <f>AV117+30</f>
        <v>41850</v>
      </c>
      <c r="BF117" s="539">
        <v>654.50180899999998</v>
      </c>
      <c r="BG117" s="488">
        <v>608.68668236999997</v>
      </c>
      <c r="BH117" s="526"/>
      <c r="BI117" s="540"/>
      <c r="BJ117" s="522" t="s">
        <v>1465</v>
      </c>
      <c r="BK117" s="523"/>
    </row>
    <row r="118" spans="1:63" s="199" customFormat="1" ht="150">
      <c r="A118" s="522">
        <v>1</v>
      </c>
      <c r="B118" s="523" t="s">
        <v>5047</v>
      </c>
      <c r="C118" s="523" t="s">
        <v>7247</v>
      </c>
      <c r="D118" s="523" t="s">
        <v>5049</v>
      </c>
      <c r="E118" s="523" t="s">
        <v>5853</v>
      </c>
      <c r="F118" s="523" t="s">
        <v>1752</v>
      </c>
      <c r="G118" s="523" t="s">
        <v>2344</v>
      </c>
      <c r="H118" s="524">
        <v>834315</v>
      </c>
      <c r="I118" s="525" t="s">
        <v>5054</v>
      </c>
      <c r="J118" s="525" t="s">
        <v>5003</v>
      </c>
      <c r="K118" s="525" t="s">
        <v>5003</v>
      </c>
      <c r="L118" s="525" t="s">
        <v>2513</v>
      </c>
      <c r="M118" s="525" t="s">
        <v>1755</v>
      </c>
      <c r="N118" s="525" t="s">
        <v>1773</v>
      </c>
      <c r="O118" s="525" t="s">
        <v>2234</v>
      </c>
      <c r="P118" s="526">
        <v>1011.62</v>
      </c>
      <c r="Q118" s="526">
        <v>1193.7115999999999</v>
      </c>
      <c r="R118" s="526">
        <v>806.22512597147488</v>
      </c>
      <c r="S118" s="527" t="s">
        <v>1774</v>
      </c>
      <c r="T118" s="528">
        <v>1.087</v>
      </c>
      <c r="U118" s="528">
        <v>1.077</v>
      </c>
      <c r="V118" s="528">
        <v>1.073</v>
      </c>
      <c r="W118" s="529">
        <v>1.071</v>
      </c>
      <c r="X118" s="530">
        <v>0.9</v>
      </c>
      <c r="Y118" s="526">
        <v>944.00900000000001</v>
      </c>
      <c r="Z118" s="526">
        <v>1113.9306199999999</v>
      </c>
      <c r="AA118" s="531">
        <v>960.93508137000003</v>
      </c>
      <c r="AB118" s="532">
        <f t="shared" si="53"/>
        <v>1133.9033960166</v>
      </c>
      <c r="AC118" s="514">
        <f t="shared" si="51"/>
        <v>944.00900000000001</v>
      </c>
      <c r="AD118" s="493">
        <f t="shared" si="47"/>
        <v>1113.9306199999999</v>
      </c>
      <c r="AE118" s="523" t="s">
        <v>132</v>
      </c>
      <c r="AF118" s="523" t="s">
        <v>83</v>
      </c>
      <c r="AG118" s="523" t="s">
        <v>83</v>
      </c>
      <c r="AH118" s="523" t="s">
        <v>545</v>
      </c>
      <c r="AI118" s="533">
        <v>41654</v>
      </c>
      <c r="AJ118" s="533">
        <f t="shared" si="52"/>
        <v>41689</v>
      </c>
      <c r="AK118" s="534" t="s">
        <v>132</v>
      </c>
      <c r="AL118" s="534" t="s">
        <v>132</v>
      </c>
      <c r="AM118" s="535" t="s">
        <v>5005</v>
      </c>
      <c r="AN118" s="535" t="s">
        <v>1757</v>
      </c>
      <c r="AO118" s="524">
        <v>796</v>
      </c>
      <c r="AP118" s="523" t="s">
        <v>368</v>
      </c>
      <c r="AQ118" s="523">
        <v>1</v>
      </c>
      <c r="AR118" s="523">
        <v>46</v>
      </c>
      <c r="AS118" s="525" t="s">
        <v>605</v>
      </c>
      <c r="AT118" s="533">
        <f t="shared" si="49"/>
        <v>41709</v>
      </c>
      <c r="AU118" s="533">
        <f t="shared" si="50"/>
        <v>41709</v>
      </c>
      <c r="AV118" s="533">
        <v>42004</v>
      </c>
      <c r="AW118" s="523" t="s">
        <v>99</v>
      </c>
      <c r="AX118" s="534"/>
      <c r="AY118" s="535" t="s">
        <v>186</v>
      </c>
      <c r="AZ118" s="534"/>
      <c r="BA118" s="523">
        <v>2014</v>
      </c>
      <c r="BB118" s="523" t="s">
        <v>5058</v>
      </c>
      <c r="BC118" s="536" t="s">
        <v>5062</v>
      </c>
      <c r="BD118" s="537" t="s">
        <v>1818</v>
      </c>
      <c r="BE118" s="538">
        <v>42004</v>
      </c>
      <c r="BF118" s="539">
        <v>1235.4836</v>
      </c>
      <c r="BG118" s="488">
        <v>1148.9997480000002</v>
      </c>
      <c r="BH118" s="526"/>
      <c r="BI118" s="540"/>
      <c r="BJ118" s="522" t="s">
        <v>1465</v>
      </c>
      <c r="BK118" s="523"/>
    </row>
    <row r="119" spans="1:63" s="199" customFormat="1" ht="150">
      <c r="A119" s="503">
        <v>1</v>
      </c>
      <c r="B119" s="504" t="s">
        <v>5035</v>
      </c>
      <c r="C119" s="504" t="s">
        <v>83</v>
      </c>
      <c r="D119" s="504" t="s">
        <v>231</v>
      </c>
      <c r="E119" s="504" t="s">
        <v>5853</v>
      </c>
      <c r="F119" s="504" t="s">
        <v>1752</v>
      </c>
      <c r="G119" s="504" t="s">
        <v>2344</v>
      </c>
      <c r="H119" s="505">
        <v>834929</v>
      </c>
      <c r="I119" s="506" t="s">
        <v>5028</v>
      </c>
      <c r="J119" s="506" t="s">
        <v>5003</v>
      </c>
      <c r="K119" s="506" t="s">
        <v>5003</v>
      </c>
      <c r="L119" s="506" t="s">
        <v>5004</v>
      </c>
      <c r="M119" s="506" t="s">
        <v>1755</v>
      </c>
      <c r="N119" s="506" t="s">
        <v>1773</v>
      </c>
      <c r="O119" s="506" t="s">
        <v>2234</v>
      </c>
      <c r="P119" s="507">
        <v>2411.2449999999999</v>
      </c>
      <c r="Q119" s="507">
        <f t="shared" ref="Q119:Q158" si="54">P119*1.18</f>
        <v>2845.2690999999995</v>
      </c>
      <c r="R119" s="507">
        <v>1853.7902468186867</v>
      </c>
      <c r="S119" s="508" t="s">
        <v>1774</v>
      </c>
      <c r="T119" s="509">
        <v>1.087</v>
      </c>
      <c r="U119" s="509">
        <v>1.077</v>
      </c>
      <c r="V119" s="509">
        <v>1.073</v>
      </c>
      <c r="W119" s="510">
        <v>1.071</v>
      </c>
      <c r="X119" s="511">
        <v>0.9</v>
      </c>
      <c r="Y119" s="507">
        <v>2170.6030000000001</v>
      </c>
      <c r="Z119" s="507">
        <f t="shared" ref="Z119:Z159" si="55">Y119*1.18</f>
        <v>2561.3115400000002</v>
      </c>
      <c r="AA119" s="512">
        <v>2194.5794703517349</v>
      </c>
      <c r="AB119" s="513">
        <v>2589.6037750150472</v>
      </c>
      <c r="AC119" s="514">
        <f t="shared" si="51"/>
        <v>2170.6030000000001</v>
      </c>
      <c r="AD119" s="493">
        <f t="shared" si="47"/>
        <v>2561.3115400000002</v>
      </c>
      <c r="AE119" s="494" t="s">
        <v>1775</v>
      </c>
      <c r="AF119" s="504" t="s">
        <v>231</v>
      </c>
      <c r="AG119" s="513" t="s">
        <v>5036</v>
      </c>
      <c r="AH119" s="513" t="s">
        <v>545</v>
      </c>
      <c r="AI119" s="515">
        <v>41654</v>
      </c>
      <c r="AJ119" s="515">
        <f t="shared" si="52"/>
        <v>41689</v>
      </c>
      <c r="AK119" s="516"/>
      <c r="AL119" s="516"/>
      <c r="AM119" s="516" t="s">
        <v>5005</v>
      </c>
      <c r="AN119" s="516" t="s">
        <v>1757</v>
      </c>
      <c r="AO119" s="517">
        <v>796</v>
      </c>
      <c r="AP119" s="504" t="s">
        <v>368</v>
      </c>
      <c r="AQ119" s="504">
        <v>1</v>
      </c>
      <c r="AR119" s="504">
        <v>46</v>
      </c>
      <c r="AS119" s="506" t="s">
        <v>605</v>
      </c>
      <c r="AT119" s="515">
        <f t="shared" si="49"/>
        <v>41709</v>
      </c>
      <c r="AU119" s="515">
        <f t="shared" si="50"/>
        <v>41709</v>
      </c>
      <c r="AV119" s="515">
        <v>41820</v>
      </c>
      <c r="AW119" s="504">
        <v>2014</v>
      </c>
      <c r="AX119" s="518"/>
      <c r="AY119" s="519" t="s">
        <v>186</v>
      </c>
      <c r="AZ119" s="520"/>
      <c r="BA119" s="504">
        <v>2014</v>
      </c>
      <c r="BB119" s="513" t="s">
        <v>2271</v>
      </c>
      <c r="BC119" s="521" t="s">
        <v>2271</v>
      </c>
      <c r="BD119" s="520" t="s">
        <v>2272</v>
      </c>
      <c r="BE119" s="553" t="s">
        <v>2272</v>
      </c>
      <c r="BF119" s="507" t="s">
        <v>2272</v>
      </c>
      <c r="BG119" s="488" t="s">
        <v>2272</v>
      </c>
      <c r="BH119" s="503" t="s">
        <v>2272</v>
      </c>
      <c r="BI119" s="503" t="s">
        <v>2272</v>
      </c>
      <c r="BJ119" s="503" t="s">
        <v>1465</v>
      </c>
      <c r="BK119" s="503"/>
    </row>
    <row r="120" spans="1:63" s="199" customFormat="1" ht="150">
      <c r="A120" s="522">
        <v>1</v>
      </c>
      <c r="B120" s="523" t="s">
        <v>5032</v>
      </c>
      <c r="C120" s="523" t="s">
        <v>7247</v>
      </c>
      <c r="D120" s="523" t="s">
        <v>231</v>
      </c>
      <c r="E120" s="523" t="s">
        <v>5853</v>
      </c>
      <c r="F120" s="523" t="s">
        <v>1752</v>
      </c>
      <c r="G120" s="523" t="s">
        <v>2344</v>
      </c>
      <c r="H120" s="524">
        <v>834931</v>
      </c>
      <c r="I120" s="525" t="s">
        <v>5029</v>
      </c>
      <c r="J120" s="525" t="s">
        <v>5003</v>
      </c>
      <c r="K120" s="525" t="s">
        <v>5003</v>
      </c>
      <c r="L120" s="525" t="s">
        <v>5004</v>
      </c>
      <c r="M120" s="525" t="s">
        <v>1755</v>
      </c>
      <c r="N120" s="525" t="s">
        <v>1773</v>
      </c>
      <c r="O120" s="525" t="s">
        <v>2234</v>
      </c>
      <c r="P120" s="526">
        <v>729.56700000000001</v>
      </c>
      <c r="Q120" s="526">
        <f t="shared" si="54"/>
        <v>860.88905999999997</v>
      </c>
      <c r="R120" s="526">
        <v>560.90016226834064</v>
      </c>
      <c r="S120" s="527" t="s">
        <v>1774</v>
      </c>
      <c r="T120" s="528">
        <v>1.087</v>
      </c>
      <c r="U120" s="528">
        <v>1.077</v>
      </c>
      <c r="V120" s="528">
        <v>1.073</v>
      </c>
      <c r="W120" s="529">
        <v>1.071</v>
      </c>
      <c r="X120" s="530">
        <v>0.9</v>
      </c>
      <c r="Y120" s="526">
        <v>656.75800000000004</v>
      </c>
      <c r="Z120" s="526">
        <f t="shared" si="55"/>
        <v>774.97443999999996</v>
      </c>
      <c r="AA120" s="531">
        <v>665.53537097134495</v>
      </c>
      <c r="AB120" s="532">
        <f t="shared" ref="AB120:AB144" si="56">AA120*1.18</f>
        <v>785.33173774618695</v>
      </c>
      <c r="AC120" s="514">
        <f t="shared" si="51"/>
        <v>656.75800000000004</v>
      </c>
      <c r="AD120" s="493">
        <f t="shared" si="47"/>
        <v>774.97443999999996</v>
      </c>
      <c r="AE120" s="494" t="s">
        <v>1775</v>
      </c>
      <c r="AF120" s="523" t="s">
        <v>231</v>
      </c>
      <c r="AG120" s="523" t="s">
        <v>5036</v>
      </c>
      <c r="AH120" s="523" t="s">
        <v>545</v>
      </c>
      <c r="AI120" s="533">
        <v>41654</v>
      </c>
      <c r="AJ120" s="533">
        <f t="shared" si="52"/>
        <v>41689</v>
      </c>
      <c r="AK120" s="534" t="s">
        <v>132</v>
      </c>
      <c r="AL120" s="534" t="s">
        <v>132</v>
      </c>
      <c r="AM120" s="535" t="s">
        <v>5005</v>
      </c>
      <c r="AN120" s="535" t="s">
        <v>1757</v>
      </c>
      <c r="AO120" s="524">
        <v>796</v>
      </c>
      <c r="AP120" s="523" t="s">
        <v>368</v>
      </c>
      <c r="AQ120" s="523">
        <v>1</v>
      </c>
      <c r="AR120" s="523">
        <v>46</v>
      </c>
      <c r="AS120" s="525" t="s">
        <v>605</v>
      </c>
      <c r="AT120" s="533">
        <f t="shared" si="49"/>
        <v>41709</v>
      </c>
      <c r="AU120" s="533">
        <f t="shared" si="50"/>
        <v>41709</v>
      </c>
      <c r="AV120" s="533">
        <v>41820</v>
      </c>
      <c r="AW120" s="523">
        <v>2014</v>
      </c>
      <c r="AX120" s="534"/>
      <c r="AY120" s="535" t="s">
        <v>186</v>
      </c>
      <c r="AZ120" s="534"/>
      <c r="BA120" s="523">
        <v>2014</v>
      </c>
      <c r="BB120" s="523" t="s">
        <v>5037</v>
      </c>
      <c r="BC120" s="536" t="s">
        <v>5040</v>
      </c>
      <c r="BD120" s="537" t="s">
        <v>1818</v>
      </c>
      <c r="BE120" s="538">
        <f>AV120+30</f>
        <v>41850</v>
      </c>
      <c r="BF120" s="539">
        <v>882.3568590000001</v>
      </c>
      <c r="BG120" s="488">
        <v>806.69602107905189</v>
      </c>
      <c r="BH120" s="526">
        <v>2.5000000000000001E-2</v>
      </c>
      <c r="BI120" s="540">
        <v>0.25</v>
      </c>
      <c r="BJ120" s="522" t="s">
        <v>1465</v>
      </c>
      <c r="BK120" s="523"/>
    </row>
    <row r="121" spans="1:63" s="199" customFormat="1" ht="150">
      <c r="A121" s="522">
        <v>1</v>
      </c>
      <c r="B121" s="523" t="s">
        <v>5033</v>
      </c>
      <c r="C121" s="523" t="s">
        <v>7247</v>
      </c>
      <c r="D121" s="523" t="s">
        <v>231</v>
      </c>
      <c r="E121" s="523" t="s">
        <v>5853</v>
      </c>
      <c r="F121" s="523" t="s">
        <v>1752</v>
      </c>
      <c r="G121" s="523" t="s">
        <v>2344</v>
      </c>
      <c r="H121" s="524">
        <v>834933</v>
      </c>
      <c r="I121" s="525" t="s">
        <v>5030</v>
      </c>
      <c r="J121" s="525" t="s">
        <v>5003</v>
      </c>
      <c r="K121" s="525" t="s">
        <v>5003</v>
      </c>
      <c r="L121" s="525" t="s">
        <v>5004</v>
      </c>
      <c r="M121" s="525" t="s">
        <v>1755</v>
      </c>
      <c r="N121" s="525" t="s">
        <v>1773</v>
      </c>
      <c r="O121" s="525" t="s">
        <v>2234</v>
      </c>
      <c r="P121" s="526">
        <v>756.59</v>
      </c>
      <c r="Q121" s="526">
        <f t="shared" si="54"/>
        <v>892.77620000000002</v>
      </c>
      <c r="R121" s="526">
        <v>581.67990434708349</v>
      </c>
      <c r="S121" s="527" t="s">
        <v>1774</v>
      </c>
      <c r="T121" s="528">
        <v>1.087</v>
      </c>
      <c r="U121" s="528">
        <v>1.077</v>
      </c>
      <c r="V121" s="528">
        <v>1.073</v>
      </c>
      <c r="W121" s="529">
        <v>1.071</v>
      </c>
      <c r="X121" s="530">
        <v>0.9</v>
      </c>
      <c r="Y121" s="526">
        <v>681.08900000000006</v>
      </c>
      <c r="Z121" s="526">
        <f t="shared" si="55"/>
        <v>803.68502000000001</v>
      </c>
      <c r="AA121" s="531">
        <v>691.10021901286495</v>
      </c>
      <c r="AB121" s="532">
        <f t="shared" si="56"/>
        <v>815.49825843518056</v>
      </c>
      <c r="AC121" s="514">
        <f t="shared" si="51"/>
        <v>681.08900000000006</v>
      </c>
      <c r="AD121" s="493">
        <f t="shared" si="47"/>
        <v>803.68502000000001</v>
      </c>
      <c r="AE121" s="494" t="s">
        <v>1775</v>
      </c>
      <c r="AF121" s="523" t="s">
        <v>231</v>
      </c>
      <c r="AG121" s="523" t="s">
        <v>5036</v>
      </c>
      <c r="AH121" s="523" t="s">
        <v>545</v>
      </c>
      <c r="AI121" s="533">
        <v>41654</v>
      </c>
      <c r="AJ121" s="533">
        <f t="shared" si="52"/>
        <v>41689</v>
      </c>
      <c r="AK121" s="534" t="s">
        <v>132</v>
      </c>
      <c r="AL121" s="534" t="s">
        <v>132</v>
      </c>
      <c r="AM121" s="535" t="s">
        <v>5005</v>
      </c>
      <c r="AN121" s="535" t="s">
        <v>1757</v>
      </c>
      <c r="AO121" s="524">
        <v>796</v>
      </c>
      <c r="AP121" s="523" t="s">
        <v>368</v>
      </c>
      <c r="AQ121" s="523">
        <v>1</v>
      </c>
      <c r="AR121" s="523">
        <v>46</v>
      </c>
      <c r="AS121" s="525" t="s">
        <v>605</v>
      </c>
      <c r="AT121" s="533">
        <f t="shared" si="49"/>
        <v>41709</v>
      </c>
      <c r="AU121" s="533">
        <f t="shared" si="50"/>
        <v>41709</v>
      </c>
      <c r="AV121" s="533">
        <v>41820</v>
      </c>
      <c r="AW121" s="523">
        <v>2014</v>
      </c>
      <c r="AX121" s="534"/>
      <c r="AY121" s="535" t="s">
        <v>186</v>
      </c>
      <c r="AZ121" s="534"/>
      <c r="BA121" s="523">
        <v>2014</v>
      </c>
      <c r="BB121" s="523" t="s">
        <v>5038</v>
      </c>
      <c r="BC121" s="536" t="s">
        <v>5041</v>
      </c>
      <c r="BD121" s="537" t="s">
        <v>1818</v>
      </c>
      <c r="BE121" s="538">
        <f>AV121+30</f>
        <v>41850</v>
      </c>
      <c r="BF121" s="539">
        <v>917.26268679999998</v>
      </c>
      <c r="BG121" s="488">
        <v>839.9014268972893</v>
      </c>
      <c r="BH121" s="526">
        <v>0.16</v>
      </c>
      <c r="BI121" s="540"/>
      <c r="BJ121" s="522" t="s">
        <v>1465</v>
      </c>
      <c r="BK121" s="523"/>
    </row>
    <row r="122" spans="1:63" s="199" customFormat="1" ht="150">
      <c r="A122" s="522">
        <v>1</v>
      </c>
      <c r="B122" s="523" t="s">
        <v>5034</v>
      </c>
      <c r="C122" s="523" t="s">
        <v>7247</v>
      </c>
      <c r="D122" s="523" t="s">
        <v>231</v>
      </c>
      <c r="E122" s="523" t="s">
        <v>5853</v>
      </c>
      <c r="F122" s="523" t="s">
        <v>1752</v>
      </c>
      <c r="G122" s="523" t="s">
        <v>2344</v>
      </c>
      <c r="H122" s="524">
        <v>834935</v>
      </c>
      <c r="I122" s="525" t="s">
        <v>5031</v>
      </c>
      <c r="J122" s="525" t="s">
        <v>5003</v>
      </c>
      <c r="K122" s="525" t="s">
        <v>5003</v>
      </c>
      <c r="L122" s="525" t="s">
        <v>5004</v>
      </c>
      <c r="M122" s="525" t="s">
        <v>1755</v>
      </c>
      <c r="N122" s="525" t="s">
        <v>1773</v>
      </c>
      <c r="O122" s="525" t="s">
        <v>2234</v>
      </c>
      <c r="P122" s="526">
        <v>925.08799999999997</v>
      </c>
      <c r="Q122" s="526">
        <f t="shared" si="54"/>
        <v>1091.60384</v>
      </c>
      <c r="R122" s="526">
        <v>711.21018020326244</v>
      </c>
      <c r="S122" s="527" t="s">
        <v>1774</v>
      </c>
      <c r="T122" s="528">
        <v>1.087</v>
      </c>
      <c r="U122" s="528">
        <v>1.077</v>
      </c>
      <c r="V122" s="528">
        <v>1.073</v>
      </c>
      <c r="W122" s="529">
        <v>1.071</v>
      </c>
      <c r="X122" s="530">
        <v>0.9</v>
      </c>
      <c r="Y122" s="526">
        <v>832.75599999999997</v>
      </c>
      <c r="Z122" s="526">
        <f t="shared" si="55"/>
        <v>982.65207999999996</v>
      </c>
      <c r="AA122" s="531">
        <v>837.94388036752514</v>
      </c>
      <c r="AB122" s="532">
        <f t="shared" si="56"/>
        <v>988.77377883367956</v>
      </c>
      <c r="AC122" s="514">
        <f t="shared" si="51"/>
        <v>832.75599999999997</v>
      </c>
      <c r="AD122" s="493">
        <f t="shared" si="47"/>
        <v>982.65207999999996</v>
      </c>
      <c r="AE122" s="494" t="s">
        <v>1775</v>
      </c>
      <c r="AF122" s="523" t="s">
        <v>231</v>
      </c>
      <c r="AG122" s="523" t="s">
        <v>5036</v>
      </c>
      <c r="AH122" s="523" t="s">
        <v>545</v>
      </c>
      <c r="AI122" s="533">
        <v>41654</v>
      </c>
      <c r="AJ122" s="533">
        <f t="shared" si="52"/>
        <v>41689</v>
      </c>
      <c r="AK122" s="534" t="s">
        <v>132</v>
      </c>
      <c r="AL122" s="534" t="s">
        <v>132</v>
      </c>
      <c r="AM122" s="535" t="s">
        <v>5005</v>
      </c>
      <c r="AN122" s="535" t="s">
        <v>1757</v>
      </c>
      <c r="AO122" s="524">
        <v>796</v>
      </c>
      <c r="AP122" s="523" t="s">
        <v>368</v>
      </c>
      <c r="AQ122" s="523">
        <v>1</v>
      </c>
      <c r="AR122" s="523">
        <v>46</v>
      </c>
      <c r="AS122" s="525" t="s">
        <v>605</v>
      </c>
      <c r="AT122" s="533">
        <f t="shared" si="49"/>
        <v>41709</v>
      </c>
      <c r="AU122" s="533">
        <f t="shared" si="50"/>
        <v>41709</v>
      </c>
      <c r="AV122" s="533">
        <v>41820</v>
      </c>
      <c r="AW122" s="523">
        <v>2014</v>
      </c>
      <c r="AX122" s="534"/>
      <c r="AY122" s="535" t="s">
        <v>186</v>
      </c>
      <c r="AZ122" s="534"/>
      <c r="BA122" s="523">
        <v>2014</v>
      </c>
      <c r="BB122" s="523" t="s">
        <v>5039</v>
      </c>
      <c r="BC122" s="536" t="s">
        <v>5042</v>
      </c>
      <c r="BD122" s="537" t="s">
        <v>1818</v>
      </c>
      <c r="BE122" s="538">
        <f>AV122+30</f>
        <v>41850</v>
      </c>
      <c r="BF122" s="539">
        <v>1118.9058186</v>
      </c>
      <c r="BG122" s="488">
        <v>1015.9395701405551</v>
      </c>
      <c r="BH122" s="526"/>
      <c r="BI122" s="540">
        <v>0.48</v>
      </c>
      <c r="BJ122" s="522" t="s">
        <v>1465</v>
      </c>
      <c r="BK122" s="523"/>
    </row>
    <row r="123" spans="1:63" s="199" customFormat="1" ht="150">
      <c r="A123" s="503">
        <v>1</v>
      </c>
      <c r="B123" s="504" t="s">
        <v>5069</v>
      </c>
      <c r="C123" s="504" t="s">
        <v>83</v>
      </c>
      <c r="D123" s="504" t="s">
        <v>231</v>
      </c>
      <c r="E123" s="504" t="s">
        <v>5853</v>
      </c>
      <c r="F123" s="504" t="s">
        <v>1752</v>
      </c>
      <c r="G123" s="504" t="s">
        <v>2344</v>
      </c>
      <c r="H123" s="505">
        <v>834936</v>
      </c>
      <c r="I123" s="506" t="s">
        <v>5063</v>
      </c>
      <c r="J123" s="506" t="s">
        <v>5003</v>
      </c>
      <c r="K123" s="506" t="s">
        <v>5003</v>
      </c>
      <c r="L123" s="506" t="s">
        <v>5004</v>
      </c>
      <c r="M123" s="506" t="s">
        <v>1755</v>
      </c>
      <c r="N123" s="506" t="s">
        <v>1773</v>
      </c>
      <c r="O123" s="506" t="s">
        <v>2234</v>
      </c>
      <c r="P123" s="507">
        <v>3430.5389999999998</v>
      </c>
      <c r="Q123" s="507">
        <f t="shared" si="54"/>
        <v>4048.0360199999996</v>
      </c>
      <c r="R123" s="507">
        <v>2637.4190793406783</v>
      </c>
      <c r="S123" s="508" t="s">
        <v>1774</v>
      </c>
      <c r="T123" s="509">
        <v>1.087</v>
      </c>
      <c r="U123" s="509">
        <v>1.077</v>
      </c>
      <c r="V123" s="509">
        <v>1.073</v>
      </c>
      <c r="W123" s="510">
        <v>1.071</v>
      </c>
      <c r="X123" s="511">
        <v>0.9</v>
      </c>
      <c r="Y123" s="507">
        <v>3088.154</v>
      </c>
      <c r="Z123" s="507">
        <f t="shared" si="55"/>
        <v>3644.0217199999997</v>
      </c>
      <c r="AA123" s="512">
        <v>3107.1390006518959</v>
      </c>
      <c r="AB123" s="513">
        <f t="shared" si="56"/>
        <v>3666.4240207692369</v>
      </c>
      <c r="AC123" s="514">
        <f t="shared" si="51"/>
        <v>3088.154</v>
      </c>
      <c r="AD123" s="493">
        <f t="shared" si="47"/>
        <v>3644.0217199999997</v>
      </c>
      <c r="AE123" s="494" t="s">
        <v>1775</v>
      </c>
      <c r="AF123" s="504" t="s">
        <v>231</v>
      </c>
      <c r="AG123" s="513" t="s">
        <v>5036</v>
      </c>
      <c r="AH123" s="513" t="s">
        <v>545</v>
      </c>
      <c r="AI123" s="515">
        <v>41654</v>
      </c>
      <c r="AJ123" s="515">
        <f t="shared" si="52"/>
        <v>41689</v>
      </c>
      <c r="AK123" s="516"/>
      <c r="AL123" s="516"/>
      <c r="AM123" s="516" t="s">
        <v>5005</v>
      </c>
      <c r="AN123" s="516" t="s">
        <v>1757</v>
      </c>
      <c r="AO123" s="517">
        <v>796</v>
      </c>
      <c r="AP123" s="504" t="s">
        <v>368</v>
      </c>
      <c r="AQ123" s="504">
        <v>1</v>
      </c>
      <c r="AR123" s="504">
        <v>46</v>
      </c>
      <c r="AS123" s="506" t="s">
        <v>605</v>
      </c>
      <c r="AT123" s="515">
        <f t="shared" si="49"/>
        <v>41709</v>
      </c>
      <c r="AU123" s="515">
        <f t="shared" si="50"/>
        <v>41709</v>
      </c>
      <c r="AV123" s="515">
        <v>41820</v>
      </c>
      <c r="AW123" s="504">
        <v>2014</v>
      </c>
      <c r="AX123" s="518"/>
      <c r="AY123" s="519" t="s">
        <v>186</v>
      </c>
      <c r="AZ123" s="520"/>
      <c r="BA123" s="504">
        <v>2014</v>
      </c>
      <c r="BB123" s="513" t="s">
        <v>2271</v>
      </c>
      <c r="BC123" s="521" t="s">
        <v>2271</v>
      </c>
      <c r="BD123" s="520" t="s">
        <v>2272</v>
      </c>
      <c r="BE123" s="553" t="s">
        <v>2272</v>
      </c>
      <c r="BF123" s="507" t="s">
        <v>2272</v>
      </c>
      <c r="BG123" s="488" t="s">
        <v>2272</v>
      </c>
      <c r="BH123" s="503" t="s">
        <v>2272</v>
      </c>
      <c r="BI123" s="503" t="s">
        <v>2272</v>
      </c>
      <c r="BJ123" s="503" t="s">
        <v>1465</v>
      </c>
      <c r="BK123" s="503"/>
    </row>
    <row r="124" spans="1:63" s="199" customFormat="1" ht="150">
      <c r="A124" s="522">
        <v>1</v>
      </c>
      <c r="B124" s="523" t="s">
        <v>5070</v>
      </c>
      <c r="C124" s="523" t="s">
        <v>7247</v>
      </c>
      <c r="D124" s="523" t="s">
        <v>231</v>
      </c>
      <c r="E124" s="523" t="s">
        <v>5853</v>
      </c>
      <c r="F124" s="523" t="s">
        <v>1752</v>
      </c>
      <c r="G124" s="523" t="s">
        <v>2344</v>
      </c>
      <c r="H124" s="524">
        <v>834938</v>
      </c>
      <c r="I124" s="525" t="s">
        <v>5064</v>
      </c>
      <c r="J124" s="525" t="s">
        <v>5003</v>
      </c>
      <c r="K124" s="525" t="s">
        <v>5003</v>
      </c>
      <c r="L124" s="525" t="s">
        <v>5004</v>
      </c>
      <c r="M124" s="525" t="s">
        <v>1755</v>
      </c>
      <c r="N124" s="525" t="s">
        <v>1773</v>
      </c>
      <c r="O124" s="525" t="s">
        <v>2234</v>
      </c>
      <c r="P124" s="526">
        <v>539.63499999999999</v>
      </c>
      <c r="Q124" s="526">
        <f t="shared" si="54"/>
        <v>636.76929999999993</v>
      </c>
      <c r="R124" s="526">
        <v>414.86975830557697</v>
      </c>
      <c r="S124" s="527" t="s">
        <v>1774</v>
      </c>
      <c r="T124" s="528">
        <v>1.087</v>
      </c>
      <c r="U124" s="528">
        <v>1.077</v>
      </c>
      <c r="V124" s="528">
        <v>1.073</v>
      </c>
      <c r="W124" s="529">
        <v>1.071</v>
      </c>
      <c r="X124" s="530">
        <v>0.9</v>
      </c>
      <c r="Y124" s="526">
        <v>485.77100000000002</v>
      </c>
      <c r="Z124" s="526">
        <f t="shared" si="55"/>
        <v>573.20978000000002</v>
      </c>
      <c r="AA124" s="531">
        <v>488.74800870738</v>
      </c>
      <c r="AB124" s="532">
        <f t="shared" si="56"/>
        <v>576.72265027470837</v>
      </c>
      <c r="AC124" s="514">
        <f t="shared" si="51"/>
        <v>485.77100000000002</v>
      </c>
      <c r="AD124" s="493">
        <f t="shared" si="47"/>
        <v>573.20978000000002</v>
      </c>
      <c r="AE124" s="494" t="s">
        <v>1775</v>
      </c>
      <c r="AF124" s="523" t="s">
        <v>231</v>
      </c>
      <c r="AG124" s="523" t="s">
        <v>5036</v>
      </c>
      <c r="AH124" s="523" t="s">
        <v>545</v>
      </c>
      <c r="AI124" s="533">
        <v>41654</v>
      </c>
      <c r="AJ124" s="533">
        <f t="shared" si="52"/>
        <v>41689</v>
      </c>
      <c r="AK124" s="534" t="s">
        <v>132</v>
      </c>
      <c r="AL124" s="534" t="s">
        <v>132</v>
      </c>
      <c r="AM124" s="535" t="s">
        <v>5005</v>
      </c>
      <c r="AN124" s="535" t="s">
        <v>1757</v>
      </c>
      <c r="AO124" s="524">
        <v>796</v>
      </c>
      <c r="AP124" s="523" t="s">
        <v>368</v>
      </c>
      <c r="AQ124" s="523">
        <v>1</v>
      </c>
      <c r="AR124" s="523">
        <v>46</v>
      </c>
      <c r="AS124" s="525" t="s">
        <v>605</v>
      </c>
      <c r="AT124" s="533">
        <f t="shared" si="49"/>
        <v>41709</v>
      </c>
      <c r="AU124" s="533">
        <f t="shared" si="50"/>
        <v>41709</v>
      </c>
      <c r="AV124" s="533">
        <v>41820</v>
      </c>
      <c r="AW124" s="523">
        <v>2014</v>
      </c>
      <c r="AX124" s="534"/>
      <c r="AY124" s="535" t="s">
        <v>186</v>
      </c>
      <c r="AZ124" s="534"/>
      <c r="BA124" s="523">
        <v>2014</v>
      </c>
      <c r="BB124" s="523" t="s">
        <v>5075</v>
      </c>
      <c r="BC124" s="536" t="s">
        <v>5080</v>
      </c>
      <c r="BD124" s="537" t="s">
        <v>1818</v>
      </c>
      <c r="BE124" s="538">
        <f>AV124+30</f>
        <v>41850</v>
      </c>
      <c r="BF124" s="539">
        <v>652.69506380000007</v>
      </c>
      <c r="BG124" s="488">
        <v>592.56168791803918</v>
      </c>
      <c r="BH124" s="526" t="s">
        <v>132</v>
      </c>
      <c r="BI124" s="540">
        <v>0.28000000000000003</v>
      </c>
      <c r="BJ124" s="522" t="s">
        <v>1465</v>
      </c>
      <c r="BK124" s="523"/>
    </row>
    <row r="125" spans="1:63" s="199" customFormat="1" ht="150">
      <c r="A125" s="522">
        <v>1</v>
      </c>
      <c r="B125" s="523" t="s">
        <v>5071</v>
      </c>
      <c r="C125" s="523" t="s">
        <v>7247</v>
      </c>
      <c r="D125" s="523" t="s">
        <v>231</v>
      </c>
      <c r="E125" s="523" t="s">
        <v>5853</v>
      </c>
      <c r="F125" s="523" t="s">
        <v>1752</v>
      </c>
      <c r="G125" s="523" t="s">
        <v>2344</v>
      </c>
      <c r="H125" s="524">
        <v>834940</v>
      </c>
      <c r="I125" s="525" t="s">
        <v>5065</v>
      </c>
      <c r="J125" s="525" t="s">
        <v>5003</v>
      </c>
      <c r="K125" s="525" t="s">
        <v>5003</v>
      </c>
      <c r="L125" s="525" t="s">
        <v>5004</v>
      </c>
      <c r="M125" s="525" t="s">
        <v>1755</v>
      </c>
      <c r="N125" s="525" t="s">
        <v>1773</v>
      </c>
      <c r="O125" s="525" t="s">
        <v>2234</v>
      </c>
      <c r="P125" s="526">
        <v>674.54399999999998</v>
      </c>
      <c r="Q125" s="526">
        <f t="shared" si="54"/>
        <v>795.96191999999996</v>
      </c>
      <c r="R125" s="526">
        <v>518.58997352463916</v>
      </c>
      <c r="S125" s="527" t="s">
        <v>1774</v>
      </c>
      <c r="T125" s="528">
        <v>1.087</v>
      </c>
      <c r="U125" s="528">
        <v>1.077</v>
      </c>
      <c r="V125" s="528">
        <v>1.073</v>
      </c>
      <c r="W125" s="529">
        <v>1.071</v>
      </c>
      <c r="X125" s="530">
        <v>0.9</v>
      </c>
      <c r="Y125" s="526">
        <v>607.21699999999998</v>
      </c>
      <c r="Z125" s="526">
        <f t="shared" si="55"/>
        <v>716.51605999999992</v>
      </c>
      <c r="AA125" s="531">
        <v>610.98092418787064</v>
      </c>
      <c r="AB125" s="532">
        <f t="shared" si="56"/>
        <v>720.95749054168732</v>
      </c>
      <c r="AC125" s="514">
        <f t="shared" si="51"/>
        <v>607.21699999999998</v>
      </c>
      <c r="AD125" s="493">
        <f t="shared" si="47"/>
        <v>716.51605999999992</v>
      </c>
      <c r="AE125" s="494" t="s">
        <v>1775</v>
      </c>
      <c r="AF125" s="523" t="s">
        <v>231</v>
      </c>
      <c r="AG125" s="523" t="s">
        <v>5036</v>
      </c>
      <c r="AH125" s="523" t="s">
        <v>545</v>
      </c>
      <c r="AI125" s="533">
        <v>41654</v>
      </c>
      <c r="AJ125" s="533">
        <f t="shared" si="52"/>
        <v>41689</v>
      </c>
      <c r="AK125" s="534" t="s">
        <v>132</v>
      </c>
      <c r="AL125" s="534" t="s">
        <v>132</v>
      </c>
      <c r="AM125" s="535" t="s">
        <v>5005</v>
      </c>
      <c r="AN125" s="535" t="s">
        <v>1757</v>
      </c>
      <c r="AO125" s="524">
        <v>796</v>
      </c>
      <c r="AP125" s="523" t="s">
        <v>368</v>
      </c>
      <c r="AQ125" s="523">
        <v>1</v>
      </c>
      <c r="AR125" s="523">
        <v>46</v>
      </c>
      <c r="AS125" s="525" t="s">
        <v>605</v>
      </c>
      <c r="AT125" s="533">
        <f t="shared" si="49"/>
        <v>41709</v>
      </c>
      <c r="AU125" s="533">
        <f t="shared" si="50"/>
        <v>41709</v>
      </c>
      <c r="AV125" s="533">
        <v>41820</v>
      </c>
      <c r="AW125" s="523">
        <v>2014</v>
      </c>
      <c r="AX125" s="534"/>
      <c r="AY125" s="535" t="s">
        <v>186</v>
      </c>
      <c r="AZ125" s="534"/>
      <c r="BA125" s="523">
        <v>2014</v>
      </c>
      <c r="BB125" s="523" t="s">
        <v>5076</v>
      </c>
      <c r="BC125" s="536" t="s">
        <v>5081</v>
      </c>
      <c r="BD125" s="537" t="s">
        <v>1818</v>
      </c>
      <c r="BE125" s="538">
        <f>AV125+30</f>
        <v>41850</v>
      </c>
      <c r="BF125" s="539">
        <v>815.86882679999997</v>
      </c>
      <c r="BG125" s="488">
        <v>740.75628759585084</v>
      </c>
      <c r="BH125" s="526" t="s">
        <v>132</v>
      </c>
      <c r="BI125" s="540">
        <v>0.35</v>
      </c>
      <c r="BJ125" s="522" t="s">
        <v>1465</v>
      </c>
      <c r="BK125" s="523"/>
    </row>
    <row r="126" spans="1:63" s="199" customFormat="1" ht="150">
      <c r="A126" s="522">
        <v>1</v>
      </c>
      <c r="B126" s="523" t="s">
        <v>5072</v>
      </c>
      <c r="C126" s="523" t="s">
        <v>7247</v>
      </c>
      <c r="D126" s="523" t="s">
        <v>231</v>
      </c>
      <c r="E126" s="523" t="s">
        <v>5853</v>
      </c>
      <c r="F126" s="523" t="s">
        <v>1752</v>
      </c>
      <c r="G126" s="523" t="s">
        <v>2344</v>
      </c>
      <c r="H126" s="524">
        <v>834942</v>
      </c>
      <c r="I126" s="525" t="s">
        <v>5066</v>
      </c>
      <c r="J126" s="525" t="s">
        <v>5003</v>
      </c>
      <c r="K126" s="525" t="s">
        <v>5003</v>
      </c>
      <c r="L126" s="525" t="s">
        <v>5004</v>
      </c>
      <c r="M126" s="525" t="s">
        <v>1755</v>
      </c>
      <c r="N126" s="525" t="s">
        <v>1773</v>
      </c>
      <c r="O126" s="525" t="s">
        <v>2234</v>
      </c>
      <c r="P126" s="526">
        <v>770.90800000000002</v>
      </c>
      <c r="Q126" s="526">
        <f t="shared" si="54"/>
        <v>909.67143999999996</v>
      </c>
      <c r="R126" s="526">
        <v>592.67998975147327</v>
      </c>
      <c r="S126" s="527" t="s">
        <v>1774</v>
      </c>
      <c r="T126" s="528">
        <v>1.087</v>
      </c>
      <c r="U126" s="528">
        <v>1.077</v>
      </c>
      <c r="V126" s="528">
        <v>1.073</v>
      </c>
      <c r="W126" s="529">
        <v>1.071</v>
      </c>
      <c r="X126" s="530">
        <v>0.9</v>
      </c>
      <c r="Y126" s="526">
        <v>693.96900000000005</v>
      </c>
      <c r="Z126" s="526">
        <f t="shared" si="55"/>
        <v>818.88342</v>
      </c>
      <c r="AA126" s="531">
        <v>698.23566293357999</v>
      </c>
      <c r="AB126" s="532">
        <f t="shared" si="56"/>
        <v>823.91808226162436</v>
      </c>
      <c r="AC126" s="514">
        <f t="shared" si="51"/>
        <v>693.96900000000005</v>
      </c>
      <c r="AD126" s="493">
        <f t="shared" si="47"/>
        <v>818.88342</v>
      </c>
      <c r="AE126" s="494" t="s">
        <v>1775</v>
      </c>
      <c r="AF126" s="523" t="s">
        <v>231</v>
      </c>
      <c r="AG126" s="523" t="s">
        <v>5036</v>
      </c>
      <c r="AH126" s="523" t="s">
        <v>545</v>
      </c>
      <c r="AI126" s="533">
        <v>41654</v>
      </c>
      <c r="AJ126" s="533">
        <f t="shared" si="52"/>
        <v>41689</v>
      </c>
      <c r="AK126" s="534" t="s">
        <v>132</v>
      </c>
      <c r="AL126" s="534" t="s">
        <v>132</v>
      </c>
      <c r="AM126" s="535" t="s">
        <v>5005</v>
      </c>
      <c r="AN126" s="535" t="s">
        <v>1757</v>
      </c>
      <c r="AO126" s="524">
        <v>796</v>
      </c>
      <c r="AP126" s="523" t="s">
        <v>368</v>
      </c>
      <c r="AQ126" s="523">
        <v>1</v>
      </c>
      <c r="AR126" s="523">
        <v>46</v>
      </c>
      <c r="AS126" s="525" t="s">
        <v>605</v>
      </c>
      <c r="AT126" s="533">
        <f t="shared" si="49"/>
        <v>41709</v>
      </c>
      <c r="AU126" s="533">
        <f t="shared" si="50"/>
        <v>41709</v>
      </c>
      <c r="AV126" s="533">
        <v>41820</v>
      </c>
      <c r="AW126" s="523">
        <v>2014</v>
      </c>
      <c r="AX126" s="534"/>
      <c r="AY126" s="535" t="s">
        <v>186</v>
      </c>
      <c r="AZ126" s="534"/>
      <c r="BA126" s="523">
        <v>2014</v>
      </c>
      <c r="BB126" s="523" t="s">
        <v>5077</v>
      </c>
      <c r="BC126" s="536" t="s">
        <v>5082</v>
      </c>
      <c r="BD126" s="537" t="s">
        <v>1818</v>
      </c>
      <c r="BE126" s="538">
        <f>AV126+30</f>
        <v>41850</v>
      </c>
      <c r="BF126" s="539">
        <v>932.42150959999992</v>
      </c>
      <c r="BG126" s="488">
        <v>846.57158958871389</v>
      </c>
      <c r="BH126" s="526" t="s">
        <v>132</v>
      </c>
      <c r="BI126" s="540">
        <v>0.4</v>
      </c>
      <c r="BJ126" s="522" t="s">
        <v>1465</v>
      </c>
      <c r="BK126" s="523"/>
    </row>
    <row r="127" spans="1:63" s="199" customFormat="1" ht="150">
      <c r="A127" s="522">
        <v>1</v>
      </c>
      <c r="B127" s="523" t="s">
        <v>5073</v>
      </c>
      <c r="C127" s="523" t="s">
        <v>7247</v>
      </c>
      <c r="D127" s="523" t="s">
        <v>231</v>
      </c>
      <c r="E127" s="523" t="s">
        <v>5853</v>
      </c>
      <c r="F127" s="523" t="s">
        <v>1752</v>
      </c>
      <c r="G127" s="523" t="s">
        <v>2344</v>
      </c>
      <c r="H127" s="524">
        <v>834944</v>
      </c>
      <c r="I127" s="525" t="s">
        <v>5067</v>
      </c>
      <c r="J127" s="525" t="s">
        <v>5003</v>
      </c>
      <c r="K127" s="525" t="s">
        <v>5003</v>
      </c>
      <c r="L127" s="525" t="s">
        <v>5004</v>
      </c>
      <c r="M127" s="525" t="s">
        <v>1755</v>
      </c>
      <c r="N127" s="525" t="s">
        <v>1773</v>
      </c>
      <c r="O127" s="525" t="s">
        <v>2234</v>
      </c>
      <c r="P127" s="526">
        <v>578.18100000000004</v>
      </c>
      <c r="Q127" s="526">
        <f t="shared" si="54"/>
        <v>682.25358000000006</v>
      </c>
      <c r="R127" s="526">
        <v>444.51960030745585</v>
      </c>
      <c r="S127" s="527" t="s">
        <v>1774</v>
      </c>
      <c r="T127" s="528">
        <v>1.087</v>
      </c>
      <c r="U127" s="528">
        <v>1.077</v>
      </c>
      <c r="V127" s="528">
        <v>1.073</v>
      </c>
      <c r="W127" s="529">
        <v>1.071</v>
      </c>
      <c r="X127" s="530">
        <v>0.9</v>
      </c>
      <c r="Y127" s="526">
        <v>520.48800000000006</v>
      </c>
      <c r="Z127" s="526">
        <f t="shared" si="55"/>
        <v>614.17583999999999</v>
      </c>
      <c r="AA127" s="531">
        <v>523.603370763405</v>
      </c>
      <c r="AB127" s="532">
        <f t="shared" si="56"/>
        <v>617.85197750081784</v>
      </c>
      <c r="AC127" s="514">
        <f t="shared" si="51"/>
        <v>520.48800000000006</v>
      </c>
      <c r="AD127" s="493">
        <f t="shared" si="47"/>
        <v>614.17583999999999</v>
      </c>
      <c r="AE127" s="494" t="s">
        <v>1775</v>
      </c>
      <c r="AF127" s="523" t="s">
        <v>231</v>
      </c>
      <c r="AG127" s="523" t="s">
        <v>5036</v>
      </c>
      <c r="AH127" s="523" t="s">
        <v>545</v>
      </c>
      <c r="AI127" s="533">
        <v>41654</v>
      </c>
      <c r="AJ127" s="533">
        <f t="shared" si="52"/>
        <v>41689</v>
      </c>
      <c r="AK127" s="534" t="s">
        <v>132</v>
      </c>
      <c r="AL127" s="534" t="s">
        <v>132</v>
      </c>
      <c r="AM127" s="535" t="s">
        <v>5005</v>
      </c>
      <c r="AN127" s="535" t="s">
        <v>1757</v>
      </c>
      <c r="AO127" s="524">
        <v>796</v>
      </c>
      <c r="AP127" s="523" t="s">
        <v>368</v>
      </c>
      <c r="AQ127" s="523">
        <v>1</v>
      </c>
      <c r="AR127" s="523">
        <v>46</v>
      </c>
      <c r="AS127" s="525" t="s">
        <v>605</v>
      </c>
      <c r="AT127" s="533">
        <f t="shared" si="49"/>
        <v>41709</v>
      </c>
      <c r="AU127" s="533">
        <f t="shared" si="50"/>
        <v>41709</v>
      </c>
      <c r="AV127" s="533">
        <v>41820</v>
      </c>
      <c r="AW127" s="523">
        <v>2014</v>
      </c>
      <c r="AX127" s="534"/>
      <c r="AY127" s="535" t="s">
        <v>186</v>
      </c>
      <c r="AZ127" s="534"/>
      <c r="BA127" s="523">
        <v>2014</v>
      </c>
      <c r="BB127" s="523" t="s">
        <v>5078</v>
      </c>
      <c r="BC127" s="536" t="s">
        <v>5083</v>
      </c>
      <c r="BD127" s="537" t="s">
        <v>1818</v>
      </c>
      <c r="BE127" s="538">
        <f>AV127+30</f>
        <v>41850</v>
      </c>
      <c r="BF127" s="539">
        <v>699.31613219999997</v>
      </c>
      <c r="BG127" s="488">
        <v>634.79606428205545</v>
      </c>
      <c r="BH127" s="526" t="s">
        <v>132</v>
      </c>
      <c r="BI127" s="540">
        <v>0.3</v>
      </c>
      <c r="BJ127" s="522" t="s">
        <v>1465</v>
      </c>
      <c r="BK127" s="523"/>
    </row>
    <row r="128" spans="1:63" s="199" customFormat="1" ht="150">
      <c r="A128" s="522">
        <v>1</v>
      </c>
      <c r="B128" s="523" t="s">
        <v>5074</v>
      </c>
      <c r="C128" s="523" t="s">
        <v>7247</v>
      </c>
      <c r="D128" s="523" t="s">
        <v>231</v>
      </c>
      <c r="E128" s="523" t="s">
        <v>5853</v>
      </c>
      <c r="F128" s="523" t="s">
        <v>1752</v>
      </c>
      <c r="G128" s="523" t="s">
        <v>2344</v>
      </c>
      <c r="H128" s="524">
        <v>834945</v>
      </c>
      <c r="I128" s="525" t="s">
        <v>5068</v>
      </c>
      <c r="J128" s="525" t="s">
        <v>5003</v>
      </c>
      <c r="K128" s="525" t="s">
        <v>5003</v>
      </c>
      <c r="L128" s="525" t="s">
        <v>5004</v>
      </c>
      <c r="M128" s="525" t="s">
        <v>1755</v>
      </c>
      <c r="N128" s="525" t="s">
        <v>1773</v>
      </c>
      <c r="O128" s="525" t="s">
        <v>2234</v>
      </c>
      <c r="P128" s="526">
        <v>867.27099999999996</v>
      </c>
      <c r="Q128" s="526">
        <f t="shared" si="54"/>
        <v>1023.3797799999999</v>
      </c>
      <c r="R128" s="526">
        <v>666.75975745153301</v>
      </c>
      <c r="S128" s="527" t="s">
        <v>1774</v>
      </c>
      <c r="T128" s="528">
        <v>1.087</v>
      </c>
      <c r="U128" s="528">
        <v>1.077</v>
      </c>
      <c r="V128" s="528">
        <v>1.073</v>
      </c>
      <c r="W128" s="529">
        <v>1.071</v>
      </c>
      <c r="X128" s="530">
        <v>0.9</v>
      </c>
      <c r="Y128" s="526">
        <v>780.70899999999995</v>
      </c>
      <c r="Z128" s="526">
        <f t="shared" si="55"/>
        <v>921.2366199999999</v>
      </c>
      <c r="AA128" s="531">
        <v>785.57103405965995</v>
      </c>
      <c r="AB128" s="532">
        <f t="shared" si="56"/>
        <v>926.97382019039867</v>
      </c>
      <c r="AC128" s="514">
        <f t="shared" si="51"/>
        <v>780.70899999999995</v>
      </c>
      <c r="AD128" s="493">
        <f t="shared" si="47"/>
        <v>921.2366199999999</v>
      </c>
      <c r="AE128" s="494" t="s">
        <v>1775</v>
      </c>
      <c r="AF128" s="523" t="s">
        <v>231</v>
      </c>
      <c r="AG128" s="523" t="s">
        <v>5036</v>
      </c>
      <c r="AH128" s="523" t="s">
        <v>545</v>
      </c>
      <c r="AI128" s="533">
        <v>41654</v>
      </c>
      <c r="AJ128" s="533">
        <f t="shared" si="52"/>
        <v>41689</v>
      </c>
      <c r="AK128" s="534" t="s">
        <v>132</v>
      </c>
      <c r="AL128" s="534" t="s">
        <v>132</v>
      </c>
      <c r="AM128" s="535" t="s">
        <v>5005</v>
      </c>
      <c r="AN128" s="535" t="s">
        <v>1757</v>
      </c>
      <c r="AO128" s="524">
        <v>796</v>
      </c>
      <c r="AP128" s="523" t="s">
        <v>368</v>
      </c>
      <c r="AQ128" s="523">
        <v>1</v>
      </c>
      <c r="AR128" s="523">
        <v>46</v>
      </c>
      <c r="AS128" s="525" t="s">
        <v>605</v>
      </c>
      <c r="AT128" s="533">
        <f t="shared" si="49"/>
        <v>41709</v>
      </c>
      <c r="AU128" s="533">
        <f t="shared" si="50"/>
        <v>41709</v>
      </c>
      <c r="AV128" s="533">
        <v>41820</v>
      </c>
      <c r="AW128" s="523">
        <v>2014</v>
      </c>
      <c r="AX128" s="534"/>
      <c r="AY128" s="535" t="s">
        <v>186</v>
      </c>
      <c r="AZ128" s="534"/>
      <c r="BA128" s="523">
        <v>2014</v>
      </c>
      <c r="BB128" s="523" t="s">
        <v>5079</v>
      </c>
      <c r="BC128" s="536" t="s">
        <v>5084</v>
      </c>
      <c r="BD128" s="537" t="s">
        <v>1818</v>
      </c>
      <c r="BE128" s="538">
        <f>AV128+30</f>
        <v>41850</v>
      </c>
      <c r="BF128" s="539">
        <v>1048.9742042</v>
      </c>
      <c r="BG128" s="488">
        <v>952.48203779041398</v>
      </c>
      <c r="BH128" s="526" t="s">
        <v>132</v>
      </c>
      <c r="BI128" s="540">
        <v>0.45</v>
      </c>
      <c r="BJ128" s="522" t="s">
        <v>1465</v>
      </c>
      <c r="BK128" s="523"/>
    </row>
    <row r="129" spans="1:63" s="199" customFormat="1" ht="150">
      <c r="A129" s="503">
        <v>1</v>
      </c>
      <c r="B129" s="504" t="s">
        <v>5112</v>
      </c>
      <c r="C129" s="504" t="s">
        <v>83</v>
      </c>
      <c r="D129" s="504" t="s">
        <v>231</v>
      </c>
      <c r="E129" s="504" t="s">
        <v>5853</v>
      </c>
      <c r="F129" s="504" t="s">
        <v>1752</v>
      </c>
      <c r="G129" s="504" t="s">
        <v>2344</v>
      </c>
      <c r="H129" s="505">
        <v>834930</v>
      </c>
      <c r="I129" s="506" t="s">
        <v>5063</v>
      </c>
      <c r="J129" s="506" t="s">
        <v>5003</v>
      </c>
      <c r="K129" s="506" t="s">
        <v>5003</v>
      </c>
      <c r="L129" s="506" t="s">
        <v>5004</v>
      </c>
      <c r="M129" s="506" t="s">
        <v>1755</v>
      </c>
      <c r="N129" s="506" t="s">
        <v>1773</v>
      </c>
      <c r="O129" s="506" t="s">
        <v>2234</v>
      </c>
      <c r="P129" s="507">
        <v>6020.6430000000009</v>
      </c>
      <c r="Q129" s="507">
        <f t="shared" si="54"/>
        <v>7104.3587400000006</v>
      </c>
      <c r="R129" s="507">
        <v>4628.6899999999996</v>
      </c>
      <c r="S129" s="508" t="s">
        <v>1774</v>
      </c>
      <c r="T129" s="509">
        <v>1.087</v>
      </c>
      <c r="U129" s="509">
        <v>1.077</v>
      </c>
      <c r="V129" s="509">
        <v>1.073</v>
      </c>
      <c r="W129" s="510">
        <v>1.071</v>
      </c>
      <c r="X129" s="511">
        <v>0.9</v>
      </c>
      <c r="Y129" s="507">
        <v>5419.73</v>
      </c>
      <c r="Z129" s="507">
        <f t="shared" si="55"/>
        <v>6395.2813999999989</v>
      </c>
      <c r="AA129" s="512">
        <v>5469.15</v>
      </c>
      <c r="AB129" s="513">
        <f t="shared" si="56"/>
        <v>6453.5969999999988</v>
      </c>
      <c r="AC129" s="514">
        <f t="shared" si="51"/>
        <v>5419.73</v>
      </c>
      <c r="AD129" s="493">
        <f t="shared" si="47"/>
        <v>6395.2813999999989</v>
      </c>
      <c r="AE129" s="494" t="s">
        <v>1775</v>
      </c>
      <c r="AF129" s="504" t="s">
        <v>83</v>
      </c>
      <c r="AG129" s="513" t="s">
        <v>83</v>
      </c>
      <c r="AH129" s="513" t="s">
        <v>545</v>
      </c>
      <c r="AI129" s="515">
        <v>41654</v>
      </c>
      <c r="AJ129" s="515">
        <f t="shared" si="52"/>
        <v>41689</v>
      </c>
      <c r="AK129" s="516"/>
      <c r="AL129" s="516"/>
      <c r="AM129" s="516" t="s">
        <v>5005</v>
      </c>
      <c r="AN129" s="516" t="s">
        <v>1757</v>
      </c>
      <c r="AO129" s="517">
        <v>796</v>
      </c>
      <c r="AP129" s="504" t="s">
        <v>368</v>
      </c>
      <c r="AQ129" s="504">
        <v>1</v>
      </c>
      <c r="AR129" s="504">
        <v>46</v>
      </c>
      <c r="AS129" s="506" t="s">
        <v>605</v>
      </c>
      <c r="AT129" s="515">
        <f t="shared" si="49"/>
        <v>41709</v>
      </c>
      <c r="AU129" s="515">
        <f t="shared" si="50"/>
        <v>41709</v>
      </c>
      <c r="AV129" s="515">
        <v>41820</v>
      </c>
      <c r="AW129" s="504">
        <v>2014</v>
      </c>
      <c r="AX129" s="506"/>
      <c r="AY129" s="519" t="s">
        <v>186</v>
      </c>
      <c r="AZ129" s="520"/>
      <c r="BA129" s="504">
        <v>2014</v>
      </c>
      <c r="BB129" s="513" t="s">
        <v>2271</v>
      </c>
      <c r="BC129" s="521" t="s">
        <v>2271</v>
      </c>
      <c r="BD129" s="520" t="s">
        <v>2272</v>
      </c>
      <c r="BE129" s="553" t="s">
        <v>2272</v>
      </c>
      <c r="BF129" s="507" t="s">
        <v>2272</v>
      </c>
      <c r="BG129" s="488" t="s">
        <v>2272</v>
      </c>
      <c r="BH129" s="569" t="s">
        <v>2272</v>
      </c>
      <c r="BI129" s="569" t="s">
        <v>2272</v>
      </c>
      <c r="BJ129" s="503" t="s">
        <v>1465</v>
      </c>
      <c r="BK129" s="504"/>
    </row>
    <row r="130" spans="1:63" s="199" customFormat="1" ht="150">
      <c r="A130" s="522">
        <v>1</v>
      </c>
      <c r="B130" s="523" t="s">
        <v>5113</v>
      </c>
      <c r="C130" s="523" t="s">
        <v>7247</v>
      </c>
      <c r="D130" s="523" t="s">
        <v>231</v>
      </c>
      <c r="E130" s="523" t="s">
        <v>5853</v>
      </c>
      <c r="F130" s="523" t="s">
        <v>1752</v>
      </c>
      <c r="G130" s="523" t="s">
        <v>2344</v>
      </c>
      <c r="H130" s="524">
        <v>834932</v>
      </c>
      <c r="I130" s="525" t="s">
        <v>5118</v>
      </c>
      <c r="J130" s="525" t="s">
        <v>5003</v>
      </c>
      <c r="K130" s="525" t="s">
        <v>5003</v>
      </c>
      <c r="L130" s="525" t="s">
        <v>5019</v>
      </c>
      <c r="M130" s="525" t="s">
        <v>1755</v>
      </c>
      <c r="N130" s="525" t="s">
        <v>1773</v>
      </c>
      <c r="O130" s="525" t="s">
        <v>2234</v>
      </c>
      <c r="P130" s="526">
        <v>1156.3620000000001</v>
      </c>
      <c r="Q130" s="526">
        <f t="shared" si="54"/>
        <v>1364.5071600000001</v>
      </c>
      <c r="R130" s="526">
        <v>889.01016312238448</v>
      </c>
      <c r="S130" s="527" t="s">
        <v>1774</v>
      </c>
      <c r="T130" s="528">
        <v>1.087</v>
      </c>
      <c r="U130" s="528">
        <v>1.077</v>
      </c>
      <c r="V130" s="528">
        <v>1.073</v>
      </c>
      <c r="W130" s="529">
        <v>1.071</v>
      </c>
      <c r="X130" s="530">
        <v>0.9</v>
      </c>
      <c r="Y130" s="526">
        <v>1040.942</v>
      </c>
      <c r="Z130" s="526">
        <f t="shared" si="55"/>
        <v>1228.3115599999999</v>
      </c>
      <c r="AA130" s="531">
        <v>1047.431534593725</v>
      </c>
      <c r="AB130" s="532">
        <f t="shared" si="56"/>
        <v>1235.9692108205954</v>
      </c>
      <c r="AC130" s="514">
        <f t="shared" si="51"/>
        <v>1040.942</v>
      </c>
      <c r="AD130" s="493">
        <f t="shared" si="47"/>
        <v>1228.3115599999999</v>
      </c>
      <c r="AE130" s="494" t="s">
        <v>1775</v>
      </c>
      <c r="AF130" s="523" t="s">
        <v>83</v>
      </c>
      <c r="AG130" s="523" t="s">
        <v>83</v>
      </c>
      <c r="AH130" s="523" t="s">
        <v>545</v>
      </c>
      <c r="AI130" s="533">
        <v>41654</v>
      </c>
      <c r="AJ130" s="533">
        <f t="shared" si="52"/>
        <v>41689</v>
      </c>
      <c r="AK130" s="534" t="s">
        <v>132</v>
      </c>
      <c r="AL130" s="534" t="s">
        <v>132</v>
      </c>
      <c r="AM130" s="535" t="s">
        <v>5005</v>
      </c>
      <c r="AN130" s="535" t="s">
        <v>1757</v>
      </c>
      <c r="AO130" s="524">
        <v>796</v>
      </c>
      <c r="AP130" s="523" t="s">
        <v>368</v>
      </c>
      <c r="AQ130" s="523">
        <v>1</v>
      </c>
      <c r="AR130" s="523">
        <v>46</v>
      </c>
      <c r="AS130" s="525" t="s">
        <v>605</v>
      </c>
      <c r="AT130" s="533">
        <f t="shared" si="49"/>
        <v>41709</v>
      </c>
      <c r="AU130" s="533">
        <f t="shared" si="50"/>
        <v>41709</v>
      </c>
      <c r="AV130" s="533">
        <v>41820</v>
      </c>
      <c r="AW130" s="523">
        <v>2014</v>
      </c>
      <c r="AX130" s="534"/>
      <c r="AY130" s="535" t="s">
        <v>186</v>
      </c>
      <c r="AZ130" s="534"/>
      <c r="BA130" s="523">
        <v>2014</v>
      </c>
      <c r="BB130" s="523" t="s">
        <v>5163</v>
      </c>
      <c r="BC130" s="536" t="s">
        <v>5164</v>
      </c>
      <c r="BD130" s="537" t="s">
        <v>1818</v>
      </c>
      <c r="BE130" s="538">
        <f>AV130+30</f>
        <v>41850</v>
      </c>
      <c r="BF130" s="539">
        <v>1398.6322643999999</v>
      </c>
      <c r="BG130" s="488">
        <v>1269.9494718112294</v>
      </c>
      <c r="BH130" s="526"/>
      <c r="BI130" s="540">
        <v>0.6</v>
      </c>
      <c r="BJ130" s="522" t="s">
        <v>5016</v>
      </c>
      <c r="BK130" s="523"/>
    </row>
    <row r="131" spans="1:63" s="199" customFormat="1" ht="150">
      <c r="A131" s="522">
        <v>1</v>
      </c>
      <c r="B131" s="523" t="s">
        <v>5114</v>
      </c>
      <c r="C131" s="523" t="s">
        <v>7247</v>
      </c>
      <c r="D131" s="523" t="s">
        <v>231</v>
      </c>
      <c r="E131" s="523" t="s">
        <v>5853</v>
      </c>
      <c r="F131" s="523" t="s">
        <v>1752</v>
      </c>
      <c r="G131" s="523" t="s">
        <v>2344</v>
      </c>
      <c r="H131" s="524">
        <v>834934</v>
      </c>
      <c r="I131" s="525" t="s">
        <v>5119</v>
      </c>
      <c r="J131" s="525" t="s">
        <v>5003</v>
      </c>
      <c r="K131" s="525" t="s">
        <v>5003</v>
      </c>
      <c r="L131" s="525" t="s">
        <v>5019</v>
      </c>
      <c r="M131" s="525" t="s">
        <v>1755</v>
      </c>
      <c r="N131" s="525" t="s">
        <v>1773</v>
      </c>
      <c r="O131" s="525" t="s">
        <v>2234</v>
      </c>
      <c r="P131" s="526">
        <v>1450.14</v>
      </c>
      <c r="Q131" s="526">
        <f t="shared" si="54"/>
        <v>1711.1652000000001</v>
      </c>
      <c r="R131" s="526">
        <v>1114.8697583055771</v>
      </c>
      <c r="S131" s="527" t="s">
        <v>1774</v>
      </c>
      <c r="T131" s="528">
        <v>1.087</v>
      </c>
      <c r="U131" s="528">
        <v>1.077</v>
      </c>
      <c r="V131" s="528">
        <v>1.073</v>
      </c>
      <c r="W131" s="529">
        <v>1.071</v>
      </c>
      <c r="X131" s="530">
        <v>0.9</v>
      </c>
      <c r="Y131" s="526">
        <v>1305.4010000000001</v>
      </c>
      <c r="Z131" s="526">
        <f t="shared" si="55"/>
        <v>1540.37318</v>
      </c>
      <c r="AA131" s="531">
        <v>1323.5149380960147</v>
      </c>
      <c r="AB131" s="532">
        <f t="shared" si="56"/>
        <v>1561.7476269532972</v>
      </c>
      <c r="AC131" s="514">
        <f t="shared" si="51"/>
        <v>1305.4010000000001</v>
      </c>
      <c r="AD131" s="493">
        <f t="shared" si="47"/>
        <v>1540.37318</v>
      </c>
      <c r="AE131" s="494" t="s">
        <v>1775</v>
      </c>
      <c r="AF131" s="523" t="s">
        <v>83</v>
      </c>
      <c r="AG131" s="523" t="s">
        <v>83</v>
      </c>
      <c r="AH131" s="523" t="s">
        <v>545</v>
      </c>
      <c r="AI131" s="533">
        <v>41654</v>
      </c>
      <c r="AJ131" s="533">
        <f t="shared" si="52"/>
        <v>41689</v>
      </c>
      <c r="AK131" s="534" t="s">
        <v>132</v>
      </c>
      <c r="AL131" s="534" t="s">
        <v>132</v>
      </c>
      <c r="AM131" s="535" t="s">
        <v>5005</v>
      </c>
      <c r="AN131" s="535" t="s">
        <v>1757</v>
      </c>
      <c r="AO131" s="524">
        <v>796</v>
      </c>
      <c r="AP131" s="523" t="s">
        <v>368</v>
      </c>
      <c r="AQ131" s="523">
        <v>1</v>
      </c>
      <c r="AR131" s="523">
        <v>46</v>
      </c>
      <c r="AS131" s="525" t="s">
        <v>605</v>
      </c>
      <c r="AT131" s="533">
        <f t="shared" si="49"/>
        <v>41709</v>
      </c>
      <c r="AU131" s="533">
        <f t="shared" si="50"/>
        <v>41709</v>
      </c>
      <c r="AV131" s="533">
        <v>41820</v>
      </c>
      <c r="AW131" s="523">
        <v>2014</v>
      </c>
      <c r="AX131" s="534"/>
      <c r="AY131" s="535" t="s">
        <v>186</v>
      </c>
      <c r="AZ131" s="534"/>
      <c r="BA131" s="523">
        <v>2014</v>
      </c>
      <c r="BB131" s="523" t="s">
        <v>5165</v>
      </c>
      <c r="BC131" s="536" t="s">
        <v>5166</v>
      </c>
      <c r="BD131" s="537" t="s">
        <v>1818</v>
      </c>
      <c r="BE131" s="538">
        <f>AV131+30</f>
        <v>41850</v>
      </c>
      <c r="BF131" s="539">
        <v>1754.4339945999998</v>
      </c>
      <c r="BG131" s="488">
        <v>1604.8445433316629</v>
      </c>
      <c r="BH131" s="540">
        <v>0.1</v>
      </c>
      <c r="BI131" s="540">
        <v>0.36</v>
      </c>
      <c r="BJ131" s="522" t="s">
        <v>5016</v>
      </c>
      <c r="BK131" s="523"/>
    </row>
    <row r="132" spans="1:63" s="199" customFormat="1" ht="150">
      <c r="A132" s="522">
        <v>1</v>
      </c>
      <c r="B132" s="523" t="s">
        <v>5115</v>
      </c>
      <c r="C132" s="523" t="s">
        <v>7247</v>
      </c>
      <c r="D132" s="523" t="s">
        <v>231</v>
      </c>
      <c r="E132" s="523" t="s">
        <v>5853</v>
      </c>
      <c r="F132" s="523" t="s">
        <v>1752</v>
      </c>
      <c r="G132" s="523" t="s">
        <v>2344</v>
      </c>
      <c r="H132" s="524">
        <v>834937</v>
      </c>
      <c r="I132" s="525" t="s">
        <v>5120</v>
      </c>
      <c r="J132" s="525" t="s">
        <v>5003</v>
      </c>
      <c r="K132" s="525" t="s">
        <v>5003</v>
      </c>
      <c r="L132" s="525" t="s">
        <v>1825</v>
      </c>
      <c r="M132" s="525" t="s">
        <v>1755</v>
      </c>
      <c r="N132" s="525" t="s">
        <v>1773</v>
      </c>
      <c r="O132" s="525" t="s">
        <v>2234</v>
      </c>
      <c r="P132" s="526">
        <v>1486.8710000000001</v>
      </c>
      <c r="Q132" s="526">
        <f t="shared" si="54"/>
        <v>1754.5077799999999</v>
      </c>
      <c r="R132" s="526">
        <v>1143.1095738320953</v>
      </c>
      <c r="S132" s="527" t="s">
        <v>1774</v>
      </c>
      <c r="T132" s="528">
        <v>1.087</v>
      </c>
      <c r="U132" s="528">
        <v>1.077</v>
      </c>
      <c r="V132" s="528">
        <v>1.073</v>
      </c>
      <c r="W132" s="529">
        <v>1.071</v>
      </c>
      <c r="X132" s="530">
        <v>0.9</v>
      </c>
      <c r="Y132" s="526">
        <v>1338.4670000000001</v>
      </c>
      <c r="Z132" s="526">
        <f t="shared" si="55"/>
        <v>1579.3910599999999</v>
      </c>
      <c r="AA132" s="531">
        <v>1352.6057933863049</v>
      </c>
      <c r="AB132" s="532">
        <f t="shared" si="56"/>
        <v>1596.0748361958397</v>
      </c>
      <c r="AC132" s="514">
        <f t="shared" si="51"/>
        <v>1338.4670000000001</v>
      </c>
      <c r="AD132" s="493">
        <f t="shared" si="47"/>
        <v>1579.3910599999999</v>
      </c>
      <c r="AE132" s="494" t="s">
        <v>1775</v>
      </c>
      <c r="AF132" s="523" t="s">
        <v>83</v>
      </c>
      <c r="AG132" s="523" t="s">
        <v>83</v>
      </c>
      <c r="AH132" s="523" t="s">
        <v>545</v>
      </c>
      <c r="AI132" s="533">
        <v>41654</v>
      </c>
      <c r="AJ132" s="533">
        <f t="shared" si="52"/>
        <v>41689</v>
      </c>
      <c r="AK132" s="534" t="s">
        <v>132</v>
      </c>
      <c r="AL132" s="534" t="s">
        <v>132</v>
      </c>
      <c r="AM132" s="535" t="s">
        <v>5005</v>
      </c>
      <c r="AN132" s="535" t="s">
        <v>1757</v>
      </c>
      <c r="AO132" s="524">
        <v>796</v>
      </c>
      <c r="AP132" s="523" t="s">
        <v>368</v>
      </c>
      <c r="AQ132" s="523">
        <v>1</v>
      </c>
      <c r="AR132" s="523">
        <v>46</v>
      </c>
      <c r="AS132" s="525" t="s">
        <v>605</v>
      </c>
      <c r="AT132" s="533">
        <f t="shared" si="49"/>
        <v>41709</v>
      </c>
      <c r="AU132" s="533">
        <f t="shared" si="50"/>
        <v>41709</v>
      </c>
      <c r="AV132" s="533">
        <v>41820</v>
      </c>
      <c r="AW132" s="523">
        <v>2014</v>
      </c>
      <c r="AX132" s="534"/>
      <c r="AY132" s="535" t="s">
        <v>186</v>
      </c>
      <c r="AZ132" s="534"/>
      <c r="BA132" s="523">
        <v>2014</v>
      </c>
      <c r="BB132" s="523" t="s">
        <v>5167</v>
      </c>
      <c r="BC132" s="536" t="s">
        <v>5168</v>
      </c>
      <c r="BD132" s="537" t="s">
        <v>1818</v>
      </c>
      <c r="BE132" s="538">
        <f>AV132+30</f>
        <v>41850</v>
      </c>
      <c r="BF132" s="539">
        <v>1798.6625658</v>
      </c>
      <c r="BG132" s="488">
        <v>1640.0005394276352</v>
      </c>
      <c r="BH132" s="540">
        <v>1.6E-2</v>
      </c>
      <c r="BI132" s="540">
        <v>0.53</v>
      </c>
      <c r="BJ132" s="522" t="s">
        <v>5016</v>
      </c>
      <c r="BK132" s="523"/>
    </row>
    <row r="133" spans="1:63" s="199" customFormat="1" ht="150">
      <c r="A133" s="522">
        <v>1</v>
      </c>
      <c r="B133" s="523" t="s">
        <v>5116</v>
      </c>
      <c r="C133" s="523" t="s">
        <v>7247</v>
      </c>
      <c r="D133" s="523" t="s">
        <v>231</v>
      </c>
      <c r="E133" s="523" t="s">
        <v>5853</v>
      </c>
      <c r="F133" s="523" t="s">
        <v>1752</v>
      </c>
      <c r="G133" s="523" t="s">
        <v>2344</v>
      </c>
      <c r="H133" s="524">
        <v>834939</v>
      </c>
      <c r="I133" s="525" t="s">
        <v>5121</v>
      </c>
      <c r="J133" s="525" t="s">
        <v>5003</v>
      </c>
      <c r="K133" s="525" t="s">
        <v>5003</v>
      </c>
      <c r="L133" s="525" t="s">
        <v>5019</v>
      </c>
      <c r="M133" s="525" t="s">
        <v>1755</v>
      </c>
      <c r="N133" s="525" t="s">
        <v>1773</v>
      </c>
      <c r="O133" s="525" t="s">
        <v>2234</v>
      </c>
      <c r="P133" s="526">
        <v>963.63499999999999</v>
      </c>
      <c r="Q133" s="526">
        <f t="shared" si="54"/>
        <v>1137.0892999999999</v>
      </c>
      <c r="R133" s="526">
        <v>740.84977367836711</v>
      </c>
      <c r="S133" s="527" t="s">
        <v>1774</v>
      </c>
      <c r="T133" s="528">
        <v>1.087</v>
      </c>
      <c r="U133" s="528">
        <v>1.077</v>
      </c>
      <c r="V133" s="528">
        <v>1.073</v>
      </c>
      <c r="W133" s="529">
        <v>1.071</v>
      </c>
      <c r="X133" s="530">
        <v>0.9</v>
      </c>
      <c r="Y133" s="526">
        <v>867.46100000000001</v>
      </c>
      <c r="Z133" s="526">
        <f t="shared" si="55"/>
        <v>1023.60398</v>
      </c>
      <c r="AA133" s="531">
        <v>872.79924242354991</v>
      </c>
      <c r="AB133" s="532">
        <f t="shared" si="56"/>
        <v>1029.9031060597888</v>
      </c>
      <c r="AC133" s="514">
        <f t="shared" si="51"/>
        <v>867.46100000000001</v>
      </c>
      <c r="AD133" s="493">
        <f t="shared" si="47"/>
        <v>1023.60398</v>
      </c>
      <c r="AE133" s="494" t="s">
        <v>1775</v>
      </c>
      <c r="AF133" s="523" t="s">
        <v>83</v>
      </c>
      <c r="AG133" s="523" t="s">
        <v>83</v>
      </c>
      <c r="AH133" s="523" t="s">
        <v>545</v>
      </c>
      <c r="AI133" s="533">
        <v>41654</v>
      </c>
      <c r="AJ133" s="533">
        <f t="shared" si="52"/>
        <v>41689</v>
      </c>
      <c r="AK133" s="534" t="s">
        <v>132</v>
      </c>
      <c r="AL133" s="534" t="s">
        <v>132</v>
      </c>
      <c r="AM133" s="535" t="s">
        <v>5005</v>
      </c>
      <c r="AN133" s="535" t="s">
        <v>1757</v>
      </c>
      <c r="AO133" s="524">
        <v>796</v>
      </c>
      <c r="AP133" s="523" t="s">
        <v>368</v>
      </c>
      <c r="AQ133" s="523">
        <v>1</v>
      </c>
      <c r="AR133" s="523">
        <v>46</v>
      </c>
      <c r="AS133" s="525" t="s">
        <v>605</v>
      </c>
      <c r="AT133" s="533">
        <f t="shared" si="49"/>
        <v>41709</v>
      </c>
      <c r="AU133" s="533">
        <f t="shared" si="50"/>
        <v>41709</v>
      </c>
      <c r="AV133" s="533">
        <v>41820</v>
      </c>
      <c r="AW133" s="523">
        <v>2014</v>
      </c>
      <c r="AX133" s="534"/>
      <c r="AY133" s="535" t="s">
        <v>186</v>
      </c>
      <c r="AZ133" s="534"/>
      <c r="BA133" s="523">
        <v>2014</v>
      </c>
      <c r="BB133" s="523" t="s">
        <v>5169</v>
      </c>
      <c r="BC133" s="536" t="s">
        <v>5170</v>
      </c>
      <c r="BD133" s="537" t="s">
        <v>1818</v>
      </c>
      <c r="BE133" s="538">
        <f>AV133+30</f>
        <v>41850</v>
      </c>
      <c r="BF133" s="539">
        <v>1165.526887</v>
      </c>
      <c r="BG133" s="488">
        <v>1058.1739465045712</v>
      </c>
      <c r="BH133" s="526"/>
      <c r="BI133" s="540">
        <v>0.5</v>
      </c>
      <c r="BJ133" s="522" t="s">
        <v>5016</v>
      </c>
      <c r="BK133" s="523"/>
    </row>
    <row r="134" spans="1:63" s="199" customFormat="1" ht="150">
      <c r="A134" s="522">
        <v>1</v>
      </c>
      <c r="B134" s="523" t="s">
        <v>5117</v>
      </c>
      <c r="C134" s="523" t="s">
        <v>7247</v>
      </c>
      <c r="D134" s="523" t="s">
        <v>231</v>
      </c>
      <c r="E134" s="523" t="s">
        <v>5853</v>
      </c>
      <c r="F134" s="523" t="s">
        <v>1752</v>
      </c>
      <c r="G134" s="523" t="s">
        <v>2344</v>
      </c>
      <c r="H134" s="524">
        <v>834941</v>
      </c>
      <c r="I134" s="525" t="s">
        <v>5122</v>
      </c>
      <c r="J134" s="525" t="s">
        <v>5003</v>
      </c>
      <c r="K134" s="525" t="s">
        <v>5003</v>
      </c>
      <c r="L134" s="525" t="s">
        <v>5019</v>
      </c>
      <c r="M134" s="525" t="s">
        <v>1755</v>
      </c>
      <c r="N134" s="525" t="s">
        <v>1773</v>
      </c>
      <c r="O134" s="525" t="s">
        <v>2234</v>
      </c>
      <c r="P134" s="526">
        <v>963.63499999999999</v>
      </c>
      <c r="Q134" s="526">
        <f t="shared" si="54"/>
        <v>1137.0892999999999</v>
      </c>
      <c r="R134" s="526">
        <v>740.84977367836711</v>
      </c>
      <c r="S134" s="527" t="s">
        <v>1774</v>
      </c>
      <c r="T134" s="528">
        <v>1.087</v>
      </c>
      <c r="U134" s="528">
        <v>1.077</v>
      </c>
      <c r="V134" s="528">
        <v>1.073</v>
      </c>
      <c r="W134" s="529">
        <v>1.071</v>
      </c>
      <c r="X134" s="530">
        <v>0.9</v>
      </c>
      <c r="Y134" s="526">
        <v>867.46100000000001</v>
      </c>
      <c r="Z134" s="526">
        <f t="shared" si="55"/>
        <v>1023.60398</v>
      </c>
      <c r="AA134" s="531">
        <v>872.79924242354991</v>
      </c>
      <c r="AB134" s="532">
        <f t="shared" si="56"/>
        <v>1029.9031060597888</v>
      </c>
      <c r="AC134" s="514">
        <f t="shared" si="51"/>
        <v>867.46100000000001</v>
      </c>
      <c r="AD134" s="493">
        <f t="shared" si="47"/>
        <v>1023.60398</v>
      </c>
      <c r="AE134" s="494" t="s">
        <v>1775</v>
      </c>
      <c r="AF134" s="523" t="s">
        <v>83</v>
      </c>
      <c r="AG134" s="523" t="s">
        <v>83</v>
      </c>
      <c r="AH134" s="523" t="s">
        <v>545</v>
      </c>
      <c r="AI134" s="533">
        <v>41654</v>
      </c>
      <c r="AJ134" s="533">
        <f t="shared" si="52"/>
        <v>41689</v>
      </c>
      <c r="AK134" s="534" t="s">
        <v>132</v>
      </c>
      <c r="AL134" s="534" t="s">
        <v>132</v>
      </c>
      <c r="AM134" s="535" t="s">
        <v>5005</v>
      </c>
      <c r="AN134" s="535" t="s">
        <v>1757</v>
      </c>
      <c r="AO134" s="524">
        <v>796</v>
      </c>
      <c r="AP134" s="523" t="s">
        <v>368</v>
      </c>
      <c r="AQ134" s="523">
        <v>1</v>
      </c>
      <c r="AR134" s="523">
        <v>46</v>
      </c>
      <c r="AS134" s="525" t="s">
        <v>605</v>
      </c>
      <c r="AT134" s="533">
        <f t="shared" si="49"/>
        <v>41709</v>
      </c>
      <c r="AU134" s="533">
        <f t="shared" si="50"/>
        <v>41709</v>
      </c>
      <c r="AV134" s="533">
        <v>41820</v>
      </c>
      <c r="AW134" s="523">
        <v>2014</v>
      </c>
      <c r="AX134" s="534"/>
      <c r="AY134" s="535" t="s">
        <v>186</v>
      </c>
      <c r="AZ134" s="534"/>
      <c r="BA134" s="523">
        <v>2014</v>
      </c>
      <c r="BB134" s="523" t="s">
        <v>5171</v>
      </c>
      <c r="BC134" s="536" t="s">
        <v>5172</v>
      </c>
      <c r="BD134" s="537" t="s">
        <v>1818</v>
      </c>
      <c r="BE134" s="538">
        <f>AV134+30</f>
        <v>41850</v>
      </c>
      <c r="BF134" s="539">
        <v>1165.526887</v>
      </c>
      <c r="BG134" s="488">
        <v>1058.1739465045712</v>
      </c>
      <c r="BH134" s="526"/>
      <c r="BI134" s="540">
        <v>0.5</v>
      </c>
      <c r="BJ134" s="522" t="s">
        <v>5016</v>
      </c>
      <c r="BK134" s="523"/>
    </row>
    <row r="135" spans="1:63" s="199" customFormat="1" ht="150">
      <c r="A135" s="503">
        <v>1</v>
      </c>
      <c r="B135" s="504" t="s">
        <v>5091</v>
      </c>
      <c r="C135" s="504" t="s">
        <v>83</v>
      </c>
      <c r="D135" s="504" t="s">
        <v>231</v>
      </c>
      <c r="E135" s="504" t="s">
        <v>5853</v>
      </c>
      <c r="F135" s="504" t="s">
        <v>1752</v>
      </c>
      <c r="G135" s="504" t="s">
        <v>2344</v>
      </c>
      <c r="H135" s="505">
        <v>834946</v>
      </c>
      <c r="I135" s="506" t="s">
        <v>5085</v>
      </c>
      <c r="J135" s="506" t="s">
        <v>5003</v>
      </c>
      <c r="K135" s="506" t="s">
        <v>5003</v>
      </c>
      <c r="L135" s="506" t="s">
        <v>5004</v>
      </c>
      <c r="M135" s="506" t="s">
        <v>1755</v>
      </c>
      <c r="N135" s="506" t="s">
        <v>1773</v>
      </c>
      <c r="O135" s="506" t="s">
        <v>2234</v>
      </c>
      <c r="P135" s="507">
        <v>2989.4349999999999</v>
      </c>
      <c r="Q135" s="507">
        <f t="shared" si="54"/>
        <v>3527.5332999999996</v>
      </c>
      <c r="R135" s="507">
        <v>2313.5588009223702</v>
      </c>
      <c r="S135" s="508" t="s">
        <v>1774</v>
      </c>
      <c r="T135" s="509">
        <v>1.087</v>
      </c>
      <c r="U135" s="509">
        <v>1.077</v>
      </c>
      <c r="V135" s="509">
        <v>1.073</v>
      </c>
      <c r="W135" s="510">
        <v>1.071</v>
      </c>
      <c r="X135" s="511">
        <v>0.9</v>
      </c>
      <c r="Y135" s="507">
        <v>2708.9459999999999</v>
      </c>
      <c r="Z135" s="507">
        <f t="shared" si="55"/>
        <v>3196.5562799999998</v>
      </c>
      <c r="AA135" s="512">
        <v>2730.5872935752554</v>
      </c>
      <c r="AB135" s="513">
        <f t="shared" si="56"/>
        <v>3222.0930064188015</v>
      </c>
      <c r="AC135" s="514">
        <f t="shared" si="51"/>
        <v>2708.9459999999999</v>
      </c>
      <c r="AD135" s="493">
        <f t="shared" si="47"/>
        <v>3196.5562799999998</v>
      </c>
      <c r="AE135" s="494" t="s">
        <v>1775</v>
      </c>
      <c r="AF135" s="504" t="s">
        <v>231</v>
      </c>
      <c r="AG135" s="513" t="s">
        <v>5036</v>
      </c>
      <c r="AH135" s="513" t="s">
        <v>545</v>
      </c>
      <c r="AI135" s="515">
        <v>41654</v>
      </c>
      <c r="AJ135" s="515">
        <f t="shared" si="52"/>
        <v>41689</v>
      </c>
      <c r="AK135" s="516"/>
      <c r="AL135" s="516"/>
      <c r="AM135" s="516" t="s">
        <v>5005</v>
      </c>
      <c r="AN135" s="516" t="s">
        <v>1757</v>
      </c>
      <c r="AO135" s="517">
        <v>796</v>
      </c>
      <c r="AP135" s="504" t="s">
        <v>368</v>
      </c>
      <c r="AQ135" s="504">
        <v>1</v>
      </c>
      <c r="AR135" s="504">
        <v>46</v>
      </c>
      <c r="AS135" s="506" t="s">
        <v>605</v>
      </c>
      <c r="AT135" s="515">
        <f t="shared" si="49"/>
        <v>41709</v>
      </c>
      <c r="AU135" s="515">
        <f t="shared" si="50"/>
        <v>41709</v>
      </c>
      <c r="AV135" s="515">
        <v>41820</v>
      </c>
      <c r="AW135" s="504">
        <v>2014</v>
      </c>
      <c r="AX135" s="518"/>
      <c r="AY135" s="519" t="s">
        <v>186</v>
      </c>
      <c r="AZ135" s="520"/>
      <c r="BA135" s="504">
        <v>2014</v>
      </c>
      <c r="BB135" s="513" t="s">
        <v>2271</v>
      </c>
      <c r="BC135" s="521" t="s">
        <v>2271</v>
      </c>
      <c r="BD135" s="520" t="s">
        <v>2272</v>
      </c>
      <c r="BE135" s="553" t="s">
        <v>2272</v>
      </c>
      <c r="BF135" s="507" t="s">
        <v>2272</v>
      </c>
      <c r="BG135" s="488" t="s">
        <v>2272</v>
      </c>
      <c r="BH135" s="503" t="s">
        <v>2272</v>
      </c>
      <c r="BI135" s="503" t="s">
        <v>2272</v>
      </c>
      <c r="BJ135" s="503" t="s">
        <v>1465</v>
      </c>
      <c r="BK135" s="503"/>
    </row>
    <row r="136" spans="1:63" s="199" customFormat="1" ht="150">
      <c r="A136" s="522">
        <v>1</v>
      </c>
      <c r="B136" s="523" t="s">
        <v>5092</v>
      </c>
      <c r="C136" s="523" t="s">
        <v>7247</v>
      </c>
      <c r="D136" s="523" t="s">
        <v>231</v>
      </c>
      <c r="E136" s="523" t="s">
        <v>5853</v>
      </c>
      <c r="F136" s="523" t="s">
        <v>1752</v>
      </c>
      <c r="G136" s="523" t="s">
        <v>2344</v>
      </c>
      <c r="H136" s="524">
        <v>834949</v>
      </c>
      <c r="I136" s="525" t="s">
        <v>5086</v>
      </c>
      <c r="J136" s="525" t="s">
        <v>5003</v>
      </c>
      <c r="K136" s="525" t="s">
        <v>5003</v>
      </c>
      <c r="L136" s="525" t="s">
        <v>5004</v>
      </c>
      <c r="M136" s="525" t="s">
        <v>1755</v>
      </c>
      <c r="N136" s="525" t="s">
        <v>1773</v>
      </c>
      <c r="O136" s="525" t="s">
        <v>2234</v>
      </c>
      <c r="P136" s="526">
        <v>867.26900000000001</v>
      </c>
      <c r="Q136" s="526">
        <f t="shared" si="54"/>
        <v>1023.3774199999999</v>
      </c>
      <c r="R136" s="526">
        <v>666.75975745153301</v>
      </c>
      <c r="S136" s="527" t="s">
        <v>1774</v>
      </c>
      <c r="T136" s="528">
        <v>1.087</v>
      </c>
      <c r="U136" s="528">
        <v>1.077</v>
      </c>
      <c r="V136" s="528">
        <v>1.073</v>
      </c>
      <c r="W136" s="529">
        <v>1.071</v>
      </c>
      <c r="X136" s="530">
        <v>0.9</v>
      </c>
      <c r="Y136" s="526">
        <v>780.70899999999995</v>
      </c>
      <c r="Z136" s="526">
        <f t="shared" si="55"/>
        <v>921.2366199999999</v>
      </c>
      <c r="AA136" s="531">
        <v>785.57103405965995</v>
      </c>
      <c r="AB136" s="532">
        <f t="shared" si="56"/>
        <v>926.97382019039867</v>
      </c>
      <c r="AC136" s="514">
        <f t="shared" si="51"/>
        <v>780.70899999999995</v>
      </c>
      <c r="AD136" s="493">
        <f t="shared" ref="AD136:AD185" si="57">AC136*1.18</f>
        <v>921.2366199999999</v>
      </c>
      <c r="AE136" s="494" t="s">
        <v>1775</v>
      </c>
      <c r="AF136" s="523" t="s">
        <v>231</v>
      </c>
      <c r="AG136" s="523" t="s">
        <v>5036</v>
      </c>
      <c r="AH136" s="523" t="s">
        <v>545</v>
      </c>
      <c r="AI136" s="533">
        <v>41654</v>
      </c>
      <c r="AJ136" s="533">
        <f t="shared" si="52"/>
        <v>41689</v>
      </c>
      <c r="AK136" s="534" t="s">
        <v>132</v>
      </c>
      <c r="AL136" s="534" t="s">
        <v>132</v>
      </c>
      <c r="AM136" s="535" t="s">
        <v>5005</v>
      </c>
      <c r="AN136" s="535" t="s">
        <v>1757</v>
      </c>
      <c r="AO136" s="524">
        <v>796</v>
      </c>
      <c r="AP136" s="523" t="s">
        <v>368</v>
      </c>
      <c r="AQ136" s="523">
        <v>1</v>
      </c>
      <c r="AR136" s="523">
        <v>46</v>
      </c>
      <c r="AS136" s="525" t="s">
        <v>605</v>
      </c>
      <c r="AT136" s="533">
        <f t="shared" si="49"/>
        <v>41709</v>
      </c>
      <c r="AU136" s="533">
        <f t="shared" si="50"/>
        <v>41709</v>
      </c>
      <c r="AV136" s="533">
        <v>41820</v>
      </c>
      <c r="AW136" s="523">
        <v>2014</v>
      </c>
      <c r="AX136" s="534"/>
      <c r="AY136" s="535" t="s">
        <v>186</v>
      </c>
      <c r="AZ136" s="534"/>
      <c r="BA136" s="523">
        <v>2014</v>
      </c>
      <c r="BB136" s="523" t="s">
        <v>5097</v>
      </c>
      <c r="BC136" s="536" t="s">
        <v>5102</v>
      </c>
      <c r="BD136" s="537" t="s">
        <v>1818</v>
      </c>
      <c r="BE136" s="538">
        <f>AV136+30</f>
        <v>41850</v>
      </c>
      <c r="BF136" s="539">
        <v>1048.9742042</v>
      </c>
      <c r="BG136" s="488">
        <v>952.48203779041398</v>
      </c>
      <c r="BH136" s="526"/>
      <c r="BI136" s="540">
        <v>0.45</v>
      </c>
      <c r="BJ136" s="522" t="s">
        <v>1465</v>
      </c>
      <c r="BK136" s="523"/>
    </row>
    <row r="137" spans="1:63" s="199" customFormat="1" ht="150">
      <c r="A137" s="522">
        <v>1</v>
      </c>
      <c r="B137" s="523" t="s">
        <v>5093</v>
      </c>
      <c r="C137" s="523" t="s">
        <v>7247</v>
      </c>
      <c r="D137" s="523" t="s">
        <v>231</v>
      </c>
      <c r="E137" s="523" t="s">
        <v>5853</v>
      </c>
      <c r="F137" s="523" t="s">
        <v>1752</v>
      </c>
      <c r="G137" s="523" t="s">
        <v>2344</v>
      </c>
      <c r="H137" s="524">
        <v>834952</v>
      </c>
      <c r="I137" s="525" t="s">
        <v>5087</v>
      </c>
      <c r="J137" s="525" t="s">
        <v>5003</v>
      </c>
      <c r="K137" s="525" t="s">
        <v>5003</v>
      </c>
      <c r="L137" s="525" t="s">
        <v>5004</v>
      </c>
      <c r="M137" s="525" t="s">
        <v>1755</v>
      </c>
      <c r="N137" s="525" t="s">
        <v>1773</v>
      </c>
      <c r="O137" s="525" t="s">
        <v>2234</v>
      </c>
      <c r="P137" s="526">
        <v>600.16200000000003</v>
      </c>
      <c r="Q137" s="526">
        <f t="shared" si="54"/>
        <v>708.19115999999997</v>
      </c>
      <c r="R137" s="526">
        <v>461.42027500213516</v>
      </c>
      <c r="S137" s="527" t="s">
        <v>1774</v>
      </c>
      <c r="T137" s="528">
        <v>1.087</v>
      </c>
      <c r="U137" s="528">
        <v>1.077</v>
      </c>
      <c r="V137" s="528">
        <v>1.073</v>
      </c>
      <c r="W137" s="529">
        <v>1.071</v>
      </c>
      <c r="X137" s="530">
        <v>0.9</v>
      </c>
      <c r="Y137" s="526">
        <v>540.27700000000004</v>
      </c>
      <c r="Z137" s="526">
        <f t="shared" si="55"/>
        <v>637.52686000000006</v>
      </c>
      <c r="AA137" s="531">
        <v>548.50648356645002</v>
      </c>
      <c r="AB137" s="532">
        <f t="shared" si="56"/>
        <v>647.23765060841095</v>
      </c>
      <c r="AC137" s="514">
        <f t="shared" si="51"/>
        <v>540.27700000000004</v>
      </c>
      <c r="AD137" s="493">
        <f t="shared" si="57"/>
        <v>637.52686000000006</v>
      </c>
      <c r="AE137" s="494" t="s">
        <v>1775</v>
      </c>
      <c r="AF137" s="523" t="s">
        <v>231</v>
      </c>
      <c r="AG137" s="523" t="s">
        <v>5036</v>
      </c>
      <c r="AH137" s="523" t="s">
        <v>545</v>
      </c>
      <c r="AI137" s="533">
        <v>41654</v>
      </c>
      <c r="AJ137" s="533">
        <f t="shared" si="52"/>
        <v>41689</v>
      </c>
      <c r="AK137" s="534" t="s">
        <v>132</v>
      </c>
      <c r="AL137" s="534" t="s">
        <v>132</v>
      </c>
      <c r="AM137" s="535" t="s">
        <v>5005</v>
      </c>
      <c r="AN137" s="535" t="s">
        <v>1757</v>
      </c>
      <c r="AO137" s="524">
        <v>796</v>
      </c>
      <c r="AP137" s="523" t="s">
        <v>368</v>
      </c>
      <c r="AQ137" s="523">
        <v>1</v>
      </c>
      <c r="AR137" s="523">
        <v>46</v>
      </c>
      <c r="AS137" s="525" t="s">
        <v>605</v>
      </c>
      <c r="AT137" s="533">
        <f t="shared" si="49"/>
        <v>41709</v>
      </c>
      <c r="AU137" s="533">
        <f t="shared" si="50"/>
        <v>41709</v>
      </c>
      <c r="AV137" s="533">
        <v>41820</v>
      </c>
      <c r="AW137" s="523">
        <v>2014</v>
      </c>
      <c r="AX137" s="534"/>
      <c r="AY137" s="535" t="s">
        <v>186</v>
      </c>
      <c r="AZ137" s="534"/>
      <c r="BA137" s="523">
        <v>2014</v>
      </c>
      <c r="BB137" s="523" t="s">
        <v>5098</v>
      </c>
      <c r="BC137" s="536" t="s">
        <v>5103</v>
      </c>
      <c r="BD137" s="537" t="s">
        <v>1818</v>
      </c>
      <c r="BE137" s="538">
        <f>AV137+30</f>
        <v>41850</v>
      </c>
      <c r="BF137" s="539">
        <v>725.87776700000006</v>
      </c>
      <c r="BG137" s="488">
        <v>664.82634938676085</v>
      </c>
      <c r="BH137" s="526">
        <v>2.5000000000000001E-2</v>
      </c>
      <c r="BI137" s="540">
        <v>0.17</v>
      </c>
      <c r="BJ137" s="522" t="s">
        <v>1465</v>
      </c>
      <c r="BK137" s="523"/>
    </row>
    <row r="138" spans="1:63" s="199" customFormat="1" ht="150">
      <c r="A138" s="522">
        <v>1</v>
      </c>
      <c r="B138" s="523" t="s">
        <v>5094</v>
      </c>
      <c r="C138" s="523" t="s">
        <v>7247</v>
      </c>
      <c r="D138" s="523" t="s">
        <v>231</v>
      </c>
      <c r="E138" s="523" t="s">
        <v>5853</v>
      </c>
      <c r="F138" s="523" t="s">
        <v>1752</v>
      </c>
      <c r="G138" s="523" t="s">
        <v>2344</v>
      </c>
      <c r="H138" s="524">
        <v>834954</v>
      </c>
      <c r="I138" s="525" t="s">
        <v>5088</v>
      </c>
      <c r="J138" s="525" t="s">
        <v>5003</v>
      </c>
      <c r="K138" s="525" t="s">
        <v>5003</v>
      </c>
      <c r="L138" s="525" t="s">
        <v>5004</v>
      </c>
      <c r="M138" s="525" t="s">
        <v>1755</v>
      </c>
      <c r="N138" s="525" t="s">
        <v>1773</v>
      </c>
      <c r="O138" s="525" t="s">
        <v>2234</v>
      </c>
      <c r="P138" s="526">
        <v>558.37400000000002</v>
      </c>
      <c r="Q138" s="526">
        <f t="shared" si="54"/>
        <v>658.88131999999996</v>
      </c>
      <c r="R138" s="526">
        <v>444.51960030745585</v>
      </c>
      <c r="S138" s="527" t="s">
        <v>1774</v>
      </c>
      <c r="T138" s="528">
        <v>1.087</v>
      </c>
      <c r="U138" s="528">
        <v>1.077</v>
      </c>
      <c r="V138" s="528">
        <v>1.073</v>
      </c>
      <c r="W138" s="529">
        <v>1.071</v>
      </c>
      <c r="X138" s="530">
        <v>0.9</v>
      </c>
      <c r="Y138" s="526">
        <v>520.48800000000006</v>
      </c>
      <c r="Z138" s="526">
        <f t="shared" si="55"/>
        <v>614.17583999999999</v>
      </c>
      <c r="AA138" s="531">
        <v>523.603370763405</v>
      </c>
      <c r="AB138" s="532">
        <f t="shared" si="56"/>
        <v>617.85197750081784</v>
      </c>
      <c r="AC138" s="514">
        <f t="shared" si="51"/>
        <v>520.48800000000006</v>
      </c>
      <c r="AD138" s="493">
        <f t="shared" si="57"/>
        <v>614.17583999999999</v>
      </c>
      <c r="AE138" s="494" t="s">
        <v>1775</v>
      </c>
      <c r="AF138" s="523" t="s">
        <v>231</v>
      </c>
      <c r="AG138" s="523" t="s">
        <v>5036</v>
      </c>
      <c r="AH138" s="523" t="s">
        <v>545</v>
      </c>
      <c r="AI138" s="533">
        <v>41654</v>
      </c>
      <c r="AJ138" s="533">
        <f t="shared" si="52"/>
        <v>41689</v>
      </c>
      <c r="AK138" s="534" t="s">
        <v>132</v>
      </c>
      <c r="AL138" s="534" t="s">
        <v>132</v>
      </c>
      <c r="AM138" s="535" t="s">
        <v>5005</v>
      </c>
      <c r="AN138" s="535" t="s">
        <v>1757</v>
      </c>
      <c r="AO138" s="524">
        <v>796</v>
      </c>
      <c r="AP138" s="523" t="s">
        <v>368</v>
      </c>
      <c r="AQ138" s="523">
        <v>1</v>
      </c>
      <c r="AR138" s="523">
        <v>46</v>
      </c>
      <c r="AS138" s="525" t="s">
        <v>605</v>
      </c>
      <c r="AT138" s="533">
        <f t="shared" si="49"/>
        <v>41709</v>
      </c>
      <c r="AU138" s="533">
        <f t="shared" si="50"/>
        <v>41709</v>
      </c>
      <c r="AV138" s="533">
        <v>41820</v>
      </c>
      <c r="AW138" s="523">
        <v>2014</v>
      </c>
      <c r="AX138" s="534"/>
      <c r="AY138" s="535" t="s">
        <v>186</v>
      </c>
      <c r="AZ138" s="534"/>
      <c r="BA138" s="523">
        <v>2014</v>
      </c>
      <c r="BB138" s="523" t="s">
        <v>5099</v>
      </c>
      <c r="BC138" s="536" t="s">
        <v>5104</v>
      </c>
      <c r="BD138" s="537" t="s">
        <v>1818</v>
      </c>
      <c r="BE138" s="538">
        <f>AV138+30</f>
        <v>41850</v>
      </c>
      <c r="BF138" s="539">
        <v>675.36117639999998</v>
      </c>
      <c r="BG138" s="488">
        <v>634.79606428205545</v>
      </c>
      <c r="BH138" s="526"/>
      <c r="BI138" s="540">
        <v>0.3</v>
      </c>
      <c r="BJ138" s="522" t="s">
        <v>1465</v>
      </c>
      <c r="BK138" s="523"/>
    </row>
    <row r="139" spans="1:63" s="199" customFormat="1" ht="150">
      <c r="A139" s="522">
        <v>1</v>
      </c>
      <c r="B139" s="523" t="s">
        <v>5095</v>
      </c>
      <c r="C139" s="523" t="s">
        <v>7247</v>
      </c>
      <c r="D139" s="523" t="s">
        <v>231</v>
      </c>
      <c r="E139" s="523" t="s">
        <v>5853</v>
      </c>
      <c r="F139" s="523" t="s">
        <v>1752</v>
      </c>
      <c r="G139" s="523" t="s">
        <v>2344</v>
      </c>
      <c r="H139" s="524">
        <v>834956</v>
      </c>
      <c r="I139" s="525" t="s">
        <v>5089</v>
      </c>
      <c r="J139" s="525" t="s">
        <v>5003</v>
      </c>
      <c r="K139" s="525" t="s">
        <v>5003</v>
      </c>
      <c r="L139" s="525" t="s">
        <v>5004</v>
      </c>
      <c r="M139" s="525" t="s">
        <v>1755</v>
      </c>
      <c r="N139" s="525" t="s">
        <v>1773</v>
      </c>
      <c r="O139" s="525" t="s">
        <v>2234</v>
      </c>
      <c r="P139" s="526">
        <v>481.815</v>
      </c>
      <c r="Q139" s="526">
        <f t="shared" si="54"/>
        <v>568.54169999999999</v>
      </c>
      <c r="R139" s="526">
        <v>370.42958408062179</v>
      </c>
      <c r="S139" s="527" t="s">
        <v>1774</v>
      </c>
      <c r="T139" s="528">
        <v>1.087</v>
      </c>
      <c r="U139" s="528">
        <v>1.077</v>
      </c>
      <c r="V139" s="528">
        <v>1.073</v>
      </c>
      <c r="W139" s="529">
        <v>1.071</v>
      </c>
      <c r="X139" s="530">
        <v>0.9</v>
      </c>
      <c r="Y139" s="526">
        <v>433.73599999999999</v>
      </c>
      <c r="Z139" s="526">
        <f t="shared" si="55"/>
        <v>511.80847999999997</v>
      </c>
      <c r="AA139" s="531">
        <v>436.45320259287001</v>
      </c>
      <c r="AB139" s="532">
        <f t="shared" si="56"/>
        <v>515.01477905958654</v>
      </c>
      <c r="AC139" s="514">
        <f t="shared" si="51"/>
        <v>433.73599999999999</v>
      </c>
      <c r="AD139" s="493">
        <f t="shared" si="57"/>
        <v>511.80847999999997</v>
      </c>
      <c r="AE139" s="494" t="s">
        <v>1775</v>
      </c>
      <c r="AF139" s="523" t="s">
        <v>231</v>
      </c>
      <c r="AG139" s="523" t="s">
        <v>5036</v>
      </c>
      <c r="AH139" s="523" t="s">
        <v>545</v>
      </c>
      <c r="AI139" s="533">
        <v>41654</v>
      </c>
      <c r="AJ139" s="533">
        <f t="shared" si="52"/>
        <v>41689</v>
      </c>
      <c r="AK139" s="534" t="s">
        <v>132</v>
      </c>
      <c r="AL139" s="534" t="s">
        <v>132</v>
      </c>
      <c r="AM139" s="535" t="s">
        <v>5005</v>
      </c>
      <c r="AN139" s="535" t="s">
        <v>1757</v>
      </c>
      <c r="AO139" s="524">
        <v>796</v>
      </c>
      <c r="AP139" s="523" t="s">
        <v>368</v>
      </c>
      <c r="AQ139" s="523">
        <v>1</v>
      </c>
      <c r="AR139" s="523">
        <v>46</v>
      </c>
      <c r="AS139" s="525" t="s">
        <v>605</v>
      </c>
      <c r="AT139" s="533">
        <f t="shared" si="49"/>
        <v>41709</v>
      </c>
      <c r="AU139" s="533">
        <f t="shared" si="50"/>
        <v>41709</v>
      </c>
      <c r="AV139" s="533">
        <v>41820</v>
      </c>
      <c r="AW139" s="523">
        <v>2014</v>
      </c>
      <c r="AX139" s="534"/>
      <c r="AY139" s="535" t="s">
        <v>186</v>
      </c>
      <c r="AZ139" s="534"/>
      <c r="BA139" s="523">
        <v>2014</v>
      </c>
      <c r="BB139" s="523" t="s">
        <v>5100</v>
      </c>
      <c r="BC139" s="536" t="s">
        <v>5105</v>
      </c>
      <c r="BD139" s="537" t="s">
        <v>1818</v>
      </c>
      <c r="BE139" s="538">
        <f>AV139+30</f>
        <v>41850</v>
      </c>
      <c r="BF139" s="539">
        <v>582.76344940000001</v>
      </c>
      <c r="BG139" s="488">
        <v>529.19624299605721</v>
      </c>
      <c r="BH139" s="526"/>
      <c r="BI139" s="540">
        <v>0.25</v>
      </c>
      <c r="BJ139" s="522" t="s">
        <v>1465</v>
      </c>
      <c r="BK139" s="523"/>
    </row>
    <row r="140" spans="1:63" s="199" customFormat="1" ht="150">
      <c r="A140" s="522">
        <v>1</v>
      </c>
      <c r="B140" s="523" t="s">
        <v>5096</v>
      </c>
      <c r="C140" s="523" t="s">
        <v>7247</v>
      </c>
      <c r="D140" s="523" t="s">
        <v>231</v>
      </c>
      <c r="E140" s="523" t="s">
        <v>5853</v>
      </c>
      <c r="F140" s="523" t="s">
        <v>1752</v>
      </c>
      <c r="G140" s="523" t="s">
        <v>2344</v>
      </c>
      <c r="H140" s="524">
        <v>834958</v>
      </c>
      <c r="I140" s="525" t="s">
        <v>5090</v>
      </c>
      <c r="J140" s="525" t="s">
        <v>5003</v>
      </c>
      <c r="K140" s="525" t="s">
        <v>5003</v>
      </c>
      <c r="L140" s="525" t="s">
        <v>5004</v>
      </c>
      <c r="M140" s="525" t="s">
        <v>1755</v>
      </c>
      <c r="N140" s="525" t="s">
        <v>1773</v>
      </c>
      <c r="O140" s="525" t="s">
        <v>2234</v>
      </c>
      <c r="P140" s="526">
        <v>481.815</v>
      </c>
      <c r="Q140" s="526">
        <f t="shared" si="54"/>
        <v>568.54169999999999</v>
      </c>
      <c r="R140" s="526">
        <v>370.42958408062179</v>
      </c>
      <c r="S140" s="527" t="s">
        <v>1774</v>
      </c>
      <c r="T140" s="528">
        <v>1.087</v>
      </c>
      <c r="U140" s="528">
        <v>1.077</v>
      </c>
      <c r="V140" s="528">
        <v>1.073</v>
      </c>
      <c r="W140" s="529">
        <v>1.071</v>
      </c>
      <c r="X140" s="530">
        <v>0.9</v>
      </c>
      <c r="Y140" s="526">
        <v>433.73599999999999</v>
      </c>
      <c r="Z140" s="526">
        <f t="shared" si="55"/>
        <v>511.80847999999997</v>
      </c>
      <c r="AA140" s="531">
        <v>436.45320259287001</v>
      </c>
      <c r="AB140" s="532">
        <f t="shared" si="56"/>
        <v>515.01477905958654</v>
      </c>
      <c r="AC140" s="514">
        <f t="shared" si="51"/>
        <v>433.73599999999999</v>
      </c>
      <c r="AD140" s="493">
        <f t="shared" si="57"/>
        <v>511.80847999999997</v>
      </c>
      <c r="AE140" s="494" t="s">
        <v>1775</v>
      </c>
      <c r="AF140" s="523" t="s">
        <v>231</v>
      </c>
      <c r="AG140" s="523" t="s">
        <v>5036</v>
      </c>
      <c r="AH140" s="523" t="s">
        <v>545</v>
      </c>
      <c r="AI140" s="533">
        <v>41654</v>
      </c>
      <c r="AJ140" s="533">
        <f t="shared" si="52"/>
        <v>41689</v>
      </c>
      <c r="AK140" s="534" t="s">
        <v>132</v>
      </c>
      <c r="AL140" s="534" t="s">
        <v>132</v>
      </c>
      <c r="AM140" s="535" t="s">
        <v>5005</v>
      </c>
      <c r="AN140" s="535" t="s">
        <v>1757</v>
      </c>
      <c r="AO140" s="524">
        <v>796</v>
      </c>
      <c r="AP140" s="523" t="s">
        <v>368</v>
      </c>
      <c r="AQ140" s="523">
        <v>1</v>
      </c>
      <c r="AR140" s="523">
        <v>46</v>
      </c>
      <c r="AS140" s="525" t="s">
        <v>605</v>
      </c>
      <c r="AT140" s="533">
        <f t="shared" si="49"/>
        <v>41709</v>
      </c>
      <c r="AU140" s="533">
        <f t="shared" si="50"/>
        <v>41709</v>
      </c>
      <c r="AV140" s="533">
        <v>41820</v>
      </c>
      <c r="AW140" s="523">
        <v>2014</v>
      </c>
      <c r="AX140" s="534"/>
      <c r="AY140" s="535" t="s">
        <v>186</v>
      </c>
      <c r="AZ140" s="534"/>
      <c r="BA140" s="523">
        <v>2014</v>
      </c>
      <c r="BB140" s="523" t="s">
        <v>5101</v>
      </c>
      <c r="BC140" s="536" t="s">
        <v>5106</v>
      </c>
      <c r="BD140" s="537" t="s">
        <v>1818</v>
      </c>
      <c r="BE140" s="538">
        <f>AV140+30</f>
        <v>41850</v>
      </c>
      <c r="BF140" s="539">
        <v>582.76344940000001</v>
      </c>
      <c r="BG140" s="488">
        <v>529.19624299605721</v>
      </c>
      <c r="BH140" s="526"/>
      <c r="BI140" s="540">
        <v>0.25</v>
      </c>
      <c r="BJ140" s="522" t="s">
        <v>1465</v>
      </c>
      <c r="BK140" s="523"/>
    </row>
    <row r="141" spans="1:63" s="199" customFormat="1" ht="150">
      <c r="A141" s="503">
        <v>1</v>
      </c>
      <c r="B141" s="504" t="s">
        <v>5201</v>
      </c>
      <c r="C141" s="504" t="s">
        <v>83</v>
      </c>
      <c r="D141" s="504" t="s">
        <v>231</v>
      </c>
      <c r="E141" s="504" t="s">
        <v>5853</v>
      </c>
      <c r="F141" s="504" t="s">
        <v>1752</v>
      </c>
      <c r="G141" s="504" t="s">
        <v>2344</v>
      </c>
      <c r="H141" s="505">
        <v>834943</v>
      </c>
      <c r="I141" s="506" t="s">
        <v>5204</v>
      </c>
      <c r="J141" s="506" t="s">
        <v>5003</v>
      </c>
      <c r="K141" s="506" t="s">
        <v>5003</v>
      </c>
      <c r="L141" s="506" t="s">
        <v>5004</v>
      </c>
      <c r="M141" s="506" t="s">
        <v>1755</v>
      </c>
      <c r="N141" s="506" t="s">
        <v>1773</v>
      </c>
      <c r="O141" s="506" t="s">
        <v>2234</v>
      </c>
      <c r="P141" s="507">
        <v>11835.511</v>
      </c>
      <c r="Q141" s="507">
        <f t="shared" si="54"/>
        <v>13965.902979999999</v>
      </c>
      <c r="R141" s="507">
        <v>9422.23</v>
      </c>
      <c r="S141" s="508" t="s">
        <v>1774</v>
      </c>
      <c r="T141" s="509">
        <v>1.087</v>
      </c>
      <c r="U141" s="509">
        <v>1.077</v>
      </c>
      <c r="V141" s="509">
        <v>1.073</v>
      </c>
      <c r="W141" s="510">
        <v>1.071</v>
      </c>
      <c r="X141" s="511">
        <v>0.9</v>
      </c>
      <c r="Y141" s="507">
        <v>11032.489</v>
      </c>
      <c r="Z141" s="507">
        <f t="shared" si="55"/>
        <v>13018.337019999999</v>
      </c>
      <c r="AA141" s="512">
        <v>11113.88</v>
      </c>
      <c r="AB141" s="513">
        <f t="shared" si="56"/>
        <v>13114.378399999998</v>
      </c>
      <c r="AC141" s="514">
        <f t="shared" si="51"/>
        <v>11032.489</v>
      </c>
      <c r="AD141" s="493">
        <f t="shared" si="57"/>
        <v>13018.337019999999</v>
      </c>
      <c r="AE141" s="494" t="s">
        <v>1775</v>
      </c>
      <c r="AF141" s="504" t="s">
        <v>83</v>
      </c>
      <c r="AG141" s="513" t="s">
        <v>83</v>
      </c>
      <c r="AH141" s="513" t="s">
        <v>545</v>
      </c>
      <c r="AI141" s="515">
        <v>41654</v>
      </c>
      <c r="AJ141" s="515">
        <f t="shared" si="52"/>
        <v>41689</v>
      </c>
      <c r="AK141" s="516"/>
      <c r="AL141" s="516"/>
      <c r="AM141" s="516" t="s">
        <v>5005</v>
      </c>
      <c r="AN141" s="516" t="s">
        <v>1757</v>
      </c>
      <c r="AO141" s="517">
        <v>796</v>
      </c>
      <c r="AP141" s="504" t="s">
        <v>368</v>
      </c>
      <c r="AQ141" s="504">
        <v>1</v>
      </c>
      <c r="AR141" s="504">
        <v>46</v>
      </c>
      <c r="AS141" s="506" t="s">
        <v>605</v>
      </c>
      <c r="AT141" s="515">
        <f t="shared" si="49"/>
        <v>41709</v>
      </c>
      <c r="AU141" s="515">
        <f t="shared" si="50"/>
        <v>41709</v>
      </c>
      <c r="AV141" s="515">
        <v>41820</v>
      </c>
      <c r="AW141" s="504">
        <v>2014</v>
      </c>
      <c r="AX141" s="506"/>
      <c r="AY141" s="519" t="s">
        <v>186</v>
      </c>
      <c r="AZ141" s="520"/>
      <c r="BA141" s="504">
        <v>2014</v>
      </c>
      <c r="BB141" s="513" t="s">
        <v>2271</v>
      </c>
      <c r="BC141" s="521" t="s">
        <v>2271</v>
      </c>
      <c r="BD141" s="520" t="s">
        <v>2272</v>
      </c>
      <c r="BE141" s="553" t="s">
        <v>2272</v>
      </c>
      <c r="BF141" s="507" t="s">
        <v>2272</v>
      </c>
      <c r="BG141" s="488" t="s">
        <v>2272</v>
      </c>
      <c r="BH141" s="569" t="s">
        <v>2272</v>
      </c>
      <c r="BI141" s="569" t="s">
        <v>2272</v>
      </c>
      <c r="BJ141" s="503" t="s">
        <v>1465</v>
      </c>
      <c r="BK141" s="503"/>
    </row>
    <row r="142" spans="1:63" s="199" customFormat="1" ht="150">
      <c r="A142" s="522">
        <v>1</v>
      </c>
      <c r="B142" s="523" t="s">
        <v>5202</v>
      </c>
      <c r="C142" s="523" t="s">
        <v>7247</v>
      </c>
      <c r="D142" s="523" t="s">
        <v>231</v>
      </c>
      <c r="E142" s="523" t="s">
        <v>5853</v>
      </c>
      <c r="F142" s="523" t="s">
        <v>1752</v>
      </c>
      <c r="G142" s="523" t="s">
        <v>2344</v>
      </c>
      <c r="H142" s="524">
        <v>834947</v>
      </c>
      <c r="I142" s="525" t="s">
        <v>5205</v>
      </c>
      <c r="J142" s="525" t="s">
        <v>5003</v>
      </c>
      <c r="K142" s="525" t="s">
        <v>5003</v>
      </c>
      <c r="L142" s="525" t="s">
        <v>1825</v>
      </c>
      <c r="M142" s="525" t="s">
        <v>1755</v>
      </c>
      <c r="N142" s="525" t="s">
        <v>1773</v>
      </c>
      <c r="O142" s="525" t="s">
        <v>2234</v>
      </c>
      <c r="P142" s="526">
        <v>7046.6989999999996</v>
      </c>
      <c r="Q142" s="526">
        <f t="shared" si="54"/>
        <v>8315.1048199999987</v>
      </c>
      <c r="R142" s="526">
        <v>5609.9701084635753</v>
      </c>
      <c r="S142" s="527" t="s">
        <v>1774</v>
      </c>
      <c r="T142" s="528">
        <v>1.087</v>
      </c>
      <c r="U142" s="528">
        <v>1.077</v>
      </c>
      <c r="V142" s="528">
        <v>1.073</v>
      </c>
      <c r="W142" s="529">
        <v>1.071</v>
      </c>
      <c r="X142" s="530">
        <v>0.9</v>
      </c>
      <c r="Y142" s="526">
        <v>6568.7139999999999</v>
      </c>
      <c r="Z142" s="526">
        <f t="shared" si="55"/>
        <v>7751.0825199999999</v>
      </c>
      <c r="AA142" s="531">
        <v>6614.4119380489801</v>
      </c>
      <c r="AB142" s="532">
        <f t="shared" si="56"/>
        <v>7805.0060868977962</v>
      </c>
      <c r="AC142" s="514">
        <f t="shared" si="51"/>
        <v>6568.7139999999999</v>
      </c>
      <c r="AD142" s="493">
        <f t="shared" si="57"/>
        <v>7751.0825199999999</v>
      </c>
      <c r="AE142" s="494" t="s">
        <v>1775</v>
      </c>
      <c r="AF142" s="523" t="s">
        <v>83</v>
      </c>
      <c r="AG142" s="523" t="s">
        <v>83</v>
      </c>
      <c r="AH142" s="523" t="s">
        <v>545</v>
      </c>
      <c r="AI142" s="533">
        <v>41654</v>
      </c>
      <c r="AJ142" s="533">
        <f t="shared" si="52"/>
        <v>41689</v>
      </c>
      <c r="AK142" s="534" t="s">
        <v>132</v>
      </c>
      <c r="AL142" s="534" t="s">
        <v>132</v>
      </c>
      <c r="AM142" s="535" t="s">
        <v>5005</v>
      </c>
      <c r="AN142" s="535" t="s">
        <v>1757</v>
      </c>
      <c r="AO142" s="524">
        <v>796</v>
      </c>
      <c r="AP142" s="523" t="s">
        <v>368</v>
      </c>
      <c r="AQ142" s="523">
        <v>1</v>
      </c>
      <c r="AR142" s="523">
        <v>46</v>
      </c>
      <c r="AS142" s="525" t="s">
        <v>605</v>
      </c>
      <c r="AT142" s="533">
        <f t="shared" si="49"/>
        <v>41709</v>
      </c>
      <c r="AU142" s="533">
        <f t="shared" si="50"/>
        <v>41709</v>
      </c>
      <c r="AV142" s="533">
        <v>41820</v>
      </c>
      <c r="AW142" s="523">
        <v>2014</v>
      </c>
      <c r="AX142" s="534"/>
      <c r="AY142" s="535" t="s">
        <v>186</v>
      </c>
      <c r="AZ142" s="534"/>
      <c r="BA142" s="523">
        <v>2014</v>
      </c>
      <c r="BB142" s="523" t="s">
        <v>5207</v>
      </c>
      <c r="BC142" s="536" t="s">
        <v>5208</v>
      </c>
      <c r="BD142" s="537" t="s">
        <v>1818</v>
      </c>
      <c r="BE142" s="538">
        <f>AV142+30</f>
        <v>41850</v>
      </c>
      <c r="BF142" s="539">
        <v>8523.0208082000008</v>
      </c>
      <c r="BG142" s="488">
        <v>8019.201444795397</v>
      </c>
      <c r="BH142" s="540">
        <v>0.03</v>
      </c>
      <c r="BI142" s="540">
        <v>2.6</v>
      </c>
      <c r="BJ142" s="522" t="s">
        <v>5016</v>
      </c>
      <c r="BK142" s="523"/>
    </row>
    <row r="143" spans="1:63" s="199" customFormat="1" ht="150">
      <c r="A143" s="522">
        <v>1</v>
      </c>
      <c r="B143" s="523" t="s">
        <v>5203</v>
      </c>
      <c r="C143" s="523" t="s">
        <v>7247</v>
      </c>
      <c r="D143" s="523" t="s">
        <v>231</v>
      </c>
      <c r="E143" s="523" t="s">
        <v>5853</v>
      </c>
      <c r="F143" s="523" t="s">
        <v>1752</v>
      </c>
      <c r="G143" s="523" t="s">
        <v>2344</v>
      </c>
      <c r="H143" s="524">
        <v>834948</v>
      </c>
      <c r="I143" s="525" t="s">
        <v>5206</v>
      </c>
      <c r="J143" s="525" t="s">
        <v>5003</v>
      </c>
      <c r="K143" s="525" t="s">
        <v>5003</v>
      </c>
      <c r="L143" s="525" t="s">
        <v>5019</v>
      </c>
      <c r="M143" s="525" t="s">
        <v>1755</v>
      </c>
      <c r="N143" s="525" t="s">
        <v>1773</v>
      </c>
      <c r="O143" s="525" t="s">
        <v>2234</v>
      </c>
      <c r="P143" s="526">
        <v>4788.8119999999999</v>
      </c>
      <c r="Q143" s="526">
        <f t="shared" si="54"/>
        <v>5650.7981599999994</v>
      </c>
      <c r="R143" s="526">
        <v>3812.2598001537281</v>
      </c>
      <c r="S143" s="527" t="s">
        <v>1774</v>
      </c>
      <c r="T143" s="528">
        <v>1.087</v>
      </c>
      <c r="U143" s="528">
        <v>1.077</v>
      </c>
      <c r="V143" s="528">
        <v>1.073</v>
      </c>
      <c r="W143" s="529">
        <v>1.071</v>
      </c>
      <c r="X143" s="530">
        <v>0.9</v>
      </c>
      <c r="Y143" s="526">
        <v>4463.7749999999996</v>
      </c>
      <c r="Z143" s="526">
        <f t="shared" si="55"/>
        <v>5267.2544999999991</v>
      </c>
      <c r="AA143" s="531">
        <v>4499.4677694399306</v>
      </c>
      <c r="AB143" s="532">
        <f t="shared" si="56"/>
        <v>5309.3719679391179</v>
      </c>
      <c r="AC143" s="514">
        <f t="shared" si="51"/>
        <v>4463.7749999999996</v>
      </c>
      <c r="AD143" s="493">
        <f t="shared" si="57"/>
        <v>5267.2544999999991</v>
      </c>
      <c r="AE143" s="494" t="s">
        <v>1775</v>
      </c>
      <c r="AF143" s="523" t="s">
        <v>83</v>
      </c>
      <c r="AG143" s="523" t="s">
        <v>83</v>
      </c>
      <c r="AH143" s="523" t="s">
        <v>545</v>
      </c>
      <c r="AI143" s="533">
        <v>41654</v>
      </c>
      <c r="AJ143" s="533">
        <f t="shared" si="52"/>
        <v>41689</v>
      </c>
      <c r="AK143" s="534" t="s">
        <v>132</v>
      </c>
      <c r="AL143" s="534" t="s">
        <v>132</v>
      </c>
      <c r="AM143" s="535" t="s">
        <v>5005</v>
      </c>
      <c r="AN143" s="535" t="s">
        <v>1757</v>
      </c>
      <c r="AO143" s="524">
        <v>796</v>
      </c>
      <c r="AP143" s="523" t="s">
        <v>368</v>
      </c>
      <c r="AQ143" s="523">
        <v>1</v>
      </c>
      <c r="AR143" s="523">
        <v>46</v>
      </c>
      <c r="AS143" s="525" t="s">
        <v>605</v>
      </c>
      <c r="AT143" s="533">
        <f t="shared" si="49"/>
        <v>41709</v>
      </c>
      <c r="AU143" s="533">
        <f t="shared" si="50"/>
        <v>41709</v>
      </c>
      <c r="AV143" s="533">
        <v>41820</v>
      </c>
      <c r="AW143" s="523">
        <v>2014</v>
      </c>
      <c r="AX143" s="534"/>
      <c r="AY143" s="535" t="s">
        <v>186</v>
      </c>
      <c r="AZ143" s="534"/>
      <c r="BA143" s="523">
        <v>2014</v>
      </c>
      <c r="BB143" s="523" t="s">
        <v>5209</v>
      </c>
      <c r="BC143" s="536" t="s">
        <v>5210</v>
      </c>
      <c r="BD143" s="537" t="s">
        <v>1818</v>
      </c>
      <c r="BE143" s="538">
        <f>AV143+30</f>
        <v>41850</v>
      </c>
      <c r="BF143" s="539">
        <v>5793.7214473999993</v>
      </c>
      <c r="BG143" s="488">
        <v>5456.6197655651986</v>
      </c>
      <c r="BH143" s="540">
        <v>0.25</v>
      </c>
      <c r="BI143" s="540">
        <v>2.2999999999999998</v>
      </c>
      <c r="BJ143" s="522" t="s">
        <v>5016</v>
      </c>
      <c r="BK143" s="523"/>
    </row>
    <row r="144" spans="1:63" s="199" customFormat="1" ht="150">
      <c r="A144" s="503">
        <v>1</v>
      </c>
      <c r="B144" s="504" t="s">
        <v>5126</v>
      </c>
      <c r="C144" s="504" t="s">
        <v>83</v>
      </c>
      <c r="D144" s="504" t="s">
        <v>231</v>
      </c>
      <c r="E144" s="504" t="s">
        <v>5853</v>
      </c>
      <c r="F144" s="504" t="s">
        <v>1752</v>
      </c>
      <c r="G144" s="504" t="s">
        <v>2344</v>
      </c>
      <c r="H144" s="505">
        <v>834891</v>
      </c>
      <c r="I144" s="506" t="s">
        <v>5123</v>
      </c>
      <c r="J144" s="506" t="s">
        <v>5003</v>
      </c>
      <c r="K144" s="506" t="s">
        <v>5003</v>
      </c>
      <c r="L144" s="506" t="s">
        <v>5004</v>
      </c>
      <c r="M144" s="506" t="s">
        <v>1755</v>
      </c>
      <c r="N144" s="506" t="s">
        <v>1773</v>
      </c>
      <c r="O144" s="506" t="s">
        <v>2234</v>
      </c>
      <c r="P144" s="507">
        <v>1462.114</v>
      </c>
      <c r="Q144" s="507">
        <f t="shared" si="54"/>
        <v>1725.2945199999999</v>
      </c>
      <c r="R144" s="507">
        <v>1166.69</v>
      </c>
      <c r="S144" s="508" t="s">
        <v>1774</v>
      </c>
      <c r="T144" s="509">
        <v>1.087</v>
      </c>
      <c r="U144" s="509">
        <v>1.077</v>
      </c>
      <c r="V144" s="509">
        <v>1.073</v>
      </c>
      <c r="W144" s="510">
        <v>1.071</v>
      </c>
      <c r="X144" s="511">
        <v>0.9</v>
      </c>
      <c r="Y144" s="507">
        <v>1366.078</v>
      </c>
      <c r="Z144" s="507">
        <f t="shared" si="55"/>
        <v>1611.9720399999999</v>
      </c>
      <c r="AA144" s="512">
        <f>SUM(AA145:AA146)</f>
        <v>1391.5007115799999</v>
      </c>
      <c r="AB144" s="513">
        <f t="shared" si="56"/>
        <v>1641.9708396643998</v>
      </c>
      <c r="AC144" s="514">
        <f t="shared" si="51"/>
        <v>1366.078</v>
      </c>
      <c r="AD144" s="493">
        <f t="shared" si="57"/>
        <v>1611.9720399999999</v>
      </c>
      <c r="AE144" s="494" t="s">
        <v>1775</v>
      </c>
      <c r="AF144" s="504" t="s">
        <v>231</v>
      </c>
      <c r="AG144" s="513" t="s">
        <v>5036</v>
      </c>
      <c r="AH144" s="513" t="s">
        <v>545</v>
      </c>
      <c r="AI144" s="515">
        <v>41654</v>
      </c>
      <c r="AJ144" s="515">
        <f t="shared" si="52"/>
        <v>41689</v>
      </c>
      <c r="AK144" s="516"/>
      <c r="AL144" s="516"/>
      <c r="AM144" s="516" t="s">
        <v>5005</v>
      </c>
      <c r="AN144" s="516" t="s">
        <v>1757</v>
      </c>
      <c r="AO144" s="517">
        <v>796</v>
      </c>
      <c r="AP144" s="504" t="s">
        <v>368</v>
      </c>
      <c r="AQ144" s="504">
        <v>1</v>
      </c>
      <c r="AR144" s="504">
        <v>46</v>
      </c>
      <c r="AS144" s="506" t="s">
        <v>605</v>
      </c>
      <c r="AT144" s="515">
        <f t="shared" si="49"/>
        <v>41709</v>
      </c>
      <c r="AU144" s="515">
        <f t="shared" si="50"/>
        <v>41709</v>
      </c>
      <c r="AV144" s="515">
        <v>41820</v>
      </c>
      <c r="AW144" s="504">
        <v>2014</v>
      </c>
      <c r="AX144" s="518"/>
      <c r="AY144" s="519" t="s">
        <v>186</v>
      </c>
      <c r="AZ144" s="520"/>
      <c r="BA144" s="504">
        <v>2014</v>
      </c>
      <c r="BB144" s="513" t="s">
        <v>2271</v>
      </c>
      <c r="BC144" s="521" t="s">
        <v>2271</v>
      </c>
      <c r="BD144" s="520" t="s">
        <v>2272</v>
      </c>
      <c r="BE144" s="553" t="s">
        <v>2272</v>
      </c>
      <c r="BF144" s="507" t="s">
        <v>2272</v>
      </c>
      <c r="BG144" s="488" t="s">
        <v>2272</v>
      </c>
      <c r="BH144" s="503" t="s">
        <v>2272</v>
      </c>
      <c r="BI144" s="503" t="s">
        <v>2272</v>
      </c>
      <c r="BJ144" s="503" t="s">
        <v>1465</v>
      </c>
      <c r="BK144" s="503"/>
    </row>
    <row r="145" spans="1:63" s="199" customFormat="1" ht="150">
      <c r="A145" s="522">
        <v>1</v>
      </c>
      <c r="B145" s="523" t="s">
        <v>5127</v>
      </c>
      <c r="C145" s="523" t="s">
        <v>7247</v>
      </c>
      <c r="D145" s="523" t="s">
        <v>231</v>
      </c>
      <c r="E145" s="523" t="s">
        <v>5853</v>
      </c>
      <c r="F145" s="523" t="s">
        <v>1752</v>
      </c>
      <c r="G145" s="523" t="s">
        <v>2344</v>
      </c>
      <c r="H145" s="524">
        <v>834892</v>
      </c>
      <c r="I145" s="525" t="s">
        <v>5124</v>
      </c>
      <c r="J145" s="525" t="s">
        <v>5003</v>
      </c>
      <c r="K145" s="525" t="s">
        <v>5003</v>
      </c>
      <c r="L145" s="525" t="s">
        <v>5004</v>
      </c>
      <c r="M145" s="525" t="s">
        <v>1755</v>
      </c>
      <c r="N145" s="525" t="s">
        <v>1773</v>
      </c>
      <c r="O145" s="525" t="s">
        <v>2234</v>
      </c>
      <c r="P145" s="526">
        <v>874.78499999999997</v>
      </c>
      <c r="Q145" s="526">
        <f t="shared" si="54"/>
        <v>1032.2463</v>
      </c>
      <c r="R145" s="526">
        <v>696.40020497053547</v>
      </c>
      <c r="S145" s="527" t="s">
        <v>1774</v>
      </c>
      <c r="T145" s="528">
        <v>1.087</v>
      </c>
      <c r="U145" s="528">
        <v>1.077</v>
      </c>
      <c r="V145" s="528">
        <v>1.073</v>
      </c>
      <c r="W145" s="529">
        <v>1.071</v>
      </c>
      <c r="X145" s="530">
        <v>0.9</v>
      </c>
      <c r="Y145" s="526">
        <v>815.41499999999996</v>
      </c>
      <c r="Z145" s="526">
        <f t="shared" si="55"/>
        <v>962.1896999999999</v>
      </c>
      <c r="AA145" s="531">
        <v>830.58987315000002</v>
      </c>
      <c r="AB145" s="532">
        <v>980.09605031699994</v>
      </c>
      <c r="AC145" s="514">
        <f t="shared" si="51"/>
        <v>815.41499999999996</v>
      </c>
      <c r="AD145" s="493">
        <f t="shared" si="57"/>
        <v>962.1896999999999</v>
      </c>
      <c r="AE145" s="494" t="s">
        <v>1775</v>
      </c>
      <c r="AF145" s="523" t="s">
        <v>231</v>
      </c>
      <c r="AG145" s="523" t="s">
        <v>5036</v>
      </c>
      <c r="AH145" s="523" t="s">
        <v>545</v>
      </c>
      <c r="AI145" s="533">
        <v>41654</v>
      </c>
      <c r="AJ145" s="533">
        <f t="shared" si="52"/>
        <v>41689</v>
      </c>
      <c r="AK145" s="534" t="s">
        <v>132</v>
      </c>
      <c r="AL145" s="534" t="s">
        <v>132</v>
      </c>
      <c r="AM145" s="535" t="s">
        <v>5005</v>
      </c>
      <c r="AN145" s="535" t="s">
        <v>1757</v>
      </c>
      <c r="AO145" s="524">
        <v>796</v>
      </c>
      <c r="AP145" s="523" t="s">
        <v>368</v>
      </c>
      <c r="AQ145" s="523">
        <v>1</v>
      </c>
      <c r="AR145" s="523">
        <v>46</v>
      </c>
      <c r="AS145" s="525" t="s">
        <v>605</v>
      </c>
      <c r="AT145" s="533">
        <f t="shared" si="49"/>
        <v>41709</v>
      </c>
      <c r="AU145" s="533">
        <f t="shared" si="50"/>
        <v>41709</v>
      </c>
      <c r="AV145" s="533">
        <v>41820</v>
      </c>
      <c r="AW145" s="523">
        <v>2014</v>
      </c>
      <c r="AX145" s="534"/>
      <c r="AY145" s="535" t="s">
        <v>186</v>
      </c>
      <c r="AZ145" s="534"/>
      <c r="BA145" s="523">
        <v>2014</v>
      </c>
      <c r="BB145" s="523" t="s">
        <v>5129</v>
      </c>
      <c r="BC145" s="536" t="s">
        <v>5130</v>
      </c>
      <c r="BD145" s="537" t="s">
        <v>1818</v>
      </c>
      <c r="BE145" s="538">
        <f>AV145+30</f>
        <v>41850</v>
      </c>
      <c r="BF145" s="539">
        <v>1058.0658446</v>
      </c>
      <c r="BG145" s="488">
        <v>1036.9045277079999</v>
      </c>
      <c r="BH145" s="526"/>
      <c r="BI145" s="540">
        <v>0.47</v>
      </c>
      <c r="BJ145" s="522" t="s">
        <v>5016</v>
      </c>
      <c r="BK145" s="523"/>
    </row>
    <row r="146" spans="1:63" s="199" customFormat="1" ht="150">
      <c r="A146" s="522">
        <v>1</v>
      </c>
      <c r="B146" s="523" t="s">
        <v>5128</v>
      </c>
      <c r="C146" s="523" t="s">
        <v>7247</v>
      </c>
      <c r="D146" s="523" t="s">
        <v>231</v>
      </c>
      <c r="E146" s="523" t="s">
        <v>5853</v>
      </c>
      <c r="F146" s="523" t="s">
        <v>1752</v>
      </c>
      <c r="G146" s="523" t="s">
        <v>2344</v>
      </c>
      <c r="H146" s="524">
        <v>834893</v>
      </c>
      <c r="I146" s="525" t="s">
        <v>5125</v>
      </c>
      <c r="J146" s="525" t="s">
        <v>5003</v>
      </c>
      <c r="K146" s="525" t="s">
        <v>5003</v>
      </c>
      <c r="L146" s="525" t="s">
        <v>5004</v>
      </c>
      <c r="M146" s="525" t="s">
        <v>1755</v>
      </c>
      <c r="N146" s="525" t="s">
        <v>1773</v>
      </c>
      <c r="O146" s="525" t="s">
        <v>2234</v>
      </c>
      <c r="P146" s="526">
        <v>587.32899999999995</v>
      </c>
      <c r="Q146" s="526">
        <f t="shared" si="54"/>
        <v>693.0482199999999</v>
      </c>
      <c r="R146" s="526">
        <v>470.29037492527118</v>
      </c>
      <c r="S146" s="527" t="s">
        <v>1774</v>
      </c>
      <c r="T146" s="528">
        <v>1.087</v>
      </c>
      <c r="U146" s="528">
        <v>1.077</v>
      </c>
      <c r="V146" s="528">
        <v>1.073</v>
      </c>
      <c r="W146" s="529">
        <v>1.071</v>
      </c>
      <c r="X146" s="530">
        <v>0.9</v>
      </c>
      <c r="Y146" s="526">
        <v>550.66300000000001</v>
      </c>
      <c r="Z146" s="526">
        <f t="shared" si="55"/>
        <v>649.78233999999998</v>
      </c>
      <c r="AA146" s="531">
        <v>560.91083843000001</v>
      </c>
      <c r="AB146" s="532">
        <v>661.8747893474</v>
      </c>
      <c r="AC146" s="514">
        <f t="shared" si="51"/>
        <v>550.66300000000001</v>
      </c>
      <c r="AD146" s="493">
        <f t="shared" si="57"/>
        <v>649.78233999999998</v>
      </c>
      <c r="AE146" s="494" t="s">
        <v>1775</v>
      </c>
      <c r="AF146" s="523" t="s">
        <v>231</v>
      </c>
      <c r="AG146" s="523" t="s">
        <v>5036</v>
      </c>
      <c r="AH146" s="523" t="s">
        <v>545</v>
      </c>
      <c r="AI146" s="533">
        <v>41654</v>
      </c>
      <c r="AJ146" s="533">
        <f t="shared" si="52"/>
        <v>41689</v>
      </c>
      <c r="AK146" s="534" t="s">
        <v>132</v>
      </c>
      <c r="AL146" s="534" t="s">
        <v>132</v>
      </c>
      <c r="AM146" s="535" t="s">
        <v>5005</v>
      </c>
      <c r="AN146" s="535" t="s">
        <v>1757</v>
      </c>
      <c r="AO146" s="524">
        <v>796</v>
      </c>
      <c r="AP146" s="523" t="s">
        <v>368</v>
      </c>
      <c r="AQ146" s="523">
        <v>1</v>
      </c>
      <c r="AR146" s="523">
        <v>46</v>
      </c>
      <c r="AS146" s="525" t="s">
        <v>605</v>
      </c>
      <c r="AT146" s="533">
        <f t="shared" si="49"/>
        <v>41709</v>
      </c>
      <c r="AU146" s="533">
        <f t="shared" si="50"/>
        <v>41709</v>
      </c>
      <c r="AV146" s="533">
        <v>41820</v>
      </c>
      <c r="AW146" s="523">
        <v>2014</v>
      </c>
      <c r="AX146" s="534"/>
      <c r="AY146" s="535" t="s">
        <v>186</v>
      </c>
      <c r="AZ146" s="534"/>
      <c r="BA146" s="523">
        <v>2014</v>
      </c>
      <c r="BB146" s="523" t="s">
        <v>5131</v>
      </c>
      <c r="BC146" s="536" t="s">
        <v>5132</v>
      </c>
      <c r="BD146" s="537" t="s">
        <v>1818</v>
      </c>
      <c r="BE146" s="538">
        <f>AV146+30</f>
        <v>41850</v>
      </c>
      <c r="BF146" s="539">
        <v>704.0891024</v>
      </c>
      <c r="BG146" s="488">
        <v>690.00732035199997</v>
      </c>
      <c r="BH146" s="526"/>
      <c r="BI146" s="540">
        <v>0.4</v>
      </c>
      <c r="BJ146" s="522" t="s">
        <v>5016</v>
      </c>
      <c r="BK146" s="523"/>
    </row>
    <row r="147" spans="1:63" s="199" customFormat="1" ht="150">
      <c r="A147" s="503">
        <v>1</v>
      </c>
      <c r="B147" s="504" t="s">
        <v>5140</v>
      </c>
      <c r="C147" s="504" t="s">
        <v>83</v>
      </c>
      <c r="D147" s="504" t="s">
        <v>231</v>
      </c>
      <c r="E147" s="504" t="s">
        <v>5853</v>
      </c>
      <c r="F147" s="504" t="s">
        <v>1752</v>
      </c>
      <c r="G147" s="504" t="s">
        <v>2344</v>
      </c>
      <c r="H147" s="505">
        <v>834894</v>
      </c>
      <c r="I147" s="506" t="s">
        <v>5133</v>
      </c>
      <c r="J147" s="506" t="s">
        <v>5003</v>
      </c>
      <c r="K147" s="506" t="s">
        <v>5003</v>
      </c>
      <c r="L147" s="506" t="s">
        <v>5004</v>
      </c>
      <c r="M147" s="506" t="s">
        <v>1755</v>
      </c>
      <c r="N147" s="506" t="s">
        <v>1773</v>
      </c>
      <c r="O147" s="506" t="s">
        <v>2234</v>
      </c>
      <c r="P147" s="507">
        <v>4284.7550000000001</v>
      </c>
      <c r="Q147" s="507">
        <f t="shared" si="54"/>
        <v>5056.0109000000002</v>
      </c>
      <c r="R147" s="507">
        <v>3392.1205909983773</v>
      </c>
      <c r="S147" s="508" t="s">
        <v>1774</v>
      </c>
      <c r="T147" s="509">
        <v>1.087</v>
      </c>
      <c r="U147" s="509">
        <v>1.077</v>
      </c>
      <c r="V147" s="509">
        <v>1.073</v>
      </c>
      <c r="W147" s="510">
        <v>1.071</v>
      </c>
      <c r="X147" s="511">
        <v>0.9</v>
      </c>
      <c r="Y147" s="507">
        <v>3971.8340000000003</v>
      </c>
      <c r="Z147" s="507">
        <f t="shared" si="55"/>
        <v>4686.7641199999998</v>
      </c>
      <c r="AA147" s="512">
        <v>4045.7498307400006</v>
      </c>
      <c r="AB147" s="513">
        <f t="shared" ref="AB147:AB185" si="58">AA147*1.18</f>
        <v>4773.9848002732006</v>
      </c>
      <c r="AC147" s="514">
        <f t="shared" si="51"/>
        <v>3971.8340000000003</v>
      </c>
      <c r="AD147" s="493">
        <f t="shared" si="57"/>
        <v>4686.7641199999998</v>
      </c>
      <c r="AE147" s="494" t="s">
        <v>1775</v>
      </c>
      <c r="AF147" s="504" t="s">
        <v>231</v>
      </c>
      <c r="AG147" s="513" t="s">
        <v>5036</v>
      </c>
      <c r="AH147" s="513" t="s">
        <v>545</v>
      </c>
      <c r="AI147" s="515">
        <v>41654</v>
      </c>
      <c r="AJ147" s="515">
        <f t="shared" si="52"/>
        <v>41689</v>
      </c>
      <c r="AK147" s="516"/>
      <c r="AL147" s="516"/>
      <c r="AM147" s="516" t="s">
        <v>5005</v>
      </c>
      <c r="AN147" s="516" t="s">
        <v>1757</v>
      </c>
      <c r="AO147" s="517">
        <v>796</v>
      </c>
      <c r="AP147" s="504" t="s">
        <v>368</v>
      </c>
      <c r="AQ147" s="504">
        <v>1</v>
      </c>
      <c r="AR147" s="504">
        <v>46</v>
      </c>
      <c r="AS147" s="506" t="s">
        <v>605</v>
      </c>
      <c r="AT147" s="515">
        <f t="shared" si="49"/>
        <v>41709</v>
      </c>
      <c r="AU147" s="515">
        <f t="shared" si="50"/>
        <v>41709</v>
      </c>
      <c r="AV147" s="515">
        <v>41820</v>
      </c>
      <c r="AW147" s="504">
        <v>2014</v>
      </c>
      <c r="AX147" s="518"/>
      <c r="AY147" s="519" t="s">
        <v>186</v>
      </c>
      <c r="AZ147" s="520"/>
      <c r="BA147" s="504">
        <v>2014</v>
      </c>
      <c r="BB147" s="513" t="s">
        <v>2271</v>
      </c>
      <c r="BC147" s="521" t="s">
        <v>2271</v>
      </c>
      <c r="BD147" s="520" t="s">
        <v>2272</v>
      </c>
      <c r="BE147" s="553" t="s">
        <v>2272</v>
      </c>
      <c r="BF147" s="507" t="s">
        <v>2272</v>
      </c>
      <c r="BG147" s="488" t="s">
        <v>2272</v>
      </c>
      <c r="BH147" s="503" t="s">
        <v>2272</v>
      </c>
      <c r="BI147" s="503" t="s">
        <v>2272</v>
      </c>
      <c r="BJ147" s="503" t="s">
        <v>1465</v>
      </c>
      <c r="BK147" s="503"/>
    </row>
    <row r="148" spans="1:63" s="199" customFormat="1" ht="150">
      <c r="A148" s="522">
        <v>1</v>
      </c>
      <c r="B148" s="523" t="s">
        <v>5141</v>
      </c>
      <c r="C148" s="523" t="s">
        <v>7247</v>
      </c>
      <c r="D148" s="523" t="s">
        <v>231</v>
      </c>
      <c r="E148" s="523" t="s">
        <v>5853</v>
      </c>
      <c r="F148" s="523" t="s">
        <v>1752</v>
      </c>
      <c r="G148" s="523" t="s">
        <v>2344</v>
      </c>
      <c r="H148" s="524">
        <v>834895</v>
      </c>
      <c r="I148" s="525" t="s">
        <v>5134</v>
      </c>
      <c r="J148" s="525" t="s">
        <v>5003</v>
      </c>
      <c r="K148" s="525" t="s">
        <v>5003</v>
      </c>
      <c r="L148" s="525" t="s">
        <v>5004</v>
      </c>
      <c r="M148" s="525" t="s">
        <v>1755</v>
      </c>
      <c r="N148" s="525" t="s">
        <v>1773</v>
      </c>
      <c r="O148" s="525" t="s">
        <v>2234</v>
      </c>
      <c r="P148" s="526">
        <v>744.49800000000005</v>
      </c>
      <c r="Q148" s="526">
        <f t="shared" si="54"/>
        <v>878.50764000000004</v>
      </c>
      <c r="R148" s="526">
        <v>592.67998975147327</v>
      </c>
      <c r="S148" s="527" t="s">
        <v>1774</v>
      </c>
      <c r="T148" s="528">
        <v>1.087</v>
      </c>
      <c r="U148" s="528">
        <v>1.077</v>
      </c>
      <c r="V148" s="528">
        <v>1.073</v>
      </c>
      <c r="W148" s="529">
        <v>1.071</v>
      </c>
      <c r="X148" s="530">
        <v>0.9</v>
      </c>
      <c r="Y148" s="526">
        <v>693.96900000000005</v>
      </c>
      <c r="Z148" s="526">
        <f t="shared" si="55"/>
        <v>818.88342</v>
      </c>
      <c r="AA148" s="531">
        <v>706.88376309000012</v>
      </c>
      <c r="AB148" s="532">
        <f t="shared" si="58"/>
        <v>834.12284044620014</v>
      </c>
      <c r="AC148" s="514">
        <f t="shared" si="51"/>
        <v>693.96900000000005</v>
      </c>
      <c r="AD148" s="493">
        <f t="shared" si="57"/>
        <v>818.88342</v>
      </c>
      <c r="AE148" s="494" t="s">
        <v>1775</v>
      </c>
      <c r="AF148" s="523" t="s">
        <v>231</v>
      </c>
      <c r="AG148" s="523" t="s">
        <v>5036</v>
      </c>
      <c r="AH148" s="523" t="s">
        <v>545</v>
      </c>
      <c r="AI148" s="533">
        <v>41654</v>
      </c>
      <c r="AJ148" s="533">
        <f t="shared" si="52"/>
        <v>41689</v>
      </c>
      <c r="AK148" s="534" t="s">
        <v>132</v>
      </c>
      <c r="AL148" s="534" t="s">
        <v>132</v>
      </c>
      <c r="AM148" s="535" t="s">
        <v>5005</v>
      </c>
      <c r="AN148" s="535" t="s">
        <v>1757</v>
      </c>
      <c r="AO148" s="524">
        <v>796</v>
      </c>
      <c r="AP148" s="523" t="s">
        <v>368</v>
      </c>
      <c r="AQ148" s="523">
        <v>1</v>
      </c>
      <c r="AR148" s="523">
        <v>46</v>
      </c>
      <c r="AS148" s="525" t="s">
        <v>605</v>
      </c>
      <c r="AT148" s="533">
        <f t="shared" si="49"/>
        <v>41709</v>
      </c>
      <c r="AU148" s="533">
        <f t="shared" si="50"/>
        <v>41709</v>
      </c>
      <c r="AV148" s="533">
        <v>41820</v>
      </c>
      <c r="AW148" s="523">
        <v>2014</v>
      </c>
      <c r="AX148" s="534"/>
      <c r="AY148" s="535" t="s">
        <v>186</v>
      </c>
      <c r="AZ148" s="534"/>
      <c r="BA148" s="523">
        <v>2014</v>
      </c>
      <c r="BB148" s="523" t="s">
        <v>5147</v>
      </c>
      <c r="BC148" s="536" t="s">
        <v>5148</v>
      </c>
      <c r="BD148" s="537" t="s">
        <v>1818</v>
      </c>
      <c r="BE148" s="538">
        <f t="shared" ref="BE148:BE153" si="59">AV148+30</f>
        <v>41850</v>
      </c>
      <c r="BF148" s="539">
        <v>900.48157639999988</v>
      </c>
      <c r="BG148" s="488">
        <v>882.47194487199988</v>
      </c>
      <c r="BH148" s="526"/>
      <c r="BI148" s="540">
        <v>0.4</v>
      </c>
      <c r="BJ148" s="522" t="s">
        <v>5016</v>
      </c>
      <c r="BK148" s="523"/>
    </row>
    <row r="149" spans="1:63" s="199" customFormat="1" ht="150">
      <c r="A149" s="522">
        <v>1</v>
      </c>
      <c r="B149" s="523" t="s">
        <v>5142</v>
      </c>
      <c r="C149" s="523" t="s">
        <v>7247</v>
      </c>
      <c r="D149" s="523" t="s">
        <v>231</v>
      </c>
      <c r="E149" s="523" t="s">
        <v>5853</v>
      </c>
      <c r="F149" s="523" t="s">
        <v>1752</v>
      </c>
      <c r="G149" s="523" t="s">
        <v>2344</v>
      </c>
      <c r="H149" s="524">
        <v>834896</v>
      </c>
      <c r="I149" s="525" t="s">
        <v>5135</v>
      </c>
      <c r="J149" s="525" t="s">
        <v>5003</v>
      </c>
      <c r="K149" s="525" t="s">
        <v>5003</v>
      </c>
      <c r="L149" s="525" t="s">
        <v>5004</v>
      </c>
      <c r="M149" s="525" t="s">
        <v>1755</v>
      </c>
      <c r="N149" s="525" t="s">
        <v>1773</v>
      </c>
      <c r="O149" s="525" t="s">
        <v>2234</v>
      </c>
      <c r="P149" s="526">
        <v>744.49800000000005</v>
      </c>
      <c r="Q149" s="526">
        <f t="shared" si="54"/>
        <v>878.50764000000004</v>
      </c>
      <c r="R149" s="526">
        <v>592.67998975147327</v>
      </c>
      <c r="S149" s="527" t="s">
        <v>1774</v>
      </c>
      <c r="T149" s="528">
        <v>1.087</v>
      </c>
      <c r="U149" s="528">
        <v>1.077</v>
      </c>
      <c r="V149" s="528">
        <v>1.073</v>
      </c>
      <c r="W149" s="529">
        <v>1.071</v>
      </c>
      <c r="X149" s="530">
        <v>0.9</v>
      </c>
      <c r="Y149" s="526">
        <v>693.96900000000005</v>
      </c>
      <c r="Z149" s="526">
        <f t="shared" si="55"/>
        <v>818.88342</v>
      </c>
      <c r="AA149" s="531">
        <v>706.88376309000012</v>
      </c>
      <c r="AB149" s="532">
        <f t="shared" si="58"/>
        <v>834.12284044620014</v>
      </c>
      <c r="AC149" s="514">
        <f t="shared" si="51"/>
        <v>693.96900000000005</v>
      </c>
      <c r="AD149" s="493">
        <f t="shared" si="57"/>
        <v>818.88342</v>
      </c>
      <c r="AE149" s="494" t="s">
        <v>1775</v>
      </c>
      <c r="AF149" s="523" t="s">
        <v>231</v>
      </c>
      <c r="AG149" s="523" t="s">
        <v>5036</v>
      </c>
      <c r="AH149" s="523" t="s">
        <v>545</v>
      </c>
      <c r="AI149" s="533">
        <v>41654</v>
      </c>
      <c r="AJ149" s="533">
        <f t="shared" si="52"/>
        <v>41689</v>
      </c>
      <c r="AK149" s="534" t="s">
        <v>132</v>
      </c>
      <c r="AL149" s="534" t="s">
        <v>132</v>
      </c>
      <c r="AM149" s="535" t="s">
        <v>5005</v>
      </c>
      <c r="AN149" s="535" t="s">
        <v>1757</v>
      </c>
      <c r="AO149" s="524">
        <v>796</v>
      </c>
      <c r="AP149" s="523" t="s">
        <v>368</v>
      </c>
      <c r="AQ149" s="523">
        <v>1</v>
      </c>
      <c r="AR149" s="523">
        <v>46</v>
      </c>
      <c r="AS149" s="525" t="s">
        <v>605</v>
      </c>
      <c r="AT149" s="533">
        <f t="shared" si="49"/>
        <v>41709</v>
      </c>
      <c r="AU149" s="533">
        <f t="shared" si="50"/>
        <v>41709</v>
      </c>
      <c r="AV149" s="533">
        <v>41820</v>
      </c>
      <c r="AW149" s="523">
        <v>2014</v>
      </c>
      <c r="AX149" s="534"/>
      <c r="AY149" s="535" t="s">
        <v>186</v>
      </c>
      <c r="AZ149" s="534"/>
      <c r="BA149" s="523">
        <v>2014</v>
      </c>
      <c r="BB149" s="523" t="s">
        <v>5149</v>
      </c>
      <c r="BC149" s="536" t="s">
        <v>5150</v>
      </c>
      <c r="BD149" s="537" t="s">
        <v>1818</v>
      </c>
      <c r="BE149" s="538">
        <f t="shared" si="59"/>
        <v>41850</v>
      </c>
      <c r="BF149" s="539">
        <v>900.48157639999988</v>
      </c>
      <c r="BG149" s="488">
        <v>882.47194487199988</v>
      </c>
      <c r="BH149" s="526"/>
      <c r="BI149" s="540">
        <v>0.4</v>
      </c>
      <c r="BJ149" s="522" t="s">
        <v>5016</v>
      </c>
      <c r="BK149" s="523"/>
    </row>
    <row r="150" spans="1:63" s="199" customFormat="1" ht="150">
      <c r="A150" s="522">
        <v>1</v>
      </c>
      <c r="B150" s="523" t="s">
        <v>5143</v>
      </c>
      <c r="C150" s="523" t="s">
        <v>7247</v>
      </c>
      <c r="D150" s="523" t="s">
        <v>231</v>
      </c>
      <c r="E150" s="523" t="s">
        <v>5853</v>
      </c>
      <c r="F150" s="523" t="s">
        <v>1752</v>
      </c>
      <c r="G150" s="523" t="s">
        <v>2344</v>
      </c>
      <c r="H150" s="524">
        <v>834897</v>
      </c>
      <c r="I150" s="525" t="s">
        <v>5136</v>
      </c>
      <c r="J150" s="525" t="s">
        <v>5003</v>
      </c>
      <c r="K150" s="525" t="s">
        <v>5003</v>
      </c>
      <c r="L150" s="525" t="s">
        <v>5004</v>
      </c>
      <c r="M150" s="525" t="s">
        <v>1755</v>
      </c>
      <c r="N150" s="525" t="s">
        <v>1773</v>
      </c>
      <c r="O150" s="525" t="s">
        <v>2234</v>
      </c>
      <c r="P150" s="526">
        <v>651.43600000000004</v>
      </c>
      <c r="Q150" s="526">
        <f t="shared" si="54"/>
        <v>768.69448</v>
      </c>
      <c r="R150" s="526">
        <v>518.58997352463916</v>
      </c>
      <c r="S150" s="527" t="s">
        <v>1774</v>
      </c>
      <c r="T150" s="528">
        <v>1.087</v>
      </c>
      <c r="U150" s="528">
        <v>1.077</v>
      </c>
      <c r="V150" s="528">
        <v>1.073</v>
      </c>
      <c r="W150" s="529">
        <v>1.071</v>
      </c>
      <c r="X150" s="530">
        <v>0.9</v>
      </c>
      <c r="Y150" s="526">
        <v>607.21699999999998</v>
      </c>
      <c r="Z150" s="526">
        <f t="shared" si="55"/>
        <v>716.51605999999992</v>
      </c>
      <c r="AA150" s="531">
        <v>618.51730837000002</v>
      </c>
      <c r="AB150" s="532">
        <f t="shared" si="58"/>
        <v>729.85042387659996</v>
      </c>
      <c r="AC150" s="514">
        <f t="shared" si="51"/>
        <v>607.21699999999998</v>
      </c>
      <c r="AD150" s="493">
        <f t="shared" si="57"/>
        <v>716.51605999999992</v>
      </c>
      <c r="AE150" s="494" t="s">
        <v>1775</v>
      </c>
      <c r="AF150" s="523" t="s">
        <v>231</v>
      </c>
      <c r="AG150" s="523" t="s">
        <v>5036</v>
      </c>
      <c r="AH150" s="523" t="s">
        <v>545</v>
      </c>
      <c r="AI150" s="533">
        <v>41654</v>
      </c>
      <c r="AJ150" s="533">
        <f t="shared" si="52"/>
        <v>41689</v>
      </c>
      <c r="AK150" s="534" t="s">
        <v>132</v>
      </c>
      <c r="AL150" s="534" t="s">
        <v>132</v>
      </c>
      <c r="AM150" s="535" t="s">
        <v>5005</v>
      </c>
      <c r="AN150" s="535" t="s">
        <v>1757</v>
      </c>
      <c r="AO150" s="524">
        <v>796</v>
      </c>
      <c r="AP150" s="523" t="s">
        <v>368</v>
      </c>
      <c r="AQ150" s="523">
        <v>1</v>
      </c>
      <c r="AR150" s="523">
        <v>46</v>
      </c>
      <c r="AS150" s="525" t="s">
        <v>605</v>
      </c>
      <c r="AT150" s="533">
        <f t="shared" si="49"/>
        <v>41709</v>
      </c>
      <c r="AU150" s="533">
        <f t="shared" si="50"/>
        <v>41709</v>
      </c>
      <c r="AV150" s="533">
        <v>41820</v>
      </c>
      <c r="AW150" s="523">
        <v>2014</v>
      </c>
      <c r="AX150" s="534"/>
      <c r="AY150" s="535" t="s">
        <v>186</v>
      </c>
      <c r="AZ150" s="534"/>
      <c r="BA150" s="523">
        <v>2014</v>
      </c>
      <c r="BB150" s="523" t="s">
        <v>5151</v>
      </c>
      <c r="BC150" s="536" t="s">
        <v>5152</v>
      </c>
      <c r="BD150" s="537" t="s">
        <v>1818</v>
      </c>
      <c r="BE150" s="538">
        <f t="shared" si="59"/>
        <v>41850</v>
      </c>
      <c r="BF150" s="539">
        <v>787.92137639999987</v>
      </c>
      <c r="BG150" s="488">
        <v>772.1629488719999</v>
      </c>
      <c r="BH150" s="526"/>
      <c r="BI150" s="540">
        <v>0.35</v>
      </c>
      <c r="BJ150" s="522" t="s">
        <v>5016</v>
      </c>
      <c r="BK150" s="523"/>
    </row>
    <row r="151" spans="1:63" s="199" customFormat="1" ht="150">
      <c r="A151" s="522">
        <v>1</v>
      </c>
      <c r="B151" s="523" t="s">
        <v>5144</v>
      </c>
      <c r="C151" s="523" t="s">
        <v>7247</v>
      </c>
      <c r="D151" s="523" t="s">
        <v>231</v>
      </c>
      <c r="E151" s="523" t="s">
        <v>5853</v>
      </c>
      <c r="F151" s="523" t="s">
        <v>1752</v>
      </c>
      <c r="G151" s="523" t="s">
        <v>2344</v>
      </c>
      <c r="H151" s="524">
        <v>834898</v>
      </c>
      <c r="I151" s="525" t="s">
        <v>5137</v>
      </c>
      <c r="J151" s="525" t="s">
        <v>5003</v>
      </c>
      <c r="K151" s="525" t="s">
        <v>5003</v>
      </c>
      <c r="L151" s="525" t="s">
        <v>5004</v>
      </c>
      <c r="M151" s="525" t="s">
        <v>1755</v>
      </c>
      <c r="N151" s="525" t="s">
        <v>1773</v>
      </c>
      <c r="O151" s="525" t="s">
        <v>2234</v>
      </c>
      <c r="P151" s="526">
        <v>692.55</v>
      </c>
      <c r="Q151" s="526">
        <f t="shared" si="54"/>
        <v>817.20899999999995</v>
      </c>
      <c r="R151" s="526">
        <v>532.45025194294988</v>
      </c>
      <c r="S151" s="527" t="s">
        <v>1774</v>
      </c>
      <c r="T151" s="528">
        <v>1.087</v>
      </c>
      <c r="U151" s="528">
        <v>1.077</v>
      </c>
      <c r="V151" s="528">
        <v>1.073</v>
      </c>
      <c r="W151" s="529">
        <v>1.071</v>
      </c>
      <c r="X151" s="530">
        <v>0.9</v>
      </c>
      <c r="Y151" s="526">
        <v>623.44600000000003</v>
      </c>
      <c r="Z151" s="526">
        <f t="shared" si="55"/>
        <v>735.66628000000003</v>
      </c>
      <c r="AA151" s="531">
        <v>635.04833006000001</v>
      </c>
      <c r="AB151" s="532">
        <f t="shared" si="58"/>
        <v>749.35702947079994</v>
      </c>
      <c r="AC151" s="514">
        <f t="shared" si="51"/>
        <v>623.44600000000003</v>
      </c>
      <c r="AD151" s="493">
        <f t="shared" si="57"/>
        <v>735.66628000000003</v>
      </c>
      <c r="AE151" s="494" t="s">
        <v>1775</v>
      </c>
      <c r="AF151" s="523" t="s">
        <v>231</v>
      </c>
      <c r="AG151" s="523" t="s">
        <v>5036</v>
      </c>
      <c r="AH151" s="523" t="s">
        <v>545</v>
      </c>
      <c r="AI151" s="533">
        <v>41654</v>
      </c>
      <c r="AJ151" s="533">
        <f t="shared" si="52"/>
        <v>41689</v>
      </c>
      <c r="AK151" s="534" t="s">
        <v>132</v>
      </c>
      <c r="AL151" s="534" t="s">
        <v>132</v>
      </c>
      <c r="AM151" s="535" t="s">
        <v>5005</v>
      </c>
      <c r="AN151" s="535" t="s">
        <v>1757</v>
      </c>
      <c r="AO151" s="524">
        <v>796</v>
      </c>
      <c r="AP151" s="523" t="s">
        <v>368</v>
      </c>
      <c r="AQ151" s="523">
        <v>1</v>
      </c>
      <c r="AR151" s="523">
        <v>46</v>
      </c>
      <c r="AS151" s="525" t="s">
        <v>605</v>
      </c>
      <c r="AT151" s="533">
        <f t="shared" si="49"/>
        <v>41709</v>
      </c>
      <c r="AU151" s="533">
        <f t="shared" si="50"/>
        <v>41709</v>
      </c>
      <c r="AV151" s="533">
        <v>41820</v>
      </c>
      <c r="AW151" s="523">
        <v>2014</v>
      </c>
      <c r="AX151" s="534"/>
      <c r="AY151" s="535" t="s">
        <v>186</v>
      </c>
      <c r="AZ151" s="534"/>
      <c r="BA151" s="523">
        <v>2014</v>
      </c>
      <c r="BB151" s="523" t="s">
        <v>5153</v>
      </c>
      <c r="BC151" s="536" t="s">
        <v>5154</v>
      </c>
      <c r="BD151" s="537" t="s">
        <v>1818</v>
      </c>
      <c r="BE151" s="538">
        <f t="shared" si="59"/>
        <v>41850</v>
      </c>
      <c r="BF151" s="539">
        <v>837.92667299999994</v>
      </c>
      <c r="BG151" s="488">
        <v>821.16813953999997</v>
      </c>
      <c r="BH151" s="526">
        <v>2.5000000000000001E-2</v>
      </c>
      <c r="BI151" s="540">
        <v>0.11</v>
      </c>
      <c r="BJ151" s="522" t="s">
        <v>5016</v>
      </c>
      <c r="BK151" s="523"/>
    </row>
    <row r="152" spans="1:63" s="199" customFormat="1" ht="150">
      <c r="A152" s="522">
        <v>1</v>
      </c>
      <c r="B152" s="523" t="s">
        <v>5145</v>
      </c>
      <c r="C152" s="523" t="s">
        <v>7247</v>
      </c>
      <c r="D152" s="523" t="s">
        <v>231</v>
      </c>
      <c r="E152" s="523" t="s">
        <v>5853</v>
      </c>
      <c r="F152" s="523" t="s">
        <v>1752</v>
      </c>
      <c r="G152" s="523" t="s">
        <v>2344</v>
      </c>
      <c r="H152" s="524">
        <v>834899</v>
      </c>
      <c r="I152" s="525" t="s">
        <v>5138</v>
      </c>
      <c r="J152" s="525" t="s">
        <v>5003</v>
      </c>
      <c r="K152" s="525" t="s">
        <v>5003</v>
      </c>
      <c r="L152" s="525" t="s">
        <v>5004</v>
      </c>
      <c r="M152" s="525" t="s">
        <v>1755</v>
      </c>
      <c r="N152" s="525" t="s">
        <v>1773</v>
      </c>
      <c r="O152" s="525" t="s">
        <v>2234</v>
      </c>
      <c r="P152" s="526">
        <v>670.04899999999998</v>
      </c>
      <c r="Q152" s="526">
        <f t="shared" si="54"/>
        <v>790.6578199999999</v>
      </c>
      <c r="R152" s="526">
        <v>533.41019728414039</v>
      </c>
      <c r="S152" s="527" t="s">
        <v>1774</v>
      </c>
      <c r="T152" s="528">
        <v>1.087</v>
      </c>
      <c r="U152" s="528">
        <v>1.077</v>
      </c>
      <c r="V152" s="528">
        <v>1.073</v>
      </c>
      <c r="W152" s="529">
        <v>1.071</v>
      </c>
      <c r="X152" s="530">
        <v>0.9</v>
      </c>
      <c r="Y152" s="526">
        <v>624.57000000000005</v>
      </c>
      <c r="Z152" s="526">
        <f t="shared" si="55"/>
        <v>736.99260000000004</v>
      </c>
      <c r="AA152" s="531">
        <v>636.19324770000003</v>
      </c>
      <c r="AB152" s="532">
        <f t="shared" si="58"/>
        <v>750.70803228600005</v>
      </c>
      <c r="AC152" s="514">
        <f t="shared" si="51"/>
        <v>624.57000000000005</v>
      </c>
      <c r="AD152" s="493">
        <f t="shared" si="57"/>
        <v>736.99260000000004</v>
      </c>
      <c r="AE152" s="494" t="s">
        <v>1775</v>
      </c>
      <c r="AF152" s="523" t="s">
        <v>231</v>
      </c>
      <c r="AG152" s="523" t="s">
        <v>5036</v>
      </c>
      <c r="AH152" s="523" t="s">
        <v>545</v>
      </c>
      <c r="AI152" s="533">
        <v>41654</v>
      </c>
      <c r="AJ152" s="533">
        <f t="shared" si="52"/>
        <v>41689</v>
      </c>
      <c r="AK152" s="534" t="s">
        <v>132</v>
      </c>
      <c r="AL152" s="534" t="s">
        <v>132</v>
      </c>
      <c r="AM152" s="535" t="s">
        <v>5005</v>
      </c>
      <c r="AN152" s="535" t="s">
        <v>1757</v>
      </c>
      <c r="AO152" s="524">
        <v>796</v>
      </c>
      <c r="AP152" s="523" t="s">
        <v>368</v>
      </c>
      <c r="AQ152" s="523">
        <v>1</v>
      </c>
      <c r="AR152" s="523">
        <v>46</v>
      </c>
      <c r="AS152" s="525" t="s">
        <v>605</v>
      </c>
      <c r="AT152" s="533">
        <f t="shared" si="49"/>
        <v>41709</v>
      </c>
      <c r="AU152" s="533">
        <f t="shared" si="50"/>
        <v>41709</v>
      </c>
      <c r="AV152" s="533">
        <v>41820</v>
      </c>
      <c r="AW152" s="523">
        <v>2014</v>
      </c>
      <c r="AX152" s="534"/>
      <c r="AY152" s="535" t="s">
        <v>186</v>
      </c>
      <c r="AZ152" s="534"/>
      <c r="BA152" s="523">
        <v>2014</v>
      </c>
      <c r="BB152" s="523" t="s">
        <v>5155</v>
      </c>
      <c r="BC152" s="536" t="s">
        <v>5156</v>
      </c>
      <c r="BD152" s="537" t="s">
        <v>1818</v>
      </c>
      <c r="BE152" s="538">
        <f t="shared" si="59"/>
        <v>41850</v>
      </c>
      <c r="BF152" s="539">
        <v>810.43341639999983</v>
      </c>
      <c r="BG152" s="488">
        <v>794.22474807199978</v>
      </c>
      <c r="BH152" s="526"/>
      <c r="BI152" s="540">
        <v>0.36</v>
      </c>
      <c r="BJ152" s="522" t="s">
        <v>5016</v>
      </c>
      <c r="BK152" s="523"/>
    </row>
    <row r="153" spans="1:63" s="199" customFormat="1" ht="150">
      <c r="A153" s="522">
        <v>1</v>
      </c>
      <c r="B153" s="523" t="s">
        <v>5146</v>
      </c>
      <c r="C153" s="523" t="s">
        <v>7247</v>
      </c>
      <c r="D153" s="523" t="s">
        <v>231</v>
      </c>
      <c r="E153" s="523" t="s">
        <v>5853</v>
      </c>
      <c r="F153" s="523" t="s">
        <v>1752</v>
      </c>
      <c r="G153" s="523" t="s">
        <v>2344</v>
      </c>
      <c r="H153" s="524">
        <v>834900</v>
      </c>
      <c r="I153" s="525" t="s">
        <v>5139</v>
      </c>
      <c r="J153" s="525" t="s">
        <v>5003</v>
      </c>
      <c r="K153" s="525" t="s">
        <v>5003</v>
      </c>
      <c r="L153" s="525" t="s">
        <v>5004</v>
      </c>
      <c r="M153" s="525" t="s">
        <v>1755</v>
      </c>
      <c r="N153" s="525" t="s">
        <v>1773</v>
      </c>
      <c r="O153" s="525" t="s">
        <v>2234</v>
      </c>
      <c r="P153" s="526">
        <v>781.72400000000005</v>
      </c>
      <c r="Q153" s="526">
        <f t="shared" si="54"/>
        <v>922.43431999999996</v>
      </c>
      <c r="R153" s="526">
        <v>622.31018874370136</v>
      </c>
      <c r="S153" s="527" t="s">
        <v>1774</v>
      </c>
      <c r="T153" s="528">
        <v>1.087</v>
      </c>
      <c r="U153" s="528">
        <v>1.077</v>
      </c>
      <c r="V153" s="528">
        <v>1.073</v>
      </c>
      <c r="W153" s="529">
        <v>1.071</v>
      </c>
      <c r="X153" s="530">
        <v>0.9</v>
      </c>
      <c r="Y153" s="526">
        <v>728.66300000000001</v>
      </c>
      <c r="Z153" s="526">
        <f t="shared" si="55"/>
        <v>859.82233999999994</v>
      </c>
      <c r="AA153" s="531">
        <v>742.22341843000004</v>
      </c>
      <c r="AB153" s="532">
        <f t="shared" si="58"/>
        <v>875.82363374739998</v>
      </c>
      <c r="AC153" s="514">
        <f t="shared" si="51"/>
        <v>728.66300000000001</v>
      </c>
      <c r="AD153" s="493">
        <f t="shared" si="57"/>
        <v>859.82233999999994</v>
      </c>
      <c r="AE153" s="494" t="s">
        <v>1775</v>
      </c>
      <c r="AF153" s="523" t="s">
        <v>231</v>
      </c>
      <c r="AG153" s="523" t="s">
        <v>5036</v>
      </c>
      <c r="AH153" s="523" t="s">
        <v>545</v>
      </c>
      <c r="AI153" s="533">
        <v>41654</v>
      </c>
      <c r="AJ153" s="533">
        <f t="shared" si="52"/>
        <v>41689</v>
      </c>
      <c r="AK153" s="534" t="s">
        <v>132</v>
      </c>
      <c r="AL153" s="534" t="s">
        <v>132</v>
      </c>
      <c r="AM153" s="535" t="s">
        <v>5005</v>
      </c>
      <c r="AN153" s="535" t="s">
        <v>1757</v>
      </c>
      <c r="AO153" s="524">
        <v>796</v>
      </c>
      <c r="AP153" s="523" t="s">
        <v>368</v>
      </c>
      <c r="AQ153" s="523">
        <v>1</v>
      </c>
      <c r="AR153" s="523">
        <v>46</v>
      </c>
      <c r="AS153" s="525" t="s">
        <v>605</v>
      </c>
      <c r="AT153" s="533">
        <f t="shared" si="49"/>
        <v>41709</v>
      </c>
      <c r="AU153" s="533">
        <f t="shared" si="50"/>
        <v>41709</v>
      </c>
      <c r="AV153" s="533">
        <v>41820</v>
      </c>
      <c r="AW153" s="523">
        <v>2014</v>
      </c>
      <c r="AX153" s="534"/>
      <c r="AY153" s="535" t="s">
        <v>186</v>
      </c>
      <c r="AZ153" s="534"/>
      <c r="BA153" s="523">
        <v>2014</v>
      </c>
      <c r="BB153" s="523" t="s">
        <v>5157</v>
      </c>
      <c r="BC153" s="536" t="s">
        <v>5158</v>
      </c>
      <c r="BD153" s="537" t="s">
        <v>1818</v>
      </c>
      <c r="BE153" s="538">
        <f t="shared" si="59"/>
        <v>41850</v>
      </c>
      <c r="BF153" s="539">
        <v>945.50565639999991</v>
      </c>
      <c r="BG153" s="488">
        <v>926.59554327199987</v>
      </c>
      <c r="BH153" s="526"/>
      <c r="BI153" s="540">
        <v>0.42</v>
      </c>
      <c r="BJ153" s="522" t="s">
        <v>5016</v>
      </c>
      <c r="BK153" s="523"/>
    </row>
    <row r="154" spans="1:63" s="199" customFormat="1" ht="150">
      <c r="A154" s="503">
        <v>1</v>
      </c>
      <c r="B154" s="504" t="s">
        <v>5177</v>
      </c>
      <c r="C154" s="504" t="s">
        <v>83</v>
      </c>
      <c r="D154" s="504" t="s">
        <v>231</v>
      </c>
      <c r="E154" s="504" t="s">
        <v>5853</v>
      </c>
      <c r="F154" s="504" t="s">
        <v>1752</v>
      </c>
      <c r="G154" s="504" t="s">
        <v>2344</v>
      </c>
      <c r="H154" s="505">
        <v>834901</v>
      </c>
      <c r="I154" s="506" t="s">
        <v>5173</v>
      </c>
      <c r="J154" s="506" t="s">
        <v>5003</v>
      </c>
      <c r="K154" s="506" t="s">
        <v>5003</v>
      </c>
      <c r="L154" s="506" t="s">
        <v>5004</v>
      </c>
      <c r="M154" s="506" t="s">
        <v>1755</v>
      </c>
      <c r="N154" s="506" t="s">
        <v>1773</v>
      </c>
      <c r="O154" s="506" t="s">
        <v>2234</v>
      </c>
      <c r="P154" s="507">
        <v>4340.2839999999997</v>
      </c>
      <c r="Q154" s="507">
        <f t="shared" si="54"/>
        <v>5121.5351199999996</v>
      </c>
      <c r="R154" s="507">
        <v>3336.8699291143566</v>
      </c>
      <c r="S154" s="508" t="s">
        <v>1774</v>
      </c>
      <c r="T154" s="509">
        <v>1.087</v>
      </c>
      <c r="U154" s="509">
        <v>1.077</v>
      </c>
      <c r="V154" s="509">
        <v>1.073</v>
      </c>
      <c r="W154" s="510">
        <v>1.071</v>
      </c>
      <c r="X154" s="511">
        <v>0.9</v>
      </c>
      <c r="Y154" s="507">
        <v>3907.1410000000001</v>
      </c>
      <c r="Z154" s="507">
        <f t="shared" si="55"/>
        <v>4610.4263799999999</v>
      </c>
      <c r="AA154" s="512">
        <v>3979.85289401</v>
      </c>
      <c r="AB154" s="513">
        <f t="shared" si="58"/>
        <v>4696.2264149317998</v>
      </c>
      <c r="AC154" s="514">
        <f t="shared" si="51"/>
        <v>3907.1410000000001</v>
      </c>
      <c r="AD154" s="493">
        <f t="shared" si="57"/>
        <v>4610.4263799999999</v>
      </c>
      <c r="AE154" s="494" t="s">
        <v>1775</v>
      </c>
      <c r="AF154" s="504" t="s">
        <v>231</v>
      </c>
      <c r="AG154" s="513" t="s">
        <v>5036</v>
      </c>
      <c r="AH154" s="513" t="s">
        <v>545</v>
      </c>
      <c r="AI154" s="515">
        <v>41654</v>
      </c>
      <c r="AJ154" s="515">
        <f t="shared" si="52"/>
        <v>41689</v>
      </c>
      <c r="AK154" s="516"/>
      <c r="AL154" s="516"/>
      <c r="AM154" s="516" t="s">
        <v>5005</v>
      </c>
      <c r="AN154" s="516" t="s">
        <v>1757</v>
      </c>
      <c r="AO154" s="517">
        <v>796</v>
      </c>
      <c r="AP154" s="504" t="s">
        <v>368</v>
      </c>
      <c r="AQ154" s="504">
        <v>1</v>
      </c>
      <c r="AR154" s="504">
        <v>46</v>
      </c>
      <c r="AS154" s="506" t="s">
        <v>605</v>
      </c>
      <c r="AT154" s="515">
        <f t="shared" si="49"/>
        <v>41709</v>
      </c>
      <c r="AU154" s="515">
        <f t="shared" si="50"/>
        <v>41709</v>
      </c>
      <c r="AV154" s="515">
        <v>41820</v>
      </c>
      <c r="AW154" s="504">
        <v>2014</v>
      </c>
      <c r="AX154" s="518"/>
      <c r="AY154" s="519" t="s">
        <v>186</v>
      </c>
      <c r="AZ154" s="520"/>
      <c r="BA154" s="504">
        <v>2014</v>
      </c>
      <c r="BB154" s="513" t="s">
        <v>2271</v>
      </c>
      <c r="BC154" s="521" t="s">
        <v>2271</v>
      </c>
      <c r="BD154" s="520" t="s">
        <v>2272</v>
      </c>
      <c r="BE154" s="553" t="s">
        <v>2272</v>
      </c>
      <c r="BF154" s="507" t="s">
        <v>2272</v>
      </c>
      <c r="BG154" s="488" t="s">
        <v>2272</v>
      </c>
      <c r="BH154" s="503" t="s">
        <v>2272</v>
      </c>
      <c r="BI154" s="503" t="s">
        <v>2272</v>
      </c>
      <c r="BJ154" s="503" t="s">
        <v>1465</v>
      </c>
      <c r="BK154" s="503"/>
    </row>
    <row r="155" spans="1:63" s="199" customFormat="1" ht="150">
      <c r="A155" s="522">
        <v>1</v>
      </c>
      <c r="B155" s="523" t="s">
        <v>5178</v>
      </c>
      <c r="C155" s="523" t="s">
        <v>7247</v>
      </c>
      <c r="D155" s="523" t="s">
        <v>231</v>
      </c>
      <c r="E155" s="523" t="s">
        <v>5853</v>
      </c>
      <c r="F155" s="523" t="s">
        <v>1752</v>
      </c>
      <c r="G155" s="523" t="s">
        <v>2344</v>
      </c>
      <c r="H155" s="524">
        <v>834902</v>
      </c>
      <c r="I155" s="525" t="s">
        <v>5174</v>
      </c>
      <c r="J155" s="525" t="s">
        <v>5003</v>
      </c>
      <c r="K155" s="525" t="s">
        <v>5003</v>
      </c>
      <c r="L155" s="525" t="s">
        <v>5004</v>
      </c>
      <c r="M155" s="525" t="s">
        <v>1755</v>
      </c>
      <c r="N155" s="525" t="s">
        <v>1773</v>
      </c>
      <c r="O155" s="525" t="s">
        <v>2234</v>
      </c>
      <c r="P155" s="526">
        <v>1421.5350000000001</v>
      </c>
      <c r="Q155" s="526">
        <f t="shared" si="54"/>
        <v>1677.4113</v>
      </c>
      <c r="R155" s="526">
        <v>1092.9003330771202</v>
      </c>
      <c r="S155" s="527" t="s">
        <v>1774</v>
      </c>
      <c r="T155" s="528">
        <v>1.087</v>
      </c>
      <c r="U155" s="528">
        <v>1.077</v>
      </c>
      <c r="V155" s="528">
        <v>1.073</v>
      </c>
      <c r="W155" s="529">
        <v>1.071</v>
      </c>
      <c r="X155" s="530">
        <v>0.9</v>
      </c>
      <c r="Y155" s="526">
        <v>1279.6769999999999</v>
      </c>
      <c r="Z155" s="526">
        <f t="shared" si="55"/>
        <v>1510.0188599999999</v>
      </c>
      <c r="AA155" s="531">
        <v>1303.49178897</v>
      </c>
      <c r="AB155" s="532">
        <f t="shared" si="58"/>
        <v>1538.1203109845999</v>
      </c>
      <c r="AC155" s="514">
        <f t="shared" si="51"/>
        <v>1279.6769999999999</v>
      </c>
      <c r="AD155" s="493">
        <f t="shared" si="57"/>
        <v>1510.0188599999999</v>
      </c>
      <c r="AE155" s="494" t="s">
        <v>1775</v>
      </c>
      <c r="AF155" s="523" t="s">
        <v>231</v>
      </c>
      <c r="AG155" s="523" t="s">
        <v>5036</v>
      </c>
      <c r="AH155" s="523" t="s">
        <v>545</v>
      </c>
      <c r="AI155" s="533">
        <v>41654</v>
      </c>
      <c r="AJ155" s="533">
        <f t="shared" si="52"/>
        <v>41689</v>
      </c>
      <c r="AK155" s="534" t="s">
        <v>132</v>
      </c>
      <c r="AL155" s="534" t="s">
        <v>132</v>
      </c>
      <c r="AM155" s="535" t="s">
        <v>5005</v>
      </c>
      <c r="AN155" s="535" t="s">
        <v>1757</v>
      </c>
      <c r="AO155" s="524">
        <v>796</v>
      </c>
      <c r="AP155" s="523" t="s">
        <v>368</v>
      </c>
      <c r="AQ155" s="523">
        <v>1</v>
      </c>
      <c r="AR155" s="523">
        <v>46</v>
      </c>
      <c r="AS155" s="525" t="s">
        <v>605</v>
      </c>
      <c r="AT155" s="533">
        <f t="shared" si="49"/>
        <v>41709</v>
      </c>
      <c r="AU155" s="533">
        <f t="shared" si="50"/>
        <v>41709</v>
      </c>
      <c r="AV155" s="533">
        <v>41820</v>
      </c>
      <c r="AW155" s="523">
        <v>2014</v>
      </c>
      <c r="AX155" s="534"/>
      <c r="AY155" s="535" t="s">
        <v>186</v>
      </c>
      <c r="AZ155" s="534"/>
      <c r="BA155" s="523">
        <v>2014</v>
      </c>
      <c r="BB155" s="523" t="s">
        <v>5181</v>
      </c>
      <c r="BC155" s="536" t="s">
        <v>5184</v>
      </c>
      <c r="BD155" s="537" t="s">
        <v>1818</v>
      </c>
      <c r="BE155" s="538">
        <f>AV155+30</f>
        <v>41850</v>
      </c>
      <c r="BF155" s="539">
        <v>1719.6836671999999</v>
      </c>
      <c r="BG155" s="488">
        <v>1685.2899938559999</v>
      </c>
      <c r="BH155" s="526">
        <v>1.6E-2</v>
      </c>
      <c r="BI155" s="540">
        <v>0.4</v>
      </c>
      <c r="BJ155" s="522" t="s">
        <v>5016</v>
      </c>
      <c r="BK155" s="523"/>
    </row>
    <row r="156" spans="1:63" s="199" customFormat="1" ht="150">
      <c r="A156" s="522">
        <v>1</v>
      </c>
      <c r="B156" s="523" t="s">
        <v>5179</v>
      </c>
      <c r="C156" s="523" t="s">
        <v>7247</v>
      </c>
      <c r="D156" s="523" t="s">
        <v>231</v>
      </c>
      <c r="E156" s="523" t="s">
        <v>5853</v>
      </c>
      <c r="F156" s="523" t="s">
        <v>1752</v>
      </c>
      <c r="G156" s="523" t="s">
        <v>2344</v>
      </c>
      <c r="H156" s="524">
        <v>834903</v>
      </c>
      <c r="I156" s="525" t="s">
        <v>5175</v>
      </c>
      <c r="J156" s="525" t="s">
        <v>5003</v>
      </c>
      <c r="K156" s="525" t="s">
        <v>5003</v>
      </c>
      <c r="L156" s="525" t="s">
        <v>5004</v>
      </c>
      <c r="M156" s="525" t="s">
        <v>1755</v>
      </c>
      <c r="N156" s="525" t="s">
        <v>1773</v>
      </c>
      <c r="O156" s="525" t="s">
        <v>2234</v>
      </c>
      <c r="P156" s="526">
        <v>539.63300000000004</v>
      </c>
      <c r="Q156" s="526">
        <f t="shared" si="54"/>
        <v>636.76693999999998</v>
      </c>
      <c r="R156" s="526">
        <v>414.86975830557697</v>
      </c>
      <c r="S156" s="527" t="s">
        <v>1774</v>
      </c>
      <c r="T156" s="528">
        <v>1.087</v>
      </c>
      <c r="U156" s="528">
        <v>1.077</v>
      </c>
      <c r="V156" s="528">
        <v>1.073</v>
      </c>
      <c r="W156" s="529">
        <v>1.071</v>
      </c>
      <c r="X156" s="530">
        <v>0.9</v>
      </c>
      <c r="Y156" s="526">
        <v>485.77100000000002</v>
      </c>
      <c r="Z156" s="526">
        <f t="shared" si="55"/>
        <v>573.20978000000002</v>
      </c>
      <c r="AA156" s="531">
        <v>494.81119831000001</v>
      </c>
      <c r="AB156" s="532">
        <f t="shared" si="58"/>
        <v>583.87721400579994</v>
      </c>
      <c r="AC156" s="514">
        <f t="shared" si="51"/>
        <v>485.77100000000002</v>
      </c>
      <c r="AD156" s="493">
        <f t="shared" si="57"/>
        <v>573.20978000000002</v>
      </c>
      <c r="AE156" s="494" t="s">
        <v>1775</v>
      </c>
      <c r="AF156" s="523" t="s">
        <v>231</v>
      </c>
      <c r="AG156" s="523" t="s">
        <v>5036</v>
      </c>
      <c r="AH156" s="523" t="s">
        <v>545</v>
      </c>
      <c r="AI156" s="533">
        <v>41654</v>
      </c>
      <c r="AJ156" s="533">
        <f t="shared" si="52"/>
        <v>41689</v>
      </c>
      <c r="AK156" s="534" t="s">
        <v>132</v>
      </c>
      <c r="AL156" s="534" t="s">
        <v>132</v>
      </c>
      <c r="AM156" s="535" t="s">
        <v>5005</v>
      </c>
      <c r="AN156" s="535" t="s">
        <v>1757</v>
      </c>
      <c r="AO156" s="524">
        <v>796</v>
      </c>
      <c r="AP156" s="523" t="s">
        <v>368</v>
      </c>
      <c r="AQ156" s="523">
        <v>1</v>
      </c>
      <c r="AR156" s="523">
        <v>46</v>
      </c>
      <c r="AS156" s="525" t="s">
        <v>605</v>
      </c>
      <c r="AT156" s="533">
        <f t="shared" si="49"/>
        <v>41709</v>
      </c>
      <c r="AU156" s="533">
        <f t="shared" si="50"/>
        <v>41709</v>
      </c>
      <c r="AV156" s="533">
        <v>41820</v>
      </c>
      <c r="AW156" s="523">
        <v>2014</v>
      </c>
      <c r="AX156" s="534"/>
      <c r="AY156" s="535" t="s">
        <v>186</v>
      </c>
      <c r="AZ156" s="534"/>
      <c r="BA156" s="523">
        <v>2014</v>
      </c>
      <c r="BB156" s="523" t="s">
        <v>5182</v>
      </c>
      <c r="BC156" s="536" t="s">
        <v>5185</v>
      </c>
      <c r="BD156" s="537" t="s">
        <v>1818</v>
      </c>
      <c r="BE156" s="538">
        <f>AV156+30</f>
        <v>41850</v>
      </c>
      <c r="BF156" s="539">
        <v>652.69506380000007</v>
      </c>
      <c r="BG156" s="488">
        <v>639.64116252400004</v>
      </c>
      <c r="BH156" s="526"/>
      <c r="BI156" s="540">
        <v>0.28000000000000003</v>
      </c>
      <c r="BJ156" s="522" t="s">
        <v>5016</v>
      </c>
      <c r="BK156" s="523"/>
    </row>
    <row r="157" spans="1:63" s="199" customFormat="1" ht="150">
      <c r="A157" s="522">
        <v>1</v>
      </c>
      <c r="B157" s="523" t="s">
        <v>5180</v>
      </c>
      <c r="C157" s="523" t="s">
        <v>7247</v>
      </c>
      <c r="D157" s="523" t="s">
        <v>231</v>
      </c>
      <c r="E157" s="523" t="s">
        <v>5853</v>
      </c>
      <c r="F157" s="523" t="s">
        <v>1752</v>
      </c>
      <c r="G157" s="523" t="s">
        <v>2344</v>
      </c>
      <c r="H157" s="524">
        <v>834904</v>
      </c>
      <c r="I157" s="525" t="s">
        <v>5176</v>
      </c>
      <c r="J157" s="525" t="s">
        <v>5003</v>
      </c>
      <c r="K157" s="525" t="s">
        <v>5003</v>
      </c>
      <c r="L157" s="525" t="s">
        <v>5004</v>
      </c>
      <c r="M157" s="525" t="s">
        <v>1755</v>
      </c>
      <c r="N157" s="525" t="s">
        <v>1773</v>
      </c>
      <c r="O157" s="525" t="s">
        <v>2234</v>
      </c>
      <c r="P157" s="526">
        <v>2379.116</v>
      </c>
      <c r="Q157" s="526">
        <f t="shared" si="54"/>
        <v>2807.3568799999998</v>
      </c>
      <c r="R157" s="526">
        <v>1829.0998377316598</v>
      </c>
      <c r="S157" s="527" t="s">
        <v>1774</v>
      </c>
      <c r="T157" s="528">
        <v>1.087</v>
      </c>
      <c r="U157" s="528">
        <v>1.077</v>
      </c>
      <c r="V157" s="528">
        <v>1.073</v>
      </c>
      <c r="W157" s="529">
        <v>1.071</v>
      </c>
      <c r="X157" s="530">
        <v>0.9</v>
      </c>
      <c r="Y157" s="526">
        <v>2141.6930000000002</v>
      </c>
      <c r="Z157" s="526">
        <f t="shared" si="55"/>
        <v>2527.1977400000001</v>
      </c>
      <c r="AA157" s="531">
        <v>2181.5499067300002</v>
      </c>
      <c r="AB157" s="532">
        <f t="shared" si="58"/>
        <v>2574.2288899414002</v>
      </c>
      <c r="AC157" s="514">
        <f t="shared" si="51"/>
        <v>2141.6930000000002</v>
      </c>
      <c r="AD157" s="493">
        <f t="shared" si="57"/>
        <v>2527.1977400000001</v>
      </c>
      <c r="AE157" s="494" t="s">
        <v>1775</v>
      </c>
      <c r="AF157" s="523" t="s">
        <v>231</v>
      </c>
      <c r="AG157" s="523" t="s">
        <v>5036</v>
      </c>
      <c r="AH157" s="523" t="s">
        <v>545</v>
      </c>
      <c r="AI157" s="533">
        <v>41654</v>
      </c>
      <c r="AJ157" s="533">
        <f t="shared" si="52"/>
        <v>41689</v>
      </c>
      <c r="AK157" s="534" t="s">
        <v>132</v>
      </c>
      <c r="AL157" s="534" t="s">
        <v>132</v>
      </c>
      <c r="AM157" s="535" t="s">
        <v>5005</v>
      </c>
      <c r="AN157" s="535" t="s">
        <v>1757</v>
      </c>
      <c r="AO157" s="524">
        <v>796</v>
      </c>
      <c r="AP157" s="523" t="s">
        <v>368</v>
      </c>
      <c r="AQ157" s="523">
        <v>1</v>
      </c>
      <c r="AR157" s="523">
        <v>46</v>
      </c>
      <c r="AS157" s="525" t="s">
        <v>605</v>
      </c>
      <c r="AT157" s="533">
        <f t="shared" si="49"/>
        <v>41709</v>
      </c>
      <c r="AU157" s="533">
        <f t="shared" si="50"/>
        <v>41709</v>
      </c>
      <c r="AV157" s="533">
        <v>41820</v>
      </c>
      <c r="AW157" s="523">
        <v>2014</v>
      </c>
      <c r="AX157" s="534"/>
      <c r="AY157" s="535" t="s">
        <v>186</v>
      </c>
      <c r="AZ157" s="534"/>
      <c r="BA157" s="523">
        <v>2014</v>
      </c>
      <c r="BB157" s="523" t="s">
        <v>5183</v>
      </c>
      <c r="BC157" s="536" t="s">
        <v>5186</v>
      </c>
      <c r="BD157" s="537" t="s">
        <v>1818</v>
      </c>
      <c r="BE157" s="538">
        <f>AV157+30</f>
        <v>41850</v>
      </c>
      <c r="BF157" s="539">
        <v>2878.1046296000004</v>
      </c>
      <c r="BG157" s="488">
        <v>2820.5425370080002</v>
      </c>
      <c r="BH157" s="526">
        <v>0.16</v>
      </c>
      <c r="BI157" s="540">
        <v>0.65</v>
      </c>
      <c r="BJ157" s="522" t="s">
        <v>5016</v>
      </c>
      <c r="BK157" s="523"/>
    </row>
    <row r="158" spans="1:63" s="199" customFormat="1" ht="150">
      <c r="A158" s="503">
        <v>1</v>
      </c>
      <c r="B158" s="504" t="s">
        <v>5191</v>
      </c>
      <c r="C158" s="504" t="s">
        <v>83</v>
      </c>
      <c r="D158" s="504" t="s">
        <v>231</v>
      </c>
      <c r="E158" s="504" t="s">
        <v>5853</v>
      </c>
      <c r="F158" s="504" t="s">
        <v>1752</v>
      </c>
      <c r="G158" s="504" t="s">
        <v>2344</v>
      </c>
      <c r="H158" s="505">
        <v>834905</v>
      </c>
      <c r="I158" s="506" t="s">
        <v>5187</v>
      </c>
      <c r="J158" s="506" t="s">
        <v>5003</v>
      </c>
      <c r="K158" s="506" t="s">
        <v>5003</v>
      </c>
      <c r="L158" s="506" t="s">
        <v>5004</v>
      </c>
      <c r="M158" s="506" t="s">
        <v>1755</v>
      </c>
      <c r="N158" s="506" t="s">
        <v>1773</v>
      </c>
      <c r="O158" s="506" t="s">
        <v>2234</v>
      </c>
      <c r="P158" s="507">
        <v>3177.6289999999999</v>
      </c>
      <c r="Q158" s="507">
        <f t="shared" si="54"/>
        <v>3749.6022199999998</v>
      </c>
      <c r="R158" s="507">
        <v>2442.9797591596198</v>
      </c>
      <c r="S158" s="508" t="s">
        <v>1774</v>
      </c>
      <c r="T158" s="509">
        <v>1.087</v>
      </c>
      <c r="U158" s="509">
        <v>1.077</v>
      </c>
      <c r="V158" s="509">
        <v>1.073</v>
      </c>
      <c r="W158" s="510">
        <v>1.071</v>
      </c>
      <c r="X158" s="511">
        <v>0.9</v>
      </c>
      <c r="Y158" s="507">
        <v>2860.4850000000001</v>
      </c>
      <c r="Z158" s="507">
        <f t="shared" si="55"/>
        <v>3375.3723</v>
      </c>
      <c r="AA158" s="512">
        <v>2913.7186258500001</v>
      </c>
      <c r="AB158" s="513">
        <f t="shared" si="58"/>
        <v>3438.1879785030001</v>
      </c>
      <c r="AC158" s="514">
        <f t="shared" si="51"/>
        <v>2860.4850000000001</v>
      </c>
      <c r="AD158" s="493">
        <f t="shared" si="57"/>
        <v>3375.3723</v>
      </c>
      <c r="AE158" s="494" t="s">
        <v>1775</v>
      </c>
      <c r="AF158" s="504" t="s">
        <v>231</v>
      </c>
      <c r="AG158" s="513" t="s">
        <v>5036</v>
      </c>
      <c r="AH158" s="513" t="s">
        <v>545</v>
      </c>
      <c r="AI158" s="515">
        <v>41654</v>
      </c>
      <c r="AJ158" s="515">
        <f t="shared" si="52"/>
        <v>41689</v>
      </c>
      <c r="AK158" s="516"/>
      <c r="AL158" s="516"/>
      <c r="AM158" s="516" t="s">
        <v>5005</v>
      </c>
      <c r="AN158" s="516" t="s">
        <v>1757</v>
      </c>
      <c r="AO158" s="517">
        <v>796</v>
      </c>
      <c r="AP158" s="504" t="s">
        <v>368</v>
      </c>
      <c r="AQ158" s="504">
        <v>1</v>
      </c>
      <c r="AR158" s="504">
        <v>46</v>
      </c>
      <c r="AS158" s="506" t="s">
        <v>605</v>
      </c>
      <c r="AT158" s="515">
        <f t="shared" si="49"/>
        <v>41709</v>
      </c>
      <c r="AU158" s="515">
        <f t="shared" si="50"/>
        <v>41709</v>
      </c>
      <c r="AV158" s="515">
        <v>41820</v>
      </c>
      <c r="AW158" s="504">
        <v>2014</v>
      </c>
      <c r="AX158" s="518"/>
      <c r="AY158" s="519" t="s">
        <v>186</v>
      </c>
      <c r="AZ158" s="520"/>
      <c r="BA158" s="504">
        <v>2014</v>
      </c>
      <c r="BB158" s="513" t="s">
        <v>2271</v>
      </c>
      <c r="BC158" s="521" t="s">
        <v>2271</v>
      </c>
      <c r="BD158" s="520" t="s">
        <v>2272</v>
      </c>
      <c r="BE158" s="553" t="s">
        <v>2272</v>
      </c>
      <c r="BF158" s="507" t="s">
        <v>2272</v>
      </c>
      <c r="BG158" s="488" t="s">
        <v>2272</v>
      </c>
      <c r="BH158" s="503" t="s">
        <v>2272</v>
      </c>
      <c r="BI158" s="503" t="s">
        <v>2272</v>
      </c>
      <c r="BJ158" s="503" t="s">
        <v>1465</v>
      </c>
      <c r="BK158" s="503"/>
    </row>
    <row r="159" spans="1:63" s="199" customFormat="1" ht="150">
      <c r="A159" s="522">
        <v>1</v>
      </c>
      <c r="B159" s="523" t="s">
        <v>5192</v>
      </c>
      <c r="C159" s="523" t="s">
        <v>7247</v>
      </c>
      <c r="D159" s="523" t="s">
        <v>231</v>
      </c>
      <c r="E159" s="523" t="s">
        <v>5853</v>
      </c>
      <c r="F159" s="523" t="s">
        <v>1752</v>
      </c>
      <c r="G159" s="523" t="s">
        <v>2344</v>
      </c>
      <c r="H159" s="524">
        <v>834906</v>
      </c>
      <c r="I159" s="525" t="s">
        <v>5188</v>
      </c>
      <c r="J159" s="525" t="s">
        <v>5003</v>
      </c>
      <c r="K159" s="525" t="s">
        <v>5003</v>
      </c>
      <c r="L159" s="525" t="s">
        <v>5004</v>
      </c>
      <c r="M159" s="525" t="s">
        <v>1755</v>
      </c>
      <c r="N159" s="525" t="s">
        <v>1773</v>
      </c>
      <c r="O159" s="525" t="s">
        <v>2234</v>
      </c>
      <c r="P159" s="526">
        <v>732.36</v>
      </c>
      <c r="Q159" s="526">
        <v>864.1848</v>
      </c>
      <c r="R159" s="526">
        <v>563.04039627636905</v>
      </c>
      <c r="S159" s="527" t="s">
        <v>1774</v>
      </c>
      <c r="T159" s="528">
        <v>1.087</v>
      </c>
      <c r="U159" s="528">
        <v>1.077</v>
      </c>
      <c r="V159" s="528">
        <v>1.073</v>
      </c>
      <c r="W159" s="529">
        <v>1.071</v>
      </c>
      <c r="X159" s="530">
        <v>0.9</v>
      </c>
      <c r="Y159" s="526">
        <v>659.26400000000001</v>
      </c>
      <c r="Z159" s="526">
        <f t="shared" si="55"/>
        <v>777.93151999999998</v>
      </c>
      <c r="AA159" s="531">
        <v>671.53290304000006</v>
      </c>
      <c r="AB159" s="532">
        <f t="shared" si="58"/>
        <v>792.4088255872</v>
      </c>
      <c r="AC159" s="514">
        <f t="shared" si="51"/>
        <v>659.26400000000001</v>
      </c>
      <c r="AD159" s="493">
        <f t="shared" si="57"/>
        <v>777.93151999999998</v>
      </c>
      <c r="AE159" s="494" t="s">
        <v>1775</v>
      </c>
      <c r="AF159" s="523" t="s">
        <v>231</v>
      </c>
      <c r="AG159" s="523" t="s">
        <v>5036</v>
      </c>
      <c r="AH159" s="523" t="s">
        <v>545</v>
      </c>
      <c r="AI159" s="533">
        <v>41654</v>
      </c>
      <c r="AJ159" s="533">
        <f t="shared" si="52"/>
        <v>41689</v>
      </c>
      <c r="AK159" s="534" t="s">
        <v>132</v>
      </c>
      <c r="AL159" s="534" t="s">
        <v>132</v>
      </c>
      <c r="AM159" s="535" t="s">
        <v>5005</v>
      </c>
      <c r="AN159" s="535" t="s">
        <v>1757</v>
      </c>
      <c r="AO159" s="524">
        <v>796</v>
      </c>
      <c r="AP159" s="523" t="s">
        <v>368</v>
      </c>
      <c r="AQ159" s="523">
        <v>1</v>
      </c>
      <c r="AR159" s="523">
        <v>46</v>
      </c>
      <c r="AS159" s="525" t="s">
        <v>605</v>
      </c>
      <c r="AT159" s="533">
        <f t="shared" si="49"/>
        <v>41709</v>
      </c>
      <c r="AU159" s="533">
        <f t="shared" si="50"/>
        <v>41709</v>
      </c>
      <c r="AV159" s="533">
        <v>41820</v>
      </c>
      <c r="AW159" s="523">
        <v>2014</v>
      </c>
      <c r="AX159" s="534"/>
      <c r="AY159" s="535" t="s">
        <v>186</v>
      </c>
      <c r="AZ159" s="534"/>
      <c r="BA159" s="523">
        <v>2014</v>
      </c>
      <c r="BB159" s="523" t="s">
        <v>5195</v>
      </c>
      <c r="BC159" s="536" t="s">
        <v>5198</v>
      </c>
      <c r="BD159" s="537" t="s">
        <v>1818</v>
      </c>
      <c r="BE159" s="538">
        <f>AV159+30</f>
        <v>41850</v>
      </c>
      <c r="BF159" s="539">
        <v>885.80044119999991</v>
      </c>
      <c r="BG159" s="488">
        <v>868.08443237599988</v>
      </c>
      <c r="BH159" s="526"/>
      <c r="BI159" s="540">
        <v>0.38</v>
      </c>
      <c r="BJ159" s="522" t="s">
        <v>5016</v>
      </c>
      <c r="BK159" s="523"/>
    </row>
    <row r="160" spans="1:63" s="199" customFormat="1" ht="150">
      <c r="A160" s="522">
        <v>1</v>
      </c>
      <c r="B160" s="523" t="s">
        <v>5193</v>
      </c>
      <c r="C160" s="523" t="s">
        <v>7247</v>
      </c>
      <c r="D160" s="523" t="s">
        <v>231</v>
      </c>
      <c r="E160" s="523" t="s">
        <v>5853</v>
      </c>
      <c r="F160" s="523" t="s">
        <v>1752</v>
      </c>
      <c r="G160" s="523" t="s">
        <v>2344</v>
      </c>
      <c r="H160" s="524">
        <v>834907</v>
      </c>
      <c r="I160" s="525" t="s">
        <v>5189</v>
      </c>
      <c r="J160" s="525" t="s">
        <v>5003</v>
      </c>
      <c r="K160" s="525" t="s">
        <v>5003</v>
      </c>
      <c r="L160" s="525" t="s">
        <v>5004</v>
      </c>
      <c r="M160" s="525" t="s">
        <v>1755</v>
      </c>
      <c r="N160" s="525" t="s">
        <v>1773</v>
      </c>
      <c r="O160" s="525" t="s">
        <v>2234</v>
      </c>
      <c r="P160" s="526">
        <v>539.63300000000004</v>
      </c>
      <c r="Q160" s="526">
        <v>636.76693999999998</v>
      </c>
      <c r="R160" s="526">
        <v>414.86975830557697</v>
      </c>
      <c r="S160" s="527" t="s">
        <v>1774</v>
      </c>
      <c r="T160" s="528">
        <v>1.087</v>
      </c>
      <c r="U160" s="528">
        <v>1.077</v>
      </c>
      <c r="V160" s="528">
        <v>1.073</v>
      </c>
      <c r="W160" s="529">
        <v>1.071</v>
      </c>
      <c r="X160" s="530">
        <v>0.9</v>
      </c>
      <c r="Y160" s="526">
        <v>485.77100000000002</v>
      </c>
      <c r="Z160" s="526">
        <v>573.20978000000002</v>
      </c>
      <c r="AA160" s="531">
        <v>494.81119831000001</v>
      </c>
      <c r="AB160" s="532">
        <f t="shared" si="58"/>
        <v>583.87721400579994</v>
      </c>
      <c r="AC160" s="514">
        <f t="shared" si="51"/>
        <v>485.77100000000002</v>
      </c>
      <c r="AD160" s="493">
        <f t="shared" si="57"/>
        <v>573.20978000000002</v>
      </c>
      <c r="AE160" s="494" t="s">
        <v>1775</v>
      </c>
      <c r="AF160" s="523" t="s">
        <v>231</v>
      </c>
      <c r="AG160" s="523" t="s">
        <v>5036</v>
      </c>
      <c r="AH160" s="523" t="s">
        <v>545</v>
      </c>
      <c r="AI160" s="533">
        <v>41654</v>
      </c>
      <c r="AJ160" s="533">
        <f t="shared" si="52"/>
        <v>41689</v>
      </c>
      <c r="AK160" s="534" t="s">
        <v>132</v>
      </c>
      <c r="AL160" s="534" t="s">
        <v>132</v>
      </c>
      <c r="AM160" s="535" t="s">
        <v>5005</v>
      </c>
      <c r="AN160" s="535" t="s">
        <v>1757</v>
      </c>
      <c r="AO160" s="524">
        <v>796</v>
      </c>
      <c r="AP160" s="523" t="s">
        <v>368</v>
      </c>
      <c r="AQ160" s="523">
        <v>1</v>
      </c>
      <c r="AR160" s="523">
        <v>46</v>
      </c>
      <c r="AS160" s="525" t="s">
        <v>605</v>
      </c>
      <c r="AT160" s="533">
        <f t="shared" si="49"/>
        <v>41709</v>
      </c>
      <c r="AU160" s="533">
        <f t="shared" si="50"/>
        <v>41709</v>
      </c>
      <c r="AV160" s="533">
        <v>41820</v>
      </c>
      <c r="AW160" s="523">
        <v>2014</v>
      </c>
      <c r="AX160" s="534"/>
      <c r="AY160" s="535" t="s">
        <v>186</v>
      </c>
      <c r="AZ160" s="534"/>
      <c r="BA160" s="523">
        <v>2014</v>
      </c>
      <c r="BB160" s="523" t="s">
        <v>5196</v>
      </c>
      <c r="BC160" s="536" t="s">
        <v>5199</v>
      </c>
      <c r="BD160" s="537" t="s">
        <v>1818</v>
      </c>
      <c r="BE160" s="538">
        <f>AV160+30</f>
        <v>41850</v>
      </c>
      <c r="BF160" s="539">
        <v>652.69506380000007</v>
      </c>
      <c r="BG160" s="488">
        <v>639.64116252400004</v>
      </c>
      <c r="BH160" s="526"/>
      <c r="BI160" s="540">
        <v>28</v>
      </c>
      <c r="BJ160" s="522" t="s">
        <v>5016</v>
      </c>
      <c r="BK160" s="523"/>
    </row>
    <row r="161" spans="1:63" s="199" customFormat="1" ht="150">
      <c r="A161" s="522">
        <v>1</v>
      </c>
      <c r="B161" s="523" t="s">
        <v>5194</v>
      </c>
      <c r="C161" s="523" t="s">
        <v>7247</v>
      </c>
      <c r="D161" s="523" t="s">
        <v>231</v>
      </c>
      <c r="E161" s="523" t="s">
        <v>5853</v>
      </c>
      <c r="F161" s="523" t="s">
        <v>1752</v>
      </c>
      <c r="G161" s="523" t="s">
        <v>2344</v>
      </c>
      <c r="H161" s="524">
        <v>834908</v>
      </c>
      <c r="I161" s="525" t="s">
        <v>5190</v>
      </c>
      <c r="J161" s="525" t="s">
        <v>5003</v>
      </c>
      <c r="K161" s="525" t="s">
        <v>5003</v>
      </c>
      <c r="L161" s="525" t="s">
        <v>5004</v>
      </c>
      <c r="M161" s="525" t="s">
        <v>1755</v>
      </c>
      <c r="N161" s="525" t="s">
        <v>1773</v>
      </c>
      <c r="O161" s="525" t="s">
        <v>2234</v>
      </c>
      <c r="P161" s="526">
        <v>1905.636</v>
      </c>
      <c r="Q161" s="526">
        <v>2248.6504799999998</v>
      </c>
      <c r="R161" s="526">
        <v>1465.0696045776754</v>
      </c>
      <c r="S161" s="527" t="s">
        <v>1774</v>
      </c>
      <c r="T161" s="528">
        <v>1.087</v>
      </c>
      <c r="U161" s="528">
        <v>1.077</v>
      </c>
      <c r="V161" s="528">
        <v>1.073</v>
      </c>
      <c r="W161" s="529">
        <v>1.071</v>
      </c>
      <c r="X161" s="530">
        <v>0.9</v>
      </c>
      <c r="Y161" s="526">
        <v>1715.45</v>
      </c>
      <c r="Z161" s="526">
        <v>2024.231</v>
      </c>
      <c r="AA161" s="531">
        <v>1747.3745245</v>
      </c>
      <c r="AB161" s="532">
        <f t="shared" si="58"/>
        <v>2061.9019389099999</v>
      </c>
      <c r="AC161" s="514">
        <f t="shared" si="51"/>
        <v>1715.45</v>
      </c>
      <c r="AD161" s="493">
        <f t="shared" si="57"/>
        <v>2024.231</v>
      </c>
      <c r="AE161" s="494" t="s">
        <v>1775</v>
      </c>
      <c r="AF161" s="523" t="s">
        <v>231</v>
      </c>
      <c r="AG161" s="523" t="s">
        <v>5036</v>
      </c>
      <c r="AH161" s="523" t="s">
        <v>545</v>
      </c>
      <c r="AI161" s="533">
        <v>41654</v>
      </c>
      <c r="AJ161" s="533">
        <f t="shared" si="52"/>
        <v>41689</v>
      </c>
      <c r="AK161" s="534" t="s">
        <v>132</v>
      </c>
      <c r="AL161" s="534" t="s">
        <v>132</v>
      </c>
      <c r="AM161" s="535" t="s">
        <v>5005</v>
      </c>
      <c r="AN161" s="535" t="s">
        <v>1757</v>
      </c>
      <c r="AO161" s="524">
        <v>796</v>
      </c>
      <c r="AP161" s="523" t="s">
        <v>368</v>
      </c>
      <c r="AQ161" s="523">
        <v>1</v>
      </c>
      <c r="AR161" s="523">
        <v>46</v>
      </c>
      <c r="AS161" s="525" t="s">
        <v>605</v>
      </c>
      <c r="AT161" s="533">
        <f t="shared" si="49"/>
        <v>41709</v>
      </c>
      <c r="AU161" s="533">
        <f t="shared" si="50"/>
        <v>41709</v>
      </c>
      <c r="AV161" s="533">
        <v>41820</v>
      </c>
      <c r="AW161" s="523">
        <v>2014</v>
      </c>
      <c r="AX161" s="534"/>
      <c r="AY161" s="535" t="s">
        <v>186</v>
      </c>
      <c r="AZ161" s="534"/>
      <c r="BA161" s="523">
        <v>2014</v>
      </c>
      <c r="BB161" s="523" t="s">
        <v>5197</v>
      </c>
      <c r="BC161" s="536" t="s">
        <v>5200</v>
      </c>
      <c r="BD161" s="537" t="s">
        <v>1818</v>
      </c>
      <c r="BE161" s="538">
        <f>AV161+30</f>
        <v>41850</v>
      </c>
      <c r="BF161" s="539">
        <v>2304.5638714000002</v>
      </c>
      <c r="BG161" s="488">
        <v>2258.4725939720001</v>
      </c>
      <c r="BH161" s="526">
        <v>2.5000000000000001E-2</v>
      </c>
      <c r="BI161" s="540">
        <v>0.45</v>
      </c>
      <c r="BJ161" s="522" t="s">
        <v>5016</v>
      </c>
      <c r="BK161" s="523"/>
    </row>
    <row r="162" spans="1:63" s="199" customFormat="1" ht="150">
      <c r="A162" s="503">
        <v>1</v>
      </c>
      <c r="B162" s="504" t="s">
        <v>5218</v>
      </c>
      <c r="C162" s="504" t="s">
        <v>83</v>
      </c>
      <c r="D162" s="504" t="s">
        <v>231</v>
      </c>
      <c r="E162" s="504" t="s">
        <v>5853</v>
      </c>
      <c r="F162" s="504" t="s">
        <v>1752</v>
      </c>
      <c r="G162" s="504" t="s">
        <v>2344</v>
      </c>
      <c r="H162" s="505">
        <v>834909</v>
      </c>
      <c r="I162" s="506" t="s">
        <v>5211</v>
      </c>
      <c r="J162" s="506" t="s">
        <v>5003</v>
      </c>
      <c r="K162" s="506" t="s">
        <v>5003</v>
      </c>
      <c r="L162" s="506" t="s">
        <v>5004</v>
      </c>
      <c r="M162" s="506" t="s">
        <v>1755</v>
      </c>
      <c r="N162" s="506" t="s">
        <v>1773</v>
      </c>
      <c r="O162" s="506" t="s">
        <v>2234</v>
      </c>
      <c r="P162" s="507">
        <v>3673.9929999999999</v>
      </c>
      <c r="Q162" s="507">
        <f t="shared" ref="Q162:Q182" si="60">P162*1.18</f>
        <v>4335.3117400000001</v>
      </c>
      <c r="R162" s="507">
        <v>2858.8794944060119</v>
      </c>
      <c r="S162" s="508" t="s">
        <v>1774</v>
      </c>
      <c r="T162" s="509">
        <v>1.087</v>
      </c>
      <c r="U162" s="509">
        <v>1.077</v>
      </c>
      <c r="V162" s="509">
        <v>1.073</v>
      </c>
      <c r="W162" s="510">
        <v>1.071</v>
      </c>
      <c r="X162" s="511">
        <v>0.9</v>
      </c>
      <c r="Y162" s="507">
        <v>3347.4619999999995</v>
      </c>
      <c r="Z162" s="507">
        <f t="shared" ref="Z162:Z185" si="61">Y162*1.18</f>
        <v>3950.0051599999993</v>
      </c>
      <c r="AA162" s="512">
        <v>3409.7582678199997</v>
      </c>
      <c r="AB162" s="513">
        <f t="shared" si="58"/>
        <v>4023.5147560275996</v>
      </c>
      <c r="AC162" s="514">
        <f t="shared" si="51"/>
        <v>3347.4619999999995</v>
      </c>
      <c r="AD162" s="493">
        <f t="shared" si="57"/>
        <v>3950.0051599999993</v>
      </c>
      <c r="AE162" s="494" t="s">
        <v>1775</v>
      </c>
      <c r="AF162" s="504" t="s">
        <v>231</v>
      </c>
      <c r="AG162" s="513" t="s">
        <v>5036</v>
      </c>
      <c r="AH162" s="513" t="s">
        <v>545</v>
      </c>
      <c r="AI162" s="515">
        <v>41654</v>
      </c>
      <c r="AJ162" s="515">
        <f t="shared" si="52"/>
        <v>41689</v>
      </c>
      <c r="AK162" s="516"/>
      <c r="AL162" s="516"/>
      <c r="AM162" s="516" t="s">
        <v>5005</v>
      </c>
      <c r="AN162" s="516" t="s">
        <v>1757</v>
      </c>
      <c r="AO162" s="517">
        <v>796</v>
      </c>
      <c r="AP162" s="504" t="s">
        <v>368</v>
      </c>
      <c r="AQ162" s="504">
        <v>1</v>
      </c>
      <c r="AR162" s="504">
        <v>46</v>
      </c>
      <c r="AS162" s="506" t="s">
        <v>605</v>
      </c>
      <c r="AT162" s="515">
        <f t="shared" si="49"/>
        <v>41709</v>
      </c>
      <c r="AU162" s="515">
        <f t="shared" si="50"/>
        <v>41709</v>
      </c>
      <c r="AV162" s="515">
        <v>41820</v>
      </c>
      <c r="AW162" s="504">
        <v>2014</v>
      </c>
      <c r="AX162" s="518"/>
      <c r="AY162" s="519" t="s">
        <v>186</v>
      </c>
      <c r="AZ162" s="520"/>
      <c r="BA162" s="504">
        <v>2014</v>
      </c>
      <c r="BB162" s="513" t="s">
        <v>2271</v>
      </c>
      <c r="BC162" s="521" t="s">
        <v>2271</v>
      </c>
      <c r="BD162" s="520" t="s">
        <v>2272</v>
      </c>
      <c r="BE162" s="553" t="s">
        <v>2272</v>
      </c>
      <c r="BF162" s="507" t="s">
        <v>2272</v>
      </c>
      <c r="BG162" s="488" t="s">
        <v>2272</v>
      </c>
      <c r="BH162" s="503" t="s">
        <v>2272</v>
      </c>
      <c r="BI162" s="503" t="s">
        <v>2272</v>
      </c>
      <c r="BJ162" s="503" t="s">
        <v>1465</v>
      </c>
      <c r="BK162" s="503"/>
    </row>
    <row r="163" spans="1:63" s="199" customFormat="1" ht="150">
      <c r="A163" s="522">
        <v>1</v>
      </c>
      <c r="B163" s="523" t="s">
        <v>5219</v>
      </c>
      <c r="C163" s="523" t="s">
        <v>7247</v>
      </c>
      <c r="D163" s="523" t="s">
        <v>231</v>
      </c>
      <c r="E163" s="523" t="s">
        <v>5853</v>
      </c>
      <c r="F163" s="523" t="s">
        <v>1752</v>
      </c>
      <c r="G163" s="523" t="s">
        <v>2344</v>
      </c>
      <c r="H163" s="524">
        <v>834910</v>
      </c>
      <c r="I163" s="525" t="s">
        <v>5212</v>
      </c>
      <c r="J163" s="525" t="s">
        <v>5003</v>
      </c>
      <c r="K163" s="525" t="s">
        <v>5003</v>
      </c>
      <c r="L163" s="525" t="s">
        <v>5004</v>
      </c>
      <c r="M163" s="525" t="s">
        <v>1755</v>
      </c>
      <c r="N163" s="525" t="s">
        <v>1773</v>
      </c>
      <c r="O163" s="525" t="s">
        <v>2234</v>
      </c>
      <c r="P163" s="526">
        <v>481.815</v>
      </c>
      <c r="Q163" s="526">
        <f t="shared" si="60"/>
        <v>568.54169999999999</v>
      </c>
      <c r="R163" s="526">
        <v>370.42958408062179</v>
      </c>
      <c r="S163" s="527" t="s">
        <v>1774</v>
      </c>
      <c r="T163" s="528">
        <v>1.087</v>
      </c>
      <c r="U163" s="528">
        <v>1.077</v>
      </c>
      <c r="V163" s="528">
        <v>1.073</v>
      </c>
      <c r="W163" s="529">
        <v>1.071</v>
      </c>
      <c r="X163" s="530">
        <v>0.9</v>
      </c>
      <c r="Y163" s="526">
        <v>433.73599999999999</v>
      </c>
      <c r="Z163" s="526">
        <f t="shared" si="61"/>
        <v>511.80847999999997</v>
      </c>
      <c r="AA163" s="531">
        <v>441.80782696</v>
      </c>
      <c r="AB163" s="532">
        <f t="shared" si="58"/>
        <v>521.33323581280001</v>
      </c>
      <c r="AC163" s="514">
        <f t="shared" si="51"/>
        <v>433.73599999999999</v>
      </c>
      <c r="AD163" s="493">
        <f t="shared" si="57"/>
        <v>511.80847999999997</v>
      </c>
      <c r="AE163" s="494" t="s">
        <v>1775</v>
      </c>
      <c r="AF163" s="523" t="s">
        <v>231</v>
      </c>
      <c r="AG163" s="523" t="s">
        <v>5036</v>
      </c>
      <c r="AH163" s="523" t="s">
        <v>545</v>
      </c>
      <c r="AI163" s="533">
        <v>41654</v>
      </c>
      <c r="AJ163" s="533">
        <f t="shared" si="52"/>
        <v>41689</v>
      </c>
      <c r="AK163" s="534" t="s">
        <v>132</v>
      </c>
      <c r="AL163" s="534" t="s">
        <v>132</v>
      </c>
      <c r="AM163" s="535" t="s">
        <v>5005</v>
      </c>
      <c r="AN163" s="535" t="s">
        <v>1757</v>
      </c>
      <c r="AO163" s="524">
        <v>796</v>
      </c>
      <c r="AP163" s="523" t="s">
        <v>368</v>
      </c>
      <c r="AQ163" s="523">
        <v>1</v>
      </c>
      <c r="AR163" s="523">
        <v>46</v>
      </c>
      <c r="AS163" s="525" t="s">
        <v>605</v>
      </c>
      <c r="AT163" s="533">
        <f t="shared" si="49"/>
        <v>41709</v>
      </c>
      <c r="AU163" s="533">
        <f t="shared" si="50"/>
        <v>41709</v>
      </c>
      <c r="AV163" s="533">
        <v>41820</v>
      </c>
      <c r="AW163" s="523">
        <v>2014</v>
      </c>
      <c r="AX163" s="534"/>
      <c r="AY163" s="535" t="s">
        <v>186</v>
      </c>
      <c r="AZ163" s="534"/>
      <c r="BA163" s="523">
        <v>2014</v>
      </c>
      <c r="BB163" s="523" t="s">
        <v>5225</v>
      </c>
      <c r="BC163" s="536" t="s">
        <v>5231</v>
      </c>
      <c r="BD163" s="537" t="s">
        <v>1818</v>
      </c>
      <c r="BE163" s="538">
        <f t="shared" ref="BE163:BE168" si="62">AV163+30</f>
        <v>41850</v>
      </c>
      <c r="BF163" s="539">
        <v>582.76344940000001</v>
      </c>
      <c r="BG163" s="488">
        <v>571.10818041200002</v>
      </c>
      <c r="BH163" s="526"/>
      <c r="BI163" s="540">
        <v>0.25</v>
      </c>
      <c r="BJ163" s="522" t="s">
        <v>5016</v>
      </c>
      <c r="BK163" s="523"/>
    </row>
    <row r="164" spans="1:63" s="199" customFormat="1" ht="150">
      <c r="A164" s="522">
        <v>1</v>
      </c>
      <c r="B164" s="523" t="s">
        <v>5220</v>
      </c>
      <c r="C164" s="523" t="s">
        <v>7247</v>
      </c>
      <c r="D164" s="523" t="s">
        <v>231</v>
      </c>
      <c r="E164" s="523" t="s">
        <v>5853</v>
      </c>
      <c r="F164" s="523" t="s">
        <v>1752</v>
      </c>
      <c r="G164" s="523" t="s">
        <v>2344</v>
      </c>
      <c r="H164" s="524">
        <v>834911</v>
      </c>
      <c r="I164" s="525" t="s">
        <v>5213</v>
      </c>
      <c r="J164" s="525" t="s">
        <v>5003</v>
      </c>
      <c r="K164" s="525" t="s">
        <v>5003</v>
      </c>
      <c r="L164" s="525" t="s">
        <v>5004</v>
      </c>
      <c r="M164" s="525" t="s">
        <v>1755</v>
      </c>
      <c r="N164" s="525" t="s">
        <v>1773</v>
      </c>
      <c r="O164" s="525" t="s">
        <v>2234</v>
      </c>
      <c r="P164" s="526">
        <v>819.58900000000006</v>
      </c>
      <c r="Q164" s="526">
        <f t="shared" si="60"/>
        <v>967.11501999999996</v>
      </c>
      <c r="R164" s="526">
        <v>630.09992313604926</v>
      </c>
      <c r="S164" s="527" t="s">
        <v>1774</v>
      </c>
      <c r="T164" s="528">
        <v>1.087</v>
      </c>
      <c r="U164" s="528">
        <v>1.077</v>
      </c>
      <c r="V164" s="528">
        <v>1.073</v>
      </c>
      <c r="W164" s="529">
        <v>1.071</v>
      </c>
      <c r="X164" s="530">
        <v>0.9</v>
      </c>
      <c r="Y164" s="526">
        <v>737.78399999999999</v>
      </c>
      <c r="Z164" s="526">
        <f t="shared" si="61"/>
        <v>870.58511999999996</v>
      </c>
      <c r="AA164" s="531">
        <v>751.51416024000002</v>
      </c>
      <c r="AB164" s="532">
        <f t="shared" si="58"/>
        <v>886.78670908319998</v>
      </c>
      <c r="AC164" s="514">
        <f t="shared" si="51"/>
        <v>737.78399999999999</v>
      </c>
      <c r="AD164" s="493">
        <f t="shared" si="57"/>
        <v>870.58511999999996</v>
      </c>
      <c r="AE164" s="494" t="s">
        <v>1775</v>
      </c>
      <c r="AF164" s="523" t="s">
        <v>231</v>
      </c>
      <c r="AG164" s="523" t="s">
        <v>5036</v>
      </c>
      <c r="AH164" s="523" t="s">
        <v>545</v>
      </c>
      <c r="AI164" s="533">
        <v>41654</v>
      </c>
      <c r="AJ164" s="533">
        <f t="shared" si="52"/>
        <v>41689</v>
      </c>
      <c r="AK164" s="534" t="s">
        <v>132</v>
      </c>
      <c r="AL164" s="534" t="s">
        <v>132</v>
      </c>
      <c r="AM164" s="535" t="s">
        <v>5005</v>
      </c>
      <c r="AN164" s="535" t="s">
        <v>1757</v>
      </c>
      <c r="AO164" s="524">
        <v>796</v>
      </c>
      <c r="AP164" s="523" t="s">
        <v>368</v>
      </c>
      <c r="AQ164" s="523">
        <v>1</v>
      </c>
      <c r="AR164" s="523">
        <v>46</v>
      </c>
      <c r="AS164" s="525" t="s">
        <v>605</v>
      </c>
      <c r="AT164" s="533">
        <f t="shared" si="49"/>
        <v>41709</v>
      </c>
      <c r="AU164" s="533">
        <f t="shared" si="50"/>
        <v>41709</v>
      </c>
      <c r="AV164" s="533">
        <v>41820</v>
      </c>
      <c r="AW164" s="523">
        <v>2014</v>
      </c>
      <c r="AX164" s="534"/>
      <c r="AY164" s="535" t="s">
        <v>186</v>
      </c>
      <c r="AZ164" s="534"/>
      <c r="BA164" s="523">
        <v>2014</v>
      </c>
      <c r="BB164" s="523" t="s">
        <v>5226</v>
      </c>
      <c r="BC164" s="536" t="s">
        <v>5232</v>
      </c>
      <c r="BD164" s="537" t="s">
        <v>1818</v>
      </c>
      <c r="BE164" s="538">
        <f t="shared" si="62"/>
        <v>41850</v>
      </c>
      <c r="BF164" s="539">
        <v>991.28800439999986</v>
      </c>
      <c r="BG164" s="488">
        <v>971.46224431199983</v>
      </c>
      <c r="BH164" s="526"/>
      <c r="BI164" s="540">
        <v>0.42</v>
      </c>
      <c r="BJ164" s="522" t="s">
        <v>5016</v>
      </c>
      <c r="BK164" s="523"/>
    </row>
    <row r="165" spans="1:63" s="199" customFormat="1" ht="150">
      <c r="A165" s="522">
        <v>1</v>
      </c>
      <c r="B165" s="523" t="s">
        <v>5221</v>
      </c>
      <c r="C165" s="523" t="s">
        <v>7247</v>
      </c>
      <c r="D165" s="523" t="s">
        <v>231</v>
      </c>
      <c r="E165" s="523" t="s">
        <v>5853</v>
      </c>
      <c r="F165" s="523" t="s">
        <v>1752</v>
      </c>
      <c r="G165" s="523" t="s">
        <v>2344</v>
      </c>
      <c r="H165" s="524">
        <v>834912</v>
      </c>
      <c r="I165" s="525" t="s">
        <v>5214</v>
      </c>
      <c r="J165" s="525" t="s">
        <v>5003</v>
      </c>
      <c r="K165" s="525" t="s">
        <v>5003</v>
      </c>
      <c r="L165" s="525" t="s">
        <v>5004</v>
      </c>
      <c r="M165" s="525" t="s">
        <v>1755</v>
      </c>
      <c r="N165" s="525" t="s">
        <v>1773</v>
      </c>
      <c r="O165" s="525" t="s">
        <v>2234</v>
      </c>
      <c r="P165" s="526">
        <v>539.76</v>
      </c>
      <c r="Q165" s="526">
        <f t="shared" si="60"/>
        <v>636.91679999999997</v>
      </c>
      <c r="R165" s="526">
        <v>429.6899820650782</v>
      </c>
      <c r="S165" s="527" t="s">
        <v>1774</v>
      </c>
      <c r="T165" s="528">
        <v>1.087</v>
      </c>
      <c r="U165" s="528">
        <v>1.077</v>
      </c>
      <c r="V165" s="528">
        <v>1.073</v>
      </c>
      <c r="W165" s="529">
        <v>1.071</v>
      </c>
      <c r="X165" s="530">
        <v>0.9</v>
      </c>
      <c r="Y165" s="526">
        <v>503.12400000000002</v>
      </c>
      <c r="Z165" s="526">
        <f t="shared" si="61"/>
        <v>593.68632000000002</v>
      </c>
      <c r="AA165" s="531">
        <v>512.48713764000001</v>
      </c>
      <c r="AB165" s="532">
        <f t="shared" si="58"/>
        <v>604.73482241520003</v>
      </c>
      <c r="AC165" s="514">
        <f t="shared" si="51"/>
        <v>503.12400000000002</v>
      </c>
      <c r="AD165" s="493">
        <f t="shared" si="57"/>
        <v>593.68632000000002</v>
      </c>
      <c r="AE165" s="494" t="s">
        <v>1775</v>
      </c>
      <c r="AF165" s="523" t="s">
        <v>231</v>
      </c>
      <c r="AG165" s="523" t="s">
        <v>5036</v>
      </c>
      <c r="AH165" s="523" t="s">
        <v>545</v>
      </c>
      <c r="AI165" s="533">
        <v>41654</v>
      </c>
      <c r="AJ165" s="533">
        <f t="shared" si="52"/>
        <v>41689</v>
      </c>
      <c r="AK165" s="534" t="s">
        <v>132</v>
      </c>
      <c r="AL165" s="534" t="s">
        <v>132</v>
      </c>
      <c r="AM165" s="535" t="s">
        <v>5005</v>
      </c>
      <c r="AN165" s="535" t="s">
        <v>1757</v>
      </c>
      <c r="AO165" s="524">
        <v>796</v>
      </c>
      <c r="AP165" s="523" t="s">
        <v>368</v>
      </c>
      <c r="AQ165" s="523">
        <v>1</v>
      </c>
      <c r="AR165" s="523">
        <v>46</v>
      </c>
      <c r="AS165" s="525" t="s">
        <v>605</v>
      </c>
      <c r="AT165" s="533">
        <f t="shared" si="49"/>
        <v>41709</v>
      </c>
      <c r="AU165" s="533">
        <f t="shared" si="50"/>
        <v>41709</v>
      </c>
      <c r="AV165" s="533">
        <v>41820</v>
      </c>
      <c r="AW165" s="523">
        <v>2014</v>
      </c>
      <c r="AX165" s="534"/>
      <c r="AY165" s="535" t="s">
        <v>186</v>
      </c>
      <c r="AZ165" s="534"/>
      <c r="BA165" s="523">
        <v>2014</v>
      </c>
      <c r="BB165" s="523" t="s">
        <v>5227</v>
      </c>
      <c r="BC165" s="536" t="s">
        <v>5233</v>
      </c>
      <c r="BD165" s="537" t="s">
        <v>1818</v>
      </c>
      <c r="BE165" s="538">
        <f t="shared" si="62"/>
        <v>41850</v>
      </c>
      <c r="BF165" s="539">
        <v>652.84913639999991</v>
      </c>
      <c r="BG165" s="488">
        <v>639.79215367199993</v>
      </c>
      <c r="BH165" s="526"/>
      <c r="BI165" s="540">
        <v>0.28999999999999998</v>
      </c>
      <c r="BJ165" s="522" t="s">
        <v>5016</v>
      </c>
      <c r="BK165" s="523"/>
    </row>
    <row r="166" spans="1:63" s="199" customFormat="1" ht="150">
      <c r="A166" s="522">
        <v>1</v>
      </c>
      <c r="B166" s="523" t="s">
        <v>5222</v>
      </c>
      <c r="C166" s="523" t="s">
        <v>7247</v>
      </c>
      <c r="D166" s="523" t="s">
        <v>231</v>
      </c>
      <c r="E166" s="523" t="s">
        <v>5853</v>
      </c>
      <c r="F166" s="523" t="s">
        <v>1752</v>
      </c>
      <c r="G166" s="523" t="s">
        <v>2344</v>
      </c>
      <c r="H166" s="524">
        <v>834913</v>
      </c>
      <c r="I166" s="525" t="s">
        <v>5215</v>
      </c>
      <c r="J166" s="525" t="s">
        <v>5003</v>
      </c>
      <c r="K166" s="525" t="s">
        <v>5003</v>
      </c>
      <c r="L166" s="525" t="s">
        <v>5004</v>
      </c>
      <c r="M166" s="525" t="s">
        <v>1755</v>
      </c>
      <c r="N166" s="525" t="s">
        <v>1773</v>
      </c>
      <c r="O166" s="525" t="s">
        <v>2234</v>
      </c>
      <c r="P166" s="526">
        <v>633.95000000000005</v>
      </c>
      <c r="Q166" s="526">
        <f t="shared" si="60"/>
        <v>748.06100000000004</v>
      </c>
      <c r="R166" s="526">
        <v>487.39004184815099</v>
      </c>
      <c r="S166" s="527" t="s">
        <v>1774</v>
      </c>
      <c r="T166" s="528">
        <v>1.087</v>
      </c>
      <c r="U166" s="528">
        <v>1.077</v>
      </c>
      <c r="V166" s="528">
        <v>1.073</v>
      </c>
      <c r="W166" s="529">
        <v>1.071</v>
      </c>
      <c r="X166" s="530">
        <v>0.9</v>
      </c>
      <c r="Y166" s="526">
        <v>570.68499999999995</v>
      </c>
      <c r="Z166" s="526">
        <f t="shared" si="61"/>
        <v>673.40829999999994</v>
      </c>
      <c r="AA166" s="531">
        <v>581.30544784999995</v>
      </c>
      <c r="AB166" s="532">
        <f t="shared" si="58"/>
        <v>685.94042846299988</v>
      </c>
      <c r="AC166" s="514">
        <f t="shared" si="51"/>
        <v>570.68499999999995</v>
      </c>
      <c r="AD166" s="493">
        <f t="shared" si="57"/>
        <v>673.40829999999994</v>
      </c>
      <c r="AE166" s="494" t="s">
        <v>1775</v>
      </c>
      <c r="AF166" s="523" t="s">
        <v>231</v>
      </c>
      <c r="AG166" s="523" t="s">
        <v>5036</v>
      </c>
      <c r="AH166" s="523" t="s">
        <v>545</v>
      </c>
      <c r="AI166" s="533">
        <v>41654</v>
      </c>
      <c r="AJ166" s="533">
        <f t="shared" si="52"/>
        <v>41689</v>
      </c>
      <c r="AK166" s="534" t="s">
        <v>132</v>
      </c>
      <c r="AL166" s="534" t="s">
        <v>132</v>
      </c>
      <c r="AM166" s="535" t="s">
        <v>5005</v>
      </c>
      <c r="AN166" s="535" t="s">
        <v>1757</v>
      </c>
      <c r="AO166" s="524">
        <v>796</v>
      </c>
      <c r="AP166" s="523" t="s">
        <v>368</v>
      </c>
      <c r="AQ166" s="523">
        <v>1</v>
      </c>
      <c r="AR166" s="523">
        <v>46</v>
      </c>
      <c r="AS166" s="525" t="s">
        <v>605</v>
      </c>
      <c r="AT166" s="533">
        <f t="shared" si="49"/>
        <v>41709</v>
      </c>
      <c r="AU166" s="533">
        <f t="shared" si="50"/>
        <v>41709</v>
      </c>
      <c r="AV166" s="533">
        <v>41820</v>
      </c>
      <c r="AW166" s="523">
        <v>2014</v>
      </c>
      <c r="AX166" s="534"/>
      <c r="AY166" s="535" t="s">
        <v>186</v>
      </c>
      <c r="AZ166" s="534"/>
      <c r="BA166" s="523">
        <v>2014</v>
      </c>
      <c r="BB166" s="523" t="s">
        <v>5228</v>
      </c>
      <c r="BC166" s="536" t="s">
        <v>5234</v>
      </c>
      <c r="BD166" s="537" t="s">
        <v>1818</v>
      </c>
      <c r="BE166" s="538">
        <f t="shared" si="62"/>
        <v>41850</v>
      </c>
      <c r="BF166" s="539">
        <v>767.11032999999986</v>
      </c>
      <c r="BG166" s="488">
        <v>751.76812339999981</v>
      </c>
      <c r="BH166" s="526">
        <v>6.3E-2</v>
      </c>
      <c r="BI166" s="540">
        <v>6.5000000000000002E-2</v>
      </c>
      <c r="BJ166" s="522" t="s">
        <v>5016</v>
      </c>
      <c r="BK166" s="523"/>
    </row>
    <row r="167" spans="1:63" s="199" customFormat="1" ht="150">
      <c r="A167" s="522">
        <v>1</v>
      </c>
      <c r="B167" s="523" t="s">
        <v>5223</v>
      </c>
      <c r="C167" s="523" t="s">
        <v>7247</v>
      </c>
      <c r="D167" s="523" t="s">
        <v>231</v>
      </c>
      <c r="E167" s="523" t="s">
        <v>5853</v>
      </c>
      <c r="F167" s="523" t="s">
        <v>1752</v>
      </c>
      <c r="G167" s="523" t="s">
        <v>2344</v>
      </c>
      <c r="H167" s="524">
        <v>834914</v>
      </c>
      <c r="I167" s="525" t="s">
        <v>5216</v>
      </c>
      <c r="J167" s="525" t="s">
        <v>5003</v>
      </c>
      <c r="K167" s="525" t="s">
        <v>5003</v>
      </c>
      <c r="L167" s="525" t="s">
        <v>5004</v>
      </c>
      <c r="M167" s="525" t="s">
        <v>1755</v>
      </c>
      <c r="N167" s="525" t="s">
        <v>1773</v>
      </c>
      <c r="O167" s="525" t="s">
        <v>2234</v>
      </c>
      <c r="P167" s="526">
        <v>481.815</v>
      </c>
      <c r="Q167" s="526">
        <f t="shared" si="60"/>
        <v>568.54169999999999</v>
      </c>
      <c r="R167" s="526">
        <v>370.42958408062179</v>
      </c>
      <c r="S167" s="527" t="s">
        <v>1774</v>
      </c>
      <c r="T167" s="528">
        <v>1.087</v>
      </c>
      <c r="U167" s="528">
        <v>1.077</v>
      </c>
      <c r="V167" s="528">
        <v>1.073</v>
      </c>
      <c r="W167" s="529">
        <v>1.071</v>
      </c>
      <c r="X167" s="530">
        <v>0.9</v>
      </c>
      <c r="Y167" s="526">
        <v>433.73599999999999</v>
      </c>
      <c r="Z167" s="526">
        <f t="shared" si="61"/>
        <v>511.80847999999997</v>
      </c>
      <c r="AA167" s="531">
        <v>441.80782696</v>
      </c>
      <c r="AB167" s="532">
        <f t="shared" si="58"/>
        <v>521.33323581280001</v>
      </c>
      <c r="AC167" s="514">
        <f t="shared" si="51"/>
        <v>433.73599999999999</v>
      </c>
      <c r="AD167" s="493">
        <f t="shared" si="57"/>
        <v>511.80847999999997</v>
      </c>
      <c r="AE167" s="494" t="s">
        <v>1775</v>
      </c>
      <c r="AF167" s="523" t="s">
        <v>231</v>
      </c>
      <c r="AG167" s="523" t="s">
        <v>5036</v>
      </c>
      <c r="AH167" s="523" t="s">
        <v>545</v>
      </c>
      <c r="AI167" s="533">
        <v>41654</v>
      </c>
      <c r="AJ167" s="533">
        <f t="shared" si="52"/>
        <v>41689</v>
      </c>
      <c r="AK167" s="534" t="s">
        <v>132</v>
      </c>
      <c r="AL167" s="534" t="s">
        <v>132</v>
      </c>
      <c r="AM167" s="535" t="s">
        <v>5005</v>
      </c>
      <c r="AN167" s="535" t="s">
        <v>1757</v>
      </c>
      <c r="AO167" s="524">
        <v>796</v>
      </c>
      <c r="AP167" s="523" t="s">
        <v>368</v>
      </c>
      <c r="AQ167" s="523">
        <v>1</v>
      </c>
      <c r="AR167" s="523">
        <v>46</v>
      </c>
      <c r="AS167" s="525" t="s">
        <v>605</v>
      </c>
      <c r="AT167" s="533">
        <f t="shared" si="49"/>
        <v>41709</v>
      </c>
      <c r="AU167" s="533">
        <f t="shared" si="50"/>
        <v>41709</v>
      </c>
      <c r="AV167" s="533">
        <v>41820</v>
      </c>
      <c r="AW167" s="523">
        <v>2014</v>
      </c>
      <c r="AX167" s="534"/>
      <c r="AY167" s="535" t="s">
        <v>186</v>
      </c>
      <c r="AZ167" s="534"/>
      <c r="BA167" s="523">
        <v>2014</v>
      </c>
      <c r="BB167" s="523" t="s">
        <v>5229</v>
      </c>
      <c r="BC167" s="536" t="s">
        <v>5235</v>
      </c>
      <c r="BD167" s="537" t="s">
        <v>1818</v>
      </c>
      <c r="BE167" s="538">
        <f t="shared" si="62"/>
        <v>41850</v>
      </c>
      <c r="BF167" s="539">
        <v>582.76344940000001</v>
      </c>
      <c r="BG167" s="488">
        <v>571.10818041200002</v>
      </c>
      <c r="BH167" s="526"/>
      <c r="BI167" s="540">
        <v>0.25</v>
      </c>
      <c r="BJ167" s="522" t="s">
        <v>5016</v>
      </c>
      <c r="BK167" s="523"/>
    </row>
    <row r="168" spans="1:63" s="199" customFormat="1" ht="150">
      <c r="A168" s="522">
        <v>1</v>
      </c>
      <c r="B168" s="523" t="s">
        <v>5224</v>
      </c>
      <c r="C168" s="523" t="s">
        <v>7247</v>
      </c>
      <c r="D168" s="523" t="s">
        <v>231</v>
      </c>
      <c r="E168" s="523" t="s">
        <v>5853</v>
      </c>
      <c r="F168" s="523" t="s">
        <v>1752</v>
      </c>
      <c r="G168" s="523" t="s">
        <v>2344</v>
      </c>
      <c r="H168" s="524">
        <v>834915</v>
      </c>
      <c r="I168" s="525" t="s">
        <v>5217</v>
      </c>
      <c r="J168" s="525" t="s">
        <v>5003</v>
      </c>
      <c r="K168" s="525" t="s">
        <v>5003</v>
      </c>
      <c r="L168" s="525" t="s">
        <v>5004</v>
      </c>
      <c r="M168" s="525" t="s">
        <v>1755</v>
      </c>
      <c r="N168" s="525" t="s">
        <v>1773</v>
      </c>
      <c r="O168" s="525" t="s">
        <v>2234</v>
      </c>
      <c r="P168" s="526">
        <v>717.06399999999996</v>
      </c>
      <c r="Q168" s="526">
        <f t="shared" si="60"/>
        <v>846.13551999999993</v>
      </c>
      <c r="R168" s="526">
        <v>570.84037919549064</v>
      </c>
      <c r="S168" s="527" t="s">
        <v>1774</v>
      </c>
      <c r="T168" s="528">
        <v>1.087</v>
      </c>
      <c r="U168" s="528">
        <v>1.077</v>
      </c>
      <c r="V168" s="528">
        <v>1.073</v>
      </c>
      <c r="W168" s="529">
        <v>1.071</v>
      </c>
      <c r="X168" s="530">
        <v>0.9</v>
      </c>
      <c r="Y168" s="526">
        <v>668.39700000000005</v>
      </c>
      <c r="Z168" s="526">
        <f t="shared" si="61"/>
        <v>788.70846000000006</v>
      </c>
      <c r="AA168" s="531">
        <v>680.83586817000003</v>
      </c>
      <c r="AB168" s="532">
        <f t="shared" si="58"/>
        <v>803.38632444059999</v>
      </c>
      <c r="AC168" s="514">
        <f t="shared" si="51"/>
        <v>668.39700000000005</v>
      </c>
      <c r="AD168" s="493">
        <f t="shared" si="57"/>
        <v>788.70846000000006</v>
      </c>
      <c r="AE168" s="494" t="s">
        <v>1775</v>
      </c>
      <c r="AF168" s="523" t="s">
        <v>231</v>
      </c>
      <c r="AG168" s="523" t="s">
        <v>5036</v>
      </c>
      <c r="AH168" s="523" t="s">
        <v>545</v>
      </c>
      <c r="AI168" s="533">
        <v>41654</v>
      </c>
      <c r="AJ168" s="533">
        <f t="shared" si="52"/>
        <v>41689</v>
      </c>
      <c r="AK168" s="534" t="s">
        <v>132</v>
      </c>
      <c r="AL168" s="534" t="s">
        <v>132</v>
      </c>
      <c r="AM168" s="535" t="s">
        <v>5005</v>
      </c>
      <c r="AN168" s="535" t="s">
        <v>1757</v>
      </c>
      <c r="AO168" s="524">
        <v>796</v>
      </c>
      <c r="AP168" s="523" t="s">
        <v>368</v>
      </c>
      <c r="AQ168" s="523">
        <v>1</v>
      </c>
      <c r="AR168" s="523">
        <v>46</v>
      </c>
      <c r="AS168" s="525" t="s">
        <v>605</v>
      </c>
      <c r="AT168" s="533">
        <f t="shared" si="49"/>
        <v>41709</v>
      </c>
      <c r="AU168" s="533">
        <f t="shared" si="50"/>
        <v>41709</v>
      </c>
      <c r="AV168" s="533">
        <v>41820</v>
      </c>
      <c r="AW168" s="523">
        <v>2014</v>
      </c>
      <c r="AX168" s="534"/>
      <c r="AY168" s="535" t="s">
        <v>186</v>
      </c>
      <c r="AZ168" s="534"/>
      <c r="BA168" s="523">
        <v>2014</v>
      </c>
      <c r="BB168" s="523" t="s">
        <v>5230</v>
      </c>
      <c r="BC168" s="536" t="s">
        <v>5236</v>
      </c>
      <c r="BD168" s="537" t="s">
        <v>1818</v>
      </c>
      <c r="BE168" s="538">
        <f t="shared" si="62"/>
        <v>41850</v>
      </c>
      <c r="BF168" s="539">
        <v>867.28344459999994</v>
      </c>
      <c r="BG168" s="488">
        <v>849.93777570799989</v>
      </c>
      <c r="BH168" s="526"/>
      <c r="BI168" s="540">
        <v>0.38</v>
      </c>
      <c r="BJ168" s="522" t="s">
        <v>5016</v>
      </c>
      <c r="BK168" s="523"/>
    </row>
    <row r="169" spans="1:63" s="199" customFormat="1" ht="150">
      <c r="A169" s="503">
        <v>1</v>
      </c>
      <c r="B169" s="504" t="s">
        <v>5241</v>
      </c>
      <c r="C169" s="504" t="s">
        <v>83</v>
      </c>
      <c r="D169" s="504" t="s">
        <v>231</v>
      </c>
      <c r="E169" s="504" t="s">
        <v>5853</v>
      </c>
      <c r="F169" s="504" t="s">
        <v>1752</v>
      </c>
      <c r="G169" s="504" t="s">
        <v>2344</v>
      </c>
      <c r="H169" s="505">
        <v>834916</v>
      </c>
      <c r="I169" s="506" t="s">
        <v>5237</v>
      </c>
      <c r="J169" s="506" t="s">
        <v>5003</v>
      </c>
      <c r="K169" s="506" t="s">
        <v>5003</v>
      </c>
      <c r="L169" s="506" t="s">
        <v>5004</v>
      </c>
      <c r="M169" s="506" t="s">
        <v>1755</v>
      </c>
      <c r="N169" s="506" t="s">
        <v>1773</v>
      </c>
      <c r="O169" s="506" t="s">
        <v>2234</v>
      </c>
      <c r="P169" s="507">
        <v>1676.7180000000001</v>
      </c>
      <c r="Q169" s="507">
        <f t="shared" si="60"/>
        <v>1978.5272399999999</v>
      </c>
      <c r="R169" s="507">
        <v>1289.0690921513367</v>
      </c>
      <c r="S169" s="508" t="s">
        <v>1774</v>
      </c>
      <c r="T169" s="509">
        <v>1.087</v>
      </c>
      <c r="U169" s="509">
        <v>1.077</v>
      </c>
      <c r="V169" s="509">
        <v>1.073</v>
      </c>
      <c r="W169" s="510">
        <v>1.071</v>
      </c>
      <c r="X169" s="511">
        <v>0.9</v>
      </c>
      <c r="Y169" s="507">
        <v>1509.3710000000001</v>
      </c>
      <c r="Z169" s="507">
        <f t="shared" si="61"/>
        <v>1781.0577800000001</v>
      </c>
      <c r="AA169" s="512">
        <v>1537.4603943100001</v>
      </c>
      <c r="AB169" s="513">
        <f t="shared" si="58"/>
        <v>1814.2032652857999</v>
      </c>
      <c r="AC169" s="514">
        <f t="shared" si="51"/>
        <v>1509.3710000000001</v>
      </c>
      <c r="AD169" s="493">
        <f t="shared" si="57"/>
        <v>1781.0577800000001</v>
      </c>
      <c r="AE169" s="494" t="s">
        <v>1775</v>
      </c>
      <c r="AF169" s="504" t="s">
        <v>231</v>
      </c>
      <c r="AG169" s="513" t="s">
        <v>5036</v>
      </c>
      <c r="AH169" s="513" t="s">
        <v>545</v>
      </c>
      <c r="AI169" s="515">
        <v>41654</v>
      </c>
      <c r="AJ169" s="515">
        <f t="shared" si="52"/>
        <v>41689</v>
      </c>
      <c r="AK169" s="516"/>
      <c r="AL169" s="516"/>
      <c r="AM169" s="516" t="s">
        <v>5005</v>
      </c>
      <c r="AN169" s="516" t="s">
        <v>1757</v>
      </c>
      <c r="AO169" s="517">
        <v>796</v>
      </c>
      <c r="AP169" s="504" t="s">
        <v>368</v>
      </c>
      <c r="AQ169" s="504">
        <v>1</v>
      </c>
      <c r="AR169" s="504">
        <v>46</v>
      </c>
      <c r="AS169" s="506" t="s">
        <v>605</v>
      </c>
      <c r="AT169" s="515">
        <f t="shared" ref="AT169:AT185" si="63">AJ169+20</f>
        <v>41709</v>
      </c>
      <c r="AU169" s="515">
        <f t="shared" ref="AU169:AU185" si="64">AT169</f>
        <v>41709</v>
      </c>
      <c r="AV169" s="515">
        <v>41820</v>
      </c>
      <c r="AW169" s="504">
        <v>2014</v>
      </c>
      <c r="AX169" s="518"/>
      <c r="AY169" s="519" t="s">
        <v>186</v>
      </c>
      <c r="AZ169" s="520"/>
      <c r="BA169" s="504">
        <v>2014</v>
      </c>
      <c r="BB169" s="513" t="s">
        <v>2271</v>
      </c>
      <c r="BC169" s="521" t="s">
        <v>2271</v>
      </c>
      <c r="BD169" s="520" t="s">
        <v>2272</v>
      </c>
      <c r="BE169" s="553" t="s">
        <v>2272</v>
      </c>
      <c r="BF169" s="507" t="s">
        <v>2272</v>
      </c>
      <c r="BG169" s="488" t="s">
        <v>2272</v>
      </c>
      <c r="BH169" s="503" t="s">
        <v>2272</v>
      </c>
      <c r="BI169" s="503" t="s">
        <v>2272</v>
      </c>
      <c r="BJ169" s="503" t="s">
        <v>1465</v>
      </c>
      <c r="BK169" s="503"/>
    </row>
    <row r="170" spans="1:63" s="199" customFormat="1" ht="150">
      <c r="A170" s="522">
        <v>1</v>
      </c>
      <c r="B170" s="523" t="s">
        <v>5242</v>
      </c>
      <c r="C170" s="523" t="s">
        <v>7247</v>
      </c>
      <c r="D170" s="523" t="s">
        <v>231</v>
      </c>
      <c r="E170" s="523" t="s">
        <v>5853</v>
      </c>
      <c r="F170" s="523" t="s">
        <v>1752</v>
      </c>
      <c r="G170" s="523" t="s">
        <v>2344</v>
      </c>
      <c r="H170" s="524">
        <v>834917</v>
      </c>
      <c r="I170" s="525" t="s">
        <v>5238</v>
      </c>
      <c r="J170" s="525" t="s">
        <v>5003</v>
      </c>
      <c r="K170" s="525" t="s">
        <v>5003</v>
      </c>
      <c r="L170" s="525" t="s">
        <v>5004</v>
      </c>
      <c r="M170" s="525" t="s">
        <v>1755</v>
      </c>
      <c r="N170" s="525" t="s">
        <v>1773</v>
      </c>
      <c r="O170" s="525" t="s">
        <v>2234</v>
      </c>
      <c r="P170" s="526">
        <v>655.27</v>
      </c>
      <c r="Q170" s="526">
        <f t="shared" si="60"/>
        <v>773.21859999999992</v>
      </c>
      <c r="R170" s="526">
        <v>503.76974976513799</v>
      </c>
      <c r="S170" s="527" t="s">
        <v>1774</v>
      </c>
      <c r="T170" s="528">
        <v>1.087</v>
      </c>
      <c r="U170" s="528">
        <v>1.077</v>
      </c>
      <c r="V170" s="528">
        <v>1.073</v>
      </c>
      <c r="W170" s="529">
        <v>1.071</v>
      </c>
      <c r="X170" s="530">
        <v>0.9</v>
      </c>
      <c r="Y170" s="526">
        <v>589.86400000000003</v>
      </c>
      <c r="Z170" s="526">
        <f t="shared" si="61"/>
        <v>696.03952000000004</v>
      </c>
      <c r="AA170" s="531">
        <v>600.84136904000002</v>
      </c>
      <c r="AB170" s="532">
        <f t="shared" si="58"/>
        <v>708.99281546719999</v>
      </c>
      <c r="AC170" s="514">
        <f t="shared" ref="AC170:AC185" si="65">IF(Y170&lt;AA170,Y170,AA170)</f>
        <v>589.86400000000003</v>
      </c>
      <c r="AD170" s="493">
        <f t="shared" si="57"/>
        <v>696.03952000000004</v>
      </c>
      <c r="AE170" s="494" t="s">
        <v>1775</v>
      </c>
      <c r="AF170" s="523" t="s">
        <v>231</v>
      </c>
      <c r="AG170" s="523" t="s">
        <v>5036</v>
      </c>
      <c r="AH170" s="523" t="s">
        <v>545</v>
      </c>
      <c r="AI170" s="533">
        <v>41654</v>
      </c>
      <c r="AJ170" s="533">
        <f t="shared" ref="AJ170:AJ185" si="66">AI170+35</f>
        <v>41689</v>
      </c>
      <c r="AK170" s="534" t="s">
        <v>132</v>
      </c>
      <c r="AL170" s="534" t="s">
        <v>132</v>
      </c>
      <c r="AM170" s="535" t="s">
        <v>5005</v>
      </c>
      <c r="AN170" s="535" t="s">
        <v>1757</v>
      </c>
      <c r="AO170" s="524">
        <v>796</v>
      </c>
      <c r="AP170" s="523" t="s">
        <v>368</v>
      </c>
      <c r="AQ170" s="523">
        <v>1</v>
      </c>
      <c r="AR170" s="523">
        <v>46</v>
      </c>
      <c r="AS170" s="525" t="s">
        <v>605</v>
      </c>
      <c r="AT170" s="533">
        <f t="shared" si="63"/>
        <v>41709</v>
      </c>
      <c r="AU170" s="533">
        <f t="shared" si="64"/>
        <v>41709</v>
      </c>
      <c r="AV170" s="533">
        <v>41820</v>
      </c>
      <c r="AW170" s="523">
        <v>2014</v>
      </c>
      <c r="AX170" s="534"/>
      <c r="AY170" s="535" t="s">
        <v>186</v>
      </c>
      <c r="AZ170" s="534"/>
      <c r="BA170" s="523">
        <v>2014</v>
      </c>
      <c r="BB170" s="523" t="s">
        <v>5245</v>
      </c>
      <c r="BC170" s="536" t="s">
        <v>5248</v>
      </c>
      <c r="BD170" s="537" t="s">
        <v>1818</v>
      </c>
      <c r="BE170" s="538">
        <f>AV170+30</f>
        <v>41850</v>
      </c>
      <c r="BF170" s="539">
        <v>792.55828080000003</v>
      </c>
      <c r="BG170" s="488">
        <v>776.70711518400003</v>
      </c>
      <c r="BH170" s="526"/>
      <c r="BI170" s="540">
        <v>0.34</v>
      </c>
      <c r="BJ170" s="522" t="s">
        <v>5016</v>
      </c>
      <c r="BK170" s="523"/>
    </row>
    <row r="171" spans="1:63" s="199" customFormat="1" ht="150">
      <c r="A171" s="522">
        <v>1</v>
      </c>
      <c r="B171" s="523" t="s">
        <v>5243</v>
      </c>
      <c r="C171" s="523" t="s">
        <v>7247</v>
      </c>
      <c r="D171" s="523" t="s">
        <v>231</v>
      </c>
      <c r="E171" s="523" t="s">
        <v>5853</v>
      </c>
      <c r="F171" s="523" t="s">
        <v>1752</v>
      </c>
      <c r="G171" s="523" t="s">
        <v>2344</v>
      </c>
      <c r="H171" s="524">
        <v>834918</v>
      </c>
      <c r="I171" s="525" t="s">
        <v>5239</v>
      </c>
      <c r="J171" s="525" t="s">
        <v>5003</v>
      </c>
      <c r="K171" s="525" t="s">
        <v>5003</v>
      </c>
      <c r="L171" s="525" t="s">
        <v>5004</v>
      </c>
      <c r="M171" s="525" t="s">
        <v>1755</v>
      </c>
      <c r="N171" s="525" t="s">
        <v>1773</v>
      </c>
      <c r="O171" s="525" t="s">
        <v>2234</v>
      </c>
      <c r="P171" s="526">
        <v>481.815</v>
      </c>
      <c r="Q171" s="526">
        <f t="shared" si="60"/>
        <v>568.54169999999999</v>
      </c>
      <c r="R171" s="526">
        <v>370.42958408062179</v>
      </c>
      <c r="S171" s="527" t="s">
        <v>1774</v>
      </c>
      <c r="T171" s="528">
        <v>1.087</v>
      </c>
      <c r="U171" s="528">
        <v>1.077</v>
      </c>
      <c r="V171" s="528">
        <v>1.073</v>
      </c>
      <c r="W171" s="529">
        <v>1.071</v>
      </c>
      <c r="X171" s="530">
        <v>0.9</v>
      </c>
      <c r="Y171" s="526">
        <v>433.73599999999999</v>
      </c>
      <c r="Z171" s="526">
        <f t="shared" si="61"/>
        <v>511.80847999999997</v>
      </c>
      <c r="AA171" s="531">
        <v>441.80782696</v>
      </c>
      <c r="AB171" s="532">
        <f t="shared" si="58"/>
        <v>521.33323581280001</v>
      </c>
      <c r="AC171" s="514">
        <f t="shared" si="65"/>
        <v>433.73599999999999</v>
      </c>
      <c r="AD171" s="493">
        <f t="shared" si="57"/>
        <v>511.80847999999997</v>
      </c>
      <c r="AE171" s="494" t="s">
        <v>1775</v>
      </c>
      <c r="AF171" s="523" t="s">
        <v>231</v>
      </c>
      <c r="AG171" s="523" t="s">
        <v>5036</v>
      </c>
      <c r="AH171" s="523" t="s">
        <v>545</v>
      </c>
      <c r="AI171" s="533">
        <v>41654</v>
      </c>
      <c r="AJ171" s="533">
        <f t="shared" si="66"/>
        <v>41689</v>
      </c>
      <c r="AK171" s="534" t="s">
        <v>132</v>
      </c>
      <c r="AL171" s="534" t="s">
        <v>132</v>
      </c>
      <c r="AM171" s="535" t="s">
        <v>5005</v>
      </c>
      <c r="AN171" s="535" t="s">
        <v>1757</v>
      </c>
      <c r="AO171" s="524">
        <v>796</v>
      </c>
      <c r="AP171" s="523" t="s">
        <v>368</v>
      </c>
      <c r="AQ171" s="523">
        <v>1</v>
      </c>
      <c r="AR171" s="523">
        <v>46</v>
      </c>
      <c r="AS171" s="525" t="s">
        <v>605</v>
      </c>
      <c r="AT171" s="533">
        <f t="shared" si="63"/>
        <v>41709</v>
      </c>
      <c r="AU171" s="533">
        <f t="shared" si="64"/>
        <v>41709</v>
      </c>
      <c r="AV171" s="533">
        <v>41820</v>
      </c>
      <c r="AW171" s="523">
        <v>2014</v>
      </c>
      <c r="AX171" s="534"/>
      <c r="AY171" s="535" t="s">
        <v>186</v>
      </c>
      <c r="AZ171" s="534"/>
      <c r="BA171" s="523">
        <v>2014</v>
      </c>
      <c r="BB171" s="523" t="s">
        <v>5246</v>
      </c>
      <c r="BC171" s="536" t="s">
        <v>5249</v>
      </c>
      <c r="BD171" s="537" t="s">
        <v>1818</v>
      </c>
      <c r="BE171" s="538">
        <f>AV171+30</f>
        <v>41850</v>
      </c>
      <c r="BF171" s="539">
        <v>582.76344940000001</v>
      </c>
      <c r="BG171" s="488">
        <v>571.10818041200002</v>
      </c>
      <c r="BH171" s="526"/>
      <c r="BI171" s="540">
        <v>0.25</v>
      </c>
      <c r="BJ171" s="522" t="s">
        <v>5016</v>
      </c>
      <c r="BK171" s="523"/>
    </row>
    <row r="172" spans="1:63" s="199" customFormat="1" ht="150">
      <c r="A172" s="522">
        <v>1</v>
      </c>
      <c r="B172" s="523" t="s">
        <v>5244</v>
      </c>
      <c r="C172" s="523" t="s">
        <v>7247</v>
      </c>
      <c r="D172" s="523" t="s">
        <v>231</v>
      </c>
      <c r="E172" s="523" t="s">
        <v>5853</v>
      </c>
      <c r="F172" s="523" t="s">
        <v>1752</v>
      </c>
      <c r="G172" s="523" t="s">
        <v>2344</v>
      </c>
      <c r="H172" s="524">
        <v>834919</v>
      </c>
      <c r="I172" s="525" t="s">
        <v>5240</v>
      </c>
      <c r="J172" s="525" t="s">
        <v>5003</v>
      </c>
      <c r="K172" s="525" t="s">
        <v>5003</v>
      </c>
      <c r="L172" s="525" t="s">
        <v>5004</v>
      </c>
      <c r="M172" s="525" t="s">
        <v>1755</v>
      </c>
      <c r="N172" s="525" t="s">
        <v>1773</v>
      </c>
      <c r="O172" s="525" t="s">
        <v>2234</v>
      </c>
      <c r="P172" s="526">
        <v>539.63300000000004</v>
      </c>
      <c r="Q172" s="526">
        <f t="shared" si="60"/>
        <v>636.76693999999998</v>
      </c>
      <c r="R172" s="526">
        <v>414.86975830557697</v>
      </c>
      <c r="S172" s="527" t="s">
        <v>1774</v>
      </c>
      <c r="T172" s="528">
        <v>1.087</v>
      </c>
      <c r="U172" s="528">
        <v>1.077</v>
      </c>
      <c r="V172" s="528">
        <v>1.073</v>
      </c>
      <c r="W172" s="529">
        <v>1.071</v>
      </c>
      <c r="X172" s="530">
        <v>0.9</v>
      </c>
      <c r="Y172" s="526">
        <v>485.77100000000002</v>
      </c>
      <c r="Z172" s="526">
        <f t="shared" si="61"/>
        <v>573.20978000000002</v>
      </c>
      <c r="AA172" s="531">
        <v>494.81119831000001</v>
      </c>
      <c r="AB172" s="532">
        <f t="shared" si="58"/>
        <v>583.87721400579994</v>
      </c>
      <c r="AC172" s="514">
        <f t="shared" si="65"/>
        <v>485.77100000000002</v>
      </c>
      <c r="AD172" s="493">
        <f t="shared" si="57"/>
        <v>573.20978000000002</v>
      </c>
      <c r="AE172" s="494" t="s">
        <v>1775</v>
      </c>
      <c r="AF172" s="523" t="s">
        <v>231</v>
      </c>
      <c r="AG172" s="523" t="s">
        <v>5036</v>
      </c>
      <c r="AH172" s="523" t="s">
        <v>545</v>
      </c>
      <c r="AI172" s="533">
        <v>41654</v>
      </c>
      <c r="AJ172" s="533">
        <f t="shared" si="66"/>
        <v>41689</v>
      </c>
      <c r="AK172" s="534" t="s">
        <v>132</v>
      </c>
      <c r="AL172" s="534" t="s">
        <v>132</v>
      </c>
      <c r="AM172" s="535" t="s">
        <v>5005</v>
      </c>
      <c r="AN172" s="535" t="s">
        <v>1757</v>
      </c>
      <c r="AO172" s="524">
        <v>796</v>
      </c>
      <c r="AP172" s="523" t="s">
        <v>368</v>
      </c>
      <c r="AQ172" s="523">
        <v>1</v>
      </c>
      <c r="AR172" s="523">
        <v>46</v>
      </c>
      <c r="AS172" s="525" t="s">
        <v>605</v>
      </c>
      <c r="AT172" s="533">
        <f t="shared" si="63"/>
        <v>41709</v>
      </c>
      <c r="AU172" s="533">
        <f t="shared" si="64"/>
        <v>41709</v>
      </c>
      <c r="AV172" s="533">
        <v>41820</v>
      </c>
      <c r="AW172" s="523">
        <v>2014</v>
      </c>
      <c r="AX172" s="534"/>
      <c r="AY172" s="535" t="s">
        <v>186</v>
      </c>
      <c r="AZ172" s="534"/>
      <c r="BA172" s="523">
        <v>2014</v>
      </c>
      <c r="BB172" s="523" t="s">
        <v>5247</v>
      </c>
      <c r="BC172" s="536" t="s">
        <v>5250</v>
      </c>
      <c r="BD172" s="537" t="s">
        <v>1818</v>
      </c>
      <c r="BE172" s="538">
        <f>AV172+30</f>
        <v>41850</v>
      </c>
      <c r="BF172" s="539">
        <v>652.69506380000007</v>
      </c>
      <c r="BG172" s="488">
        <v>639.64116252400004</v>
      </c>
      <c r="BH172" s="526"/>
      <c r="BI172" s="540">
        <v>0.28000000000000003</v>
      </c>
      <c r="BJ172" s="522" t="s">
        <v>5016</v>
      </c>
      <c r="BK172" s="523"/>
    </row>
    <row r="173" spans="1:63" s="199" customFormat="1" ht="150">
      <c r="A173" s="503">
        <v>1</v>
      </c>
      <c r="B173" s="504" t="s">
        <v>5251</v>
      </c>
      <c r="C173" s="504" t="s">
        <v>83</v>
      </c>
      <c r="D173" s="504" t="s">
        <v>231</v>
      </c>
      <c r="E173" s="504" t="s">
        <v>5853</v>
      </c>
      <c r="F173" s="504" t="s">
        <v>1752</v>
      </c>
      <c r="G173" s="504" t="s">
        <v>2344</v>
      </c>
      <c r="H173" s="505">
        <v>834951</v>
      </c>
      <c r="I173" s="506" t="s">
        <v>5256</v>
      </c>
      <c r="J173" s="506" t="s">
        <v>5003</v>
      </c>
      <c r="K173" s="506" t="s">
        <v>5003</v>
      </c>
      <c r="L173" s="506" t="s">
        <v>5004</v>
      </c>
      <c r="M173" s="506" t="s">
        <v>1755</v>
      </c>
      <c r="N173" s="506" t="s">
        <v>1773</v>
      </c>
      <c r="O173" s="506" t="s">
        <v>2234</v>
      </c>
      <c r="P173" s="507">
        <v>8409.8799999999992</v>
      </c>
      <c r="Q173" s="507">
        <f t="shared" si="60"/>
        <v>9923.6583999999984</v>
      </c>
      <c r="R173" s="507">
        <v>6492.84</v>
      </c>
      <c r="S173" s="508" t="s">
        <v>1774</v>
      </c>
      <c r="T173" s="509">
        <v>1.087</v>
      </c>
      <c r="U173" s="509">
        <v>1.077</v>
      </c>
      <c r="V173" s="509">
        <v>1.073</v>
      </c>
      <c r="W173" s="510">
        <v>1.071</v>
      </c>
      <c r="X173" s="511">
        <v>0.9</v>
      </c>
      <c r="Y173" s="507">
        <v>7602.47</v>
      </c>
      <c r="Z173" s="507">
        <f t="shared" si="61"/>
        <v>8970.9146000000001</v>
      </c>
      <c r="AA173" s="512">
        <v>7701.92</v>
      </c>
      <c r="AB173" s="513">
        <f t="shared" si="58"/>
        <v>9088.2655999999988</v>
      </c>
      <c r="AC173" s="514">
        <f t="shared" si="65"/>
        <v>7602.47</v>
      </c>
      <c r="AD173" s="493">
        <f t="shared" si="57"/>
        <v>8970.9146000000001</v>
      </c>
      <c r="AE173" s="494" t="s">
        <v>1775</v>
      </c>
      <c r="AF173" s="504" t="s">
        <v>83</v>
      </c>
      <c r="AG173" s="513" t="s">
        <v>83</v>
      </c>
      <c r="AH173" s="513" t="s">
        <v>545</v>
      </c>
      <c r="AI173" s="515">
        <v>41654</v>
      </c>
      <c r="AJ173" s="515">
        <f t="shared" si="66"/>
        <v>41689</v>
      </c>
      <c r="AK173" s="516"/>
      <c r="AL173" s="516"/>
      <c r="AM173" s="516" t="s">
        <v>5005</v>
      </c>
      <c r="AN173" s="516" t="s">
        <v>1757</v>
      </c>
      <c r="AO173" s="517">
        <v>796</v>
      </c>
      <c r="AP173" s="504" t="s">
        <v>368</v>
      </c>
      <c r="AQ173" s="504">
        <v>1</v>
      </c>
      <c r="AR173" s="504">
        <v>46</v>
      </c>
      <c r="AS173" s="506" t="s">
        <v>605</v>
      </c>
      <c r="AT173" s="515">
        <f t="shared" si="63"/>
        <v>41709</v>
      </c>
      <c r="AU173" s="515">
        <f t="shared" si="64"/>
        <v>41709</v>
      </c>
      <c r="AV173" s="515">
        <v>41820</v>
      </c>
      <c r="AW173" s="504">
        <v>2014</v>
      </c>
      <c r="AX173" s="518"/>
      <c r="AY173" s="519" t="s">
        <v>186</v>
      </c>
      <c r="AZ173" s="520"/>
      <c r="BA173" s="504">
        <v>2014</v>
      </c>
      <c r="BB173" s="513" t="s">
        <v>2271</v>
      </c>
      <c r="BC173" s="521" t="s">
        <v>2271</v>
      </c>
      <c r="BD173" s="520" t="s">
        <v>2272</v>
      </c>
      <c r="BE173" s="553" t="s">
        <v>2272</v>
      </c>
      <c r="BF173" s="507" t="s">
        <v>2272</v>
      </c>
      <c r="BG173" s="488" t="s">
        <v>2272</v>
      </c>
      <c r="BH173" s="503" t="s">
        <v>2272</v>
      </c>
      <c r="BI173" s="503" t="s">
        <v>2272</v>
      </c>
      <c r="BJ173" s="503" t="s">
        <v>1465</v>
      </c>
      <c r="BK173" s="503"/>
    </row>
    <row r="174" spans="1:63" s="199" customFormat="1" ht="150">
      <c r="A174" s="522">
        <v>1</v>
      </c>
      <c r="B174" s="523" t="s">
        <v>5252</v>
      </c>
      <c r="C174" s="523" t="s">
        <v>7247</v>
      </c>
      <c r="D174" s="523" t="s">
        <v>231</v>
      </c>
      <c r="E174" s="523" t="s">
        <v>5853</v>
      </c>
      <c r="F174" s="523" t="s">
        <v>1752</v>
      </c>
      <c r="G174" s="523" t="s">
        <v>2344</v>
      </c>
      <c r="H174" s="524">
        <v>834953</v>
      </c>
      <c r="I174" s="525" t="s">
        <v>5257</v>
      </c>
      <c r="J174" s="525" t="s">
        <v>5003</v>
      </c>
      <c r="K174" s="525" t="s">
        <v>5003</v>
      </c>
      <c r="L174" s="525" t="s">
        <v>5004</v>
      </c>
      <c r="M174" s="525" t="s">
        <v>1755</v>
      </c>
      <c r="N174" s="525" t="s">
        <v>1773</v>
      </c>
      <c r="O174" s="525" t="s">
        <v>2234</v>
      </c>
      <c r="P174" s="526">
        <v>2088.777</v>
      </c>
      <c r="Q174" s="526">
        <f t="shared" si="60"/>
        <v>2464.75686</v>
      </c>
      <c r="R174" s="526">
        <v>1605.8698437099667</v>
      </c>
      <c r="S174" s="527" t="s">
        <v>1774</v>
      </c>
      <c r="T174" s="528">
        <v>1.087</v>
      </c>
      <c r="U174" s="528">
        <v>1.077</v>
      </c>
      <c r="V174" s="528">
        <v>1.073</v>
      </c>
      <c r="W174" s="529">
        <v>1.071</v>
      </c>
      <c r="X174" s="530">
        <v>0.9</v>
      </c>
      <c r="Y174" s="526">
        <v>1880.3130000000001</v>
      </c>
      <c r="Z174" s="526">
        <f t="shared" si="61"/>
        <v>2218.7693399999998</v>
      </c>
      <c r="AA174" s="531">
        <v>1906.8510812378101</v>
      </c>
      <c r="AB174" s="532">
        <f t="shared" si="58"/>
        <v>2250.0842758606159</v>
      </c>
      <c r="AC174" s="514">
        <f t="shared" si="65"/>
        <v>1880.3130000000001</v>
      </c>
      <c r="AD174" s="493">
        <f t="shared" si="57"/>
        <v>2218.7693399999998</v>
      </c>
      <c r="AE174" s="494" t="s">
        <v>1775</v>
      </c>
      <c r="AF174" s="523" t="s">
        <v>83</v>
      </c>
      <c r="AG174" s="523" t="s">
        <v>83</v>
      </c>
      <c r="AH174" s="523" t="s">
        <v>545</v>
      </c>
      <c r="AI174" s="533">
        <v>41654</v>
      </c>
      <c r="AJ174" s="533">
        <f t="shared" si="66"/>
        <v>41689</v>
      </c>
      <c r="AK174" s="534" t="s">
        <v>132</v>
      </c>
      <c r="AL174" s="534" t="s">
        <v>132</v>
      </c>
      <c r="AM174" s="535" t="s">
        <v>5005</v>
      </c>
      <c r="AN174" s="535" t="s">
        <v>1757</v>
      </c>
      <c r="AO174" s="524">
        <v>796</v>
      </c>
      <c r="AP174" s="523" t="s">
        <v>368</v>
      </c>
      <c r="AQ174" s="523">
        <v>1</v>
      </c>
      <c r="AR174" s="523">
        <v>46</v>
      </c>
      <c r="AS174" s="525" t="s">
        <v>605</v>
      </c>
      <c r="AT174" s="533">
        <f t="shared" si="63"/>
        <v>41709</v>
      </c>
      <c r="AU174" s="533">
        <f t="shared" si="64"/>
        <v>41709</v>
      </c>
      <c r="AV174" s="533">
        <v>41820</v>
      </c>
      <c r="AW174" s="523">
        <v>2014</v>
      </c>
      <c r="AX174" s="534"/>
      <c r="AY174" s="535" t="s">
        <v>186</v>
      </c>
      <c r="AZ174" s="534"/>
      <c r="BA174" s="523">
        <v>2014</v>
      </c>
      <c r="BB174" s="523" t="s">
        <v>5181</v>
      </c>
      <c r="BC174" s="536" t="s">
        <v>5261</v>
      </c>
      <c r="BD174" s="537" t="s">
        <v>1818</v>
      </c>
      <c r="BE174" s="538">
        <f>AV174+30</f>
        <v>41850</v>
      </c>
      <c r="BF174" s="539">
        <v>2525.6728613999999</v>
      </c>
      <c r="BG174" s="488">
        <v>1685.2899938559999</v>
      </c>
      <c r="BH174" s="526">
        <v>2.5000000000000001E-2</v>
      </c>
      <c r="BI174" s="540">
        <v>0.6</v>
      </c>
      <c r="BJ174" s="522" t="s">
        <v>5016</v>
      </c>
      <c r="BK174" s="523"/>
    </row>
    <row r="175" spans="1:63" s="199" customFormat="1" ht="150">
      <c r="A175" s="522">
        <v>1</v>
      </c>
      <c r="B175" s="523" t="s">
        <v>5253</v>
      </c>
      <c r="C175" s="523" t="s">
        <v>7247</v>
      </c>
      <c r="D175" s="523" t="s">
        <v>231</v>
      </c>
      <c r="E175" s="523" t="s">
        <v>5853</v>
      </c>
      <c r="F175" s="523" t="s">
        <v>1752</v>
      </c>
      <c r="G175" s="523" t="s">
        <v>2344</v>
      </c>
      <c r="H175" s="524">
        <v>834955</v>
      </c>
      <c r="I175" s="525" t="s">
        <v>5258</v>
      </c>
      <c r="J175" s="525" t="s">
        <v>5003</v>
      </c>
      <c r="K175" s="525" t="s">
        <v>5003</v>
      </c>
      <c r="L175" s="525" t="s">
        <v>5004</v>
      </c>
      <c r="M175" s="525" t="s">
        <v>1755</v>
      </c>
      <c r="N175" s="525" t="s">
        <v>1773</v>
      </c>
      <c r="O175" s="525" t="s">
        <v>2234</v>
      </c>
      <c r="P175" s="526">
        <v>999.35799999999995</v>
      </c>
      <c r="Q175" s="526">
        <f t="shared" si="60"/>
        <v>1179.24244</v>
      </c>
      <c r="R175" s="526">
        <v>795.5700743018192</v>
      </c>
      <c r="S175" s="527" t="s">
        <v>1774</v>
      </c>
      <c r="T175" s="528">
        <v>1.087</v>
      </c>
      <c r="U175" s="528">
        <v>1.077</v>
      </c>
      <c r="V175" s="528">
        <v>1.073</v>
      </c>
      <c r="W175" s="529">
        <v>1.071</v>
      </c>
      <c r="X175" s="530">
        <v>0.9</v>
      </c>
      <c r="Y175" s="526">
        <v>931.53300000000002</v>
      </c>
      <c r="Z175" s="526">
        <f t="shared" si="61"/>
        <v>1099.20894</v>
      </c>
      <c r="AA175" s="531">
        <v>952.38324284391012</v>
      </c>
      <c r="AB175" s="532">
        <f t="shared" si="58"/>
        <v>1123.8122265558138</v>
      </c>
      <c r="AC175" s="514">
        <f t="shared" si="65"/>
        <v>931.53300000000002</v>
      </c>
      <c r="AD175" s="493">
        <f t="shared" si="57"/>
        <v>1099.20894</v>
      </c>
      <c r="AE175" s="494" t="s">
        <v>1775</v>
      </c>
      <c r="AF175" s="523" t="s">
        <v>83</v>
      </c>
      <c r="AG175" s="523" t="s">
        <v>83</v>
      </c>
      <c r="AH175" s="523" t="s">
        <v>545</v>
      </c>
      <c r="AI175" s="533">
        <v>41654</v>
      </c>
      <c r="AJ175" s="533">
        <f t="shared" si="66"/>
        <v>41689</v>
      </c>
      <c r="AK175" s="534" t="s">
        <v>132</v>
      </c>
      <c r="AL175" s="534" t="s">
        <v>132</v>
      </c>
      <c r="AM175" s="535" t="s">
        <v>5005</v>
      </c>
      <c r="AN175" s="535" t="s">
        <v>1757</v>
      </c>
      <c r="AO175" s="524">
        <v>796</v>
      </c>
      <c r="AP175" s="523" t="s">
        <v>368</v>
      </c>
      <c r="AQ175" s="523">
        <v>1</v>
      </c>
      <c r="AR175" s="523">
        <v>46</v>
      </c>
      <c r="AS175" s="525" t="s">
        <v>605</v>
      </c>
      <c r="AT175" s="533">
        <f t="shared" si="63"/>
        <v>41709</v>
      </c>
      <c r="AU175" s="533">
        <f t="shared" si="64"/>
        <v>41709</v>
      </c>
      <c r="AV175" s="533">
        <v>41820</v>
      </c>
      <c r="AW175" s="523">
        <v>2014</v>
      </c>
      <c r="AX175" s="534"/>
      <c r="AY175" s="535" t="s">
        <v>186</v>
      </c>
      <c r="AZ175" s="534"/>
      <c r="BA175" s="523">
        <v>2014</v>
      </c>
      <c r="BB175" s="523" t="s">
        <v>5181</v>
      </c>
      <c r="BC175" s="536" t="s">
        <v>5262</v>
      </c>
      <c r="BD175" s="537" t="s">
        <v>1818</v>
      </c>
      <c r="BE175" s="538">
        <f>AV175+30</f>
        <v>41850</v>
      </c>
      <c r="BF175" s="539">
        <v>1221.7301571999999</v>
      </c>
      <c r="BG175" s="488">
        <v>1685.2899938559999</v>
      </c>
      <c r="BH175" s="526"/>
      <c r="BI175" s="540">
        <v>0.5</v>
      </c>
      <c r="BJ175" s="522" t="s">
        <v>5016</v>
      </c>
      <c r="BK175" s="523"/>
    </row>
    <row r="176" spans="1:63" s="199" customFormat="1" ht="150">
      <c r="A176" s="522">
        <v>1</v>
      </c>
      <c r="B176" s="523" t="s">
        <v>5254</v>
      </c>
      <c r="C176" s="523" t="s">
        <v>7247</v>
      </c>
      <c r="D176" s="523" t="s">
        <v>231</v>
      </c>
      <c r="E176" s="523" t="s">
        <v>5853</v>
      </c>
      <c r="F176" s="523" t="s">
        <v>1752</v>
      </c>
      <c r="G176" s="523" t="s">
        <v>2344</v>
      </c>
      <c r="H176" s="524">
        <v>834957</v>
      </c>
      <c r="I176" s="525" t="s">
        <v>5259</v>
      </c>
      <c r="J176" s="525" t="s">
        <v>5003</v>
      </c>
      <c r="K176" s="525" t="s">
        <v>5003</v>
      </c>
      <c r="L176" s="525" t="s">
        <v>5004</v>
      </c>
      <c r="M176" s="525" t="s">
        <v>1755</v>
      </c>
      <c r="N176" s="525" t="s">
        <v>1773</v>
      </c>
      <c r="O176" s="525" t="s">
        <v>2234</v>
      </c>
      <c r="P176" s="526">
        <v>3805.1559999999999</v>
      </c>
      <c r="Q176" s="526">
        <f t="shared" si="60"/>
        <v>4490.0840799999996</v>
      </c>
      <c r="R176" s="526">
        <v>2925.4402596293453</v>
      </c>
      <c r="S176" s="527" t="s">
        <v>1774</v>
      </c>
      <c r="T176" s="528">
        <v>1.087</v>
      </c>
      <c r="U176" s="528">
        <v>1.077</v>
      </c>
      <c r="V176" s="528">
        <v>1.073</v>
      </c>
      <c r="W176" s="529">
        <v>1.071</v>
      </c>
      <c r="X176" s="530">
        <v>0.9</v>
      </c>
      <c r="Y176" s="526">
        <v>3425.3980000000001</v>
      </c>
      <c r="Z176" s="526">
        <f t="shared" si="61"/>
        <v>4041.9696399999998</v>
      </c>
      <c r="AA176" s="531">
        <v>3456.7964793627903</v>
      </c>
      <c r="AB176" s="532">
        <f t="shared" si="58"/>
        <v>4079.0198456480921</v>
      </c>
      <c r="AC176" s="514">
        <f t="shared" si="65"/>
        <v>3425.3980000000001</v>
      </c>
      <c r="AD176" s="493">
        <f t="shared" si="57"/>
        <v>4041.9696399999998</v>
      </c>
      <c r="AE176" s="494" t="s">
        <v>1775</v>
      </c>
      <c r="AF176" s="523" t="s">
        <v>83</v>
      </c>
      <c r="AG176" s="523" t="s">
        <v>83</v>
      </c>
      <c r="AH176" s="523" t="s">
        <v>545</v>
      </c>
      <c r="AI176" s="533">
        <v>41654</v>
      </c>
      <c r="AJ176" s="533">
        <f t="shared" si="66"/>
        <v>41689</v>
      </c>
      <c r="AK176" s="534" t="s">
        <v>132</v>
      </c>
      <c r="AL176" s="534" t="s">
        <v>132</v>
      </c>
      <c r="AM176" s="535" t="s">
        <v>5005</v>
      </c>
      <c r="AN176" s="535" t="s">
        <v>1757</v>
      </c>
      <c r="AO176" s="524">
        <v>796</v>
      </c>
      <c r="AP176" s="523" t="s">
        <v>368</v>
      </c>
      <c r="AQ176" s="523">
        <v>1</v>
      </c>
      <c r="AR176" s="523">
        <v>46</v>
      </c>
      <c r="AS176" s="525" t="s">
        <v>605</v>
      </c>
      <c r="AT176" s="533">
        <f t="shared" si="63"/>
        <v>41709</v>
      </c>
      <c r="AU176" s="533">
        <f t="shared" si="64"/>
        <v>41709</v>
      </c>
      <c r="AV176" s="533">
        <v>41820</v>
      </c>
      <c r="AW176" s="523">
        <v>2014</v>
      </c>
      <c r="AX176" s="534"/>
      <c r="AY176" s="535" t="s">
        <v>186</v>
      </c>
      <c r="AZ176" s="534"/>
      <c r="BA176" s="523">
        <v>2014</v>
      </c>
      <c r="BB176" s="523" t="s">
        <v>5181</v>
      </c>
      <c r="BC176" s="536" t="s">
        <v>5263</v>
      </c>
      <c r="BD176" s="537" t="s">
        <v>1818</v>
      </c>
      <c r="BE176" s="538">
        <f>AV176+30</f>
        <v>41850</v>
      </c>
      <c r="BF176" s="539">
        <v>4602.0553537999995</v>
      </c>
      <c r="BG176" s="488">
        <v>1685.2899938559999</v>
      </c>
      <c r="BH176" s="526">
        <v>2.5000000000000001E-2</v>
      </c>
      <c r="BI176" s="540">
        <v>1.2</v>
      </c>
      <c r="BJ176" s="522" t="s">
        <v>5016</v>
      </c>
      <c r="BK176" s="523"/>
    </row>
    <row r="177" spans="1:63" s="199" customFormat="1" ht="150">
      <c r="A177" s="522">
        <v>1</v>
      </c>
      <c r="B177" s="523" t="s">
        <v>5255</v>
      </c>
      <c r="C177" s="523" t="s">
        <v>7247</v>
      </c>
      <c r="D177" s="523" t="s">
        <v>231</v>
      </c>
      <c r="E177" s="523" t="s">
        <v>5853</v>
      </c>
      <c r="F177" s="523" t="s">
        <v>1752</v>
      </c>
      <c r="G177" s="523" t="s">
        <v>2344</v>
      </c>
      <c r="H177" s="524">
        <v>834959</v>
      </c>
      <c r="I177" s="525" t="s">
        <v>5260</v>
      </c>
      <c r="J177" s="525" t="s">
        <v>5003</v>
      </c>
      <c r="K177" s="525" t="s">
        <v>5003</v>
      </c>
      <c r="L177" s="525" t="s">
        <v>5004</v>
      </c>
      <c r="M177" s="525" t="s">
        <v>1755</v>
      </c>
      <c r="N177" s="525" t="s">
        <v>1773</v>
      </c>
      <c r="O177" s="525" t="s">
        <v>2234</v>
      </c>
      <c r="P177" s="526">
        <v>1516.5889999999999</v>
      </c>
      <c r="Q177" s="526">
        <f t="shared" si="60"/>
        <v>1789.5750199999998</v>
      </c>
      <c r="R177" s="526">
        <v>1165.9603723631396</v>
      </c>
      <c r="S177" s="527" t="s">
        <v>1774</v>
      </c>
      <c r="T177" s="528">
        <v>1.087</v>
      </c>
      <c r="U177" s="528">
        <v>1.077</v>
      </c>
      <c r="V177" s="528">
        <v>1.073</v>
      </c>
      <c r="W177" s="529">
        <v>1.071</v>
      </c>
      <c r="X177" s="530">
        <v>0.9</v>
      </c>
      <c r="Y177" s="526">
        <v>1365.223</v>
      </c>
      <c r="Z177" s="526">
        <f t="shared" si="61"/>
        <v>1610.9631399999998</v>
      </c>
      <c r="AA177" s="531">
        <v>1385.89247500857</v>
      </c>
      <c r="AB177" s="532">
        <f t="shared" si="58"/>
        <v>1635.3531205101126</v>
      </c>
      <c r="AC177" s="514">
        <f t="shared" si="65"/>
        <v>1365.223</v>
      </c>
      <c r="AD177" s="493">
        <f t="shared" si="57"/>
        <v>1610.9631399999998</v>
      </c>
      <c r="AE177" s="494" t="s">
        <v>1775</v>
      </c>
      <c r="AF177" s="523" t="s">
        <v>83</v>
      </c>
      <c r="AG177" s="523" t="s">
        <v>83</v>
      </c>
      <c r="AH177" s="523" t="s">
        <v>545</v>
      </c>
      <c r="AI177" s="533">
        <v>41654</v>
      </c>
      <c r="AJ177" s="533">
        <f t="shared" si="66"/>
        <v>41689</v>
      </c>
      <c r="AK177" s="534" t="s">
        <v>132</v>
      </c>
      <c r="AL177" s="534" t="s">
        <v>132</v>
      </c>
      <c r="AM177" s="535" t="s">
        <v>5005</v>
      </c>
      <c r="AN177" s="535" t="s">
        <v>1757</v>
      </c>
      <c r="AO177" s="524">
        <v>796</v>
      </c>
      <c r="AP177" s="523" t="s">
        <v>368</v>
      </c>
      <c r="AQ177" s="523">
        <v>1</v>
      </c>
      <c r="AR177" s="523">
        <v>46</v>
      </c>
      <c r="AS177" s="525" t="s">
        <v>605</v>
      </c>
      <c r="AT177" s="533">
        <f t="shared" si="63"/>
        <v>41709</v>
      </c>
      <c r="AU177" s="533">
        <f t="shared" si="64"/>
        <v>41709</v>
      </c>
      <c r="AV177" s="533">
        <v>41820</v>
      </c>
      <c r="AW177" s="523">
        <v>2014</v>
      </c>
      <c r="AX177" s="534"/>
      <c r="AY177" s="535" t="s">
        <v>186</v>
      </c>
      <c r="AZ177" s="534"/>
      <c r="BA177" s="523">
        <v>2014</v>
      </c>
      <c r="BB177" s="523" t="s">
        <v>5181</v>
      </c>
      <c r="BC177" s="536" t="s">
        <v>5264</v>
      </c>
      <c r="BD177" s="537" t="s">
        <v>1818</v>
      </c>
      <c r="BE177" s="538">
        <f>AV177+30</f>
        <v>41850</v>
      </c>
      <c r="BF177" s="539">
        <v>1834.2441323999999</v>
      </c>
      <c r="BG177" s="488">
        <v>1685.2899938559999</v>
      </c>
      <c r="BH177" s="526">
        <v>6.3E-2</v>
      </c>
      <c r="BI177" s="540">
        <v>0.3</v>
      </c>
      <c r="BJ177" s="522" t="s">
        <v>5016</v>
      </c>
      <c r="BK177" s="523"/>
    </row>
    <row r="178" spans="1:63" s="199" customFormat="1" ht="150">
      <c r="A178" s="503">
        <v>1</v>
      </c>
      <c r="B178" s="504" t="s">
        <v>5273</v>
      </c>
      <c r="C178" s="504" t="s">
        <v>83</v>
      </c>
      <c r="D178" s="504" t="s">
        <v>231</v>
      </c>
      <c r="E178" s="504" t="s">
        <v>5853</v>
      </c>
      <c r="F178" s="504" t="s">
        <v>1752</v>
      </c>
      <c r="G178" s="504" t="s">
        <v>2344</v>
      </c>
      <c r="H178" s="505">
        <v>834960</v>
      </c>
      <c r="I178" s="506" t="s">
        <v>5278</v>
      </c>
      <c r="J178" s="506" t="s">
        <v>5003</v>
      </c>
      <c r="K178" s="506" t="s">
        <v>5003</v>
      </c>
      <c r="L178" s="506" t="s">
        <v>5004</v>
      </c>
      <c r="M178" s="506" t="s">
        <v>1755</v>
      </c>
      <c r="N178" s="506" t="s">
        <v>1773</v>
      </c>
      <c r="O178" s="506" t="s">
        <v>2234</v>
      </c>
      <c r="P178" s="507">
        <v>7519.44</v>
      </c>
      <c r="Q178" s="507">
        <f t="shared" si="60"/>
        <v>8872.9391999999989</v>
      </c>
      <c r="R178" s="507">
        <v>5780.99</v>
      </c>
      <c r="S178" s="508" t="s">
        <v>1774</v>
      </c>
      <c r="T178" s="509">
        <v>1.087</v>
      </c>
      <c r="U178" s="509">
        <v>1.077</v>
      </c>
      <c r="V178" s="509">
        <v>1.073</v>
      </c>
      <c r="W178" s="510">
        <v>1.071</v>
      </c>
      <c r="X178" s="511">
        <v>0.9</v>
      </c>
      <c r="Y178" s="507">
        <v>6768.97</v>
      </c>
      <c r="Z178" s="507">
        <f t="shared" si="61"/>
        <v>7987.3846000000003</v>
      </c>
      <c r="AA178" s="512">
        <v>6849.49</v>
      </c>
      <c r="AB178" s="513">
        <f t="shared" si="58"/>
        <v>8082.3981999999996</v>
      </c>
      <c r="AC178" s="514">
        <f t="shared" si="65"/>
        <v>6768.97</v>
      </c>
      <c r="AD178" s="493">
        <f t="shared" si="57"/>
        <v>7987.3846000000003</v>
      </c>
      <c r="AE178" s="494" t="s">
        <v>1775</v>
      </c>
      <c r="AF178" s="504" t="s">
        <v>83</v>
      </c>
      <c r="AG178" s="513" t="s">
        <v>83</v>
      </c>
      <c r="AH178" s="513" t="s">
        <v>545</v>
      </c>
      <c r="AI178" s="515">
        <v>41654</v>
      </c>
      <c r="AJ178" s="515">
        <f t="shared" si="66"/>
        <v>41689</v>
      </c>
      <c r="AK178" s="516"/>
      <c r="AL178" s="516"/>
      <c r="AM178" s="516" t="s">
        <v>5005</v>
      </c>
      <c r="AN178" s="516" t="s">
        <v>1757</v>
      </c>
      <c r="AO178" s="517">
        <v>796</v>
      </c>
      <c r="AP178" s="504" t="s">
        <v>368</v>
      </c>
      <c r="AQ178" s="504">
        <v>1</v>
      </c>
      <c r="AR178" s="504">
        <v>46</v>
      </c>
      <c r="AS178" s="506" t="s">
        <v>605</v>
      </c>
      <c r="AT178" s="515">
        <f t="shared" si="63"/>
        <v>41709</v>
      </c>
      <c r="AU178" s="515">
        <f t="shared" si="64"/>
        <v>41709</v>
      </c>
      <c r="AV178" s="515">
        <v>41820</v>
      </c>
      <c r="AW178" s="504">
        <v>2014</v>
      </c>
      <c r="AX178" s="518"/>
      <c r="AY178" s="519" t="s">
        <v>186</v>
      </c>
      <c r="AZ178" s="520"/>
      <c r="BA178" s="504">
        <v>2014</v>
      </c>
      <c r="BB178" s="513" t="s">
        <v>2271</v>
      </c>
      <c r="BC178" s="521" t="s">
        <v>2271</v>
      </c>
      <c r="BD178" s="520" t="s">
        <v>2272</v>
      </c>
      <c r="BE178" s="553" t="s">
        <v>2272</v>
      </c>
      <c r="BF178" s="507" t="s">
        <v>2272</v>
      </c>
      <c r="BG178" s="488" t="s">
        <v>2272</v>
      </c>
      <c r="BH178" s="503" t="s">
        <v>2272</v>
      </c>
      <c r="BI178" s="503" t="s">
        <v>2272</v>
      </c>
      <c r="BJ178" s="503" t="s">
        <v>1465</v>
      </c>
      <c r="BK178" s="503"/>
    </row>
    <row r="179" spans="1:63" s="199" customFormat="1" ht="150">
      <c r="A179" s="522">
        <v>1</v>
      </c>
      <c r="B179" s="523" t="s">
        <v>5274</v>
      </c>
      <c r="C179" s="523" t="s">
        <v>7247</v>
      </c>
      <c r="D179" s="523" t="s">
        <v>231</v>
      </c>
      <c r="E179" s="523" t="s">
        <v>5853</v>
      </c>
      <c r="F179" s="523" t="s">
        <v>1752</v>
      </c>
      <c r="G179" s="523" t="s">
        <v>2344</v>
      </c>
      <c r="H179" s="524">
        <v>834961</v>
      </c>
      <c r="I179" s="525" t="s">
        <v>5279</v>
      </c>
      <c r="J179" s="525" t="s">
        <v>5003</v>
      </c>
      <c r="K179" s="525" t="s">
        <v>5003</v>
      </c>
      <c r="L179" s="525" t="s">
        <v>5004</v>
      </c>
      <c r="M179" s="525" t="s">
        <v>1755</v>
      </c>
      <c r="N179" s="525" t="s">
        <v>1773</v>
      </c>
      <c r="O179" s="525" t="s">
        <v>2234</v>
      </c>
      <c r="P179" s="526">
        <v>1148.462</v>
      </c>
      <c r="Q179" s="526">
        <f t="shared" si="60"/>
        <v>1355.18516</v>
      </c>
      <c r="R179" s="526">
        <v>882.93022461354531</v>
      </c>
      <c r="S179" s="527" t="s">
        <v>1774</v>
      </c>
      <c r="T179" s="528">
        <v>1.087</v>
      </c>
      <c r="U179" s="528">
        <v>1.077</v>
      </c>
      <c r="V179" s="528">
        <v>1.073</v>
      </c>
      <c r="W179" s="529">
        <v>1.071</v>
      </c>
      <c r="X179" s="530">
        <v>0.9</v>
      </c>
      <c r="Y179" s="526">
        <v>1033.8230000000001</v>
      </c>
      <c r="Z179" s="526">
        <f t="shared" si="61"/>
        <v>1219.9111399999999</v>
      </c>
      <c r="AA179" s="531">
        <v>1047.4765139349149</v>
      </c>
      <c r="AB179" s="532">
        <f t="shared" si="58"/>
        <v>1236.0222864431996</v>
      </c>
      <c r="AC179" s="514">
        <f t="shared" si="65"/>
        <v>1033.8230000000001</v>
      </c>
      <c r="AD179" s="493">
        <f t="shared" si="57"/>
        <v>1219.9111399999999</v>
      </c>
      <c r="AE179" s="494" t="s">
        <v>1775</v>
      </c>
      <c r="AF179" s="523" t="s">
        <v>83</v>
      </c>
      <c r="AG179" s="523" t="s">
        <v>83</v>
      </c>
      <c r="AH179" s="523" t="s">
        <v>545</v>
      </c>
      <c r="AI179" s="533">
        <v>41654</v>
      </c>
      <c r="AJ179" s="533">
        <f t="shared" si="66"/>
        <v>41689</v>
      </c>
      <c r="AK179" s="534" t="s">
        <v>132</v>
      </c>
      <c r="AL179" s="534" t="s">
        <v>132</v>
      </c>
      <c r="AM179" s="535" t="s">
        <v>5005</v>
      </c>
      <c r="AN179" s="535" t="s">
        <v>1757</v>
      </c>
      <c r="AO179" s="524">
        <v>796</v>
      </c>
      <c r="AP179" s="523" t="s">
        <v>368</v>
      </c>
      <c r="AQ179" s="523">
        <v>1</v>
      </c>
      <c r="AR179" s="523">
        <v>46</v>
      </c>
      <c r="AS179" s="525" t="s">
        <v>605</v>
      </c>
      <c r="AT179" s="533">
        <f t="shared" si="63"/>
        <v>41709</v>
      </c>
      <c r="AU179" s="533">
        <f t="shared" si="64"/>
        <v>41709</v>
      </c>
      <c r="AV179" s="533">
        <v>41820</v>
      </c>
      <c r="AW179" s="523">
        <v>2014</v>
      </c>
      <c r="AX179" s="534"/>
      <c r="AY179" s="535" t="s">
        <v>186</v>
      </c>
      <c r="AZ179" s="534"/>
      <c r="BA179" s="523">
        <v>2014</v>
      </c>
      <c r="BB179" s="523" t="s">
        <v>5283</v>
      </c>
      <c r="BC179" s="536" t="s">
        <v>5284</v>
      </c>
      <c r="BD179" s="537" t="s">
        <v>1818</v>
      </c>
      <c r="BE179" s="538">
        <f>AV179+30</f>
        <v>41850</v>
      </c>
      <c r="BF179" s="539">
        <v>1389.4162519999998</v>
      </c>
      <c r="BG179" s="488">
        <v>1270.0946348619927</v>
      </c>
      <c r="BH179" s="526">
        <v>6.3E-2</v>
      </c>
      <c r="BI179" s="540">
        <v>0.33</v>
      </c>
      <c r="BJ179" s="522" t="s">
        <v>5016</v>
      </c>
      <c r="BK179" s="523"/>
    </row>
    <row r="180" spans="1:63" s="199" customFormat="1" ht="150">
      <c r="A180" s="522">
        <v>1</v>
      </c>
      <c r="B180" s="523" t="s">
        <v>5275</v>
      </c>
      <c r="C180" s="523" t="s">
        <v>7247</v>
      </c>
      <c r="D180" s="523" t="s">
        <v>231</v>
      </c>
      <c r="E180" s="523" t="s">
        <v>5853</v>
      </c>
      <c r="F180" s="523" t="s">
        <v>1752</v>
      </c>
      <c r="G180" s="523" t="s">
        <v>2344</v>
      </c>
      <c r="H180" s="524">
        <v>834962</v>
      </c>
      <c r="I180" s="525" t="s">
        <v>5280</v>
      </c>
      <c r="J180" s="525" t="s">
        <v>5003</v>
      </c>
      <c r="K180" s="525" t="s">
        <v>5003</v>
      </c>
      <c r="L180" s="525" t="s">
        <v>5004</v>
      </c>
      <c r="M180" s="525" t="s">
        <v>1755</v>
      </c>
      <c r="N180" s="525" t="s">
        <v>1773</v>
      </c>
      <c r="O180" s="525" t="s">
        <v>2234</v>
      </c>
      <c r="P180" s="526">
        <v>3497.64</v>
      </c>
      <c r="Q180" s="526">
        <f t="shared" si="60"/>
        <v>4127.2151999999996</v>
      </c>
      <c r="R180" s="526">
        <v>2689.0101631223847</v>
      </c>
      <c r="S180" s="527" t="s">
        <v>1774</v>
      </c>
      <c r="T180" s="528">
        <v>1.087</v>
      </c>
      <c r="U180" s="528">
        <v>1.077</v>
      </c>
      <c r="V180" s="528">
        <v>1.073</v>
      </c>
      <c r="W180" s="529">
        <v>1.071</v>
      </c>
      <c r="X180" s="530">
        <v>0.9</v>
      </c>
      <c r="Y180" s="526">
        <v>3148.5619999999999</v>
      </c>
      <c r="Z180" s="526">
        <f t="shared" si="61"/>
        <v>3715.3031599999995</v>
      </c>
      <c r="AA180" s="531">
        <v>3179.3845270708357</v>
      </c>
      <c r="AB180" s="532">
        <f t="shared" si="58"/>
        <v>3751.6737419435858</v>
      </c>
      <c r="AC180" s="514">
        <f t="shared" si="65"/>
        <v>3148.5619999999999</v>
      </c>
      <c r="AD180" s="493">
        <f t="shared" si="57"/>
        <v>3715.3031599999995</v>
      </c>
      <c r="AE180" s="494" t="s">
        <v>1775</v>
      </c>
      <c r="AF180" s="523" t="s">
        <v>83</v>
      </c>
      <c r="AG180" s="523" t="s">
        <v>83</v>
      </c>
      <c r="AH180" s="523" t="s">
        <v>545</v>
      </c>
      <c r="AI180" s="533">
        <v>41654</v>
      </c>
      <c r="AJ180" s="533">
        <f t="shared" si="66"/>
        <v>41689</v>
      </c>
      <c r="AK180" s="534" t="s">
        <v>132</v>
      </c>
      <c r="AL180" s="534" t="s">
        <v>132</v>
      </c>
      <c r="AM180" s="535" t="s">
        <v>5005</v>
      </c>
      <c r="AN180" s="535" t="s">
        <v>1757</v>
      </c>
      <c r="AO180" s="524">
        <v>796</v>
      </c>
      <c r="AP180" s="523" t="s">
        <v>368</v>
      </c>
      <c r="AQ180" s="523">
        <v>1</v>
      </c>
      <c r="AR180" s="523">
        <v>46</v>
      </c>
      <c r="AS180" s="525" t="s">
        <v>605</v>
      </c>
      <c r="AT180" s="533">
        <f t="shared" si="63"/>
        <v>41709</v>
      </c>
      <c r="AU180" s="533">
        <f t="shared" si="64"/>
        <v>41709</v>
      </c>
      <c r="AV180" s="533">
        <v>41820</v>
      </c>
      <c r="AW180" s="523">
        <v>2014</v>
      </c>
      <c r="AX180" s="534"/>
      <c r="AY180" s="535" t="s">
        <v>186</v>
      </c>
      <c r="AZ180" s="534"/>
      <c r="BA180" s="523">
        <v>2014</v>
      </c>
      <c r="BB180" s="523" t="s">
        <v>5285</v>
      </c>
      <c r="BC180" s="536" t="s">
        <v>5286</v>
      </c>
      <c r="BD180" s="537" t="s">
        <v>1818</v>
      </c>
      <c r="BE180" s="538">
        <f>AV180+30</f>
        <v>41850</v>
      </c>
      <c r="BF180" s="539">
        <v>4230.9701455999993</v>
      </c>
      <c r="BG180" s="488">
        <v>3854.9037489097127</v>
      </c>
      <c r="BH180" s="526">
        <v>0.16</v>
      </c>
      <c r="BI180" s="540">
        <v>1.25</v>
      </c>
      <c r="BJ180" s="522" t="s">
        <v>5016</v>
      </c>
      <c r="BK180" s="523"/>
    </row>
    <row r="181" spans="1:63" s="199" customFormat="1" ht="150">
      <c r="A181" s="522">
        <v>1</v>
      </c>
      <c r="B181" s="523" t="s">
        <v>5276</v>
      </c>
      <c r="C181" s="523" t="s">
        <v>7247</v>
      </c>
      <c r="D181" s="523" t="s">
        <v>231</v>
      </c>
      <c r="E181" s="523" t="s">
        <v>5853</v>
      </c>
      <c r="F181" s="523" t="s">
        <v>1752</v>
      </c>
      <c r="G181" s="523" t="s">
        <v>2344</v>
      </c>
      <c r="H181" s="524">
        <v>834963</v>
      </c>
      <c r="I181" s="525" t="s">
        <v>5281</v>
      </c>
      <c r="J181" s="525" t="s">
        <v>5003</v>
      </c>
      <c r="K181" s="525" t="s">
        <v>5003</v>
      </c>
      <c r="L181" s="525" t="s">
        <v>5004</v>
      </c>
      <c r="M181" s="525" t="s">
        <v>1755</v>
      </c>
      <c r="N181" s="525" t="s">
        <v>1773</v>
      </c>
      <c r="O181" s="525" t="s">
        <v>2234</v>
      </c>
      <c r="P181" s="526">
        <v>1977.2629999999999</v>
      </c>
      <c r="Q181" s="526">
        <f t="shared" si="60"/>
        <v>2333.1703399999997</v>
      </c>
      <c r="R181" s="526">
        <v>1520.1400631992485</v>
      </c>
      <c r="S181" s="527" t="s">
        <v>1774</v>
      </c>
      <c r="T181" s="528">
        <v>1.087</v>
      </c>
      <c r="U181" s="528">
        <v>1.077</v>
      </c>
      <c r="V181" s="528">
        <v>1.073</v>
      </c>
      <c r="W181" s="529">
        <v>1.071</v>
      </c>
      <c r="X181" s="530">
        <v>0.9</v>
      </c>
      <c r="Y181" s="526">
        <v>1779.932</v>
      </c>
      <c r="Z181" s="526">
        <f t="shared" si="61"/>
        <v>2100.3197599999999</v>
      </c>
      <c r="AA181" s="531">
        <v>1800.9739612769849</v>
      </c>
      <c r="AB181" s="532">
        <f t="shared" si="58"/>
        <v>2125.149274306842</v>
      </c>
      <c r="AC181" s="514">
        <f t="shared" si="65"/>
        <v>1779.932</v>
      </c>
      <c r="AD181" s="493">
        <f t="shared" si="57"/>
        <v>2100.3197599999999</v>
      </c>
      <c r="AE181" s="494" t="s">
        <v>1775</v>
      </c>
      <c r="AF181" s="523" t="s">
        <v>83</v>
      </c>
      <c r="AG181" s="523" t="s">
        <v>83</v>
      </c>
      <c r="AH181" s="523" t="s">
        <v>545</v>
      </c>
      <c r="AI181" s="533">
        <v>41654</v>
      </c>
      <c r="AJ181" s="533">
        <f t="shared" si="66"/>
        <v>41689</v>
      </c>
      <c r="AK181" s="534" t="s">
        <v>132</v>
      </c>
      <c r="AL181" s="534" t="s">
        <v>132</v>
      </c>
      <c r="AM181" s="535" t="s">
        <v>5005</v>
      </c>
      <c r="AN181" s="535" t="s">
        <v>1757</v>
      </c>
      <c r="AO181" s="524">
        <v>796</v>
      </c>
      <c r="AP181" s="523" t="s">
        <v>368</v>
      </c>
      <c r="AQ181" s="523">
        <v>1</v>
      </c>
      <c r="AR181" s="523">
        <v>46</v>
      </c>
      <c r="AS181" s="525" t="s">
        <v>605</v>
      </c>
      <c r="AT181" s="533">
        <f t="shared" si="63"/>
        <v>41709</v>
      </c>
      <c r="AU181" s="533">
        <f t="shared" si="64"/>
        <v>41709</v>
      </c>
      <c r="AV181" s="533">
        <v>41820</v>
      </c>
      <c r="AW181" s="523">
        <v>2014</v>
      </c>
      <c r="AX181" s="534"/>
      <c r="AY181" s="535" t="s">
        <v>186</v>
      </c>
      <c r="AZ181" s="534"/>
      <c r="BA181" s="523">
        <v>2014</v>
      </c>
      <c r="BB181" s="523" t="s">
        <v>5287</v>
      </c>
      <c r="BC181" s="536" t="s">
        <v>5288</v>
      </c>
      <c r="BD181" s="537" t="s">
        <v>1818</v>
      </c>
      <c r="BE181" s="538">
        <f>AV181+30</f>
        <v>41850</v>
      </c>
      <c r="BF181" s="539">
        <v>2391.9955112000002</v>
      </c>
      <c r="BG181" s="488">
        <v>2183.7168786159027</v>
      </c>
      <c r="BH181" s="526">
        <v>0.1</v>
      </c>
      <c r="BI181" s="540">
        <v>0.5</v>
      </c>
      <c r="BJ181" s="522" t="s">
        <v>5016</v>
      </c>
      <c r="BK181" s="523"/>
    </row>
    <row r="182" spans="1:63" s="199" customFormat="1" ht="150">
      <c r="A182" s="522">
        <v>1</v>
      </c>
      <c r="B182" s="523" t="s">
        <v>5277</v>
      </c>
      <c r="C182" s="523" t="s">
        <v>7247</v>
      </c>
      <c r="D182" s="523" t="s">
        <v>231</v>
      </c>
      <c r="E182" s="523" t="s">
        <v>5853</v>
      </c>
      <c r="F182" s="523" t="s">
        <v>1752</v>
      </c>
      <c r="G182" s="523" t="s">
        <v>2344</v>
      </c>
      <c r="H182" s="524">
        <v>834964</v>
      </c>
      <c r="I182" s="525" t="s">
        <v>5282</v>
      </c>
      <c r="J182" s="525" t="s">
        <v>5003</v>
      </c>
      <c r="K182" s="525" t="s">
        <v>5003</v>
      </c>
      <c r="L182" s="525" t="s">
        <v>5004</v>
      </c>
      <c r="M182" s="525" t="s">
        <v>1755</v>
      </c>
      <c r="N182" s="525" t="s">
        <v>1773</v>
      </c>
      <c r="O182" s="525" t="s">
        <v>2234</v>
      </c>
      <c r="P182" s="526">
        <v>896.07500000000005</v>
      </c>
      <c r="Q182" s="526">
        <f t="shared" si="60"/>
        <v>1057.3685</v>
      </c>
      <c r="R182" s="526">
        <v>688.91023998633534</v>
      </c>
      <c r="S182" s="527" t="s">
        <v>1774</v>
      </c>
      <c r="T182" s="528">
        <v>1.087</v>
      </c>
      <c r="U182" s="528">
        <v>1.077</v>
      </c>
      <c r="V182" s="528">
        <v>1.073</v>
      </c>
      <c r="W182" s="529">
        <v>1.071</v>
      </c>
      <c r="X182" s="530">
        <v>0.9</v>
      </c>
      <c r="Y182" s="526">
        <v>806.64499999999998</v>
      </c>
      <c r="Z182" s="526">
        <f t="shared" si="61"/>
        <v>951.84109999999998</v>
      </c>
      <c r="AA182" s="531">
        <v>821.65607326596012</v>
      </c>
      <c r="AB182" s="532">
        <f t="shared" si="58"/>
        <v>969.55416645383286</v>
      </c>
      <c r="AC182" s="514">
        <f t="shared" si="65"/>
        <v>806.64499999999998</v>
      </c>
      <c r="AD182" s="493">
        <f t="shared" si="57"/>
        <v>951.84109999999998</v>
      </c>
      <c r="AE182" s="494" t="s">
        <v>1775</v>
      </c>
      <c r="AF182" s="523" t="s">
        <v>83</v>
      </c>
      <c r="AG182" s="523" t="s">
        <v>83</v>
      </c>
      <c r="AH182" s="523" t="s">
        <v>545</v>
      </c>
      <c r="AI182" s="533">
        <v>41654</v>
      </c>
      <c r="AJ182" s="533">
        <f t="shared" si="66"/>
        <v>41689</v>
      </c>
      <c r="AK182" s="534" t="s">
        <v>132</v>
      </c>
      <c r="AL182" s="534" t="s">
        <v>132</v>
      </c>
      <c r="AM182" s="535" t="s">
        <v>5005</v>
      </c>
      <c r="AN182" s="535" t="s">
        <v>1757</v>
      </c>
      <c r="AO182" s="524">
        <v>796</v>
      </c>
      <c r="AP182" s="523" t="s">
        <v>368</v>
      </c>
      <c r="AQ182" s="523">
        <v>1</v>
      </c>
      <c r="AR182" s="523">
        <v>46</v>
      </c>
      <c r="AS182" s="525" t="s">
        <v>605</v>
      </c>
      <c r="AT182" s="533">
        <f t="shared" si="63"/>
        <v>41709</v>
      </c>
      <c r="AU182" s="533">
        <f t="shared" si="64"/>
        <v>41709</v>
      </c>
      <c r="AV182" s="533">
        <v>41820</v>
      </c>
      <c r="AW182" s="523">
        <v>2014</v>
      </c>
      <c r="AX182" s="534"/>
      <c r="AY182" s="535" t="s">
        <v>186</v>
      </c>
      <c r="AZ182" s="534"/>
      <c r="BA182" s="523">
        <v>2014</v>
      </c>
      <c r="BB182" s="523" t="s">
        <v>5289</v>
      </c>
      <c r="BC182" s="536" t="s">
        <v>5290</v>
      </c>
      <c r="BD182" s="537" t="s">
        <v>1818</v>
      </c>
      <c r="BE182" s="538">
        <f>AV182+30</f>
        <v>41850</v>
      </c>
      <c r="BF182" s="539">
        <v>1084.2865419999998</v>
      </c>
      <c r="BG182" s="488">
        <v>996.35160804807276</v>
      </c>
      <c r="BH182" s="526">
        <v>0.1</v>
      </c>
      <c r="BI182" s="540">
        <v>0.1</v>
      </c>
      <c r="BJ182" s="522" t="s">
        <v>5016</v>
      </c>
      <c r="BK182" s="523"/>
    </row>
    <row r="183" spans="1:63" ht="150">
      <c r="A183" s="401">
        <v>1</v>
      </c>
      <c r="B183" s="494" t="s">
        <v>5266</v>
      </c>
      <c r="C183" s="401" t="s">
        <v>83</v>
      </c>
      <c r="D183" s="401" t="s">
        <v>231</v>
      </c>
      <c r="E183" s="494" t="s">
        <v>5853</v>
      </c>
      <c r="F183" s="401" t="s">
        <v>1752</v>
      </c>
      <c r="G183" s="401" t="s">
        <v>2344</v>
      </c>
      <c r="H183" s="499">
        <v>834920</v>
      </c>
      <c r="I183" s="496" t="s">
        <v>5265</v>
      </c>
      <c r="J183" s="496" t="s">
        <v>5003</v>
      </c>
      <c r="K183" s="496" t="s">
        <v>5003</v>
      </c>
      <c r="L183" s="496" t="s">
        <v>5004</v>
      </c>
      <c r="M183" s="500" t="s">
        <v>1755</v>
      </c>
      <c r="N183" s="496" t="s">
        <v>1773</v>
      </c>
      <c r="O183" s="496" t="s">
        <v>2234</v>
      </c>
      <c r="P183" s="489">
        <v>768.85799999999995</v>
      </c>
      <c r="Q183" s="489">
        <v>907.25243999999986</v>
      </c>
      <c r="R183" s="489">
        <v>591.10000854043892</v>
      </c>
      <c r="S183" s="401" t="s">
        <v>1774</v>
      </c>
      <c r="T183" s="501">
        <v>1.087</v>
      </c>
      <c r="U183" s="501">
        <v>1.077</v>
      </c>
      <c r="V183" s="501">
        <v>1.073</v>
      </c>
      <c r="W183" s="501">
        <v>1.071</v>
      </c>
      <c r="X183" s="596">
        <v>0.9</v>
      </c>
      <c r="Y183" s="502">
        <v>692.11900000000003</v>
      </c>
      <c r="Z183" s="489">
        <f t="shared" si="61"/>
        <v>816.70042000000001</v>
      </c>
      <c r="AA183" s="489">
        <v>704.99933458999999</v>
      </c>
      <c r="AB183" s="488">
        <f t="shared" si="58"/>
        <v>831.8992148161999</v>
      </c>
      <c r="AC183" s="492">
        <f t="shared" si="65"/>
        <v>692.11900000000003</v>
      </c>
      <c r="AD183" s="493">
        <f t="shared" si="57"/>
        <v>816.70042000000001</v>
      </c>
      <c r="AE183" s="494" t="s">
        <v>1775</v>
      </c>
      <c r="AF183" s="401" t="s">
        <v>231</v>
      </c>
      <c r="AG183" s="401" t="s">
        <v>5036</v>
      </c>
      <c r="AH183" s="401" t="s">
        <v>545</v>
      </c>
      <c r="AI183" s="495">
        <v>41654</v>
      </c>
      <c r="AJ183" s="495">
        <f t="shared" si="66"/>
        <v>41689</v>
      </c>
      <c r="AK183" s="487"/>
      <c r="AL183" s="487"/>
      <c r="AM183" s="487" t="s">
        <v>5005</v>
      </c>
      <c r="AN183" s="487" t="s">
        <v>4784</v>
      </c>
      <c r="AO183" s="499">
        <v>796</v>
      </c>
      <c r="AP183" s="401" t="s">
        <v>368</v>
      </c>
      <c r="AQ183" s="401">
        <v>1</v>
      </c>
      <c r="AR183" s="401">
        <v>46</v>
      </c>
      <c r="AS183" s="496" t="s">
        <v>605</v>
      </c>
      <c r="AT183" s="495">
        <f t="shared" si="63"/>
        <v>41709</v>
      </c>
      <c r="AU183" s="495">
        <f t="shared" si="64"/>
        <v>41709</v>
      </c>
      <c r="AV183" s="547">
        <v>42004</v>
      </c>
      <c r="AW183" s="548">
        <v>2014</v>
      </c>
      <c r="AX183" s="487"/>
      <c r="AY183" s="549" t="s">
        <v>186</v>
      </c>
      <c r="AZ183" s="487"/>
      <c r="BA183" s="401">
        <v>2014</v>
      </c>
      <c r="BB183" s="401" t="s">
        <v>5267</v>
      </c>
      <c r="BC183" s="487" t="s">
        <v>5268</v>
      </c>
      <c r="BD183" s="550" t="s">
        <v>1818</v>
      </c>
      <c r="BE183" s="551">
        <v>42004</v>
      </c>
      <c r="BF183" s="552">
        <v>930.28409299999998</v>
      </c>
      <c r="BG183" s="488">
        <v>911.67841113999998</v>
      </c>
      <c r="BH183" s="552">
        <v>6.3E-2</v>
      </c>
      <c r="BI183" s="552">
        <v>0.13500000000000001</v>
      </c>
      <c r="BJ183" s="548" t="s">
        <v>5016</v>
      </c>
      <c r="BK183" s="401"/>
    </row>
    <row r="184" spans="1:63" ht="150">
      <c r="A184" s="401">
        <v>1</v>
      </c>
      <c r="B184" s="494" t="s">
        <v>5269</v>
      </c>
      <c r="C184" s="401" t="s">
        <v>83</v>
      </c>
      <c r="D184" s="401" t="s">
        <v>231</v>
      </c>
      <c r="E184" s="494" t="s">
        <v>5853</v>
      </c>
      <c r="F184" s="401" t="s">
        <v>1752</v>
      </c>
      <c r="G184" s="401" t="s">
        <v>2344</v>
      </c>
      <c r="H184" s="499">
        <v>834921</v>
      </c>
      <c r="I184" s="496" t="s">
        <v>5270</v>
      </c>
      <c r="J184" s="496" t="s">
        <v>5003</v>
      </c>
      <c r="K184" s="496" t="s">
        <v>5003</v>
      </c>
      <c r="L184" s="496" t="s">
        <v>5004</v>
      </c>
      <c r="M184" s="500" t="s">
        <v>1755</v>
      </c>
      <c r="N184" s="496" t="s">
        <v>1773</v>
      </c>
      <c r="O184" s="496" t="s">
        <v>2234</v>
      </c>
      <c r="P184" s="489">
        <v>1923.403</v>
      </c>
      <c r="Q184" s="489">
        <v>2269.6155399999998</v>
      </c>
      <c r="R184" s="489">
        <v>1478.7300367238875</v>
      </c>
      <c r="S184" s="401" t="s">
        <v>1774</v>
      </c>
      <c r="T184" s="501">
        <v>1.087</v>
      </c>
      <c r="U184" s="501">
        <v>1.077</v>
      </c>
      <c r="V184" s="501">
        <v>1.073</v>
      </c>
      <c r="W184" s="501">
        <v>1.071</v>
      </c>
      <c r="X184" s="596">
        <v>0.9</v>
      </c>
      <c r="Y184" s="502">
        <v>1731.4449999999999</v>
      </c>
      <c r="Z184" s="489">
        <f t="shared" si="61"/>
        <v>2043.1050999999998</v>
      </c>
      <c r="AA184" s="489">
        <v>1763.66719145</v>
      </c>
      <c r="AB184" s="488">
        <f t="shared" si="58"/>
        <v>2081.1272859109999</v>
      </c>
      <c r="AC184" s="492">
        <f t="shared" si="65"/>
        <v>1731.4449999999999</v>
      </c>
      <c r="AD184" s="493">
        <f t="shared" si="57"/>
        <v>2043.1050999999998</v>
      </c>
      <c r="AE184" s="494" t="s">
        <v>1775</v>
      </c>
      <c r="AF184" s="401" t="s">
        <v>231</v>
      </c>
      <c r="AG184" s="401" t="s">
        <v>5036</v>
      </c>
      <c r="AH184" s="401" t="s">
        <v>545</v>
      </c>
      <c r="AI184" s="495">
        <v>41654</v>
      </c>
      <c r="AJ184" s="495">
        <f t="shared" si="66"/>
        <v>41689</v>
      </c>
      <c r="AK184" s="487"/>
      <c r="AL184" s="487"/>
      <c r="AM184" s="487" t="s">
        <v>5005</v>
      </c>
      <c r="AN184" s="487" t="s">
        <v>4784</v>
      </c>
      <c r="AO184" s="499">
        <v>796</v>
      </c>
      <c r="AP184" s="401" t="s">
        <v>368</v>
      </c>
      <c r="AQ184" s="401">
        <v>1</v>
      </c>
      <c r="AR184" s="401">
        <v>46</v>
      </c>
      <c r="AS184" s="496" t="s">
        <v>605</v>
      </c>
      <c r="AT184" s="495">
        <f t="shared" si="63"/>
        <v>41709</v>
      </c>
      <c r="AU184" s="495">
        <f t="shared" si="64"/>
        <v>41709</v>
      </c>
      <c r="AV184" s="547">
        <v>41820</v>
      </c>
      <c r="AW184" s="548">
        <v>2014</v>
      </c>
      <c r="AX184" s="487"/>
      <c r="AY184" s="549" t="s">
        <v>186</v>
      </c>
      <c r="AZ184" s="487"/>
      <c r="BA184" s="401">
        <v>2014</v>
      </c>
      <c r="BB184" s="401" t="s">
        <v>5271</v>
      </c>
      <c r="BC184" s="487" t="s">
        <v>5272</v>
      </c>
      <c r="BD184" s="550" t="s">
        <v>1818</v>
      </c>
      <c r="BE184" s="551">
        <f>AV184+30</f>
        <v>41850</v>
      </c>
      <c r="BF184" s="552">
        <v>2326.7195631999998</v>
      </c>
      <c r="BG184" s="488">
        <v>2280.1851719359997</v>
      </c>
      <c r="BH184" s="552">
        <v>6.3E-2</v>
      </c>
      <c r="BI184" s="552">
        <v>0.63</v>
      </c>
      <c r="BJ184" s="548" t="s">
        <v>5016</v>
      </c>
      <c r="BK184" s="401"/>
    </row>
    <row r="185" spans="1:63" ht="112.5">
      <c r="A185" s="401">
        <v>1</v>
      </c>
      <c r="B185" s="494" t="s">
        <v>5291</v>
      </c>
      <c r="C185" s="401" t="s">
        <v>83</v>
      </c>
      <c r="D185" s="401" t="s">
        <v>225</v>
      </c>
      <c r="E185" s="494" t="s">
        <v>5853</v>
      </c>
      <c r="F185" s="401" t="s">
        <v>1761</v>
      </c>
      <c r="G185" s="401" t="s">
        <v>1762</v>
      </c>
      <c r="H185" s="499">
        <v>813720</v>
      </c>
      <c r="I185" s="496" t="s">
        <v>5292</v>
      </c>
      <c r="J185" s="496" t="s">
        <v>2978</v>
      </c>
      <c r="K185" s="496" t="s">
        <v>2978</v>
      </c>
      <c r="L185" s="496" t="s">
        <v>2513</v>
      </c>
      <c r="M185" s="500" t="s">
        <v>1755</v>
      </c>
      <c r="N185" s="496" t="s">
        <v>1773</v>
      </c>
      <c r="O185" s="496" t="s">
        <v>2234</v>
      </c>
      <c r="P185" s="489">
        <v>4084.27</v>
      </c>
      <c r="Q185" s="489">
        <f>P185*1.18</f>
        <v>4819.4385999999995</v>
      </c>
      <c r="R185" s="489">
        <v>1063.24</v>
      </c>
      <c r="S185" s="401" t="s">
        <v>5970</v>
      </c>
      <c r="T185" s="501">
        <v>1.087</v>
      </c>
      <c r="U185" s="501">
        <v>1.0680000000000001</v>
      </c>
      <c r="V185" s="501">
        <v>1.0589999999999999</v>
      </c>
      <c r="W185" s="501">
        <v>1.0580000000000001</v>
      </c>
      <c r="X185" s="596">
        <v>0.9</v>
      </c>
      <c r="Y185" s="502">
        <v>4602.83</v>
      </c>
      <c r="Z185" s="489">
        <f t="shared" si="61"/>
        <v>5431.3393999999998</v>
      </c>
      <c r="AA185" s="489">
        <v>3889.819</v>
      </c>
      <c r="AB185" s="488">
        <f t="shared" si="58"/>
        <v>4589.9864199999993</v>
      </c>
      <c r="AC185" s="492">
        <f t="shared" si="65"/>
        <v>3889.819</v>
      </c>
      <c r="AD185" s="493">
        <f t="shared" si="57"/>
        <v>4589.9864199999993</v>
      </c>
      <c r="AE185" s="494" t="s">
        <v>1775</v>
      </c>
      <c r="AF185" s="401" t="s">
        <v>225</v>
      </c>
      <c r="AG185" s="401" t="s">
        <v>225</v>
      </c>
      <c r="AH185" s="401" t="s">
        <v>545</v>
      </c>
      <c r="AI185" s="495">
        <v>41654</v>
      </c>
      <c r="AJ185" s="495">
        <f t="shared" si="66"/>
        <v>41689</v>
      </c>
      <c r="AK185" s="487"/>
      <c r="AL185" s="487"/>
      <c r="AM185" s="487" t="s">
        <v>5293</v>
      </c>
      <c r="AN185" s="487" t="s">
        <v>4784</v>
      </c>
      <c r="AO185" s="499">
        <v>796</v>
      </c>
      <c r="AP185" s="401" t="s">
        <v>368</v>
      </c>
      <c r="AQ185" s="401">
        <v>1</v>
      </c>
      <c r="AR185" s="401">
        <v>46</v>
      </c>
      <c r="AS185" s="496" t="s">
        <v>605</v>
      </c>
      <c r="AT185" s="495">
        <f t="shared" si="63"/>
        <v>41709</v>
      </c>
      <c r="AU185" s="495">
        <f t="shared" si="64"/>
        <v>41709</v>
      </c>
      <c r="AV185" s="547">
        <v>41820</v>
      </c>
      <c r="AW185" s="548">
        <v>2014</v>
      </c>
      <c r="AX185" s="487"/>
      <c r="AY185" s="549" t="s">
        <v>186</v>
      </c>
      <c r="AZ185" s="487"/>
      <c r="BA185" s="401">
        <v>2014</v>
      </c>
      <c r="BB185" s="401" t="s">
        <v>5294</v>
      </c>
      <c r="BC185" s="487" t="s">
        <v>5295</v>
      </c>
      <c r="BD185" s="550" t="s">
        <v>1818</v>
      </c>
      <c r="BE185" s="551">
        <f>AV185+30</f>
        <v>41850</v>
      </c>
      <c r="BF185" s="498">
        <v>23139.966557</v>
      </c>
      <c r="BG185" s="488">
        <v>79521.879151409172</v>
      </c>
      <c r="BH185" s="552" t="s">
        <v>96</v>
      </c>
      <c r="BI185" s="552">
        <v>3.9</v>
      </c>
      <c r="BJ185" s="548" t="s">
        <v>1465</v>
      </c>
      <c r="BK185" s="401"/>
    </row>
    <row r="186" spans="1:63" ht="137.25" customHeight="1">
      <c r="A186" s="401">
        <v>1</v>
      </c>
      <c r="B186" s="494" t="s">
        <v>6140</v>
      </c>
      <c r="C186" s="401" t="s">
        <v>83</v>
      </c>
      <c r="D186" s="401" t="s">
        <v>231</v>
      </c>
      <c r="E186" s="494" t="s">
        <v>5853</v>
      </c>
      <c r="F186" s="401" t="s">
        <v>1752</v>
      </c>
      <c r="G186" s="401" t="s">
        <v>6141</v>
      </c>
      <c r="H186" s="499">
        <v>834820</v>
      </c>
      <c r="I186" s="486" t="s">
        <v>6142</v>
      </c>
      <c r="J186" s="496" t="s">
        <v>2991</v>
      </c>
      <c r="K186" s="496" t="s">
        <v>2991</v>
      </c>
      <c r="L186" s="496" t="s">
        <v>2513</v>
      </c>
      <c r="M186" s="500" t="s">
        <v>1755</v>
      </c>
      <c r="N186" s="496" t="s">
        <v>1773</v>
      </c>
      <c r="O186" s="496" t="s">
        <v>2234</v>
      </c>
      <c r="P186" s="489">
        <v>839.51900000000001</v>
      </c>
      <c r="Q186" s="489">
        <v>990.63241999999991</v>
      </c>
      <c r="R186" s="489">
        <v>668.56510969568285</v>
      </c>
      <c r="S186" s="401" t="s">
        <v>1774</v>
      </c>
      <c r="T186" s="501">
        <v>1.087</v>
      </c>
      <c r="U186" s="501">
        <v>1.077</v>
      </c>
      <c r="V186" s="501">
        <v>1.073</v>
      </c>
      <c r="W186" s="501">
        <v>1.071</v>
      </c>
      <c r="X186" s="596">
        <v>0.9</v>
      </c>
      <c r="Y186" s="502">
        <v>755.74599999999998</v>
      </c>
      <c r="Z186" s="489">
        <v>891.78027999999995</v>
      </c>
      <c r="AA186" s="489">
        <v>793.38215079999998</v>
      </c>
      <c r="AB186" s="488">
        <v>936.19093794399987</v>
      </c>
      <c r="AC186" s="492">
        <v>755.74599999999998</v>
      </c>
      <c r="AD186" s="493">
        <v>891.78027999999995</v>
      </c>
      <c r="AE186" s="494" t="s">
        <v>1775</v>
      </c>
      <c r="AF186" s="494" t="s">
        <v>83</v>
      </c>
      <c r="AG186" s="494" t="s">
        <v>211</v>
      </c>
      <c r="AH186" s="494" t="s">
        <v>545</v>
      </c>
      <c r="AI186" s="495">
        <v>41315</v>
      </c>
      <c r="AJ186" s="495">
        <v>41350</v>
      </c>
      <c r="AK186" s="494" t="s">
        <v>96</v>
      </c>
      <c r="AL186" s="494" t="s">
        <v>96</v>
      </c>
      <c r="AM186" s="496" t="s">
        <v>4929</v>
      </c>
      <c r="AN186" s="496" t="s">
        <v>1757</v>
      </c>
      <c r="AO186" s="494">
        <v>796</v>
      </c>
      <c r="AP186" s="494" t="s">
        <v>368</v>
      </c>
      <c r="AQ186" s="494">
        <v>1</v>
      </c>
      <c r="AR186" s="494">
        <v>46</v>
      </c>
      <c r="AS186" s="496" t="s">
        <v>605</v>
      </c>
      <c r="AT186" s="495">
        <v>41370</v>
      </c>
      <c r="AU186" s="495">
        <v>41370</v>
      </c>
      <c r="AV186" s="495">
        <v>42004</v>
      </c>
      <c r="AW186" s="494">
        <v>2014</v>
      </c>
      <c r="AX186" s="496"/>
      <c r="AY186" s="494" t="s">
        <v>186</v>
      </c>
      <c r="AZ186" s="494"/>
      <c r="BA186" s="494">
        <v>2014</v>
      </c>
      <c r="BB186" s="494" t="s">
        <v>6143</v>
      </c>
      <c r="BC186" s="496" t="s">
        <v>6144</v>
      </c>
      <c r="BD186" s="494" t="s">
        <v>1818</v>
      </c>
      <c r="BE186" s="497">
        <v>42004</v>
      </c>
      <c r="BF186" s="498">
        <v>1015.9465941999999</v>
      </c>
      <c r="BG186" s="488">
        <v>1015.9465941999999</v>
      </c>
      <c r="BH186" s="488">
        <v>0.16</v>
      </c>
      <c r="BI186" s="488">
        <v>0.02</v>
      </c>
      <c r="BJ186" s="494" t="s">
        <v>1465</v>
      </c>
      <c r="BK186" s="401"/>
    </row>
    <row r="187" spans="1:63" ht="137.25" customHeight="1">
      <c r="A187" s="401">
        <v>1</v>
      </c>
      <c r="B187" s="494" t="s">
        <v>6145</v>
      </c>
      <c r="C187" s="401" t="s">
        <v>83</v>
      </c>
      <c r="D187" s="401" t="s">
        <v>231</v>
      </c>
      <c r="E187" s="494" t="s">
        <v>5853</v>
      </c>
      <c r="F187" s="401" t="s">
        <v>1752</v>
      </c>
      <c r="G187" s="401" t="s">
        <v>6141</v>
      </c>
      <c r="H187" s="499">
        <v>834821</v>
      </c>
      <c r="I187" s="486" t="s">
        <v>6146</v>
      </c>
      <c r="J187" s="496" t="s">
        <v>2991</v>
      </c>
      <c r="K187" s="496" t="s">
        <v>2991</v>
      </c>
      <c r="L187" s="496" t="s">
        <v>2513</v>
      </c>
      <c r="M187" s="500" t="s">
        <v>1755</v>
      </c>
      <c r="N187" s="496" t="s">
        <v>1773</v>
      </c>
      <c r="O187" s="496" t="s">
        <v>2234</v>
      </c>
      <c r="P187" s="489">
        <v>839.51900000000001</v>
      </c>
      <c r="Q187" s="489">
        <v>990.63241999999991</v>
      </c>
      <c r="R187" s="489">
        <v>668.56510969568285</v>
      </c>
      <c r="S187" s="401" t="s">
        <v>1774</v>
      </c>
      <c r="T187" s="501">
        <v>1.087</v>
      </c>
      <c r="U187" s="501">
        <v>1.077</v>
      </c>
      <c r="V187" s="501">
        <v>1.073</v>
      </c>
      <c r="W187" s="501">
        <v>1.071</v>
      </c>
      <c r="X187" s="596">
        <v>0.9</v>
      </c>
      <c r="Y187" s="502">
        <v>755.74599999999998</v>
      </c>
      <c r="Z187" s="489">
        <v>891.78027999999995</v>
      </c>
      <c r="AA187" s="489">
        <v>793.38215079999998</v>
      </c>
      <c r="AB187" s="488">
        <v>936.19093794399987</v>
      </c>
      <c r="AC187" s="492">
        <v>755.74599999999998</v>
      </c>
      <c r="AD187" s="493">
        <v>891.78027999999995</v>
      </c>
      <c r="AE187" s="494" t="s">
        <v>1775</v>
      </c>
      <c r="AF187" s="494" t="s">
        <v>83</v>
      </c>
      <c r="AG187" s="494" t="s">
        <v>211</v>
      </c>
      <c r="AH187" s="494" t="s">
        <v>545</v>
      </c>
      <c r="AI187" s="495">
        <v>41315</v>
      </c>
      <c r="AJ187" s="495">
        <v>41350</v>
      </c>
      <c r="AK187" s="494" t="s">
        <v>96</v>
      </c>
      <c r="AL187" s="494" t="s">
        <v>96</v>
      </c>
      <c r="AM187" s="496" t="s">
        <v>4929</v>
      </c>
      <c r="AN187" s="496" t="s">
        <v>1757</v>
      </c>
      <c r="AO187" s="494">
        <v>796</v>
      </c>
      <c r="AP187" s="494" t="s">
        <v>368</v>
      </c>
      <c r="AQ187" s="494">
        <v>1</v>
      </c>
      <c r="AR187" s="494">
        <v>46</v>
      </c>
      <c r="AS187" s="496" t="s">
        <v>605</v>
      </c>
      <c r="AT187" s="495">
        <v>41370</v>
      </c>
      <c r="AU187" s="495">
        <v>41370</v>
      </c>
      <c r="AV187" s="495">
        <v>42004</v>
      </c>
      <c r="AW187" s="494">
        <v>2014</v>
      </c>
      <c r="AX187" s="496"/>
      <c r="AY187" s="494" t="s">
        <v>186</v>
      </c>
      <c r="AZ187" s="494"/>
      <c r="BA187" s="494">
        <v>2014</v>
      </c>
      <c r="BB187" s="494" t="s">
        <v>6147</v>
      </c>
      <c r="BC187" s="496" t="s">
        <v>6148</v>
      </c>
      <c r="BD187" s="494" t="s">
        <v>1818</v>
      </c>
      <c r="BE187" s="497">
        <v>42004</v>
      </c>
      <c r="BF187" s="498">
        <v>1015.9465941999999</v>
      </c>
      <c r="BG187" s="488">
        <v>1015.9465941999999</v>
      </c>
      <c r="BH187" s="488">
        <v>6.3E-2</v>
      </c>
      <c r="BI187" s="488">
        <v>0.35</v>
      </c>
      <c r="BJ187" s="494" t="s">
        <v>1465</v>
      </c>
      <c r="BK187" s="401"/>
    </row>
    <row r="188" spans="1:63" ht="99" customHeight="1">
      <c r="A188" s="401">
        <v>1</v>
      </c>
      <c r="B188" s="494" t="s">
        <v>6149</v>
      </c>
      <c r="C188" s="401" t="s">
        <v>83</v>
      </c>
      <c r="D188" s="401" t="s">
        <v>231</v>
      </c>
      <c r="E188" s="494" t="s">
        <v>5853</v>
      </c>
      <c r="F188" s="401" t="s">
        <v>1752</v>
      </c>
      <c r="G188" s="401" t="s">
        <v>6141</v>
      </c>
      <c r="H188" s="499">
        <v>834714</v>
      </c>
      <c r="I188" s="486" t="s">
        <v>6150</v>
      </c>
      <c r="J188" s="496" t="s">
        <v>2991</v>
      </c>
      <c r="K188" s="496" t="s">
        <v>2991</v>
      </c>
      <c r="L188" s="496" t="s">
        <v>2513</v>
      </c>
      <c r="M188" s="500" t="s">
        <v>1755</v>
      </c>
      <c r="N188" s="496" t="s">
        <v>1773</v>
      </c>
      <c r="O188" s="496" t="s">
        <v>2234</v>
      </c>
      <c r="P188" s="489">
        <v>2735.1328099999996</v>
      </c>
      <c r="Q188" s="489">
        <v>3227.4567157999995</v>
      </c>
      <c r="R188" s="489">
        <v>2178.1288136942671</v>
      </c>
      <c r="S188" s="401" t="s">
        <v>1774</v>
      </c>
      <c r="T188" s="501">
        <v>1.087</v>
      </c>
      <c r="U188" s="501">
        <v>1.077</v>
      </c>
      <c r="V188" s="501">
        <v>1.073</v>
      </c>
      <c r="W188" s="501">
        <v>1.071</v>
      </c>
      <c r="X188" s="596">
        <v>0.9</v>
      </c>
      <c r="Y188" s="502">
        <v>2462.1568109999998</v>
      </c>
      <c r="Z188" s="489">
        <v>2905.3450369799998</v>
      </c>
      <c r="AA188" s="489">
        <v>2584.7722201878</v>
      </c>
      <c r="AB188" s="488">
        <v>3050.0312198216038</v>
      </c>
      <c r="AC188" s="492">
        <v>2462.1568109999998</v>
      </c>
      <c r="AD188" s="493">
        <v>2905.3450369799998</v>
      </c>
      <c r="AE188" s="494" t="s">
        <v>1775</v>
      </c>
      <c r="AF188" s="494" t="s">
        <v>83</v>
      </c>
      <c r="AG188" s="494" t="s">
        <v>211</v>
      </c>
      <c r="AH188" s="494" t="s">
        <v>545</v>
      </c>
      <c r="AI188" s="495">
        <v>41315</v>
      </c>
      <c r="AJ188" s="495">
        <v>41350</v>
      </c>
      <c r="AK188" s="494" t="s">
        <v>96</v>
      </c>
      <c r="AL188" s="494" t="s">
        <v>96</v>
      </c>
      <c r="AM188" s="496" t="s">
        <v>4929</v>
      </c>
      <c r="AN188" s="496" t="s">
        <v>1757</v>
      </c>
      <c r="AO188" s="494">
        <v>796</v>
      </c>
      <c r="AP188" s="494" t="s">
        <v>368</v>
      </c>
      <c r="AQ188" s="494">
        <v>1</v>
      </c>
      <c r="AR188" s="494">
        <v>46</v>
      </c>
      <c r="AS188" s="496" t="s">
        <v>605</v>
      </c>
      <c r="AT188" s="495">
        <v>41370</v>
      </c>
      <c r="AU188" s="495">
        <v>41370</v>
      </c>
      <c r="AV188" s="495">
        <v>42004</v>
      </c>
      <c r="AW188" s="494">
        <v>2014</v>
      </c>
      <c r="AX188" s="496"/>
      <c r="AY188" s="494" t="s">
        <v>186</v>
      </c>
      <c r="AZ188" s="494"/>
      <c r="BA188" s="494">
        <v>2014</v>
      </c>
      <c r="BB188" s="494" t="s">
        <v>6151</v>
      </c>
      <c r="BC188" s="496" t="s">
        <v>6152</v>
      </c>
      <c r="BD188" s="494" t="s">
        <v>1818</v>
      </c>
      <c r="BE188" s="497">
        <v>42004</v>
      </c>
      <c r="BF188" s="498">
        <v>3308.712861</v>
      </c>
      <c r="BG188" s="488">
        <v>3308.712861</v>
      </c>
      <c r="BH188" s="488">
        <v>0.4</v>
      </c>
      <c r="BI188" s="488">
        <v>0.2</v>
      </c>
      <c r="BJ188" s="494" t="s">
        <v>5016</v>
      </c>
      <c r="BK188" s="401"/>
    </row>
    <row r="189" spans="1:63" ht="122.25" customHeight="1">
      <c r="A189" s="401">
        <v>1</v>
      </c>
      <c r="B189" s="494" t="s">
        <v>6153</v>
      </c>
      <c r="C189" s="401" t="s">
        <v>83</v>
      </c>
      <c r="D189" s="401" t="s">
        <v>231</v>
      </c>
      <c r="E189" s="494" t="s">
        <v>5853</v>
      </c>
      <c r="F189" s="401" t="s">
        <v>1752</v>
      </c>
      <c r="G189" s="401" t="s">
        <v>6141</v>
      </c>
      <c r="H189" s="499">
        <v>834715</v>
      </c>
      <c r="I189" s="486" t="s">
        <v>6154</v>
      </c>
      <c r="J189" s="496" t="s">
        <v>2991</v>
      </c>
      <c r="K189" s="496" t="s">
        <v>2991</v>
      </c>
      <c r="L189" s="496" t="s">
        <v>2513</v>
      </c>
      <c r="M189" s="500" t="s">
        <v>1755</v>
      </c>
      <c r="N189" s="496" t="s">
        <v>1773</v>
      </c>
      <c r="O189" s="496" t="s">
        <v>2234</v>
      </c>
      <c r="P189" s="489">
        <v>805.21523999999988</v>
      </c>
      <c r="Q189" s="489">
        <v>950.15398319999986</v>
      </c>
      <c r="R189" s="489">
        <v>641.2293391719744</v>
      </c>
      <c r="S189" s="401" t="s">
        <v>1774</v>
      </c>
      <c r="T189" s="501">
        <v>1.087</v>
      </c>
      <c r="U189" s="501">
        <v>1.077</v>
      </c>
      <c r="V189" s="501">
        <v>1.073</v>
      </c>
      <c r="W189" s="501">
        <v>1.071</v>
      </c>
      <c r="X189" s="596">
        <v>0.9</v>
      </c>
      <c r="Y189" s="502">
        <v>724.84564499999988</v>
      </c>
      <c r="Z189" s="489">
        <v>855.31786109999985</v>
      </c>
      <c r="AA189" s="489">
        <v>760.94295812099995</v>
      </c>
      <c r="AB189" s="488">
        <v>897.91269058277987</v>
      </c>
      <c r="AC189" s="492">
        <v>724.84564499999988</v>
      </c>
      <c r="AD189" s="493">
        <v>855.31786109999985</v>
      </c>
      <c r="AE189" s="494" t="s">
        <v>1775</v>
      </c>
      <c r="AF189" s="494" t="s">
        <v>83</v>
      </c>
      <c r="AG189" s="494" t="s">
        <v>211</v>
      </c>
      <c r="AH189" s="494" t="s">
        <v>545</v>
      </c>
      <c r="AI189" s="495">
        <v>41315</v>
      </c>
      <c r="AJ189" s="495">
        <v>41350</v>
      </c>
      <c r="AK189" s="494" t="s">
        <v>96</v>
      </c>
      <c r="AL189" s="494" t="s">
        <v>96</v>
      </c>
      <c r="AM189" s="496" t="s">
        <v>4929</v>
      </c>
      <c r="AN189" s="496" t="s">
        <v>1757</v>
      </c>
      <c r="AO189" s="494">
        <v>796</v>
      </c>
      <c r="AP189" s="494" t="s">
        <v>368</v>
      </c>
      <c r="AQ189" s="494">
        <v>1</v>
      </c>
      <c r="AR189" s="494">
        <v>46</v>
      </c>
      <c r="AS189" s="496" t="s">
        <v>605</v>
      </c>
      <c r="AT189" s="495">
        <v>41370</v>
      </c>
      <c r="AU189" s="495">
        <v>41370</v>
      </c>
      <c r="AV189" s="495">
        <v>42004</v>
      </c>
      <c r="AW189" s="494">
        <v>2014</v>
      </c>
      <c r="AX189" s="496"/>
      <c r="AY189" s="494" t="s">
        <v>186</v>
      </c>
      <c r="AZ189" s="494"/>
      <c r="BA189" s="494">
        <v>2014</v>
      </c>
      <c r="BB189" s="494" t="s">
        <v>6155</v>
      </c>
      <c r="BC189" s="496" t="s">
        <v>6156</v>
      </c>
      <c r="BD189" s="494" t="s">
        <v>1818</v>
      </c>
      <c r="BE189" s="497">
        <v>42004</v>
      </c>
      <c r="BF189" s="498">
        <v>973.91671699999995</v>
      </c>
      <c r="BG189" s="488">
        <v>973.91671699999995</v>
      </c>
      <c r="BH189" s="488">
        <v>6.3E-2</v>
      </c>
      <c r="BI189" s="488">
        <v>0.48799999999999999</v>
      </c>
      <c r="BJ189" s="494" t="s">
        <v>5016</v>
      </c>
      <c r="BK189" s="401"/>
    </row>
    <row r="190" spans="1:63" ht="96.75" customHeight="1">
      <c r="A190" s="504">
        <v>1</v>
      </c>
      <c r="B190" s="570" t="s">
        <v>6157</v>
      </c>
      <c r="C190" s="504" t="s">
        <v>83</v>
      </c>
      <c r="D190" s="504" t="s">
        <v>231</v>
      </c>
      <c r="E190" s="570" t="s">
        <v>5853</v>
      </c>
      <c r="F190" s="504" t="s">
        <v>1752</v>
      </c>
      <c r="G190" s="504" t="s">
        <v>6141</v>
      </c>
      <c r="H190" s="517">
        <v>834822</v>
      </c>
      <c r="I190" s="506" t="s">
        <v>6158</v>
      </c>
      <c r="J190" s="506" t="s">
        <v>2991</v>
      </c>
      <c r="K190" s="506" t="s">
        <v>2991</v>
      </c>
      <c r="L190" s="506" t="s">
        <v>2513</v>
      </c>
      <c r="M190" s="571" t="s">
        <v>1755</v>
      </c>
      <c r="N190" s="506" t="s">
        <v>1773</v>
      </c>
      <c r="O190" s="506" t="s">
        <v>2234</v>
      </c>
      <c r="P190" s="512">
        <v>3326.6170000000002</v>
      </c>
      <c r="Q190" s="512">
        <v>3925.4080600000002</v>
      </c>
      <c r="R190" s="512">
        <v>2743.1307501769284</v>
      </c>
      <c r="S190" s="504" t="s">
        <v>1774</v>
      </c>
      <c r="T190" s="572">
        <v>1.087</v>
      </c>
      <c r="U190" s="572">
        <v>1.077</v>
      </c>
      <c r="V190" s="572">
        <v>1.073</v>
      </c>
      <c r="W190" s="572">
        <v>1.071</v>
      </c>
      <c r="X190" s="511">
        <v>0.9</v>
      </c>
      <c r="Y190" s="507">
        <v>3100.835</v>
      </c>
      <c r="Z190" s="512">
        <v>3658.9852999999998</v>
      </c>
      <c r="AA190" s="512">
        <v>3255.2565830000003</v>
      </c>
      <c r="AB190" s="513">
        <v>3841.2027679400003</v>
      </c>
      <c r="AC190" s="512">
        <v>3100.835</v>
      </c>
      <c r="AD190" s="513">
        <v>3658.9852999999998</v>
      </c>
      <c r="AE190" s="494" t="s">
        <v>1775</v>
      </c>
      <c r="AF190" s="570" t="s">
        <v>83</v>
      </c>
      <c r="AG190" s="570" t="s">
        <v>211</v>
      </c>
      <c r="AH190" s="570" t="s">
        <v>545</v>
      </c>
      <c r="AI190" s="515">
        <v>41315</v>
      </c>
      <c r="AJ190" s="515">
        <v>41350</v>
      </c>
      <c r="AK190" s="570" t="s">
        <v>96</v>
      </c>
      <c r="AL190" s="570" t="s">
        <v>96</v>
      </c>
      <c r="AM190" s="506" t="s">
        <v>4929</v>
      </c>
      <c r="AN190" s="506" t="s">
        <v>1757</v>
      </c>
      <c r="AO190" s="570">
        <v>796</v>
      </c>
      <c r="AP190" s="570" t="s">
        <v>368</v>
      </c>
      <c r="AQ190" s="570">
        <v>1</v>
      </c>
      <c r="AR190" s="570">
        <v>46</v>
      </c>
      <c r="AS190" s="506" t="s">
        <v>605</v>
      </c>
      <c r="AT190" s="515">
        <v>41370</v>
      </c>
      <c r="AU190" s="515">
        <v>41370</v>
      </c>
      <c r="AV190" s="515">
        <v>42004</v>
      </c>
      <c r="AW190" s="570">
        <v>2014</v>
      </c>
      <c r="AX190" s="506"/>
      <c r="AY190" s="570" t="s">
        <v>186</v>
      </c>
      <c r="AZ190" s="570"/>
      <c r="BA190" s="570">
        <v>2014</v>
      </c>
      <c r="BB190" s="570" t="s">
        <v>2271</v>
      </c>
      <c r="BC190" s="506" t="s">
        <v>2271</v>
      </c>
      <c r="BD190" s="570" t="s">
        <v>2272</v>
      </c>
      <c r="BE190" s="573" t="s">
        <v>2272</v>
      </c>
      <c r="BF190" s="574" t="s">
        <v>2272</v>
      </c>
      <c r="BG190" s="488" t="s">
        <v>2272</v>
      </c>
      <c r="BH190" s="513" t="s">
        <v>2272</v>
      </c>
      <c r="BI190" s="513" t="s">
        <v>2272</v>
      </c>
      <c r="BJ190" s="570" t="s">
        <v>1465</v>
      </c>
      <c r="BK190" s="504"/>
    </row>
    <row r="191" spans="1:63" ht="150">
      <c r="A191" s="523">
        <v>1</v>
      </c>
      <c r="B191" s="534" t="s">
        <v>6159</v>
      </c>
      <c r="C191" s="523" t="s">
        <v>7247</v>
      </c>
      <c r="D191" s="523" t="s">
        <v>231</v>
      </c>
      <c r="E191" s="534" t="s">
        <v>5853</v>
      </c>
      <c r="F191" s="523" t="s">
        <v>1752</v>
      </c>
      <c r="G191" s="523" t="s">
        <v>6141</v>
      </c>
      <c r="H191" s="524" t="s">
        <v>6160</v>
      </c>
      <c r="I191" s="525" t="s">
        <v>6161</v>
      </c>
      <c r="J191" s="525" t="s">
        <v>2991</v>
      </c>
      <c r="K191" s="525" t="s">
        <v>2991</v>
      </c>
      <c r="L191" s="525" t="s">
        <v>2513</v>
      </c>
      <c r="M191" s="541" t="s">
        <v>1755</v>
      </c>
      <c r="N191" s="525" t="s">
        <v>1773</v>
      </c>
      <c r="O191" s="525" t="s">
        <v>2234</v>
      </c>
      <c r="P191" s="531" t="s">
        <v>132</v>
      </c>
      <c r="Q191" s="531" t="s">
        <v>132</v>
      </c>
      <c r="R191" s="531" t="s">
        <v>132</v>
      </c>
      <c r="S191" s="523" t="s">
        <v>1774</v>
      </c>
      <c r="T191" s="542">
        <v>1.087</v>
      </c>
      <c r="U191" s="543">
        <v>1.077</v>
      </c>
      <c r="V191" s="543">
        <v>1.073</v>
      </c>
      <c r="W191" s="543">
        <v>1.071</v>
      </c>
      <c r="X191" s="544">
        <v>0.9</v>
      </c>
      <c r="Y191" s="526">
        <v>1199.329</v>
      </c>
      <c r="Z191" s="531">
        <v>1415.2082199999998</v>
      </c>
      <c r="AA191" s="531">
        <v>1259.0555842000001</v>
      </c>
      <c r="AB191" s="532">
        <v>1485.685589356</v>
      </c>
      <c r="AC191" s="531">
        <v>1199.329</v>
      </c>
      <c r="AD191" s="532">
        <v>1415.2082199999998</v>
      </c>
      <c r="AE191" s="494" t="s">
        <v>1775</v>
      </c>
      <c r="AF191" s="534" t="s">
        <v>83</v>
      </c>
      <c r="AG191" s="534" t="s">
        <v>211</v>
      </c>
      <c r="AH191" s="534" t="s">
        <v>545</v>
      </c>
      <c r="AI191" s="533">
        <v>41315</v>
      </c>
      <c r="AJ191" s="533">
        <v>41350</v>
      </c>
      <c r="AK191" s="534" t="s">
        <v>96</v>
      </c>
      <c r="AL191" s="534" t="s">
        <v>96</v>
      </c>
      <c r="AM191" s="525" t="s">
        <v>4929</v>
      </c>
      <c r="AN191" s="525" t="s">
        <v>1757</v>
      </c>
      <c r="AO191" s="534">
        <v>796</v>
      </c>
      <c r="AP191" s="534" t="s">
        <v>368</v>
      </c>
      <c r="AQ191" s="534">
        <v>1</v>
      </c>
      <c r="AR191" s="534">
        <v>46</v>
      </c>
      <c r="AS191" s="525" t="s">
        <v>605</v>
      </c>
      <c r="AT191" s="533">
        <v>41370</v>
      </c>
      <c r="AU191" s="533">
        <v>41370</v>
      </c>
      <c r="AV191" s="533">
        <v>42004</v>
      </c>
      <c r="AW191" s="534">
        <v>2014</v>
      </c>
      <c r="AX191" s="525"/>
      <c r="AY191" s="534" t="s">
        <v>186</v>
      </c>
      <c r="AZ191" s="534"/>
      <c r="BA191" s="534">
        <v>2014</v>
      </c>
      <c r="BB191" s="534" t="s">
        <v>6162</v>
      </c>
      <c r="BC191" s="525" t="s">
        <v>6163</v>
      </c>
      <c r="BD191" s="534" t="s">
        <v>1818</v>
      </c>
      <c r="BE191" s="545">
        <v>42004</v>
      </c>
      <c r="BF191" s="546">
        <v>1556.7763599999998</v>
      </c>
      <c r="BG191" s="488">
        <v>1556.7763599999998</v>
      </c>
      <c r="BH191" s="532">
        <v>0</v>
      </c>
      <c r="BI191" s="532">
        <v>0.46</v>
      </c>
      <c r="BJ191" s="534" t="s">
        <v>5016</v>
      </c>
      <c r="BK191" s="523"/>
    </row>
    <row r="192" spans="1:63" ht="150">
      <c r="A192" s="523">
        <v>1</v>
      </c>
      <c r="B192" s="534" t="s">
        <v>6164</v>
      </c>
      <c r="C192" s="523" t="s">
        <v>7247</v>
      </c>
      <c r="D192" s="523" t="s">
        <v>231</v>
      </c>
      <c r="E192" s="534" t="s">
        <v>5853</v>
      </c>
      <c r="F192" s="523" t="s">
        <v>1752</v>
      </c>
      <c r="G192" s="523" t="s">
        <v>6141</v>
      </c>
      <c r="H192" s="524" t="s">
        <v>6160</v>
      </c>
      <c r="I192" s="525" t="s">
        <v>6165</v>
      </c>
      <c r="J192" s="525" t="s">
        <v>2991</v>
      </c>
      <c r="K192" s="525" t="s">
        <v>2991</v>
      </c>
      <c r="L192" s="525" t="s">
        <v>2513</v>
      </c>
      <c r="M192" s="541" t="s">
        <v>1755</v>
      </c>
      <c r="N192" s="525" t="s">
        <v>1773</v>
      </c>
      <c r="O192" s="525" t="s">
        <v>2234</v>
      </c>
      <c r="P192" s="531" t="s">
        <v>132</v>
      </c>
      <c r="Q192" s="531" t="s">
        <v>132</v>
      </c>
      <c r="R192" s="531" t="s">
        <v>132</v>
      </c>
      <c r="S192" s="523" t="s">
        <v>1774</v>
      </c>
      <c r="T192" s="542">
        <v>1.087</v>
      </c>
      <c r="U192" s="543">
        <v>1.077</v>
      </c>
      <c r="V192" s="543">
        <v>1.073</v>
      </c>
      <c r="W192" s="543">
        <v>1.071</v>
      </c>
      <c r="X192" s="544">
        <v>0.9</v>
      </c>
      <c r="Y192" s="526">
        <v>1901.5060000000001</v>
      </c>
      <c r="Z192" s="531">
        <v>2243.7770799999998</v>
      </c>
      <c r="AA192" s="531">
        <v>1996.2009988000002</v>
      </c>
      <c r="AB192" s="532">
        <v>2355.5171785840002</v>
      </c>
      <c r="AC192" s="531">
        <v>1901.5060000000001</v>
      </c>
      <c r="AD192" s="532">
        <v>2243.7770799999998</v>
      </c>
      <c r="AE192" s="494" t="s">
        <v>1775</v>
      </c>
      <c r="AF192" s="534" t="s">
        <v>83</v>
      </c>
      <c r="AG192" s="534" t="s">
        <v>211</v>
      </c>
      <c r="AH192" s="534" t="s">
        <v>545</v>
      </c>
      <c r="AI192" s="533">
        <v>41315</v>
      </c>
      <c r="AJ192" s="533">
        <v>41350</v>
      </c>
      <c r="AK192" s="534" t="s">
        <v>96</v>
      </c>
      <c r="AL192" s="534" t="s">
        <v>96</v>
      </c>
      <c r="AM192" s="525" t="s">
        <v>4929</v>
      </c>
      <c r="AN192" s="525" t="s">
        <v>1757</v>
      </c>
      <c r="AO192" s="534">
        <v>796</v>
      </c>
      <c r="AP192" s="534" t="s">
        <v>368</v>
      </c>
      <c r="AQ192" s="534">
        <v>1</v>
      </c>
      <c r="AR192" s="534">
        <v>46</v>
      </c>
      <c r="AS192" s="525" t="s">
        <v>605</v>
      </c>
      <c r="AT192" s="533">
        <v>41370</v>
      </c>
      <c r="AU192" s="533">
        <v>41370</v>
      </c>
      <c r="AV192" s="533">
        <v>42004</v>
      </c>
      <c r="AW192" s="534">
        <v>2014</v>
      </c>
      <c r="AX192" s="525"/>
      <c r="AY192" s="534" t="s">
        <v>186</v>
      </c>
      <c r="AZ192" s="534"/>
      <c r="BA192" s="534">
        <v>2014</v>
      </c>
      <c r="BB192" s="534" t="s">
        <v>6166</v>
      </c>
      <c r="BC192" s="525" t="s">
        <v>6167</v>
      </c>
      <c r="BD192" s="534" t="s">
        <v>1818</v>
      </c>
      <c r="BE192" s="545">
        <v>42004</v>
      </c>
      <c r="BF192" s="546">
        <v>2492.4278599999998</v>
      </c>
      <c r="BG192" s="488">
        <v>2492.4278599999998</v>
      </c>
      <c r="BH192" s="532">
        <v>0</v>
      </c>
      <c r="BI192" s="532">
        <v>0.18</v>
      </c>
      <c r="BJ192" s="534" t="s">
        <v>5016</v>
      </c>
      <c r="BK192" s="523"/>
    </row>
    <row r="193" spans="1:63" ht="96.75" customHeight="1">
      <c r="A193" s="504">
        <v>1</v>
      </c>
      <c r="B193" s="570" t="s">
        <v>6168</v>
      </c>
      <c r="C193" s="504" t="s">
        <v>83</v>
      </c>
      <c r="D193" s="504" t="s">
        <v>231</v>
      </c>
      <c r="E193" s="570" t="s">
        <v>5853</v>
      </c>
      <c r="F193" s="504" t="s">
        <v>1752</v>
      </c>
      <c r="G193" s="504" t="s">
        <v>6141</v>
      </c>
      <c r="H193" s="517">
        <v>834825</v>
      </c>
      <c r="I193" s="506" t="s">
        <v>6169</v>
      </c>
      <c r="J193" s="506" t="s">
        <v>2991</v>
      </c>
      <c r="K193" s="506" t="s">
        <v>2991</v>
      </c>
      <c r="L193" s="506" t="s">
        <v>2513</v>
      </c>
      <c r="M193" s="571" t="s">
        <v>1755</v>
      </c>
      <c r="N193" s="506" t="s">
        <v>1773</v>
      </c>
      <c r="O193" s="506" t="s">
        <v>2234</v>
      </c>
      <c r="P193" s="512">
        <v>3628.3009999999999</v>
      </c>
      <c r="Q193" s="512">
        <v>4281.3951799999995</v>
      </c>
      <c r="R193" s="512">
        <v>2991.906404812456</v>
      </c>
      <c r="S193" s="504" t="s">
        <v>1774</v>
      </c>
      <c r="T193" s="572">
        <v>1.087</v>
      </c>
      <c r="U193" s="572">
        <v>1.077</v>
      </c>
      <c r="V193" s="572">
        <v>1.073</v>
      </c>
      <c r="W193" s="572">
        <v>1.071</v>
      </c>
      <c r="X193" s="511">
        <v>0.9</v>
      </c>
      <c r="Y193" s="507">
        <v>3382.0509999999999</v>
      </c>
      <c r="Z193" s="512">
        <v>3990.8201799999997</v>
      </c>
      <c r="AA193" s="512">
        <v>3550.4771398000003</v>
      </c>
      <c r="AB193" s="513">
        <v>4189.5630249639999</v>
      </c>
      <c r="AC193" s="512">
        <v>3382.0509999999999</v>
      </c>
      <c r="AD193" s="513">
        <v>3990.8201799999997</v>
      </c>
      <c r="AE193" s="494" t="s">
        <v>1775</v>
      </c>
      <c r="AF193" s="570" t="s">
        <v>83</v>
      </c>
      <c r="AG193" s="570" t="s">
        <v>211</v>
      </c>
      <c r="AH193" s="570" t="s">
        <v>545</v>
      </c>
      <c r="AI193" s="515">
        <v>41315</v>
      </c>
      <c r="AJ193" s="515">
        <v>41350</v>
      </c>
      <c r="AK193" s="570" t="s">
        <v>96</v>
      </c>
      <c r="AL193" s="570" t="s">
        <v>96</v>
      </c>
      <c r="AM193" s="506" t="s">
        <v>4929</v>
      </c>
      <c r="AN193" s="506" t="s">
        <v>1757</v>
      </c>
      <c r="AO193" s="570">
        <v>796</v>
      </c>
      <c r="AP193" s="570" t="s">
        <v>368</v>
      </c>
      <c r="AQ193" s="570">
        <v>1</v>
      </c>
      <c r="AR193" s="570">
        <v>46</v>
      </c>
      <c r="AS193" s="506" t="s">
        <v>605</v>
      </c>
      <c r="AT193" s="515">
        <v>41370</v>
      </c>
      <c r="AU193" s="515">
        <v>41370</v>
      </c>
      <c r="AV193" s="515">
        <v>42004</v>
      </c>
      <c r="AW193" s="570">
        <v>2014</v>
      </c>
      <c r="AX193" s="506"/>
      <c r="AY193" s="570" t="s">
        <v>186</v>
      </c>
      <c r="AZ193" s="570"/>
      <c r="BA193" s="570">
        <v>2014</v>
      </c>
      <c r="BB193" s="570" t="s">
        <v>2271</v>
      </c>
      <c r="BC193" s="506" t="s">
        <v>2271</v>
      </c>
      <c r="BD193" s="570" t="s">
        <v>2272</v>
      </c>
      <c r="BE193" s="573" t="s">
        <v>2272</v>
      </c>
      <c r="BF193" s="574" t="s">
        <v>2272</v>
      </c>
      <c r="BG193" s="488" t="s">
        <v>2272</v>
      </c>
      <c r="BH193" s="513" t="s">
        <v>2272</v>
      </c>
      <c r="BI193" s="513" t="s">
        <v>2272</v>
      </c>
      <c r="BJ193" s="570" t="s">
        <v>5016</v>
      </c>
      <c r="BK193" s="504"/>
    </row>
    <row r="194" spans="1:63" ht="150">
      <c r="A194" s="523">
        <v>1</v>
      </c>
      <c r="B194" s="534" t="s">
        <v>6170</v>
      </c>
      <c r="C194" s="523" t="s">
        <v>7247</v>
      </c>
      <c r="D194" s="523" t="s">
        <v>231</v>
      </c>
      <c r="E194" s="534" t="s">
        <v>5853</v>
      </c>
      <c r="F194" s="523" t="s">
        <v>1752</v>
      </c>
      <c r="G194" s="523" t="s">
        <v>6141</v>
      </c>
      <c r="H194" s="524" t="s">
        <v>6160</v>
      </c>
      <c r="I194" s="525" t="s">
        <v>6171</v>
      </c>
      <c r="J194" s="525" t="s">
        <v>2991</v>
      </c>
      <c r="K194" s="525" t="s">
        <v>2991</v>
      </c>
      <c r="L194" s="525" t="s">
        <v>2513</v>
      </c>
      <c r="M194" s="541" t="s">
        <v>1755</v>
      </c>
      <c r="N194" s="525" t="s">
        <v>1773</v>
      </c>
      <c r="O194" s="525" t="s">
        <v>2234</v>
      </c>
      <c r="P194" s="531" t="s">
        <v>132</v>
      </c>
      <c r="Q194" s="531" t="s">
        <v>132</v>
      </c>
      <c r="R194" s="531" t="s">
        <v>132</v>
      </c>
      <c r="S194" s="523" t="s">
        <v>1774</v>
      </c>
      <c r="T194" s="542">
        <v>1.087</v>
      </c>
      <c r="U194" s="543">
        <v>1.077</v>
      </c>
      <c r="V194" s="543">
        <v>1.073</v>
      </c>
      <c r="W194" s="543">
        <v>1.071</v>
      </c>
      <c r="X194" s="544">
        <v>0.9</v>
      </c>
      <c r="Y194" s="526">
        <v>949.02599999999995</v>
      </c>
      <c r="Z194" s="531">
        <v>1119.8506799999998</v>
      </c>
      <c r="AA194" s="531">
        <v>996.28749479999999</v>
      </c>
      <c r="AB194" s="532">
        <v>1175.6192438639998</v>
      </c>
      <c r="AC194" s="531">
        <v>949.02599999999995</v>
      </c>
      <c r="AD194" s="532">
        <v>1119.8506799999998</v>
      </c>
      <c r="AE194" s="494" t="s">
        <v>1775</v>
      </c>
      <c r="AF194" s="534" t="s">
        <v>83</v>
      </c>
      <c r="AG194" s="534" t="s">
        <v>211</v>
      </c>
      <c r="AH194" s="534" t="s">
        <v>545</v>
      </c>
      <c r="AI194" s="533">
        <v>41315</v>
      </c>
      <c r="AJ194" s="533">
        <v>41350</v>
      </c>
      <c r="AK194" s="534" t="s">
        <v>96</v>
      </c>
      <c r="AL194" s="534" t="s">
        <v>96</v>
      </c>
      <c r="AM194" s="525" t="s">
        <v>4929</v>
      </c>
      <c r="AN194" s="525" t="s">
        <v>1757</v>
      </c>
      <c r="AO194" s="534">
        <v>796</v>
      </c>
      <c r="AP194" s="534" t="s">
        <v>368</v>
      </c>
      <c r="AQ194" s="534">
        <v>1</v>
      </c>
      <c r="AR194" s="534">
        <v>46</v>
      </c>
      <c r="AS194" s="525" t="s">
        <v>605</v>
      </c>
      <c r="AT194" s="533">
        <v>41370</v>
      </c>
      <c r="AU194" s="533">
        <v>41370</v>
      </c>
      <c r="AV194" s="533">
        <v>42004</v>
      </c>
      <c r="AW194" s="534">
        <v>2014</v>
      </c>
      <c r="AX194" s="525"/>
      <c r="AY194" s="534" t="s">
        <v>186</v>
      </c>
      <c r="AZ194" s="534"/>
      <c r="BA194" s="534">
        <v>2014</v>
      </c>
      <c r="BB194" s="534" t="s">
        <v>6172</v>
      </c>
      <c r="BC194" s="525" t="s">
        <v>6173</v>
      </c>
      <c r="BD194" s="534" t="s">
        <v>1818</v>
      </c>
      <c r="BE194" s="545">
        <v>42004</v>
      </c>
      <c r="BF194" s="546">
        <v>1231.96012</v>
      </c>
      <c r="BG194" s="488">
        <v>1231.96012</v>
      </c>
      <c r="BH194" s="532">
        <v>0</v>
      </c>
      <c r="BI194" s="532">
        <v>1.5</v>
      </c>
      <c r="BJ194" s="534" t="s">
        <v>5016</v>
      </c>
      <c r="BK194" s="523"/>
    </row>
    <row r="195" spans="1:63" ht="150">
      <c r="A195" s="523">
        <v>1</v>
      </c>
      <c r="B195" s="534" t="s">
        <v>6174</v>
      </c>
      <c r="C195" s="523" t="s">
        <v>7247</v>
      </c>
      <c r="D195" s="523" t="s">
        <v>231</v>
      </c>
      <c r="E195" s="534" t="s">
        <v>5853</v>
      </c>
      <c r="F195" s="523" t="s">
        <v>1752</v>
      </c>
      <c r="G195" s="523" t="s">
        <v>6141</v>
      </c>
      <c r="H195" s="524" t="s">
        <v>6160</v>
      </c>
      <c r="I195" s="525" t="s">
        <v>6175</v>
      </c>
      <c r="J195" s="525" t="s">
        <v>2991</v>
      </c>
      <c r="K195" s="525" t="s">
        <v>2991</v>
      </c>
      <c r="L195" s="525" t="s">
        <v>2513</v>
      </c>
      <c r="M195" s="541" t="s">
        <v>1755</v>
      </c>
      <c r="N195" s="525" t="s">
        <v>1773</v>
      </c>
      <c r="O195" s="525" t="s">
        <v>2234</v>
      </c>
      <c r="P195" s="531" t="s">
        <v>132</v>
      </c>
      <c r="Q195" s="531" t="s">
        <v>132</v>
      </c>
      <c r="R195" s="531" t="s">
        <v>132</v>
      </c>
      <c r="S195" s="523" t="s">
        <v>1774</v>
      </c>
      <c r="T195" s="542">
        <v>1.087</v>
      </c>
      <c r="U195" s="543">
        <v>1.077</v>
      </c>
      <c r="V195" s="543">
        <v>1.073</v>
      </c>
      <c r="W195" s="543">
        <v>1.071</v>
      </c>
      <c r="X195" s="544">
        <v>0.9</v>
      </c>
      <c r="Y195" s="526">
        <v>1932.9449999999999</v>
      </c>
      <c r="Z195" s="531">
        <v>2280.8750999999997</v>
      </c>
      <c r="AA195" s="531">
        <v>2029.205661</v>
      </c>
      <c r="AB195" s="532">
        <v>2394.4626799799998</v>
      </c>
      <c r="AC195" s="531">
        <v>1932.9449999999999</v>
      </c>
      <c r="AD195" s="532">
        <v>2280.8750999999997</v>
      </c>
      <c r="AE195" s="494" t="s">
        <v>1775</v>
      </c>
      <c r="AF195" s="534" t="s">
        <v>83</v>
      </c>
      <c r="AG195" s="534" t="s">
        <v>211</v>
      </c>
      <c r="AH195" s="534" t="s">
        <v>545</v>
      </c>
      <c r="AI195" s="533">
        <v>41315</v>
      </c>
      <c r="AJ195" s="533">
        <v>41350</v>
      </c>
      <c r="AK195" s="534" t="s">
        <v>96</v>
      </c>
      <c r="AL195" s="534" t="s">
        <v>96</v>
      </c>
      <c r="AM195" s="525" t="s">
        <v>4929</v>
      </c>
      <c r="AN195" s="525" t="s">
        <v>1757</v>
      </c>
      <c r="AO195" s="534">
        <v>796</v>
      </c>
      <c r="AP195" s="534" t="s">
        <v>368</v>
      </c>
      <c r="AQ195" s="534">
        <v>1</v>
      </c>
      <c r="AR195" s="534">
        <v>46</v>
      </c>
      <c r="AS195" s="525" t="s">
        <v>605</v>
      </c>
      <c r="AT195" s="533">
        <v>41370</v>
      </c>
      <c r="AU195" s="533">
        <v>41370</v>
      </c>
      <c r="AV195" s="533">
        <v>42004</v>
      </c>
      <c r="AW195" s="534">
        <v>2014</v>
      </c>
      <c r="AX195" s="525"/>
      <c r="AY195" s="534" t="s">
        <v>186</v>
      </c>
      <c r="AZ195" s="534"/>
      <c r="BA195" s="534">
        <v>2014</v>
      </c>
      <c r="BB195" s="534" t="s">
        <v>6176</v>
      </c>
      <c r="BC195" s="525" t="s">
        <v>6177</v>
      </c>
      <c r="BD195" s="534" t="s">
        <v>1818</v>
      </c>
      <c r="BE195" s="545">
        <v>42004</v>
      </c>
      <c r="BF195" s="546">
        <v>2508.1466399999995</v>
      </c>
      <c r="BG195" s="488">
        <v>2508.1466399999995</v>
      </c>
      <c r="BH195" s="532">
        <v>0</v>
      </c>
      <c r="BI195" s="532">
        <v>0.5</v>
      </c>
      <c r="BJ195" s="534" t="s">
        <v>5016</v>
      </c>
      <c r="BK195" s="523"/>
    </row>
    <row r="196" spans="1:63" ht="150">
      <c r="A196" s="523">
        <v>1</v>
      </c>
      <c r="B196" s="534" t="s">
        <v>6178</v>
      </c>
      <c r="C196" s="523" t="s">
        <v>7247</v>
      </c>
      <c r="D196" s="523" t="s">
        <v>231</v>
      </c>
      <c r="E196" s="534" t="s">
        <v>5853</v>
      </c>
      <c r="F196" s="523" t="s">
        <v>1752</v>
      </c>
      <c r="G196" s="523" t="s">
        <v>6141</v>
      </c>
      <c r="H196" s="524" t="s">
        <v>6160</v>
      </c>
      <c r="I196" s="525" t="s">
        <v>6179</v>
      </c>
      <c r="J196" s="525" t="s">
        <v>2991</v>
      </c>
      <c r="K196" s="525" t="s">
        <v>2991</v>
      </c>
      <c r="L196" s="525" t="s">
        <v>2513</v>
      </c>
      <c r="M196" s="541" t="s">
        <v>1755</v>
      </c>
      <c r="N196" s="525" t="s">
        <v>1773</v>
      </c>
      <c r="O196" s="525" t="s">
        <v>2234</v>
      </c>
      <c r="P196" s="531" t="s">
        <v>132</v>
      </c>
      <c r="Q196" s="531" t="s">
        <v>132</v>
      </c>
      <c r="R196" s="531" t="s">
        <v>132</v>
      </c>
      <c r="S196" s="523" t="s">
        <v>1774</v>
      </c>
      <c r="T196" s="542">
        <v>1.087</v>
      </c>
      <c r="U196" s="543">
        <v>1.077</v>
      </c>
      <c r="V196" s="543">
        <v>1.073</v>
      </c>
      <c r="W196" s="543">
        <v>1.071</v>
      </c>
      <c r="X196" s="544">
        <v>0.9</v>
      </c>
      <c r="Y196" s="526">
        <v>500.08</v>
      </c>
      <c r="Z196" s="531">
        <v>590.09439999999995</v>
      </c>
      <c r="AA196" s="531">
        <v>524.98398399999996</v>
      </c>
      <c r="AB196" s="532">
        <v>619.48110111999995</v>
      </c>
      <c r="AC196" s="531">
        <v>500.08</v>
      </c>
      <c r="AD196" s="532">
        <v>590.09439999999995</v>
      </c>
      <c r="AE196" s="494" t="s">
        <v>1775</v>
      </c>
      <c r="AF196" s="534" t="s">
        <v>83</v>
      </c>
      <c r="AG196" s="534" t="s">
        <v>211</v>
      </c>
      <c r="AH196" s="534" t="s">
        <v>545</v>
      </c>
      <c r="AI196" s="533">
        <v>41315</v>
      </c>
      <c r="AJ196" s="533">
        <v>41350</v>
      </c>
      <c r="AK196" s="534" t="s">
        <v>96</v>
      </c>
      <c r="AL196" s="534" t="s">
        <v>96</v>
      </c>
      <c r="AM196" s="525" t="s">
        <v>4929</v>
      </c>
      <c r="AN196" s="525" t="s">
        <v>1757</v>
      </c>
      <c r="AO196" s="534">
        <v>796</v>
      </c>
      <c r="AP196" s="534" t="s">
        <v>368</v>
      </c>
      <c r="AQ196" s="534">
        <v>1</v>
      </c>
      <c r="AR196" s="534">
        <v>46</v>
      </c>
      <c r="AS196" s="525" t="s">
        <v>605</v>
      </c>
      <c r="AT196" s="533">
        <v>41370</v>
      </c>
      <c r="AU196" s="533">
        <v>41370</v>
      </c>
      <c r="AV196" s="533">
        <v>42004</v>
      </c>
      <c r="AW196" s="534">
        <v>2014</v>
      </c>
      <c r="AX196" s="525"/>
      <c r="AY196" s="534" t="s">
        <v>186</v>
      </c>
      <c r="AZ196" s="534"/>
      <c r="BA196" s="534">
        <v>2014</v>
      </c>
      <c r="BB196" s="534" t="s">
        <v>6180</v>
      </c>
      <c r="BC196" s="525" t="s">
        <v>6181</v>
      </c>
      <c r="BD196" s="534" t="s">
        <v>1818</v>
      </c>
      <c r="BE196" s="545">
        <v>42004</v>
      </c>
      <c r="BF196" s="546">
        <v>648.93628000000001</v>
      </c>
      <c r="BG196" s="488">
        <v>648.93628000000001</v>
      </c>
      <c r="BH196" s="532">
        <v>0</v>
      </c>
      <c r="BI196" s="532">
        <v>0</v>
      </c>
      <c r="BJ196" s="534" t="s">
        <v>1465</v>
      </c>
      <c r="BK196" s="523"/>
    </row>
    <row r="197" spans="1:63" ht="99" customHeight="1">
      <c r="A197" s="401">
        <v>1</v>
      </c>
      <c r="B197" s="494" t="s">
        <v>6182</v>
      </c>
      <c r="C197" s="401" t="s">
        <v>83</v>
      </c>
      <c r="D197" s="401" t="s">
        <v>231</v>
      </c>
      <c r="E197" s="494" t="s">
        <v>5853</v>
      </c>
      <c r="F197" s="401" t="s">
        <v>1752</v>
      </c>
      <c r="G197" s="401" t="s">
        <v>6141</v>
      </c>
      <c r="H197" s="499">
        <v>834479</v>
      </c>
      <c r="I197" s="486" t="s">
        <v>6183</v>
      </c>
      <c r="J197" s="496" t="s">
        <v>2991</v>
      </c>
      <c r="K197" s="496" t="s">
        <v>2991</v>
      </c>
      <c r="L197" s="496" t="s">
        <v>2513</v>
      </c>
      <c r="M197" s="500" t="s">
        <v>1755</v>
      </c>
      <c r="N197" s="496" t="s">
        <v>1773</v>
      </c>
      <c r="O197" s="496" t="s">
        <v>2234</v>
      </c>
      <c r="P197" s="489">
        <v>1979.37691</v>
      </c>
      <c r="Q197" s="489">
        <v>2335.6647537999997</v>
      </c>
      <c r="R197" s="489">
        <v>1631.5683678343951</v>
      </c>
      <c r="S197" s="401" t="s">
        <v>1774</v>
      </c>
      <c r="T197" s="501">
        <v>1.087</v>
      </c>
      <c r="U197" s="501">
        <v>1.077</v>
      </c>
      <c r="V197" s="501">
        <v>1.073</v>
      </c>
      <c r="W197" s="501">
        <v>1.071</v>
      </c>
      <c r="X197" s="596">
        <v>0.9</v>
      </c>
      <c r="Y197" s="502">
        <v>1844.3248830000002</v>
      </c>
      <c r="Z197" s="489">
        <v>2176.3033619400003</v>
      </c>
      <c r="AA197" s="489">
        <v>1936.1722621734004</v>
      </c>
      <c r="AB197" s="488">
        <v>2284.6832693646124</v>
      </c>
      <c r="AC197" s="492">
        <v>1844.3248830000002</v>
      </c>
      <c r="AD197" s="493">
        <v>2176.3033619400003</v>
      </c>
      <c r="AE197" s="494" t="s">
        <v>1775</v>
      </c>
      <c r="AF197" s="494" t="s">
        <v>83</v>
      </c>
      <c r="AG197" s="494" t="s">
        <v>211</v>
      </c>
      <c r="AH197" s="494" t="s">
        <v>545</v>
      </c>
      <c r="AI197" s="495">
        <v>41315</v>
      </c>
      <c r="AJ197" s="495">
        <v>41350</v>
      </c>
      <c r="AK197" s="494" t="s">
        <v>96</v>
      </c>
      <c r="AL197" s="494" t="s">
        <v>96</v>
      </c>
      <c r="AM197" s="496" t="s">
        <v>4929</v>
      </c>
      <c r="AN197" s="496" t="s">
        <v>1757</v>
      </c>
      <c r="AO197" s="494">
        <v>796</v>
      </c>
      <c r="AP197" s="494" t="s">
        <v>368</v>
      </c>
      <c r="AQ197" s="494">
        <v>1</v>
      </c>
      <c r="AR197" s="494">
        <v>46</v>
      </c>
      <c r="AS197" s="496" t="s">
        <v>605</v>
      </c>
      <c r="AT197" s="495">
        <v>41370</v>
      </c>
      <c r="AU197" s="495">
        <v>41370</v>
      </c>
      <c r="AV197" s="495">
        <v>42004</v>
      </c>
      <c r="AW197" s="494">
        <v>2014</v>
      </c>
      <c r="AX197" s="496"/>
      <c r="AY197" s="494" t="s">
        <v>186</v>
      </c>
      <c r="AZ197" s="494"/>
      <c r="BA197" s="494">
        <v>2014</v>
      </c>
      <c r="BB197" s="494" t="s">
        <v>6184</v>
      </c>
      <c r="BC197" s="496" t="s">
        <v>6185</v>
      </c>
      <c r="BD197" s="494" t="s">
        <v>1818</v>
      </c>
      <c r="BE197" s="575">
        <v>42004</v>
      </c>
      <c r="BF197" s="498">
        <v>2397.4289982</v>
      </c>
      <c r="BG197" s="488">
        <v>2397.4289982</v>
      </c>
      <c r="BH197" s="488">
        <v>0</v>
      </c>
      <c r="BI197" s="488">
        <v>0.4</v>
      </c>
      <c r="BJ197" s="494" t="s">
        <v>5016</v>
      </c>
      <c r="BK197" s="401"/>
    </row>
    <row r="198" spans="1:63" ht="150">
      <c r="A198" s="555">
        <v>1</v>
      </c>
      <c r="B198" s="562" t="s">
        <v>6186</v>
      </c>
      <c r="C198" s="555" t="s">
        <v>83</v>
      </c>
      <c r="D198" s="555" t="s">
        <v>235</v>
      </c>
      <c r="E198" s="555" t="s">
        <v>5853</v>
      </c>
      <c r="F198" s="555" t="s">
        <v>1752</v>
      </c>
      <c r="G198" s="555" t="s">
        <v>2344</v>
      </c>
      <c r="H198" s="556">
        <v>842756</v>
      </c>
      <c r="I198" s="486" t="s">
        <v>6187</v>
      </c>
      <c r="J198" s="563" t="s">
        <v>2991</v>
      </c>
      <c r="K198" s="563" t="s">
        <v>2991</v>
      </c>
      <c r="L198" s="576" t="s">
        <v>2513</v>
      </c>
      <c r="M198" s="576" t="s">
        <v>1755</v>
      </c>
      <c r="N198" s="563" t="s">
        <v>1773</v>
      </c>
      <c r="O198" s="563" t="s">
        <v>2234</v>
      </c>
      <c r="P198" s="502">
        <v>1204.59701</v>
      </c>
      <c r="Q198" s="502">
        <v>1421.4244717999998</v>
      </c>
      <c r="R198" s="488">
        <v>940.11738044049184</v>
      </c>
      <c r="S198" s="562" t="s">
        <v>1774</v>
      </c>
      <c r="T198" s="577">
        <v>1.087</v>
      </c>
      <c r="U198" s="577">
        <v>1.0680000000000001</v>
      </c>
      <c r="V198" s="577">
        <v>1.0589999999999999</v>
      </c>
      <c r="W198" s="577">
        <v>1.0580000000000001</v>
      </c>
      <c r="X198" s="597">
        <v>0.9</v>
      </c>
      <c r="Y198" s="514">
        <v>1100.5429999999999</v>
      </c>
      <c r="Z198" s="502">
        <v>1298.6407399999998</v>
      </c>
      <c r="AA198" s="502">
        <v>1131.7949118005727</v>
      </c>
      <c r="AB198" s="493">
        <v>1335.5179959246757</v>
      </c>
      <c r="AC198" s="492">
        <v>1100.5429999999999</v>
      </c>
      <c r="AD198" s="493">
        <v>1298.6407399999998</v>
      </c>
      <c r="AE198" s="494" t="s">
        <v>1775</v>
      </c>
      <c r="AF198" s="562" t="s">
        <v>83</v>
      </c>
      <c r="AG198" s="562" t="s">
        <v>235</v>
      </c>
      <c r="AH198" s="555" t="s">
        <v>545</v>
      </c>
      <c r="AI198" s="561">
        <v>41669</v>
      </c>
      <c r="AJ198" s="561">
        <v>41704</v>
      </c>
      <c r="AK198" s="555" t="s">
        <v>96</v>
      </c>
      <c r="AL198" s="562" t="s">
        <v>96</v>
      </c>
      <c r="AM198" s="486" t="s">
        <v>4929</v>
      </c>
      <c r="AN198" s="486" t="s">
        <v>1757</v>
      </c>
      <c r="AO198" s="555">
        <v>796</v>
      </c>
      <c r="AP198" s="555" t="s">
        <v>368</v>
      </c>
      <c r="AQ198" s="555">
        <v>1</v>
      </c>
      <c r="AR198" s="555">
        <v>46</v>
      </c>
      <c r="AS198" s="486" t="s">
        <v>605</v>
      </c>
      <c r="AT198" s="561">
        <v>41724</v>
      </c>
      <c r="AU198" s="561">
        <v>41724</v>
      </c>
      <c r="AV198" s="561">
        <v>41881</v>
      </c>
      <c r="AW198" s="555">
        <v>2014</v>
      </c>
      <c r="AX198" s="486"/>
      <c r="AY198" s="555" t="s">
        <v>186</v>
      </c>
      <c r="AZ198" s="555"/>
      <c r="BA198" s="555">
        <v>2014</v>
      </c>
      <c r="BB198" s="562" t="s">
        <v>6188</v>
      </c>
      <c r="BC198" s="563" t="s">
        <v>6189</v>
      </c>
      <c r="BD198" s="562" t="s">
        <v>1818</v>
      </c>
      <c r="BE198" s="575">
        <v>41872</v>
      </c>
      <c r="BF198" s="498">
        <v>1421.4244717999998</v>
      </c>
      <c r="BG198" s="488">
        <v>1421.4244717999998</v>
      </c>
      <c r="BH198" s="493">
        <v>0.22500000000000001</v>
      </c>
      <c r="BI198" s="493">
        <v>0.02</v>
      </c>
      <c r="BJ198" s="562" t="s">
        <v>1465</v>
      </c>
      <c r="BK198" s="555"/>
    </row>
    <row r="199" spans="1:63" ht="150">
      <c r="A199" s="401">
        <v>1</v>
      </c>
      <c r="B199" s="494" t="s">
        <v>6190</v>
      </c>
      <c r="C199" s="401" t="s">
        <v>83</v>
      </c>
      <c r="D199" s="401" t="s">
        <v>235</v>
      </c>
      <c r="E199" s="401" t="s">
        <v>5853</v>
      </c>
      <c r="F199" s="401" t="s">
        <v>1752</v>
      </c>
      <c r="G199" s="401" t="s">
        <v>2344</v>
      </c>
      <c r="H199" s="499">
        <v>842757</v>
      </c>
      <c r="I199" s="496" t="s">
        <v>6191</v>
      </c>
      <c r="J199" s="487" t="s">
        <v>2991</v>
      </c>
      <c r="K199" s="487" t="s">
        <v>2991</v>
      </c>
      <c r="L199" s="500" t="s">
        <v>2513</v>
      </c>
      <c r="M199" s="500" t="s">
        <v>1755</v>
      </c>
      <c r="N199" s="487" t="s">
        <v>1773</v>
      </c>
      <c r="O199" s="487" t="s">
        <v>2234</v>
      </c>
      <c r="P199" s="578">
        <v>2662.1060000000002</v>
      </c>
      <c r="Q199" s="578">
        <v>3141.2850800000001</v>
      </c>
      <c r="R199" s="579">
        <v>2075.757868087393</v>
      </c>
      <c r="S199" s="494" t="s">
        <v>1774</v>
      </c>
      <c r="T199" s="490">
        <v>1.087</v>
      </c>
      <c r="U199" s="490">
        <v>1.0680000000000001</v>
      </c>
      <c r="V199" s="490">
        <v>1.0589999999999999</v>
      </c>
      <c r="W199" s="490">
        <v>1.0580000000000001</v>
      </c>
      <c r="X199" s="491">
        <v>0.9</v>
      </c>
      <c r="Y199" s="502">
        <v>2429.9740000000002</v>
      </c>
      <c r="Z199" s="578">
        <v>2867.3693200000002</v>
      </c>
      <c r="AA199" s="578">
        <v>2553.7805974736752</v>
      </c>
      <c r="AB199" s="488">
        <v>3013.4611050189365</v>
      </c>
      <c r="AC199" s="489">
        <v>2429.9740000000002</v>
      </c>
      <c r="AD199" s="488">
        <v>2867.3693200000002</v>
      </c>
      <c r="AE199" s="494" t="s">
        <v>1775</v>
      </c>
      <c r="AF199" s="494" t="s">
        <v>83</v>
      </c>
      <c r="AG199" s="494" t="s">
        <v>235</v>
      </c>
      <c r="AH199" s="401" t="s">
        <v>545</v>
      </c>
      <c r="AI199" s="495">
        <v>41669</v>
      </c>
      <c r="AJ199" s="495">
        <v>41704</v>
      </c>
      <c r="AK199" s="401" t="s">
        <v>96</v>
      </c>
      <c r="AL199" s="494" t="s">
        <v>96</v>
      </c>
      <c r="AM199" s="496" t="s">
        <v>4929</v>
      </c>
      <c r="AN199" s="496" t="s">
        <v>1757</v>
      </c>
      <c r="AO199" s="401">
        <v>796</v>
      </c>
      <c r="AP199" s="401" t="s">
        <v>368</v>
      </c>
      <c r="AQ199" s="401">
        <v>1</v>
      </c>
      <c r="AR199" s="401">
        <v>46</v>
      </c>
      <c r="AS199" s="496" t="s">
        <v>605</v>
      </c>
      <c r="AT199" s="495">
        <v>41724</v>
      </c>
      <c r="AU199" s="495">
        <v>41724</v>
      </c>
      <c r="AV199" s="495">
        <v>41881</v>
      </c>
      <c r="AW199" s="401">
        <v>2014</v>
      </c>
      <c r="AX199" s="496"/>
      <c r="AY199" s="401" t="s">
        <v>186</v>
      </c>
      <c r="AZ199" s="401"/>
      <c r="BA199" s="401">
        <v>2014</v>
      </c>
      <c r="BB199" s="494" t="s">
        <v>6192</v>
      </c>
      <c r="BC199" s="487" t="s">
        <v>6193</v>
      </c>
      <c r="BD199" s="494" t="s">
        <v>1818</v>
      </c>
      <c r="BE199" s="497">
        <v>41873</v>
      </c>
      <c r="BF199" s="498">
        <v>3141.2850800000001</v>
      </c>
      <c r="BG199" s="488">
        <v>3141.2850800000001</v>
      </c>
      <c r="BH199" s="488">
        <v>1.4999999999999999E-2</v>
      </c>
      <c r="BI199" s="488">
        <v>1.34</v>
      </c>
      <c r="BJ199" s="494" t="s">
        <v>1465</v>
      </c>
      <c r="BK199" s="401"/>
    </row>
    <row r="200" spans="1:63" ht="150">
      <c r="A200" s="401">
        <v>1</v>
      </c>
      <c r="B200" s="494" t="s">
        <v>6194</v>
      </c>
      <c r="C200" s="401" t="s">
        <v>83</v>
      </c>
      <c r="D200" s="401" t="s">
        <v>235</v>
      </c>
      <c r="E200" s="401" t="s">
        <v>5853</v>
      </c>
      <c r="F200" s="401" t="s">
        <v>1752</v>
      </c>
      <c r="G200" s="401" t="s">
        <v>2344</v>
      </c>
      <c r="H200" s="499">
        <v>842761</v>
      </c>
      <c r="I200" s="496" t="s">
        <v>6195</v>
      </c>
      <c r="J200" s="487" t="s">
        <v>2991</v>
      </c>
      <c r="K200" s="487" t="s">
        <v>2991</v>
      </c>
      <c r="L200" s="500" t="s">
        <v>2513</v>
      </c>
      <c r="M200" s="500" t="s">
        <v>1755</v>
      </c>
      <c r="N200" s="487" t="s">
        <v>1773</v>
      </c>
      <c r="O200" s="487" t="s">
        <v>2234</v>
      </c>
      <c r="P200" s="578">
        <v>8853.3140000000003</v>
      </c>
      <c r="Q200" s="578">
        <v>10446.910519999999</v>
      </c>
      <c r="R200" s="579">
        <v>7110.3189917822592</v>
      </c>
      <c r="S200" s="494" t="s">
        <v>1774</v>
      </c>
      <c r="T200" s="490">
        <v>1.087</v>
      </c>
      <c r="U200" s="490">
        <v>1.0680000000000001</v>
      </c>
      <c r="V200" s="490">
        <v>1.0589999999999999</v>
      </c>
      <c r="W200" s="490">
        <v>1.0580000000000001</v>
      </c>
      <c r="X200" s="491">
        <v>0.9</v>
      </c>
      <c r="Y200" s="502">
        <v>8323.6540000000005</v>
      </c>
      <c r="Z200" s="578">
        <v>9821.9117200000001</v>
      </c>
      <c r="AA200" s="578">
        <v>8584.2975107962793</v>
      </c>
      <c r="AB200" s="488">
        <v>10129.471062739609</v>
      </c>
      <c r="AC200" s="489">
        <v>8323.6540000000005</v>
      </c>
      <c r="AD200" s="488">
        <v>9821.9117200000001</v>
      </c>
      <c r="AE200" s="494" t="s">
        <v>1775</v>
      </c>
      <c r="AF200" s="494" t="s">
        <v>83</v>
      </c>
      <c r="AG200" s="494" t="s">
        <v>211</v>
      </c>
      <c r="AH200" s="401" t="s">
        <v>545</v>
      </c>
      <c r="AI200" s="495">
        <v>41669</v>
      </c>
      <c r="AJ200" s="495">
        <v>41704</v>
      </c>
      <c r="AK200" s="401" t="s">
        <v>96</v>
      </c>
      <c r="AL200" s="494" t="s">
        <v>96</v>
      </c>
      <c r="AM200" s="496" t="s">
        <v>4929</v>
      </c>
      <c r="AN200" s="496" t="s">
        <v>1757</v>
      </c>
      <c r="AO200" s="401">
        <v>796</v>
      </c>
      <c r="AP200" s="401" t="s">
        <v>368</v>
      </c>
      <c r="AQ200" s="401">
        <v>1</v>
      </c>
      <c r="AR200" s="401">
        <v>46</v>
      </c>
      <c r="AS200" s="496" t="s">
        <v>605</v>
      </c>
      <c r="AT200" s="495">
        <v>41724</v>
      </c>
      <c r="AU200" s="495">
        <v>41724</v>
      </c>
      <c r="AV200" s="583">
        <v>41912</v>
      </c>
      <c r="AW200" s="401">
        <v>2014</v>
      </c>
      <c r="AX200" s="496"/>
      <c r="AY200" s="401" t="s">
        <v>186</v>
      </c>
      <c r="AZ200" s="401"/>
      <c r="BA200" s="401">
        <v>2014</v>
      </c>
      <c r="BB200" s="494">
        <v>136610</v>
      </c>
      <c r="BC200" s="487" t="s">
        <v>6196</v>
      </c>
      <c r="BD200" s="494" t="s">
        <v>1818</v>
      </c>
      <c r="BE200" s="497">
        <v>41912</v>
      </c>
      <c r="BF200" s="498">
        <v>10446.910519999999</v>
      </c>
      <c r="BG200" s="488">
        <v>10446.910519999999</v>
      </c>
      <c r="BH200" s="488">
        <v>3.5000000000000003E-2</v>
      </c>
      <c r="BI200" s="488">
        <v>6.25</v>
      </c>
      <c r="BJ200" s="494" t="s">
        <v>1465</v>
      </c>
      <c r="BK200" s="401"/>
    </row>
    <row r="201" spans="1:63" ht="96.75" customHeight="1">
      <c r="A201" s="504">
        <v>1</v>
      </c>
      <c r="B201" s="570" t="s">
        <v>6197</v>
      </c>
      <c r="C201" s="504" t="s">
        <v>83</v>
      </c>
      <c r="D201" s="504" t="s">
        <v>235</v>
      </c>
      <c r="E201" s="570" t="s">
        <v>5853</v>
      </c>
      <c r="F201" s="504" t="s">
        <v>1752</v>
      </c>
      <c r="G201" s="504" t="s">
        <v>2344</v>
      </c>
      <c r="H201" s="517" t="s">
        <v>6197</v>
      </c>
      <c r="I201" s="506" t="s">
        <v>6198</v>
      </c>
      <c r="J201" s="506" t="s">
        <v>2991</v>
      </c>
      <c r="K201" s="506" t="s">
        <v>2991</v>
      </c>
      <c r="L201" s="506" t="s">
        <v>5019</v>
      </c>
      <c r="M201" s="571" t="s">
        <v>1755</v>
      </c>
      <c r="N201" s="506" t="s">
        <v>1773</v>
      </c>
      <c r="O201" s="506" t="s">
        <v>2234</v>
      </c>
      <c r="P201" s="512">
        <v>3330.4079999999999</v>
      </c>
      <c r="Q201" s="512">
        <v>3929.8814399999997</v>
      </c>
      <c r="R201" s="512">
        <v>2562.2318784189251</v>
      </c>
      <c r="S201" s="504" t="s">
        <v>1774</v>
      </c>
      <c r="T201" s="572">
        <v>1.087</v>
      </c>
      <c r="U201" s="572">
        <v>1.0680000000000001</v>
      </c>
      <c r="V201" s="572">
        <v>1.0589999999999999</v>
      </c>
      <c r="W201" s="572">
        <v>1.0580000000000001</v>
      </c>
      <c r="X201" s="511">
        <v>0.9</v>
      </c>
      <c r="Y201" s="507">
        <v>2999.4620000000004</v>
      </c>
      <c r="Z201" s="512">
        <v>3539.3651600000003</v>
      </c>
      <c r="AA201" s="512">
        <v>3192.4381626380487</v>
      </c>
      <c r="AB201" s="513">
        <v>3767.0770319128974</v>
      </c>
      <c r="AC201" s="512">
        <v>2999.4620000000004</v>
      </c>
      <c r="AD201" s="513">
        <v>3539.3651600000003</v>
      </c>
      <c r="AE201" s="494" t="s">
        <v>1775</v>
      </c>
      <c r="AF201" s="570" t="s">
        <v>83</v>
      </c>
      <c r="AG201" s="570" t="s">
        <v>235</v>
      </c>
      <c r="AH201" s="570" t="s">
        <v>545</v>
      </c>
      <c r="AI201" s="515">
        <v>41669</v>
      </c>
      <c r="AJ201" s="515">
        <v>41704</v>
      </c>
      <c r="AK201" s="570" t="s">
        <v>96</v>
      </c>
      <c r="AL201" s="570" t="s">
        <v>96</v>
      </c>
      <c r="AM201" s="506" t="s">
        <v>4929</v>
      </c>
      <c r="AN201" s="506" t="s">
        <v>1757</v>
      </c>
      <c r="AO201" s="570">
        <v>796</v>
      </c>
      <c r="AP201" s="570" t="s">
        <v>368</v>
      </c>
      <c r="AQ201" s="570">
        <v>1</v>
      </c>
      <c r="AR201" s="570">
        <v>46</v>
      </c>
      <c r="AS201" s="506" t="s">
        <v>605</v>
      </c>
      <c r="AT201" s="515">
        <v>41724</v>
      </c>
      <c r="AU201" s="515">
        <v>41724</v>
      </c>
      <c r="AV201" s="759">
        <v>41912</v>
      </c>
      <c r="AW201" s="570">
        <v>2014</v>
      </c>
      <c r="AX201" s="506"/>
      <c r="AY201" s="570" t="s">
        <v>186</v>
      </c>
      <c r="AZ201" s="570"/>
      <c r="BA201" s="570">
        <v>2014</v>
      </c>
      <c r="BB201" s="570" t="s">
        <v>2271</v>
      </c>
      <c r="BC201" s="506" t="s">
        <v>2271</v>
      </c>
      <c r="BD201" s="570" t="s">
        <v>2272</v>
      </c>
      <c r="BE201" s="573" t="s">
        <v>2272</v>
      </c>
      <c r="BF201" s="574" t="s">
        <v>2272</v>
      </c>
      <c r="BG201" s="488" t="s">
        <v>2272</v>
      </c>
      <c r="BH201" s="513" t="s">
        <v>2272</v>
      </c>
      <c r="BI201" s="513" t="s">
        <v>2272</v>
      </c>
      <c r="BJ201" s="570" t="s">
        <v>1465</v>
      </c>
      <c r="BK201" s="504"/>
    </row>
    <row r="202" spans="1:63" ht="150">
      <c r="A202" s="523">
        <v>1</v>
      </c>
      <c r="B202" s="534" t="s">
        <v>6199</v>
      </c>
      <c r="C202" s="523" t="s">
        <v>7247</v>
      </c>
      <c r="D202" s="523" t="s">
        <v>235</v>
      </c>
      <c r="E202" s="534" t="s">
        <v>5853</v>
      </c>
      <c r="F202" s="523" t="s">
        <v>1752</v>
      </c>
      <c r="G202" s="523" t="s">
        <v>2344</v>
      </c>
      <c r="H202" s="524" t="s">
        <v>6199</v>
      </c>
      <c r="I202" s="525" t="s">
        <v>6200</v>
      </c>
      <c r="J202" s="525" t="s">
        <v>2991</v>
      </c>
      <c r="K202" s="525" t="s">
        <v>2991</v>
      </c>
      <c r="L202" s="525" t="s">
        <v>5004</v>
      </c>
      <c r="M202" s="541" t="s">
        <v>1755</v>
      </c>
      <c r="N202" s="525" t="s">
        <v>1773</v>
      </c>
      <c r="O202" s="525" t="s">
        <v>2234</v>
      </c>
      <c r="P202" s="531">
        <v>1642.6990000000001</v>
      </c>
      <c r="Q202" s="531">
        <v>1938.38482</v>
      </c>
      <c r="R202" s="531">
        <v>1260.9227847791196</v>
      </c>
      <c r="S202" s="523" t="s">
        <v>1774</v>
      </c>
      <c r="T202" s="542">
        <v>1.087</v>
      </c>
      <c r="U202" s="543">
        <v>1.0680000000000001</v>
      </c>
      <c r="V202" s="543">
        <v>1.0589999999999999</v>
      </c>
      <c r="W202" s="543">
        <v>1.0580000000000001</v>
      </c>
      <c r="X202" s="544">
        <v>0.9</v>
      </c>
      <c r="Y202" s="526">
        <v>1476.0920000000001</v>
      </c>
      <c r="Z202" s="531">
        <v>1741.78856</v>
      </c>
      <c r="AA202" s="531">
        <v>1584.0179512450479</v>
      </c>
      <c r="AB202" s="532">
        <v>1869.1411824691565</v>
      </c>
      <c r="AC202" s="531">
        <v>1476.0920000000001</v>
      </c>
      <c r="AD202" s="532">
        <v>1741.78856</v>
      </c>
      <c r="AE202" s="494" t="s">
        <v>1775</v>
      </c>
      <c r="AF202" s="534" t="s">
        <v>83</v>
      </c>
      <c r="AG202" s="534" t="s">
        <v>235</v>
      </c>
      <c r="AH202" s="534" t="s">
        <v>545</v>
      </c>
      <c r="AI202" s="533">
        <v>41669</v>
      </c>
      <c r="AJ202" s="533">
        <v>41704</v>
      </c>
      <c r="AK202" s="534" t="s">
        <v>96</v>
      </c>
      <c r="AL202" s="534" t="s">
        <v>96</v>
      </c>
      <c r="AM202" s="525" t="s">
        <v>4929</v>
      </c>
      <c r="AN202" s="525" t="s">
        <v>1757</v>
      </c>
      <c r="AO202" s="534">
        <v>796</v>
      </c>
      <c r="AP202" s="534" t="s">
        <v>368</v>
      </c>
      <c r="AQ202" s="534">
        <v>1</v>
      </c>
      <c r="AR202" s="534">
        <v>46</v>
      </c>
      <c r="AS202" s="525" t="s">
        <v>605</v>
      </c>
      <c r="AT202" s="533">
        <v>41724</v>
      </c>
      <c r="AU202" s="533">
        <v>41724</v>
      </c>
      <c r="AV202" s="760">
        <v>41912</v>
      </c>
      <c r="AW202" s="534">
        <v>2014</v>
      </c>
      <c r="AX202" s="525"/>
      <c r="AY202" s="534" t="s">
        <v>186</v>
      </c>
      <c r="AZ202" s="534"/>
      <c r="BA202" s="534">
        <v>2014</v>
      </c>
      <c r="BB202" s="534" t="s">
        <v>6201</v>
      </c>
      <c r="BC202" s="525" t="s">
        <v>6202</v>
      </c>
      <c r="BD202" s="534" t="s">
        <v>1818</v>
      </c>
      <c r="BE202" s="545">
        <v>41912</v>
      </c>
      <c r="BF202" s="546">
        <v>1938.38482</v>
      </c>
      <c r="BG202" s="488">
        <v>1938.38482</v>
      </c>
      <c r="BH202" s="532">
        <v>1.4999999999999999E-2</v>
      </c>
      <c r="BI202" s="532">
        <v>0.85</v>
      </c>
      <c r="BJ202" s="534" t="s">
        <v>1465</v>
      </c>
      <c r="BK202" s="523"/>
    </row>
    <row r="203" spans="1:63" ht="150">
      <c r="A203" s="523">
        <v>1</v>
      </c>
      <c r="B203" s="534" t="s">
        <v>6203</v>
      </c>
      <c r="C203" s="523" t="s">
        <v>7247</v>
      </c>
      <c r="D203" s="523" t="s">
        <v>235</v>
      </c>
      <c r="E203" s="534" t="s">
        <v>5853</v>
      </c>
      <c r="F203" s="523" t="s">
        <v>1752</v>
      </c>
      <c r="G203" s="523" t="s">
        <v>2344</v>
      </c>
      <c r="H203" s="524" t="s">
        <v>6203</v>
      </c>
      <c r="I203" s="525" t="s">
        <v>6204</v>
      </c>
      <c r="J203" s="525" t="s">
        <v>2991</v>
      </c>
      <c r="K203" s="525" t="s">
        <v>2991</v>
      </c>
      <c r="L203" s="525" t="s">
        <v>2513</v>
      </c>
      <c r="M203" s="541" t="s">
        <v>1755</v>
      </c>
      <c r="N203" s="525" t="s">
        <v>1773</v>
      </c>
      <c r="O203" s="525" t="s">
        <v>2234</v>
      </c>
      <c r="P203" s="531">
        <v>790.803</v>
      </c>
      <c r="Q203" s="531">
        <v>933.14753999999994</v>
      </c>
      <c r="R203" s="531">
        <v>609.44646823283313</v>
      </c>
      <c r="S203" s="523" t="s">
        <v>1774</v>
      </c>
      <c r="T203" s="542">
        <v>1.087</v>
      </c>
      <c r="U203" s="543">
        <v>1.0680000000000001</v>
      </c>
      <c r="V203" s="543">
        <v>1.0589999999999999</v>
      </c>
      <c r="W203" s="543">
        <v>1.0580000000000001</v>
      </c>
      <c r="X203" s="544">
        <v>0.9</v>
      </c>
      <c r="Y203" s="526">
        <v>713.44500000000005</v>
      </c>
      <c r="Z203" s="531">
        <v>841.86509999999998</v>
      </c>
      <c r="AA203" s="531">
        <v>753.03854248641608</v>
      </c>
      <c r="AB203" s="532">
        <v>888.58548013397092</v>
      </c>
      <c r="AC203" s="531">
        <v>713.44500000000005</v>
      </c>
      <c r="AD203" s="532">
        <v>841.86509999999998</v>
      </c>
      <c r="AE203" s="494" t="s">
        <v>1775</v>
      </c>
      <c r="AF203" s="534" t="s">
        <v>83</v>
      </c>
      <c r="AG203" s="534" t="s">
        <v>235</v>
      </c>
      <c r="AH203" s="534" t="s">
        <v>545</v>
      </c>
      <c r="AI203" s="533">
        <v>41669</v>
      </c>
      <c r="AJ203" s="533">
        <v>41704</v>
      </c>
      <c r="AK203" s="534" t="s">
        <v>96</v>
      </c>
      <c r="AL203" s="534" t="s">
        <v>96</v>
      </c>
      <c r="AM203" s="525" t="s">
        <v>4929</v>
      </c>
      <c r="AN203" s="525" t="s">
        <v>1757</v>
      </c>
      <c r="AO203" s="534">
        <v>796</v>
      </c>
      <c r="AP203" s="534" t="s">
        <v>368</v>
      </c>
      <c r="AQ203" s="534">
        <v>1</v>
      </c>
      <c r="AR203" s="534">
        <v>46</v>
      </c>
      <c r="AS203" s="525" t="s">
        <v>605</v>
      </c>
      <c r="AT203" s="533">
        <v>41724</v>
      </c>
      <c r="AU203" s="533">
        <v>41724</v>
      </c>
      <c r="AV203" s="760">
        <v>41912</v>
      </c>
      <c r="AW203" s="534">
        <v>2014</v>
      </c>
      <c r="AX203" s="525"/>
      <c r="AY203" s="534" t="s">
        <v>186</v>
      </c>
      <c r="AZ203" s="534"/>
      <c r="BA203" s="534">
        <v>2014</v>
      </c>
      <c r="BB203" s="534" t="s">
        <v>6205</v>
      </c>
      <c r="BC203" s="525" t="s">
        <v>6206</v>
      </c>
      <c r="BD203" s="534" t="s">
        <v>1818</v>
      </c>
      <c r="BE203" s="545">
        <v>41912</v>
      </c>
      <c r="BF203" s="546">
        <v>933.14753999999994</v>
      </c>
      <c r="BG203" s="488">
        <v>933.14753999999994</v>
      </c>
      <c r="BH203" s="532">
        <v>6.3E-2</v>
      </c>
      <c r="BI203" s="532">
        <v>0.08</v>
      </c>
      <c r="BJ203" s="534" t="s">
        <v>1465</v>
      </c>
      <c r="BK203" s="523"/>
    </row>
    <row r="204" spans="1:63" ht="150">
      <c r="A204" s="523">
        <v>1</v>
      </c>
      <c r="B204" s="534" t="s">
        <v>6207</v>
      </c>
      <c r="C204" s="523" t="s">
        <v>7247</v>
      </c>
      <c r="D204" s="523" t="s">
        <v>235</v>
      </c>
      <c r="E204" s="534" t="s">
        <v>5853</v>
      </c>
      <c r="F204" s="523" t="s">
        <v>1752</v>
      </c>
      <c r="G204" s="523" t="s">
        <v>2344</v>
      </c>
      <c r="H204" s="524" t="s">
        <v>6207</v>
      </c>
      <c r="I204" s="525" t="s">
        <v>6208</v>
      </c>
      <c r="J204" s="525" t="s">
        <v>2991</v>
      </c>
      <c r="K204" s="525" t="s">
        <v>2991</v>
      </c>
      <c r="L204" s="525" t="s">
        <v>2513</v>
      </c>
      <c r="M204" s="541" t="s">
        <v>1755</v>
      </c>
      <c r="N204" s="525" t="s">
        <v>1773</v>
      </c>
      <c r="O204" s="525" t="s">
        <v>2234</v>
      </c>
      <c r="P204" s="531">
        <v>896.90599999999995</v>
      </c>
      <c r="Q204" s="531">
        <v>1058.34908</v>
      </c>
      <c r="R204" s="531">
        <v>691.86262540697226</v>
      </c>
      <c r="S204" s="523" t="s">
        <v>1774</v>
      </c>
      <c r="T204" s="542">
        <v>1.087</v>
      </c>
      <c r="U204" s="543">
        <v>1.0680000000000001</v>
      </c>
      <c r="V204" s="543">
        <v>1.0589999999999999</v>
      </c>
      <c r="W204" s="543">
        <v>1.0580000000000001</v>
      </c>
      <c r="X204" s="544">
        <v>0.9</v>
      </c>
      <c r="Y204" s="526">
        <v>809.92499999999995</v>
      </c>
      <c r="Z204" s="531">
        <v>955.71149999999989</v>
      </c>
      <c r="AA204" s="531">
        <v>855.38166890658488</v>
      </c>
      <c r="AB204" s="532">
        <v>1009.3503693097701</v>
      </c>
      <c r="AC204" s="531">
        <v>809.92499999999995</v>
      </c>
      <c r="AD204" s="532">
        <v>955.71149999999989</v>
      </c>
      <c r="AE204" s="494" t="s">
        <v>1775</v>
      </c>
      <c r="AF204" s="534" t="s">
        <v>83</v>
      </c>
      <c r="AG204" s="534" t="s">
        <v>235</v>
      </c>
      <c r="AH204" s="534" t="s">
        <v>545</v>
      </c>
      <c r="AI204" s="533">
        <v>41669</v>
      </c>
      <c r="AJ204" s="533">
        <v>41704</v>
      </c>
      <c r="AK204" s="534" t="s">
        <v>96</v>
      </c>
      <c r="AL204" s="534" t="s">
        <v>96</v>
      </c>
      <c r="AM204" s="525" t="s">
        <v>4929</v>
      </c>
      <c r="AN204" s="525" t="s">
        <v>1757</v>
      </c>
      <c r="AO204" s="534">
        <v>796</v>
      </c>
      <c r="AP204" s="534" t="s">
        <v>368</v>
      </c>
      <c r="AQ204" s="534">
        <v>1</v>
      </c>
      <c r="AR204" s="534">
        <v>46</v>
      </c>
      <c r="AS204" s="525" t="s">
        <v>605</v>
      </c>
      <c r="AT204" s="533">
        <v>41724</v>
      </c>
      <c r="AU204" s="533">
        <v>41724</v>
      </c>
      <c r="AV204" s="760">
        <v>41912</v>
      </c>
      <c r="AW204" s="534">
        <v>2014</v>
      </c>
      <c r="AX204" s="525"/>
      <c r="AY204" s="534" t="s">
        <v>186</v>
      </c>
      <c r="AZ204" s="534"/>
      <c r="BA204" s="534">
        <v>2014</v>
      </c>
      <c r="BB204" s="534" t="s">
        <v>6209</v>
      </c>
      <c r="BC204" s="525" t="s">
        <v>6210</v>
      </c>
      <c r="BD204" s="534" t="s">
        <v>1818</v>
      </c>
      <c r="BE204" s="545">
        <v>41912</v>
      </c>
      <c r="BF204" s="546">
        <v>1058.34908</v>
      </c>
      <c r="BG204" s="488">
        <v>1058.34908</v>
      </c>
      <c r="BH204" s="532">
        <v>6.3E-2</v>
      </c>
      <c r="BI204" s="532">
        <v>0.15000000000000002</v>
      </c>
      <c r="BJ204" s="534" t="s">
        <v>1465</v>
      </c>
      <c r="BK204" s="523"/>
    </row>
    <row r="205" spans="1:63" ht="150">
      <c r="A205" s="401">
        <v>1</v>
      </c>
      <c r="B205" s="494" t="s">
        <v>6211</v>
      </c>
      <c r="C205" s="401" t="s">
        <v>83</v>
      </c>
      <c r="D205" s="401" t="s">
        <v>235</v>
      </c>
      <c r="E205" s="401" t="s">
        <v>5853</v>
      </c>
      <c r="F205" s="401" t="s">
        <v>1752</v>
      </c>
      <c r="G205" s="401" t="s">
        <v>2344</v>
      </c>
      <c r="H205" s="499" t="s">
        <v>6211</v>
      </c>
      <c r="I205" s="486" t="s">
        <v>6212</v>
      </c>
      <c r="J205" s="487" t="s">
        <v>2991</v>
      </c>
      <c r="K205" s="487" t="s">
        <v>2991</v>
      </c>
      <c r="L205" s="500" t="s">
        <v>2513</v>
      </c>
      <c r="M205" s="500" t="s">
        <v>1755</v>
      </c>
      <c r="N205" s="487" t="s">
        <v>1773</v>
      </c>
      <c r="O205" s="487" t="s">
        <v>2234</v>
      </c>
      <c r="P205" s="578">
        <v>802.79700000000003</v>
      </c>
      <c r="Q205" s="578">
        <v>947.30045999999993</v>
      </c>
      <c r="R205" s="579">
        <v>656.57863523203628</v>
      </c>
      <c r="S205" s="494" t="s">
        <v>1774</v>
      </c>
      <c r="T205" s="490">
        <v>1.087</v>
      </c>
      <c r="U205" s="490">
        <v>1.0680000000000001</v>
      </c>
      <c r="V205" s="490">
        <v>1.0589999999999999</v>
      </c>
      <c r="W205" s="490">
        <v>1.0580000000000001</v>
      </c>
      <c r="X205" s="491">
        <v>0.9</v>
      </c>
      <c r="Y205" s="502">
        <v>768.62</v>
      </c>
      <c r="Z205" s="578">
        <v>906.97159999999997</v>
      </c>
      <c r="AA205" s="578">
        <v>764.74546803913086</v>
      </c>
      <c r="AB205" s="488">
        <v>902.39965228617439</v>
      </c>
      <c r="AC205" s="492">
        <v>764.74546803913086</v>
      </c>
      <c r="AD205" s="493">
        <v>902.39965228617439</v>
      </c>
      <c r="AE205" s="494" t="s">
        <v>1775</v>
      </c>
      <c r="AF205" s="494" t="s">
        <v>83</v>
      </c>
      <c r="AG205" s="494" t="s">
        <v>235</v>
      </c>
      <c r="AH205" s="401" t="s">
        <v>545</v>
      </c>
      <c r="AI205" s="495">
        <v>41669</v>
      </c>
      <c r="AJ205" s="495">
        <v>41704</v>
      </c>
      <c r="AK205" s="401" t="s">
        <v>96</v>
      </c>
      <c r="AL205" s="494" t="s">
        <v>96</v>
      </c>
      <c r="AM205" s="496" t="s">
        <v>4929</v>
      </c>
      <c r="AN205" s="496" t="s">
        <v>1757</v>
      </c>
      <c r="AO205" s="401">
        <v>796</v>
      </c>
      <c r="AP205" s="401" t="s">
        <v>368</v>
      </c>
      <c r="AQ205" s="401">
        <v>1</v>
      </c>
      <c r="AR205" s="401">
        <v>46</v>
      </c>
      <c r="AS205" s="496" t="s">
        <v>605</v>
      </c>
      <c r="AT205" s="495">
        <v>41724</v>
      </c>
      <c r="AU205" s="495">
        <v>41724</v>
      </c>
      <c r="AV205" s="583">
        <v>41912</v>
      </c>
      <c r="AW205" s="401">
        <v>2014</v>
      </c>
      <c r="AX205" s="496"/>
      <c r="AY205" s="401" t="s">
        <v>186</v>
      </c>
      <c r="AZ205" s="401"/>
      <c r="BA205" s="401">
        <v>2014</v>
      </c>
      <c r="BB205" s="494" t="s">
        <v>6213</v>
      </c>
      <c r="BC205" s="487" t="s">
        <v>6214</v>
      </c>
      <c r="BD205" s="494" t="s">
        <v>1818</v>
      </c>
      <c r="BE205" s="575">
        <v>41912</v>
      </c>
      <c r="BF205" s="498">
        <v>947.30045999999993</v>
      </c>
      <c r="BG205" s="488">
        <v>947.30045999999993</v>
      </c>
      <c r="BH205" s="488">
        <v>1.4999999999999999E-2</v>
      </c>
      <c r="BI205" s="488">
        <v>0.25</v>
      </c>
      <c r="BJ205" s="494" t="s">
        <v>1465</v>
      </c>
      <c r="BK205" s="401"/>
    </row>
    <row r="206" spans="1:63" ht="150">
      <c r="A206" s="401">
        <v>1</v>
      </c>
      <c r="B206" s="494" t="s">
        <v>6215</v>
      </c>
      <c r="C206" s="401" t="s">
        <v>83</v>
      </c>
      <c r="D206" s="401" t="s">
        <v>235</v>
      </c>
      <c r="E206" s="401" t="s">
        <v>5853</v>
      </c>
      <c r="F206" s="401" t="s">
        <v>1752</v>
      </c>
      <c r="G206" s="401" t="s">
        <v>2344</v>
      </c>
      <c r="H206" s="499" t="s">
        <v>6215</v>
      </c>
      <c r="I206" s="486" t="s">
        <v>6216</v>
      </c>
      <c r="J206" s="487" t="s">
        <v>2991</v>
      </c>
      <c r="K206" s="487" t="s">
        <v>2991</v>
      </c>
      <c r="L206" s="500" t="s">
        <v>2513</v>
      </c>
      <c r="M206" s="500" t="s">
        <v>1755</v>
      </c>
      <c r="N206" s="487" t="s">
        <v>1773</v>
      </c>
      <c r="O206" s="487" t="s">
        <v>2234</v>
      </c>
      <c r="P206" s="578">
        <v>1410.6089999999999</v>
      </c>
      <c r="Q206" s="578">
        <v>1664.5186199999998</v>
      </c>
      <c r="R206" s="579">
        <v>1162.8109966771444</v>
      </c>
      <c r="S206" s="494" t="s">
        <v>1774</v>
      </c>
      <c r="T206" s="490">
        <v>1.087</v>
      </c>
      <c r="U206" s="490">
        <v>1.0680000000000001</v>
      </c>
      <c r="V206" s="490">
        <v>1.0589999999999999</v>
      </c>
      <c r="W206" s="490">
        <v>1.0580000000000001</v>
      </c>
      <c r="X206" s="491">
        <v>0.9</v>
      </c>
      <c r="Y206" s="502">
        <v>1361.2380000000001</v>
      </c>
      <c r="Z206" s="578">
        <v>1606.2608399999999</v>
      </c>
      <c r="AA206" s="578">
        <v>1347.6439480089898</v>
      </c>
      <c r="AB206" s="488">
        <v>1590.2198586506079</v>
      </c>
      <c r="AC206" s="492">
        <v>1347.6439480089898</v>
      </c>
      <c r="AD206" s="493">
        <v>1590.2198586506079</v>
      </c>
      <c r="AE206" s="494" t="s">
        <v>1775</v>
      </c>
      <c r="AF206" s="494" t="s">
        <v>83</v>
      </c>
      <c r="AG206" s="494" t="s">
        <v>235</v>
      </c>
      <c r="AH206" s="401" t="s">
        <v>545</v>
      </c>
      <c r="AI206" s="495">
        <v>41669</v>
      </c>
      <c r="AJ206" s="495">
        <v>41704</v>
      </c>
      <c r="AK206" s="401" t="s">
        <v>96</v>
      </c>
      <c r="AL206" s="494" t="s">
        <v>96</v>
      </c>
      <c r="AM206" s="496" t="s">
        <v>4929</v>
      </c>
      <c r="AN206" s="496" t="s">
        <v>1757</v>
      </c>
      <c r="AO206" s="401">
        <v>796</v>
      </c>
      <c r="AP206" s="401" t="s">
        <v>368</v>
      </c>
      <c r="AQ206" s="401">
        <v>1</v>
      </c>
      <c r="AR206" s="401">
        <v>46</v>
      </c>
      <c r="AS206" s="496" t="s">
        <v>605</v>
      </c>
      <c r="AT206" s="495">
        <v>41724</v>
      </c>
      <c r="AU206" s="495">
        <v>41724</v>
      </c>
      <c r="AV206" s="583">
        <v>41912</v>
      </c>
      <c r="AW206" s="401">
        <v>2014</v>
      </c>
      <c r="AX206" s="496"/>
      <c r="AY206" s="401" t="s">
        <v>186</v>
      </c>
      <c r="AZ206" s="401"/>
      <c r="BA206" s="401">
        <v>2014</v>
      </c>
      <c r="BB206" s="494" t="s">
        <v>6217</v>
      </c>
      <c r="BC206" s="487" t="s">
        <v>6218</v>
      </c>
      <c r="BD206" s="494" t="s">
        <v>1818</v>
      </c>
      <c r="BE206" s="575">
        <v>41912</v>
      </c>
      <c r="BF206" s="498">
        <v>1664.5186199999998</v>
      </c>
      <c r="BG206" s="488">
        <v>1664.5186199999998</v>
      </c>
      <c r="BH206" s="488">
        <v>2.8000000000000001E-2</v>
      </c>
      <c r="BI206" s="488">
        <v>0.63</v>
      </c>
      <c r="BJ206" s="494" t="s">
        <v>1465</v>
      </c>
      <c r="BK206" s="401"/>
    </row>
    <row r="207" spans="1:63" ht="150">
      <c r="A207" s="401">
        <v>1</v>
      </c>
      <c r="B207" s="494" t="s">
        <v>6219</v>
      </c>
      <c r="C207" s="401" t="s">
        <v>83</v>
      </c>
      <c r="D207" s="401" t="s">
        <v>235</v>
      </c>
      <c r="E207" s="401" t="s">
        <v>5853</v>
      </c>
      <c r="F207" s="401" t="s">
        <v>1752</v>
      </c>
      <c r="G207" s="401" t="s">
        <v>2344</v>
      </c>
      <c r="H207" s="499" t="s">
        <v>6219</v>
      </c>
      <c r="I207" s="486" t="s">
        <v>6220</v>
      </c>
      <c r="J207" s="487" t="s">
        <v>6221</v>
      </c>
      <c r="K207" s="487" t="s">
        <v>6221</v>
      </c>
      <c r="L207" s="500" t="s">
        <v>2513</v>
      </c>
      <c r="M207" s="500" t="s">
        <v>1755</v>
      </c>
      <c r="N207" s="487" t="s">
        <v>1773</v>
      </c>
      <c r="O207" s="487" t="s">
        <v>2234</v>
      </c>
      <c r="P207" s="578">
        <v>1109.6400000000001</v>
      </c>
      <c r="Q207" s="578">
        <v>1309.3751999999999</v>
      </c>
      <c r="R207" s="579">
        <v>919.33309851466299</v>
      </c>
      <c r="S207" s="494" t="s">
        <v>1774</v>
      </c>
      <c r="T207" s="490">
        <v>1.087</v>
      </c>
      <c r="U207" s="490">
        <v>1.0680000000000001</v>
      </c>
      <c r="V207" s="490">
        <v>1.0589999999999999</v>
      </c>
      <c r="W207" s="490">
        <v>1.0580000000000001</v>
      </c>
      <c r="X207" s="491">
        <v>0.9</v>
      </c>
      <c r="Y207" s="502">
        <v>1076.212</v>
      </c>
      <c r="Z207" s="578">
        <v>1269.9301599999999</v>
      </c>
      <c r="AA207" s="578">
        <v>1059.2265144476441</v>
      </c>
      <c r="AB207" s="488">
        <v>1249.8872870482201</v>
      </c>
      <c r="AC207" s="492">
        <v>1059.2265144476441</v>
      </c>
      <c r="AD207" s="493">
        <v>1249.8872870482201</v>
      </c>
      <c r="AE207" s="494" t="s">
        <v>1775</v>
      </c>
      <c r="AF207" s="494" t="s">
        <v>83</v>
      </c>
      <c r="AG207" s="494" t="s">
        <v>235</v>
      </c>
      <c r="AH207" s="401" t="s">
        <v>545</v>
      </c>
      <c r="AI207" s="495">
        <v>41669</v>
      </c>
      <c r="AJ207" s="495">
        <v>41704</v>
      </c>
      <c r="AK207" s="401" t="s">
        <v>96</v>
      </c>
      <c r="AL207" s="494" t="s">
        <v>96</v>
      </c>
      <c r="AM207" s="496" t="s">
        <v>6222</v>
      </c>
      <c r="AN207" s="496" t="s">
        <v>1757</v>
      </c>
      <c r="AO207" s="401">
        <v>796</v>
      </c>
      <c r="AP207" s="401" t="s">
        <v>368</v>
      </c>
      <c r="AQ207" s="401">
        <v>1</v>
      </c>
      <c r="AR207" s="401">
        <v>46</v>
      </c>
      <c r="AS207" s="496" t="s">
        <v>605</v>
      </c>
      <c r="AT207" s="495">
        <v>41724</v>
      </c>
      <c r="AU207" s="495">
        <v>41724</v>
      </c>
      <c r="AV207" s="583">
        <v>41912</v>
      </c>
      <c r="AW207" s="401">
        <v>2014</v>
      </c>
      <c r="AX207" s="496"/>
      <c r="AY207" s="401" t="s">
        <v>186</v>
      </c>
      <c r="AZ207" s="401"/>
      <c r="BA207" s="401">
        <v>2014</v>
      </c>
      <c r="BB207" s="494" t="s">
        <v>6223</v>
      </c>
      <c r="BC207" s="487" t="s">
        <v>6224</v>
      </c>
      <c r="BD207" s="494" t="s">
        <v>1818</v>
      </c>
      <c r="BE207" s="575">
        <v>41912</v>
      </c>
      <c r="BF207" s="498">
        <v>1309.3751999999999</v>
      </c>
      <c r="BG207" s="488">
        <v>1309.3751999999999</v>
      </c>
      <c r="BH207" s="488">
        <v>7.0000000000000007E-2</v>
      </c>
      <c r="BI207" s="488">
        <v>0.6</v>
      </c>
      <c r="BJ207" s="494" t="s">
        <v>1465</v>
      </c>
      <c r="BK207" s="401"/>
    </row>
    <row r="208" spans="1:63" ht="150">
      <c r="A208" s="401">
        <v>1</v>
      </c>
      <c r="B208" s="494" t="s">
        <v>6225</v>
      </c>
      <c r="C208" s="401" t="s">
        <v>83</v>
      </c>
      <c r="D208" s="401" t="s">
        <v>235</v>
      </c>
      <c r="E208" s="401" t="s">
        <v>5853</v>
      </c>
      <c r="F208" s="401" t="s">
        <v>1752</v>
      </c>
      <c r="G208" s="401" t="s">
        <v>2344</v>
      </c>
      <c r="H208" s="499" t="s">
        <v>6226</v>
      </c>
      <c r="I208" s="486" t="s">
        <v>6227</v>
      </c>
      <c r="J208" s="487" t="s">
        <v>2991</v>
      </c>
      <c r="K208" s="487" t="s">
        <v>2991</v>
      </c>
      <c r="L208" s="500" t="s">
        <v>2513</v>
      </c>
      <c r="M208" s="500" t="s">
        <v>1755</v>
      </c>
      <c r="N208" s="487" t="s">
        <v>1773</v>
      </c>
      <c r="O208" s="487" t="s">
        <v>2234</v>
      </c>
      <c r="P208" s="578">
        <v>12070.209270000001</v>
      </c>
      <c r="Q208" s="578">
        <v>14242.846938600002</v>
      </c>
      <c r="R208" s="579">
        <v>9913.2824173550125</v>
      </c>
      <c r="S208" s="494" t="s">
        <v>1774</v>
      </c>
      <c r="T208" s="490">
        <v>1.087</v>
      </c>
      <c r="U208" s="490">
        <v>1.0680000000000001</v>
      </c>
      <c r="V208" s="490">
        <v>1.0589999999999999</v>
      </c>
      <c r="W208" s="490">
        <v>1.0580000000000001</v>
      </c>
      <c r="X208" s="491">
        <v>0.9</v>
      </c>
      <c r="Y208" s="502">
        <v>11604.927</v>
      </c>
      <c r="Z208" s="578">
        <v>13693.813859999998</v>
      </c>
      <c r="AA208" s="578">
        <v>11512.921579477454</v>
      </c>
      <c r="AB208" s="488">
        <v>13585.247463783395</v>
      </c>
      <c r="AC208" s="492">
        <v>11512.921579477454</v>
      </c>
      <c r="AD208" s="493">
        <v>13585.247463783395</v>
      </c>
      <c r="AE208" s="494" t="s">
        <v>1775</v>
      </c>
      <c r="AF208" s="494" t="s">
        <v>83</v>
      </c>
      <c r="AG208" s="494" t="s">
        <v>211</v>
      </c>
      <c r="AH208" s="401" t="s">
        <v>545</v>
      </c>
      <c r="AI208" s="495">
        <v>41669</v>
      </c>
      <c r="AJ208" s="495">
        <v>41704</v>
      </c>
      <c r="AK208" s="401" t="s">
        <v>96</v>
      </c>
      <c r="AL208" s="494" t="s">
        <v>96</v>
      </c>
      <c r="AM208" s="496" t="s">
        <v>4929</v>
      </c>
      <c r="AN208" s="496" t="s">
        <v>1757</v>
      </c>
      <c r="AO208" s="401">
        <v>796</v>
      </c>
      <c r="AP208" s="401" t="s">
        <v>368</v>
      </c>
      <c r="AQ208" s="401">
        <v>1</v>
      </c>
      <c r="AR208" s="401">
        <v>46</v>
      </c>
      <c r="AS208" s="496" t="s">
        <v>605</v>
      </c>
      <c r="AT208" s="495">
        <v>41724</v>
      </c>
      <c r="AU208" s="495">
        <v>41724</v>
      </c>
      <c r="AV208" s="583">
        <v>41912</v>
      </c>
      <c r="AW208" s="401">
        <v>2014</v>
      </c>
      <c r="AX208" s="496"/>
      <c r="AY208" s="401" t="s">
        <v>186</v>
      </c>
      <c r="AZ208" s="401"/>
      <c r="BA208" s="401">
        <v>2014</v>
      </c>
      <c r="BB208" s="494" t="s">
        <v>6228</v>
      </c>
      <c r="BC208" s="487" t="s">
        <v>6229</v>
      </c>
      <c r="BD208" s="494" t="s">
        <v>1818</v>
      </c>
      <c r="BE208" s="575">
        <v>41912</v>
      </c>
      <c r="BF208" s="498">
        <v>14242.846938600002</v>
      </c>
      <c r="BG208" s="488">
        <v>14242.846938600002</v>
      </c>
      <c r="BH208" s="488">
        <v>2.3340000000000001</v>
      </c>
      <c r="BI208" s="488">
        <v>0</v>
      </c>
      <c r="BJ208" s="494" t="s">
        <v>1465</v>
      </c>
      <c r="BK208" s="401"/>
    </row>
    <row r="209" spans="1:63" ht="150">
      <c r="A209" s="401">
        <v>1</v>
      </c>
      <c r="B209" s="494" t="s">
        <v>6230</v>
      </c>
      <c r="C209" s="401" t="s">
        <v>83</v>
      </c>
      <c r="D209" s="401" t="s">
        <v>235</v>
      </c>
      <c r="E209" s="401" t="s">
        <v>5853</v>
      </c>
      <c r="F209" s="401" t="s">
        <v>1752</v>
      </c>
      <c r="G209" s="401" t="s">
        <v>2344</v>
      </c>
      <c r="H209" s="499" t="s">
        <v>6231</v>
      </c>
      <c r="I209" s="486" t="s">
        <v>6232</v>
      </c>
      <c r="J209" s="487" t="s">
        <v>2991</v>
      </c>
      <c r="K209" s="487" t="s">
        <v>2991</v>
      </c>
      <c r="L209" s="500" t="s">
        <v>2513</v>
      </c>
      <c r="M209" s="500" t="s">
        <v>1755</v>
      </c>
      <c r="N209" s="487" t="s">
        <v>1773</v>
      </c>
      <c r="O209" s="487" t="s">
        <v>2234</v>
      </c>
      <c r="P209" s="578">
        <v>2276.8745176573098</v>
      </c>
      <c r="Q209" s="578">
        <v>2686.7119308356255</v>
      </c>
      <c r="R209" s="579">
        <v>1877.2714353291899</v>
      </c>
      <c r="S209" s="494" t="s">
        <v>1774</v>
      </c>
      <c r="T209" s="490">
        <v>1.087</v>
      </c>
      <c r="U209" s="490">
        <v>1.0680000000000001</v>
      </c>
      <c r="V209" s="490">
        <v>1.0589999999999999</v>
      </c>
      <c r="W209" s="490">
        <v>1.0580000000000001</v>
      </c>
      <c r="X209" s="491">
        <v>0.9</v>
      </c>
      <c r="Y209" s="502">
        <v>2197.6170000000002</v>
      </c>
      <c r="Z209" s="578">
        <v>2593.18806</v>
      </c>
      <c r="AA209" s="578">
        <v>2195.763479760988</v>
      </c>
      <c r="AB209" s="488">
        <v>2591.0009061179658</v>
      </c>
      <c r="AC209" s="492">
        <v>2195.763479760988</v>
      </c>
      <c r="AD209" s="493">
        <v>2591.0009061179658</v>
      </c>
      <c r="AE209" s="494" t="s">
        <v>1775</v>
      </c>
      <c r="AF209" s="494" t="s">
        <v>83</v>
      </c>
      <c r="AG209" s="494" t="s">
        <v>235</v>
      </c>
      <c r="AH209" s="401" t="s">
        <v>545</v>
      </c>
      <c r="AI209" s="495">
        <v>41669</v>
      </c>
      <c r="AJ209" s="495">
        <v>41704</v>
      </c>
      <c r="AK209" s="401" t="s">
        <v>96</v>
      </c>
      <c r="AL209" s="494" t="s">
        <v>96</v>
      </c>
      <c r="AM209" s="496" t="s">
        <v>4929</v>
      </c>
      <c r="AN209" s="496" t="s">
        <v>1757</v>
      </c>
      <c r="AO209" s="401">
        <v>796</v>
      </c>
      <c r="AP209" s="401" t="s">
        <v>368</v>
      </c>
      <c r="AQ209" s="401">
        <v>1</v>
      </c>
      <c r="AR209" s="401">
        <v>46</v>
      </c>
      <c r="AS209" s="496" t="s">
        <v>605</v>
      </c>
      <c r="AT209" s="495">
        <v>41724</v>
      </c>
      <c r="AU209" s="495">
        <v>41724</v>
      </c>
      <c r="AV209" s="583">
        <v>41912</v>
      </c>
      <c r="AW209" s="401">
        <v>2014</v>
      </c>
      <c r="AX209" s="496"/>
      <c r="AY209" s="401" t="s">
        <v>186</v>
      </c>
      <c r="AZ209" s="401"/>
      <c r="BA209" s="401">
        <v>2014</v>
      </c>
      <c r="BB209" s="494" t="s">
        <v>6233</v>
      </c>
      <c r="BC209" s="487" t="s">
        <v>6234</v>
      </c>
      <c r="BD209" s="494" t="s">
        <v>1818</v>
      </c>
      <c r="BE209" s="575">
        <v>41912</v>
      </c>
      <c r="BF209" s="498">
        <v>2686.7119308356255</v>
      </c>
      <c r="BG209" s="488">
        <v>2686.7119308356255</v>
      </c>
      <c r="BH209" s="488">
        <v>0.1</v>
      </c>
      <c r="BI209" s="488">
        <v>0.1</v>
      </c>
      <c r="BJ209" s="494" t="s">
        <v>1465</v>
      </c>
      <c r="BK209" s="401"/>
    </row>
    <row r="210" spans="1:63" ht="150">
      <c r="A210" s="401">
        <v>1</v>
      </c>
      <c r="B210" s="494" t="s">
        <v>6235</v>
      </c>
      <c r="C210" s="401" t="s">
        <v>83</v>
      </c>
      <c r="D210" s="401" t="s">
        <v>235</v>
      </c>
      <c r="E210" s="401" t="s">
        <v>5853</v>
      </c>
      <c r="F210" s="401" t="s">
        <v>1752</v>
      </c>
      <c r="G210" s="401" t="s">
        <v>2344</v>
      </c>
      <c r="H210" s="499" t="s">
        <v>6236</v>
      </c>
      <c r="I210" s="486" t="s">
        <v>6237</v>
      </c>
      <c r="J210" s="487" t="s">
        <v>2991</v>
      </c>
      <c r="K210" s="487" t="s">
        <v>2991</v>
      </c>
      <c r="L210" s="500" t="s">
        <v>2513</v>
      </c>
      <c r="M210" s="500" t="s">
        <v>1755</v>
      </c>
      <c r="N210" s="487" t="s">
        <v>1773</v>
      </c>
      <c r="O210" s="487" t="s">
        <v>2234</v>
      </c>
      <c r="P210" s="578">
        <v>1495.09</v>
      </c>
      <c r="Q210" s="578">
        <v>1764.2061999999999</v>
      </c>
      <c r="R210" s="579">
        <v>1205.4996741430334</v>
      </c>
      <c r="S210" s="494" t="s">
        <v>1774</v>
      </c>
      <c r="T210" s="490">
        <v>1.087</v>
      </c>
      <c r="U210" s="490">
        <v>1.0680000000000001</v>
      </c>
      <c r="V210" s="490">
        <v>1.0589999999999999</v>
      </c>
      <c r="W210" s="490">
        <v>1.0580000000000001</v>
      </c>
      <c r="X210" s="491">
        <v>0.9</v>
      </c>
      <c r="Y210" s="502">
        <v>1411.2112545550101</v>
      </c>
      <c r="Z210" s="578">
        <v>1665.2292803749119</v>
      </c>
      <c r="AA210" s="578">
        <v>1410.5595122294771</v>
      </c>
      <c r="AB210" s="488">
        <v>1664.460224430783</v>
      </c>
      <c r="AC210" s="492">
        <v>1410.5595122294771</v>
      </c>
      <c r="AD210" s="493">
        <v>1664.460224430783</v>
      </c>
      <c r="AE210" s="494" t="s">
        <v>1775</v>
      </c>
      <c r="AF210" s="494" t="s">
        <v>83</v>
      </c>
      <c r="AG210" s="494" t="s">
        <v>235</v>
      </c>
      <c r="AH210" s="401" t="s">
        <v>545</v>
      </c>
      <c r="AI210" s="495">
        <v>41669</v>
      </c>
      <c r="AJ210" s="495">
        <v>41704</v>
      </c>
      <c r="AK210" s="401" t="s">
        <v>96</v>
      </c>
      <c r="AL210" s="494" t="s">
        <v>96</v>
      </c>
      <c r="AM210" s="496" t="s">
        <v>4929</v>
      </c>
      <c r="AN210" s="496" t="s">
        <v>1757</v>
      </c>
      <c r="AO210" s="401">
        <v>796</v>
      </c>
      <c r="AP210" s="401" t="s">
        <v>368</v>
      </c>
      <c r="AQ210" s="401">
        <v>1</v>
      </c>
      <c r="AR210" s="401">
        <v>46</v>
      </c>
      <c r="AS210" s="496" t="s">
        <v>605</v>
      </c>
      <c r="AT210" s="495">
        <v>41724</v>
      </c>
      <c r="AU210" s="495">
        <v>41724</v>
      </c>
      <c r="AV210" s="495">
        <v>41881</v>
      </c>
      <c r="AW210" s="401">
        <v>2014</v>
      </c>
      <c r="AX210" s="496"/>
      <c r="AY210" s="401" t="s">
        <v>186</v>
      </c>
      <c r="AZ210" s="401"/>
      <c r="BA210" s="401">
        <v>2014</v>
      </c>
      <c r="BB210" s="494" t="s">
        <v>6238</v>
      </c>
      <c r="BC210" s="487" t="s">
        <v>6239</v>
      </c>
      <c r="BD210" s="494" t="s">
        <v>1818</v>
      </c>
      <c r="BE210" s="575">
        <v>41881</v>
      </c>
      <c r="BF210" s="498">
        <v>1764.2061999999999</v>
      </c>
      <c r="BG210" s="488">
        <v>1764.2061999999999</v>
      </c>
      <c r="BH210" s="488">
        <v>4</v>
      </c>
      <c r="BI210" s="488">
        <v>0</v>
      </c>
      <c r="BJ210" s="494" t="s">
        <v>1465</v>
      </c>
      <c r="BK210" s="401"/>
    </row>
    <row r="211" spans="1:63" ht="150">
      <c r="A211" s="401">
        <v>1</v>
      </c>
      <c r="B211" s="494" t="s">
        <v>6240</v>
      </c>
      <c r="C211" s="401" t="s">
        <v>83</v>
      </c>
      <c r="D211" s="401" t="s">
        <v>235</v>
      </c>
      <c r="E211" s="401" t="s">
        <v>5853</v>
      </c>
      <c r="F211" s="401" t="s">
        <v>1752</v>
      </c>
      <c r="G211" s="401" t="s">
        <v>2344</v>
      </c>
      <c r="H211" s="499" t="s">
        <v>6241</v>
      </c>
      <c r="I211" s="486" t="s">
        <v>6242</v>
      </c>
      <c r="J211" s="487" t="s">
        <v>2991</v>
      </c>
      <c r="K211" s="487" t="s">
        <v>2991</v>
      </c>
      <c r="L211" s="500" t="s">
        <v>2513</v>
      </c>
      <c r="M211" s="500" t="s">
        <v>1755</v>
      </c>
      <c r="N211" s="487" t="s">
        <v>1773</v>
      </c>
      <c r="O211" s="487" t="s">
        <v>2234</v>
      </c>
      <c r="P211" s="578">
        <v>919.45568999999989</v>
      </c>
      <c r="Q211" s="578">
        <v>1084.9577141999998</v>
      </c>
      <c r="R211" s="579">
        <v>756.02337739208383</v>
      </c>
      <c r="S211" s="494" t="s">
        <v>1774</v>
      </c>
      <c r="T211" s="490">
        <v>1.087</v>
      </c>
      <c r="U211" s="490">
        <v>1.0680000000000001</v>
      </c>
      <c r="V211" s="490">
        <v>1.0589999999999999</v>
      </c>
      <c r="W211" s="490">
        <v>1.0580000000000001</v>
      </c>
      <c r="X211" s="491">
        <v>0.9</v>
      </c>
      <c r="Y211" s="502">
        <v>885.03441499546102</v>
      </c>
      <c r="Z211" s="578">
        <v>1044.3406096946439</v>
      </c>
      <c r="AA211" s="578">
        <v>879.34947192595416</v>
      </c>
      <c r="AB211" s="488">
        <v>1037.6323768726259</v>
      </c>
      <c r="AC211" s="492">
        <v>879.34947192595416</v>
      </c>
      <c r="AD211" s="493">
        <v>1037.6323768726259</v>
      </c>
      <c r="AE211" s="494" t="s">
        <v>1775</v>
      </c>
      <c r="AF211" s="494" t="s">
        <v>83</v>
      </c>
      <c r="AG211" s="494" t="s">
        <v>235</v>
      </c>
      <c r="AH211" s="401" t="s">
        <v>545</v>
      </c>
      <c r="AI211" s="495">
        <v>41669</v>
      </c>
      <c r="AJ211" s="495">
        <v>41704</v>
      </c>
      <c r="AK211" s="401" t="s">
        <v>96</v>
      </c>
      <c r="AL211" s="494" t="s">
        <v>96</v>
      </c>
      <c r="AM211" s="496" t="s">
        <v>4929</v>
      </c>
      <c r="AN211" s="496" t="s">
        <v>1757</v>
      </c>
      <c r="AO211" s="401">
        <v>796</v>
      </c>
      <c r="AP211" s="401" t="s">
        <v>368</v>
      </c>
      <c r="AQ211" s="401">
        <v>1</v>
      </c>
      <c r="AR211" s="401">
        <v>46</v>
      </c>
      <c r="AS211" s="496" t="s">
        <v>605</v>
      </c>
      <c r="AT211" s="495">
        <v>41724</v>
      </c>
      <c r="AU211" s="495">
        <v>41724</v>
      </c>
      <c r="AV211" s="495">
        <v>41881</v>
      </c>
      <c r="AW211" s="401">
        <v>2014</v>
      </c>
      <c r="AX211" s="496"/>
      <c r="AY211" s="401" t="s">
        <v>186</v>
      </c>
      <c r="AZ211" s="401"/>
      <c r="BA211" s="401">
        <v>2014</v>
      </c>
      <c r="BB211" s="494" t="s">
        <v>6243</v>
      </c>
      <c r="BC211" s="487" t="s">
        <v>6244</v>
      </c>
      <c r="BD211" s="494" t="s">
        <v>1818</v>
      </c>
      <c r="BE211" s="575">
        <v>41881</v>
      </c>
      <c r="BF211" s="498">
        <v>1084.9577141999998</v>
      </c>
      <c r="BG211" s="488">
        <v>1084.9577141999998</v>
      </c>
      <c r="BH211" s="488">
        <v>0.09</v>
      </c>
      <c r="BI211" s="488">
        <v>0.21</v>
      </c>
      <c r="BJ211" s="494" t="s">
        <v>1465</v>
      </c>
      <c r="BK211" s="401"/>
    </row>
    <row r="212" spans="1:63" ht="150">
      <c r="A212" s="401">
        <v>1</v>
      </c>
      <c r="B212" s="494" t="s">
        <v>6245</v>
      </c>
      <c r="C212" s="401" t="s">
        <v>83</v>
      </c>
      <c r="D212" s="401" t="s">
        <v>235</v>
      </c>
      <c r="E212" s="401" t="s">
        <v>5853</v>
      </c>
      <c r="F212" s="401" t="s">
        <v>1752</v>
      </c>
      <c r="G212" s="401" t="s">
        <v>2344</v>
      </c>
      <c r="H212" s="499" t="s">
        <v>6246</v>
      </c>
      <c r="I212" s="486" t="s">
        <v>6247</v>
      </c>
      <c r="J212" s="487" t="s">
        <v>2991</v>
      </c>
      <c r="K212" s="487" t="s">
        <v>2991</v>
      </c>
      <c r="L212" s="500" t="s">
        <v>5004</v>
      </c>
      <c r="M212" s="500" t="s">
        <v>1755</v>
      </c>
      <c r="N212" s="487" t="s">
        <v>1773</v>
      </c>
      <c r="O212" s="487" t="s">
        <v>2234</v>
      </c>
      <c r="P212" s="578">
        <v>1205.3986399999999</v>
      </c>
      <c r="Q212" s="578">
        <v>1422.3703951999998</v>
      </c>
      <c r="R212" s="579">
        <v>962.28380729073785</v>
      </c>
      <c r="S212" s="494" t="s">
        <v>1774</v>
      </c>
      <c r="T212" s="490">
        <v>1.087</v>
      </c>
      <c r="U212" s="490">
        <v>1.0680000000000001</v>
      </c>
      <c r="V212" s="490">
        <v>1.0589999999999999</v>
      </c>
      <c r="W212" s="490">
        <v>1.0580000000000001</v>
      </c>
      <c r="X212" s="491">
        <v>0.9</v>
      </c>
      <c r="Y212" s="502">
        <v>1126.492</v>
      </c>
      <c r="Z212" s="578">
        <v>1329.2605599999999</v>
      </c>
      <c r="AA212" s="578">
        <v>1151.8755438305434</v>
      </c>
      <c r="AB212" s="488">
        <v>1359.2131417200412</v>
      </c>
      <c r="AC212" s="492">
        <v>1126.492</v>
      </c>
      <c r="AD212" s="493">
        <v>1329.2605599999999</v>
      </c>
      <c r="AE212" s="494" t="s">
        <v>1775</v>
      </c>
      <c r="AF212" s="494" t="s">
        <v>83</v>
      </c>
      <c r="AG212" s="494" t="s">
        <v>235</v>
      </c>
      <c r="AH212" s="401" t="s">
        <v>545</v>
      </c>
      <c r="AI212" s="495">
        <v>41669</v>
      </c>
      <c r="AJ212" s="495">
        <v>41704</v>
      </c>
      <c r="AK212" s="401" t="s">
        <v>96</v>
      </c>
      <c r="AL212" s="494" t="s">
        <v>96</v>
      </c>
      <c r="AM212" s="496" t="s">
        <v>4929</v>
      </c>
      <c r="AN212" s="496" t="s">
        <v>1757</v>
      </c>
      <c r="AO212" s="401">
        <v>796</v>
      </c>
      <c r="AP212" s="401" t="s">
        <v>368</v>
      </c>
      <c r="AQ212" s="401">
        <v>1</v>
      </c>
      <c r="AR212" s="401">
        <v>46</v>
      </c>
      <c r="AS212" s="496" t="s">
        <v>605</v>
      </c>
      <c r="AT212" s="495">
        <v>41724</v>
      </c>
      <c r="AU212" s="495">
        <v>41724</v>
      </c>
      <c r="AV212" s="495">
        <v>41881</v>
      </c>
      <c r="AW212" s="401">
        <v>2014</v>
      </c>
      <c r="AX212" s="496"/>
      <c r="AY212" s="401" t="s">
        <v>186</v>
      </c>
      <c r="AZ212" s="401"/>
      <c r="BA212" s="401">
        <v>2014</v>
      </c>
      <c r="BB212" s="494" t="s">
        <v>6248</v>
      </c>
      <c r="BC212" s="487" t="s">
        <v>6249</v>
      </c>
      <c r="BD212" s="494" t="s">
        <v>1818</v>
      </c>
      <c r="BE212" s="575">
        <v>41881</v>
      </c>
      <c r="BF212" s="498">
        <v>1422.3703951999998</v>
      </c>
      <c r="BG212" s="488">
        <v>1422.3703951999998</v>
      </c>
      <c r="BH212" s="488">
        <v>0.06</v>
      </c>
      <c r="BI212" s="488">
        <v>0.35</v>
      </c>
      <c r="BJ212" s="494" t="s">
        <v>1465</v>
      </c>
      <c r="BK212" s="401"/>
    </row>
    <row r="213" spans="1:63" ht="150">
      <c r="A213" s="401">
        <v>1</v>
      </c>
      <c r="B213" s="494" t="s">
        <v>6250</v>
      </c>
      <c r="C213" s="401" t="s">
        <v>83</v>
      </c>
      <c r="D213" s="401" t="s">
        <v>235</v>
      </c>
      <c r="E213" s="401" t="s">
        <v>5853</v>
      </c>
      <c r="F213" s="401" t="s">
        <v>1752</v>
      </c>
      <c r="G213" s="401" t="s">
        <v>2344</v>
      </c>
      <c r="H213" s="499" t="s">
        <v>6251</v>
      </c>
      <c r="I213" s="486" t="s">
        <v>6252</v>
      </c>
      <c r="J213" s="487" t="s">
        <v>2991</v>
      </c>
      <c r="K213" s="487" t="s">
        <v>2991</v>
      </c>
      <c r="L213" s="500" t="s">
        <v>5004</v>
      </c>
      <c r="M213" s="500" t="s">
        <v>1755</v>
      </c>
      <c r="N213" s="487" t="s">
        <v>1773</v>
      </c>
      <c r="O213" s="487" t="s">
        <v>2234</v>
      </c>
      <c r="P213" s="578">
        <v>1698.80098</v>
      </c>
      <c r="Q213" s="578">
        <v>2004.5851564</v>
      </c>
      <c r="R213" s="579">
        <v>1380.0711539322901</v>
      </c>
      <c r="S213" s="494" t="s">
        <v>1774</v>
      </c>
      <c r="T213" s="490">
        <v>1.087</v>
      </c>
      <c r="U213" s="490">
        <v>1.0680000000000001</v>
      </c>
      <c r="V213" s="490">
        <v>1.0589999999999999</v>
      </c>
      <c r="W213" s="490">
        <v>1.0580000000000001</v>
      </c>
      <c r="X213" s="491">
        <v>0.9</v>
      </c>
      <c r="Y213" s="502">
        <v>1615.57235251885</v>
      </c>
      <c r="Z213" s="578">
        <v>1906.3753759722429</v>
      </c>
      <c r="AA213" s="578">
        <v>1628.8899688144586</v>
      </c>
      <c r="AB213" s="488">
        <v>1922.0901632010609</v>
      </c>
      <c r="AC213" s="492">
        <v>1615.57235251885</v>
      </c>
      <c r="AD213" s="493">
        <v>1906.3753759722429</v>
      </c>
      <c r="AE213" s="494" t="s">
        <v>1775</v>
      </c>
      <c r="AF213" s="494" t="s">
        <v>83</v>
      </c>
      <c r="AG213" s="494" t="s">
        <v>235</v>
      </c>
      <c r="AH213" s="401" t="s">
        <v>545</v>
      </c>
      <c r="AI213" s="495">
        <v>41669</v>
      </c>
      <c r="AJ213" s="495">
        <v>41704</v>
      </c>
      <c r="AK213" s="401" t="s">
        <v>96</v>
      </c>
      <c r="AL213" s="494" t="s">
        <v>96</v>
      </c>
      <c r="AM213" s="496" t="s">
        <v>4929</v>
      </c>
      <c r="AN213" s="496" t="s">
        <v>1757</v>
      </c>
      <c r="AO213" s="401">
        <v>796</v>
      </c>
      <c r="AP213" s="401" t="s">
        <v>368</v>
      </c>
      <c r="AQ213" s="401">
        <v>1</v>
      </c>
      <c r="AR213" s="401">
        <v>46</v>
      </c>
      <c r="AS213" s="496" t="s">
        <v>605</v>
      </c>
      <c r="AT213" s="495">
        <v>41724</v>
      </c>
      <c r="AU213" s="495">
        <v>41724</v>
      </c>
      <c r="AV213" s="495">
        <v>41881</v>
      </c>
      <c r="AW213" s="401">
        <v>2014</v>
      </c>
      <c r="AX213" s="496"/>
      <c r="AY213" s="401" t="s">
        <v>186</v>
      </c>
      <c r="AZ213" s="401"/>
      <c r="BA213" s="401">
        <v>2014</v>
      </c>
      <c r="BB213" s="494" t="s">
        <v>6253</v>
      </c>
      <c r="BC213" s="487" t="s">
        <v>6254</v>
      </c>
      <c r="BD213" s="494" t="s">
        <v>1818</v>
      </c>
      <c r="BE213" s="575">
        <v>41881</v>
      </c>
      <c r="BF213" s="498">
        <v>2004.5851564</v>
      </c>
      <c r="BG213" s="488">
        <v>2004.5851564</v>
      </c>
      <c r="BH213" s="488">
        <v>1.4999999999999999E-2</v>
      </c>
      <c r="BI213" s="488">
        <v>0.7</v>
      </c>
      <c r="BJ213" s="494" t="s">
        <v>1465</v>
      </c>
      <c r="BK213" s="401"/>
    </row>
    <row r="214" spans="1:63" ht="150">
      <c r="A214" s="401">
        <v>1</v>
      </c>
      <c r="B214" s="494" t="s">
        <v>6255</v>
      </c>
      <c r="C214" s="401" t="s">
        <v>83</v>
      </c>
      <c r="D214" s="401" t="s">
        <v>235</v>
      </c>
      <c r="E214" s="401" t="s">
        <v>5853</v>
      </c>
      <c r="F214" s="401" t="s">
        <v>1752</v>
      </c>
      <c r="G214" s="401" t="s">
        <v>2344</v>
      </c>
      <c r="H214" s="499" t="s">
        <v>6256</v>
      </c>
      <c r="I214" s="486" t="s">
        <v>6257</v>
      </c>
      <c r="J214" s="487" t="s">
        <v>6221</v>
      </c>
      <c r="K214" s="487" t="s">
        <v>6221</v>
      </c>
      <c r="L214" s="500" t="s">
        <v>5019</v>
      </c>
      <c r="M214" s="500" t="s">
        <v>1755</v>
      </c>
      <c r="N214" s="487" t="s">
        <v>1773</v>
      </c>
      <c r="O214" s="487" t="s">
        <v>2234</v>
      </c>
      <c r="P214" s="578">
        <v>1106.82565</v>
      </c>
      <c r="Q214" s="578">
        <v>1306.054267</v>
      </c>
      <c r="R214" s="579">
        <v>911.45237849359967</v>
      </c>
      <c r="S214" s="494" t="s">
        <v>1774</v>
      </c>
      <c r="T214" s="490">
        <v>1.087</v>
      </c>
      <c r="U214" s="490">
        <v>1.0680000000000001</v>
      </c>
      <c r="V214" s="490">
        <v>1.0589999999999999</v>
      </c>
      <c r="W214" s="490">
        <v>1.0580000000000001</v>
      </c>
      <c r="X214" s="491">
        <v>0.9</v>
      </c>
      <c r="Y214" s="502">
        <v>1066.9864804695801</v>
      </c>
      <c r="Z214" s="578">
        <v>1259.0440469541045</v>
      </c>
      <c r="AA214" s="578">
        <v>1056.2091284195947</v>
      </c>
      <c r="AB214" s="488">
        <v>1246.3267715351217</v>
      </c>
      <c r="AC214" s="492">
        <v>1056.2091284195947</v>
      </c>
      <c r="AD214" s="493">
        <v>1246.3267715351217</v>
      </c>
      <c r="AE214" s="494" t="s">
        <v>1775</v>
      </c>
      <c r="AF214" s="494" t="s">
        <v>83</v>
      </c>
      <c r="AG214" s="494" t="s">
        <v>235</v>
      </c>
      <c r="AH214" s="401" t="s">
        <v>545</v>
      </c>
      <c r="AI214" s="495">
        <v>41669</v>
      </c>
      <c r="AJ214" s="495">
        <v>41704</v>
      </c>
      <c r="AK214" s="401" t="s">
        <v>96</v>
      </c>
      <c r="AL214" s="494" t="s">
        <v>96</v>
      </c>
      <c r="AM214" s="496" t="s">
        <v>6222</v>
      </c>
      <c r="AN214" s="496" t="s">
        <v>1757</v>
      </c>
      <c r="AO214" s="401">
        <v>796</v>
      </c>
      <c r="AP214" s="401" t="s">
        <v>368</v>
      </c>
      <c r="AQ214" s="401">
        <v>1</v>
      </c>
      <c r="AR214" s="401">
        <v>46</v>
      </c>
      <c r="AS214" s="496" t="s">
        <v>605</v>
      </c>
      <c r="AT214" s="495">
        <v>41724</v>
      </c>
      <c r="AU214" s="495">
        <v>41724</v>
      </c>
      <c r="AV214" s="495">
        <v>41881</v>
      </c>
      <c r="AW214" s="401">
        <v>2014</v>
      </c>
      <c r="AX214" s="496"/>
      <c r="AY214" s="401" t="s">
        <v>186</v>
      </c>
      <c r="AZ214" s="401"/>
      <c r="BA214" s="401">
        <v>2014</v>
      </c>
      <c r="BB214" s="494" t="s">
        <v>6258</v>
      </c>
      <c r="BC214" s="487" t="s">
        <v>6259</v>
      </c>
      <c r="BD214" s="494" t="s">
        <v>1818</v>
      </c>
      <c r="BE214" s="575">
        <v>41881</v>
      </c>
      <c r="BF214" s="498">
        <v>1306.054267</v>
      </c>
      <c r="BG214" s="488">
        <v>1306.054267</v>
      </c>
      <c r="BH214" s="488">
        <v>1.4999999999999999E-2</v>
      </c>
      <c r="BI214" s="488">
        <v>0.6</v>
      </c>
      <c r="BJ214" s="494" t="s">
        <v>1465</v>
      </c>
      <c r="BK214" s="401"/>
    </row>
    <row r="215" spans="1:63" ht="96.75" customHeight="1">
      <c r="A215" s="504">
        <v>1</v>
      </c>
      <c r="B215" s="570" t="s">
        <v>6260</v>
      </c>
      <c r="C215" s="504" t="s">
        <v>83</v>
      </c>
      <c r="D215" s="504" t="s">
        <v>225</v>
      </c>
      <c r="E215" s="570" t="s">
        <v>5853</v>
      </c>
      <c r="F215" s="504" t="s">
        <v>1752</v>
      </c>
      <c r="G215" s="504" t="s">
        <v>2344</v>
      </c>
      <c r="H215" s="517">
        <v>814151</v>
      </c>
      <c r="I215" s="506" t="s">
        <v>6261</v>
      </c>
      <c r="J215" s="506" t="s">
        <v>2991</v>
      </c>
      <c r="K215" s="506" t="s">
        <v>2991</v>
      </c>
      <c r="L215" s="506" t="s">
        <v>5004</v>
      </c>
      <c r="M215" s="571" t="s">
        <v>1755</v>
      </c>
      <c r="N215" s="506" t="s">
        <v>1773</v>
      </c>
      <c r="O215" s="506" t="s">
        <v>2234</v>
      </c>
      <c r="P215" s="512">
        <v>10134.41</v>
      </c>
      <c r="Q215" s="512">
        <v>11958.603799999999</v>
      </c>
      <c r="R215" s="512">
        <v>1647.65</v>
      </c>
      <c r="S215" s="504" t="s">
        <v>1774</v>
      </c>
      <c r="T215" s="572">
        <v>1.087</v>
      </c>
      <c r="U215" s="572">
        <v>1.077</v>
      </c>
      <c r="V215" s="572">
        <v>1.073</v>
      </c>
      <c r="W215" s="572">
        <v>1.071</v>
      </c>
      <c r="X215" s="511">
        <v>0.9</v>
      </c>
      <c r="Y215" s="507">
        <v>10320.68</v>
      </c>
      <c r="Z215" s="512">
        <v>12178.402399999999</v>
      </c>
      <c r="AA215" s="512">
        <v>10111.476000000001</v>
      </c>
      <c r="AB215" s="513">
        <v>11931.54168</v>
      </c>
      <c r="AC215" s="512">
        <v>10111.476000000001</v>
      </c>
      <c r="AD215" s="513">
        <v>11931.54168</v>
      </c>
      <c r="AE215" s="494" t="s">
        <v>1775</v>
      </c>
      <c r="AF215" s="570" t="s">
        <v>83</v>
      </c>
      <c r="AG215" s="570" t="s">
        <v>83</v>
      </c>
      <c r="AH215" s="570" t="s">
        <v>545</v>
      </c>
      <c r="AI215" s="515">
        <v>41654</v>
      </c>
      <c r="AJ215" s="515">
        <v>41689</v>
      </c>
      <c r="AK215" s="570"/>
      <c r="AL215" s="570"/>
      <c r="AM215" s="506" t="s">
        <v>4929</v>
      </c>
      <c r="AN215" s="506" t="s">
        <v>4784</v>
      </c>
      <c r="AO215" s="570">
        <v>796</v>
      </c>
      <c r="AP215" s="570" t="s">
        <v>368</v>
      </c>
      <c r="AQ215" s="570">
        <v>1</v>
      </c>
      <c r="AR215" s="570">
        <v>46</v>
      </c>
      <c r="AS215" s="506" t="s">
        <v>605</v>
      </c>
      <c r="AT215" s="515">
        <v>41674</v>
      </c>
      <c r="AU215" s="515">
        <v>41674</v>
      </c>
      <c r="AV215" s="515">
        <v>41851</v>
      </c>
      <c r="AW215" s="570">
        <v>2014</v>
      </c>
      <c r="AX215" s="506"/>
      <c r="AY215" s="570" t="s">
        <v>186</v>
      </c>
      <c r="AZ215" s="570"/>
      <c r="BA215" s="570">
        <v>2014</v>
      </c>
      <c r="BB215" s="570" t="s">
        <v>2271</v>
      </c>
      <c r="BC215" s="506" t="s">
        <v>2271</v>
      </c>
      <c r="BD215" s="570" t="s">
        <v>2272</v>
      </c>
      <c r="BE215" s="573" t="s">
        <v>2272</v>
      </c>
      <c r="BF215" s="574" t="s">
        <v>2272</v>
      </c>
      <c r="BG215" s="488" t="s">
        <v>2272</v>
      </c>
      <c r="BH215" s="513" t="s">
        <v>2272</v>
      </c>
      <c r="BI215" s="513" t="s">
        <v>2272</v>
      </c>
      <c r="BJ215" s="570" t="s">
        <v>1465</v>
      </c>
      <c r="BK215" s="504"/>
    </row>
    <row r="216" spans="1:63" ht="106.5" customHeight="1">
      <c r="A216" s="523">
        <v>1</v>
      </c>
      <c r="B216" s="534" t="s">
        <v>6262</v>
      </c>
      <c r="C216" s="523" t="s">
        <v>7247</v>
      </c>
      <c r="D216" s="523" t="s">
        <v>225</v>
      </c>
      <c r="E216" s="534" t="s">
        <v>5853</v>
      </c>
      <c r="F216" s="523" t="s">
        <v>1752</v>
      </c>
      <c r="G216" s="523" t="s">
        <v>2344</v>
      </c>
      <c r="H216" s="524">
        <v>814133</v>
      </c>
      <c r="I216" s="525" t="s">
        <v>6263</v>
      </c>
      <c r="J216" s="525" t="s">
        <v>2991</v>
      </c>
      <c r="K216" s="525" t="s">
        <v>2991</v>
      </c>
      <c r="L216" s="525" t="s">
        <v>5004</v>
      </c>
      <c r="M216" s="541" t="s">
        <v>1755</v>
      </c>
      <c r="N216" s="525" t="s">
        <v>1773</v>
      </c>
      <c r="O216" s="525" t="s">
        <v>2234</v>
      </c>
      <c r="P216" s="531">
        <v>5357.86</v>
      </c>
      <c r="Q216" s="531">
        <v>6322.2747999999992</v>
      </c>
      <c r="R216" s="531">
        <v>872.44</v>
      </c>
      <c r="S216" s="523" t="s">
        <v>1774</v>
      </c>
      <c r="T216" s="542">
        <v>1.087</v>
      </c>
      <c r="U216" s="543">
        <v>1.077</v>
      </c>
      <c r="V216" s="543">
        <v>1.073</v>
      </c>
      <c r="W216" s="543">
        <v>1.071</v>
      </c>
      <c r="X216" s="544">
        <v>0.9</v>
      </c>
      <c r="Y216" s="526">
        <v>5458.22</v>
      </c>
      <c r="Z216" s="531">
        <v>6440.6995999999999</v>
      </c>
      <c r="AA216" s="531">
        <v>5342.4530000000004</v>
      </c>
      <c r="AB216" s="532">
        <v>6304.0945400000001</v>
      </c>
      <c r="AC216" s="531">
        <v>5342.4530000000004</v>
      </c>
      <c r="AD216" s="532">
        <v>6304.0945400000001</v>
      </c>
      <c r="AE216" s="494" t="s">
        <v>1775</v>
      </c>
      <c r="AF216" s="534" t="s">
        <v>83</v>
      </c>
      <c r="AG216" s="534" t="s">
        <v>83</v>
      </c>
      <c r="AH216" s="534" t="s">
        <v>545</v>
      </c>
      <c r="AI216" s="533">
        <v>41654</v>
      </c>
      <c r="AJ216" s="533">
        <v>41689</v>
      </c>
      <c r="AK216" s="534" t="s">
        <v>132</v>
      </c>
      <c r="AL216" s="534" t="s">
        <v>132</v>
      </c>
      <c r="AM216" s="525" t="s">
        <v>4929</v>
      </c>
      <c r="AN216" s="525" t="s">
        <v>4784</v>
      </c>
      <c r="AO216" s="534">
        <v>796</v>
      </c>
      <c r="AP216" s="534" t="s">
        <v>368</v>
      </c>
      <c r="AQ216" s="534">
        <v>1</v>
      </c>
      <c r="AR216" s="534">
        <v>46</v>
      </c>
      <c r="AS216" s="525" t="s">
        <v>605</v>
      </c>
      <c r="AT216" s="533">
        <v>41674</v>
      </c>
      <c r="AU216" s="533">
        <v>41674</v>
      </c>
      <c r="AV216" s="533">
        <v>41851</v>
      </c>
      <c r="AW216" s="534">
        <v>2014</v>
      </c>
      <c r="AX216" s="525"/>
      <c r="AY216" s="534" t="s">
        <v>186</v>
      </c>
      <c r="AZ216" s="534"/>
      <c r="BA216" s="534">
        <v>2014</v>
      </c>
      <c r="BB216" s="534" t="s">
        <v>6264</v>
      </c>
      <c r="BC216" s="525" t="s">
        <v>6265</v>
      </c>
      <c r="BD216" s="534" t="s">
        <v>1818</v>
      </c>
      <c r="BE216" s="545">
        <v>41851</v>
      </c>
      <c r="BF216" s="546">
        <v>6492.1948000000002</v>
      </c>
      <c r="BG216" s="488">
        <v>6997.02</v>
      </c>
      <c r="BH216" s="532">
        <f>1.6</f>
        <v>1.6</v>
      </c>
      <c r="BI216" s="532">
        <f>1.12+1.8</f>
        <v>2.92</v>
      </c>
      <c r="BJ216" s="534" t="s">
        <v>1465</v>
      </c>
      <c r="BK216" s="523"/>
    </row>
    <row r="217" spans="1:63" ht="106.5" customHeight="1">
      <c r="A217" s="523">
        <v>1</v>
      </c>
      <c r="B217" s="534" t="s">
        <v>6266</v>
      </c>
      <c r="C217" s="523" t="s">
        <v>7247</v>
      </c>
      <c r="D217" s="523" t="s">
        <v>225</v>
      </c>
      <c r="E217" s="534" t="s">
        <v>5853</v>
      </c>
      <c r="F217" s="523" t="s">
        <v>1752</v>
      </c>
      <c r="G217" s="523" t="s">
        <v>2344</v>
      </c>
      <c r="H217" s="524">
        <v>814134</v>
      </c>
      <c r="I217" s="525" t="s">
        <v>6267</v>
      </c>
      <c r="J217" s="525" t="s">
        <v>2991</v>
      </c>
      <c r="K217" s="525" t="s">
        <v>2991</v>
      </c>
      <c r="L217" s="525" t="s">
        <v>5004</v>
      </c>
      <c r="M217" s="541" t="s">
        <v>1755</v>
      </c>
      <c r="N217" s="525" t="s">
        <v>1773</v>
      </c>
      <c r="O217" s="525" t="s">
        <v>2234</v>
      </c>
      <c r="P217" s="531">
        <v>4776.55</v>
      </c>
      <c r="Q217" s="531">
        <v>5636.3289999999997</v>
      </c>
      <c r="R217" s="531">
        <v>775.21</v>
      </c>
      <c r="S217" s="523" t="s">
        <v>1774</v>
      </c>
      <c r="T217" s="542">
        <v>1.087</v>
      </c>
      <c r="U217" s="543">
        <v>1.077</v>
      </c>
      <c r="V217" s="543">
        <v>1.073</v>
      </c>
      <c r="W217" s="543">
        <v>1.071</v>
      </c>
      <c r="X217" s="544">
        <v>0.9</v>
      </c>
      <c r="Y217" s="526">
        <v>4862.46</v>
      </c>
      <c r="Z217" s="531">
        <v>5737.7028</v>
      </c>
      <c r="AA217" s="531">
        <v>4769.0230000000001</v>
      </c>
      <c r="AB217" s="532">
        <v>5627.4471400000002</v>
      </c>
      <c r="AC217" s="531">
        <v>4769.0230000000001</v>
      </c>
      <c r="AD217" s="532">
        <v>5627.4471400000002</v>
      </c>
      <c r="AE217" s="494" t="s">
        <v>1775</v>
      </c>
      <c r="AF217" s="534" t="s">
        <v>83</v>
      </c>
      <c r="AG217" s="534" t="s">
        <v>83</v>
      </c>
      <c r="AH217" s="534" t="s">
        <v>545</v>
      </c>
      <c r="AI217" s="533">
        <v>41654</v>
      </c>
      <c r="AJ217" s="533">
        <v>41689</v>
      </c>
      <c r="AK217" s="534" t="s">
        <v>132</v>
      </c>
      <c r="AL217" s="534" t="s">
        <v>132</v>
      </c>
      <c r="AM217" s="525" t="s">
        <v>4929</v>
      </c>
      <c r="AN217" s="525" t="s">
        <v>4784</v>
      </c>
      <c r="AO217" s="534">
        <v>796</v>
      </c>
      <c r="AP217" s="534" t="s">
        <v>368</v>
      </c>
      <c r="AQ217" s="534">
        <v>1</v>
      </c>
      <c r="AR217" s="534">
        <v>46</v>
      </c>
      <c r="AS217" s="525" t="s">
        <v>605</v>
      </c>
      <c r="AT217" s="533">
        <v>41674</v>
      </c>
      <c r="AU217" s="533">
        <v>41674</v>
      </c>
      <c r="AV217" s="533">
        <v>41851</v>
      </c>
      <c r="AW217" s="534">
        <v>2014</v>
      </c>
      <c r="AX217" s="525"/>
      <c r="AY217" s="534" t="s">
        <v>186</v>
      </c>
      <c r="AZ217" s="534"/>
      <c r="BA217" s="534">
        <v>2014</v>
      </c>
      <c r="BB217" s="534" t="s">
        <v>6268</v>
      </c>
      <c r="BC217" s="525" t="s">
        <v>6269</v>
      </c>
      <c r="BD217" s="534" t="s">
        <v>1818</v>
      </c>
      <c r="BE217" s="545">
        <v>41851</v>
      </c>
      <c r="BF217" s="546">
        <v>5786.8026</v>
      </c>
      <c r="BG217" s="488">
        <v>6244.71</v>
      </c>
      <c r="BH217" s="532">
        <f>1.6</f>
        <v>1.6</v>
      </c>
      <c r="BI217" s="532">
        <f>1.2+1.4</f>
        <v>2.5999999999999996</v>
      </c>
      <c r="BJ217" s="534" t="s">
        <v>1465</v>
      </c>
      <c r="BK217" s="523"/>
    </row>
    <row r="218" spans="1:63" ht="114.75" customHeight="1">
      <c r="A218" s="401">
        <v>1</v>
      </c>
      <c r="B218" s="494" t="s">
        <v>6270</v>
      </c>
      <c r="C218" s="401" t="s">
        <v>83</v>
      </c>
      <c r="D218" s="401" t="s">
        <v>225</v>
      </c>
      <c r="E218" s="401" t="s">
        <v>5853</v>
      </c>
      <c r="F218" s="401" t="s">
        <v>1752</v>
      </c>
      <c r="G218" s="401" t="s">
        <v>2344</v>
      </c>
      <c r="H218" s="499">
        <v>814132</v>
      </c>
      <c r="I218" s="486" t="s">
        <v>6271</v>
      </c>
      <c r="J218" s="487" t="s">
        <v>2991</v>
      </c>
      <c r="K218" s="487" t="s">
        <v>2991</v>
      </c>
      <c r="L218" s="500" t="s">
        <v>2513</v>
      </c>
      <c r="M218" s="500" t="s">
        <v>1755</v>
      </c>
      <c r="N218" s="487" t="s">
        <v>1773</v>
      </c>
      <c r="O218" s="487" t="s">
        <v>2234</v>
      </c>
      <c r="P218" s="578">
        <v>5916.43</v>
      </c>
      <c r="Q218" s="578">
        <v>6981.3873999999996</v>
      </c>
      <c r="R218" s="579">
        <v>906.2</v>
      </c>
      <c r="S218" s="494" t="s">
        <v>6272</v>
      </c>
      <c r="T218" s="490">
        <v>1.087</v>
      </c>
      <c r="U218" s="490">
        <v>1.0680000000000001</v>
      </c>
      <c r="V218" s="490">
        <v>1.0589999999999999</v>
      </c>
      <c r="W218" s="490">
        <v>1.0580000000000001</v>
      </c>
      <c r="X218" s="491">
        <v>0.9</v>
      </c>
      <c r="Y218" s="502">
        <v>5220.3599999999997</v>
      </c>
      <c r="Z218" s="578">
        <v>6160.0247999999992</v>
      </c>
      <c r="AA218" s="578">
        <v>5191.28</v>
      </c>
      <c r="AB218" s="488">
        <v>6125.710399999999</v>
      </c>
      <c r="AC218" s="492">
        <v>5191.28</v>
      </c>
      <c r="AD218" s="493">
        <v>6125.710399999999</v>
      </c>
      <c r="AE218" s="494" t="s">
        <v>1775</v>
      </c>
      <c r="AF218" s="494" t="s">
        <v>83</v>
      </c>
      <c r="AG218" s="494" t="s">
        <v>83</v>
      </c>
      <c r="AH218" s="401" t="s">
        <v>545</v>
      </c>
      <c r="AI218" s="495">
        <v>41654</v>
      </c>
      <c r="AJ218" s="495">
        <v>41689</v>
      </c>
      <c r="AK218" s="401"/>
      <c r="AL218" s="494"/>
      <c r="AM218" s="496" t="s">
        <v>4929</v>
      </c>
      <c r="AN218" s="496" t="s">
        <v>4784</v>
      </c>
      <c r="AO218" s="401">
        <v>796</v>
      </c>
      <c r="AP218" s="401" t="s">
        <v>368</v>
      </c>
      <c r="AQ218" s="401">
        <v>1</v>
      </c>
      <c r="AR218" s="401">
        <v>46</v>
      </c>
      <c r="AS218" s="496" t="s">
        <v>605</v>
      </c>
      <c r="AT218" s="495">
        <v>41674</v>
      </c>
      <c r="AU218" s="495">
        <v>41674</v>
      </c>
      <c r="AV218" s="583">
        <v>41912</v>
      </c>
      <c r="AW218" s="401">
        <v>2014</v>
      </c>
      <c r="AX218" s="496"/>
      <c r="AY218" s="401" t="s">
        <v>186</v>
      </c>
      <c r="AZ218" s="401"/>
      <c r="BA218" s="401">
        <v>2014</v>
      </c>
      <c r="BB218" s="494" t="s">
        <v>6273</v>
      </c>
      <c r="BC218" s="487" t="s">
        <v>6274</v>
      </c>
      <c r="BD218" s="494" t="s">
        <v>1818</v>
      </c>
      <c r="BE218" s="575">
        <v>41912</v>
      </c>
      <c r="BF218" s="498">
        <v>7165.7860000000001</v>
      </c>
      <c r="BG218" s="488">
        <v>7401.4660000000003</v>
      </c>
      <c r="BH218" s="488">
        <v>0</v>
      </c>
      <c r="BI218" s="488">
        <v>0.3</v>
      </c>
      <c r="BJ218" s="494" t="s">
        <v>1465</v>
      </c>
      <c r="BK218" s="401"/>
    </row>
    <row r="219" spans="1:63" ht="114.75" customHeight="1">
      <c r="A219" s="401">
        <v>1</v>
      </c>
      <c r="B219" s="494" t="s">
        <v>6275</v>
      </c>
      <c r="C219" s="401" t="s">
        <v>83</v>
      </c>
      <c r="D219" s="401" t="s">
        <v>225</v>
      </c>
      <c r="E219" s="401" t="s">
        <v>5853</v>
      </c>
      <c r="F219" s="401" t="s">
        <v>1752</v>
      </c>
      <c r="G219" s="401" t="s">
        <v>2344</v>
      </c>
      <c r="H219" s="499">
        <v>814193</v>
      </c>
      <c r="I219" s="486" t="s">
        <v>6276</v>
      </c>
      <c r="J219" s="487" t="s">
        <v>2991</v>
      </c>
      <c r="K219" s="487" t="s">
        <v>2991</v>
      </c>
      <c r="L219" s="500" t="s">
        <v>5004</v>
      </c>
      <c r="M219" s="500" t="s">
        <v>1755</v>
      </c>
      <c r="N219" s="487" t="s">
        <v>1773</v>
      </c>
      <c r="O219" s="487" t="s">
        <v>2234</v>
      </c>
      <c r="P219" s="578">
        <v>9480.527</v>
      </c>
      <c r="Q219" s="578">
        <v>11187.021859999999</v>
      </c>
      <c r="R219" s="579">
        <v>1370.944</v>
      </c>
      <c r="S219" s="494" t="s">
        <v>6272</v>
      </c>
      <c r="T219" s="490">
        <v>1.087</v>
      </c>
      <c r="U219" s="490">
        <v>1.0680000000000001</v>
      </c>
      <c r="V219" s="490">
        <v>1.0589999999999999</v>
      </c>
      <c r="W219" s="490">
        <v>1.0580000000000001</v>
      </c>
      <c r="X219" s="491">
        <v>0.9</v>
      </c>
      <c r="Y219" s="502">
        <v>8532.4740000000002</v>
      </c>
      <c r="Z219" s="578">
        <v>10068.319320000001</v>
      </c>
      <c r="AA219" s="578">
        <v>8297.94</v>
      </c>
      <c r="AB219" s="488">
        <v>9791.5691999999999</v>
      </c>
      <c r="AC219" s="492">
        <v>8297.94</v>
      </c>
      <c r="AD219" s="493">
        <v>9791.5691999999999</v>
      </c>
      <c r="AE219" s="494" t="s">
        <v>1775</v>
      </c>
      <c r="AF219" s="494" t="s">
        <v>83</v>
      </c>
      <c r="AG219" s="494" t="s">
        <v>83</v>
      </c>
      <c r="AH219" s="401" t="s">
        <v>545</v>
      </c>
      <c r="AI219" s="495">
        <v>41654</v>
      </c>
      <c r="AJ219" s="495">
        <v>41689</v>
      </c>
      <c r="AK219" s="401"/>
      <c r="AL219" s="494"/>
      <c r="AM219" s="496" t="s">
        <v>4929</v>
      </c>
      <c r="AN219" s="496" t="s">
        <v>4784</v>
      </c>
      <c r="AO219" s="401">
        <v>796</v>
      </c>
      <c r="AP219" s="401" t="s">
        <v>368</v>
      </c>
      <c r="AQ219" s="401">
        <v>1</v>
      </c>
      <c r="AR219" s="401">
        <v>46</v>
      </c>
      <c r="AS219" s="496" t="s">
        <v>605</v>
      </c>
      <c r="AT219" s="495">
        <v>41674</v>
      </c>
      <c r="AU219" s="495">
        <v>41674</v>
      </c>
      <c r="AV219" s="495">
        <v>41820</v>
      </c>
      <c r="AW219" s="401">
        <v>2014</v>
      </c>
      <c r="AX219" s="496"/>
      <c r="AY219" s="401" t="s">
        <v>186</v>
      </c>
      <c r="AZ219" s="401"/>
      <c r="BA219" s="401">
        <v>2014</v>
      </c>
      <c r="BB219" s="494" t="s">
        <v>6277</v>
      </c>
      <c r="BC219" s="487" t="s">
        <v>6278</v>
      </c>
      <c r="BD219" s="494" t="s">
        <v>1818</v>
      </c>
      <c r="BE219" s="575">
        <v>41820</v>
      </c>
      <c r="BF219" s="498">
        <v>11272.2523986</v>
      </c>
      <c r="BG219" s="488">
        <v>10675.208020783701</v>
      </c>
      <c r="BH219" s="488">
        <f>2*0.63</f>
        <v>1.26</v>
      </c>
      <c r="BI219" s="488">
        <f>1.5+0.5</f>
        <v>2</v>
      </c>
      <c r="BJ219" s="494" t="s">
        <v>1465</v>
      </c>
      <c r="BK219" s="401"/>
    </row>
    <row r="220" spans="1:63" ht="150">
      <c r="A220" s="401">
        <v>1</v>
      </c>
      <c r="B220" s="494" t="s">
        <v>6279</v>
      </c>
      <c r="C220" s="401" t="s">
        <v>83</v>
      </c>
      <c r="D220" s="401" t="s">
        <v>225</v>
      </c>
      <c r="E220" s="401" t="s">
        <v>5853</v>
      </c>
      <c r="F220" s="401" t="s">
        <v>1752</v>
      </c>
      <c r="G220" s="401" t="s">
        <v>2344</v>
      </c>
      <c r="H220" s="499">
        <v>814192</v>
      </c>
      <c r="I220" s="486" t="s">
        <v>6280</v>
      </c>
      <c r="J220" s="487" t="s">
        <v>2991</v>
      </c>
      <c r="K220" s="487" t="s">
        <v>2991</v>
      </c>
      <c r="L220" s="500" t="s">
        <v>5004</v>
      </c>
      <c r="M220" s="500" t="s">
        <v>1755</v>
      </c>
      <c r="N220" s="487" t="s">
        <v>1773</v>
      </c>
      <c r="O220" s="487" t="s">
        <v>2234</v>
      </c>
      <c r="P220" s="578">
        <v>6810.8940000000002</v>
      </c>
      <c r="Q220" s="578">
        <v>8036.8549199999998</v>
      </c>
      <c r="R220" s="579">
        <v>967.09100000000001</v>
      </c>
      <c r="S220" s="494" t="s">
        <v>6272</v>
      </c>
      <c r="T220" s="490">
        <v>1.087</v>
      </c>
      <c r="U220" s="490">
        <v>1.0680000000000001</v>
      </c>
      <c r="V220" s="490">
        <v>1.0589999999999999</v>
      </c>
      <c r="W220" s="490">
        <v>1.0580000000000001</v>
      </c>
      <c r="X220" s="491">
        <v>0.9</v>
      </c>
      <c r="Y220" s="502">
        <v>6129.8040000000001</v>
      </c>
      <c r="Z220" s="578">
        <v>7233.1687199999997</v>
      </c>
      <c r="AA220" s="578">
        <v>5941.6549999999997</v>
      </c>
      <c r="AB220" s="488">
        <v>7011.1528999999991</v>
      </c>
      <c r="AC220" s="492">
        <v>5941.6549999999997</v>
      </c>
      <c r="AD220" s="493">
        <v>7011.1528999999991</v>
      </c>
      <c r="AE220" s="494" t="s">
        <v>1775</v>
      </c>
      <c r="AF220" s="494" t="s">
        <v>83</v>
      </c>
      <c r="AG220" s="494" t="s">
        <v>83</v>
      </c>
      <c r="AH220" s="401" t="s">
        <v>545</v>
      </c>
      <c r="AI220" s="495">
        <v>41654</v>
      </c>
      <c r="AJ220" s="495">
        <v>41689</v>
      </c>
      <c r="AK220" s="401"/>
      <c r="AL220" s="494"/>
      <c r="AM220" s="496" t="s">
        <v>4929</v>
      </c>
      <c r="AN220" s="496" t="s">
        <v>4784</v>
      </c>
      <c r="AO220" s="401">
        <v>796</v>
      </c>
      <c r="AP220" s="401" t="s">
        <v>368</v>
      </c>
      <c r="AQ220" s="401">
        <v>1</v>
      </c>
      <c r="AR220" s="401">
        <v>46</v>
      </c>
      <c r="AS220" s="496" t="s">
        <v>605</v>
      </c>
      <c r="AT220" s="495">
        <v>41674</v>
      </c>
      <c r="AU220" s="495">
        <v>41674</v>
      </c>
      <c r="AV220" s="495">
        <v>41820</v>
      </c>
      <c r="AW220" s="401">
        <v>2014</v>
      </c>
      <c r="AX220" s="496"/>
      <c r="AY220" s="401" t="s">
        <v>186</v>
      </c>
      <c r="AZ220" s="401"/>
      <c r="BA220" s="401">
        <v>2014</v>
      </c>
      <c r="BB220" s="494" t="s">
        <v>6281</v>
      </c>
      <c r="BC220" s="487" t="s">
        <v>6282</v>
      </c>
      <c r="BD220" s="494" t="s">
        <v>1818</v>
      </c>
      <c r="BE220" s="575">
        <v>41820</v>
      </c>
      <c r="BF220" s="498">
        <v>8203.2082637999993</v>
      </c>
      <c r="BG220" s="488">
        <v>7754.7773506712192</v>
      </c>
      <c r="BH220" s="488">
        <v>0.25</v>
      </c>
      <c r="BI220" s="488">
        <f>0.6+0.15</f>
        <v>0.75</v>
      </c>
      <c r="BJ220" s="494" t="s">
        <v>1465</v>
      </c>
      <c r="BK220" s="401"/>
    </row>
    <row r="221" spans="1:63" ht="117.75" customHeight="1">
      <c r="A221" s="555">
        <v>1</v>
      </c>
      <c r="B221" s="562" t="s">
        <v>6283</v>
      </c>
      <c r="C221" s="555" t="s">
        <v>83</v>
      </c>
      <c r="D221" s="555" t="s">
        <v>242</v>
      </c>
      <c r="E221" s="555" t="s">
        <v>5853</v>
      </c>
      <c r="F221" s="555" t="s">
        <v>1761</v>
      </c>
      <c r="G221" s="555" t="s">
        <v>1762</v>
      </c>
      <c r="H221" s="556" t="s">
        <v>6284</v>
      </c>
      <c r="I221" s="486" t="s">
        <v>6285</v>
      </c>
      <c r="J221" s="563" t="s">
        <v>2978</v>
      </c>
      <c r="K221" s="563" t="s">
        <v>2978</v>
      </c>
      <c r="L221" s="576" t="s">
        <v>1772</v>
      </c>
      <c r="M221" s="500" t="s">
        <v>1755</v>
      </c>
      <c r="N221" s="563" t="s">
        <v>1773</v>
      </c>
      <c r="O221" s="563" t="s">
        <v>2234</v>
      </c>
      <c r="P221" s="514">
        <v>12063.447</v>
      </c>
      <c r="Q221" s="514">
        <v>14234.867459999999</v>
      </c>
      <c r="R221" s="493">
        <v>10511.962156766407</v>
      </c>
      <c r="S221" s="562" t="s">
        <v>1774</v>
      </c>
      <c r="T221" s="577">
        <v>1.087</v>
      </c>
      <c r="U221" s="577">
        <v>1.077</v>
      </c>
      <c r="V221" s="577">
        <v>1.073</v>
      </c>
      <c r="W221" s="577">
        <v>1.071</v>
      </c>
      <c r="X221" s="597">
        <v>0.9</v>
      </c>
      <c r="Y221" s="514">
        <v>11884.236000000001</v>
      </c>
      <c r="Z221" s="514">
        <v>14023.39848</v>
      </c>
      <c r="AA221" s="514">
        <v>8027.8562070765265</v>
      </c>
      <c r="AB221" s="493">
        <v>9472.8703243503005</v>
      </c>
      <c r="AC221" s="492">
        <v>8027.8562070765265</v>
      </c>
      <c r="AD221" s="493">
        <v>9472.8703243503005</v>
      </c>
      <c r="AE221" s="494" t="s">
        <v>1775</v>
      </c>
      <c r="AF221" s="562" t="s">
        <v>83</v>
      </c>
      <c r="AG221" s="562" t="s">
        <v>211</v>
      </c>
      <c r="AH221" s="555" t="s">
        <v>545</v>
      </c>
      <c r="AI221" s="561">
        <v>41659</v>
      </c>
      <c r="AJ221" s="561">
        <v>41694</v>
      </c>
      <c r="AK221" s="555" t="s">
        <v>96</v>
      </c>
      <c r="AL221" s="562" t="s">
        <v>96</v>
      </c>
      <c r="AM221" s="486" t="s">
        <v>5709</v>
      </c>
      <c r="AN221" s="486" t="s">
        <v>1757</v>
      </c>
      <c r="AO221" s="555">
        <v>796</v>
      </c>
      <c r="AP221" s="555" t="s">
        <v>368</v>
      </c>
      <c r="AQ221" s="555">
        <v>1</v>
      </c>
      <c r="AR221" s="555">
        <v>45</v>
      </c>
      <c r="AS221" s="486" t="s">
        <v>547</v>
      </c>
      <c r="AT221" s="561">
        <v>41714</v>
      </c>
      <c r="AU221" s="561">
        <v>41714</v>
      </c>
      <c r="AV221" s="561">
        <v>41810</v>
      </c>
      <c r="AW221" s="555">
        <v>2014</v>
      </c>
      <c r="AX221" s="486"/>
      <c r="AY221" s="555" t="s">
        <v>186</v>
      </c>
      <c r="AZ221" s="555"/>
      <c r="BA221" s="555">
        <v>2014</v>
      </c>
      <c r="BB221" s="562" t="s">
        <v>2216</v>
      </c>
      <c r="BC221" s="563" t="s">
        <v>6286</v>
      </c>
      <c r="BD221" s="562" t="s">
        <v>1818</v>
      </c>
      <c r="BE221" s="575">
        <v>41810</v>
      </c>
      <c r="BF221" s="580">
        <v>109959.25</v>
      </c>
      <c r="BG221" s="488">
        <v>104524.63245999999</v>
      </c>
      <c r="BH221" s="493">
        <v>0</v>
      </c>
      <c r="BI221" s="493">
        <v>9.8303000000000011</v>
      </c>
      <c r="BJ221" s="562" t="s">
        <v>186</v>
      </c>
      <c r="BK221" s="555"/>
    </row>
    <row r="222" spans="1:63" ht="78.75" customHeight="1">
      <c r="A222" s="401">
        <v>1</v>
      </c>
      <c r="B222" s="494" t="s">
        <v>6287</v>
      </c>
      <c r="C222" s="401" t="s">
        <v>83</v>
      </c>
      <c r="D222" s="401" t="s">
        <v>242</v>
      </c>
      <c r="E222" s="401" t="s">
        <v>5853</v>
      </c>
      <c r="F222" s="401" t="s">
        <v>1761</v>
      </c>
      <c r="G222" s="401" t="s">
        <v>1762</v>
      </c>
      <c r="H222" s="499">
        <v>854366</v>
      </c>
      <c r="I222" s="486" t="s">
        <v>6288</v>
      </c>
      <c r="J222" s="487" t="s">
        <v>2978</v>
      </c>
      <c r="K222" s="487" t="s">
        <v>2978</v>
      </c>
      <c r="L222" s="500" t="s">
        <v>1772</v>
      </c>
      <c r="M222" s="500" t="s">
        <v>1755</v>
      </c>
      <c r="N222" s="487" t="s">
        <v>1773</v>
      </c>
      <c r="O222" s="487" t="s">
        <v>2234</v>
      </c>
      <c r="P222" s="578">
        <v>906.42118000000005</v>
      </c>
      <c r="Q222" s="578">
        <v>1069.5769924000001</v>
      </c>
      <c r="R222" s="579">
        <v>796.53775584509106</v>
      </c>
      <c r="S222" s="494" t="s">
        <v>1774</v>
      </c>
      <c r="T222" s="490">
        <v>1.087</v>
      </c>
      <c r="U222" s="490">
        <v>1.077</v>
      </c>
      <c r="V222" s="490">
        <v>1.073</v>
      </c>
      <c r="W222" s="490">
        <v>1.071</v>
      </c>
      <c r="X222" s="491">
        <v>0.9</v>
      </c>
      <c r="Y222" s="502">
        <v>900.52099999999996</v>
      </c>
      <c r="Z222" s="578">
        <v>1062.6147799999999</v>
      </c>
      <c r="AA222" s="578">
        <v>1029.4259999999999</v>
      </c>
      <c r="AB222" s="488">
        <v>1214.7226799999999</v>
      </c>
      <c r="AC222" s="492">
        <v>900.52099999999996</v>
      </c>
      <c r="AD222" s="493">
        <v>1062.6147799999999</v>
      </c>
      <c r="AE222" s="494" t="s">
        <v>1775</v>
      </c>
      <c r="AF222" s="494" t="s">
        <v>83</v>
      </c>
      <c r="AG222" s="494" t="s">
        <v>211</v>
      </c>
      <c r="AH222" s="401" t="s">
        <v>545</v>
      </c>
      <c r="AI222" s="495">
        <v>41659</v>
      </c>
      <c r="AJ222" s="495">
        <v>41694</v>
      </c>
      <c r="AK222" s="401" t="s">
        <v>96</v>
      </c>
      <c r="AL222" s="494" t="s">
        <v>96</v>
      </c>
      <c r="AM222" s="496" t="s">
        <v>5709</v>
      </c>
      <c r="AN222" s="496" t="s">
        <v>1757</v>
      </c>
      <c r="AO222" s="401">
        <v>796</v>
      </c>
      <c r="AP222" s="401" t="s">
        <v>368</v>
      </c>
      <c r="AQ222" s="401">
        <v>1</v>
      </c>
      <c r="AR222" s="401">
        <v>45</v>
      </c>
      <c r="AS222" s="496" t="s">
        <v>547</v>
      </c>
      <c r="AT222" s="495">
        <v>41714</v>
      </c>
      <c r="AU222" s="495">
        <v>41714</v>
      </c>
      <c r="AV222" s="495">
        <v>41810</v>
      </c>
      <c r="AW222" s="401">
        <v>2014</v>
      </c>
      <c r="AX222" s="496"/>
      <c r="AY222" s="401" t="s">
        <v>186</v>
      </c>
      <c r="AZ222" s="401"/>
      <c r="BA222" s="401">
        <v>2014</v>
      </c>
      <c r="BB222" s="494" t="s">
        <v>2173</v>
      </c>
      <c r="BC222" s="487" t="s">
        <v>2174</v>
      </c>
      <c r="BD222" s="494" t="s">
        <v>1818</v>
      </c>
      <c r="BE222" s="575">
        <v>42004</v>
      </c>
      <c r="BF222" s="498">
        <v>5543.1800031959992</v>
      </c>
      <c r="BG222" s="488">
        <v>5543.1800031959992</v>
      </c>
      <c r="BH222" s="488">
        <v>0</v>
      </c>
      <c r="BI222" s="488">
        <v>1</v>
      </c>
      <c r="BJ222" s="494" t="s">
        <v>186</v>
      </c>
      <c r="BK222" s="401"/>
    </row>
    <row r="223" spans="1:63" ht="78.75" customHeight="1">
      <c r="A223" s="401">
        <v>1</v>
      </c>
      <c r="B223" s="494" t="s">
        <v>6289</v>
      </c>
      <c r="C223" s="401" t="s">
        <v>83</v>
      </c>
      <c r="D223" s="401" t="s">
        <v>242</v>
      </c>
      <c r="E223" s="401" t="s">
        <v>5853</v>
      </c>
      <c r="F223" s="401" t="s">
        <v>1761</v>
      </c>
      <c r="G223" s="401" t="s">
        <v>1762</v>
      </c>
      <c r="H223" s="499">
        <v>854368</v>
      </c>
      <c r="I223" s="486" t="s">
        <v>6290</v>
      </c>
      <c r="J223" s="487" t="s">
        <v>2978</v>
      </c>
      <c r="K223" s="487" t="s">
        <v>2978</v>
      </c>
      <c r="L223" s="500" t="s">
        <v>1772</v>
      </c>
      <c r="M223" s="500" t="s">
        <v>1755</v>
      </c>
      <c r="N223" s="487" t="s">
        <v>1773</v>
      </c>
      <c r="O223" s="487" t="s">
        <v>2234</v>
      </c>
      <c r="P223" s="578">
        <v>2664.7339999999999</v>
      </c>
      <c r="Q223" s="578">
        <v>3144.3861199999997</v>
      </c>
      <c r="R223" s="579">
        <v>2345.0586116197828</v>
      </c>
      <c r="S223" s="494" t="s">
        <v>1774</v>
      </c>
      <c r="T223" s="490">
        <v>1.087</v>
      </c>
      <c r="U223" s="490">
        <v>1.077</v>
      </c>
      <c r="V223" s="490">
        <v>1.073</v>
      </c>
      <c r="W223" s="490">
        <v>1.071</v>
      </c>
      <c r="X223" s="491">
        <v>0.9</v>
      </c>
      <c r="Y223" s="502">
        <v>2651.192</v>
      </c>
      <c r="Z223" s="578">
        <v>3128.4065599999999</v>
      </c>
      <c r="AA223" s="578">
        <v>3023.6970000000001</v>
      </c>
      <c r="AB223" s="488">
        <v>3567.9624599999997</v>
      </c>
      <c r="AC223" s="492">
        <v>2651.192</v>
      </c>
      <c r="AD223" s="493">
        <v>3128.4065599999999</v>
      </c>
      <c r="AE223" s="494" t="s">
        <v>1775</v>
      </c>
      <c r="AF223" s="494" t="s">
        <v>83</v>
      </c>
      <c r="AG223" s="494" t="s">
        <v>211</v>
      </c>
      <c r="AH223" s="401" t="s">
        <v>545</v>
      </c>
      <c r="AI223" s="495">
        <v>41659</v>
      </c>
      <c r="AJ223" s="495">
        <v>41694</v>
      </c>
      <c r="AK223" s="401" t="s">
        <v>96</v>
      </c>
      <c r="AL223" s="494" t="s">
        <v>96</v>
      </c>
      <c r="AM223" s="496" t="s">
        <v>5709</v>
      </c>
      <c r="AN223" s="496" t="s">
        <v>1757</v>
      </c>
      <c r="AO223" s="401">
        <v>796</v>
      </c>
      <c r="AP223" s="401" t="s">
        <v>368</v>
      </c>
      <c r="AQ223" s="401">
        <v>1</v>
      </c>
      <c r="AR223" s="401">
        <v>45</v>
      </c>
      <c r="AS223" s="496" t="s">
        <v>547</v>
      </c>
      <c r="AT223" s="495">
        <v>41714</v>
      </c>
      <c r="AU223" s="495">
        <v>41714</v>
      </c>
      <c r="AV223" s="495">
        <v>41810</v>
      </c>
      <c r="AW223" s="401">
        <v>2014</v>
      </c>
      <c r="AX223" s="496"/>
      <c r="AY223" s="401" t="s">
        <v>186</v>
      </c>
      <c r="AZ223" s="401"/>
      <c r="BA223" s="401">
        <v>2014</v>
      </c>
      <c r="BB223" s="494" t="s">
        <v>2177</v>
      </c>
      <c r="BC223" s="487" t="s">
        <v>2178</v>
      </c>
      <c r="BD223" s="494" t="s">
        <v>1818</v>
      </c>
      <c r="BE223" s="575">
        <v>42004</v>
      </c>
      <c r="BF223" s="498">
        <v>6652.380003196</v>
      </c>
      <c r="BG223" s="488">
        <v>6652.380003196</v>
      </c>
      <c r="BH223" s="488">
        <v>0</v>
      </c>
      <c r="BI223" s="488">
        <v>1</v>
      </c>
      <c r="BJ223" s="494" t="s">
        <v>186</v>
      </c>
      <c r="BK223" s="401"/>
    </row>
    <row r="224" spans="1:63" ht="105" customHeight="1">
      <c r="A224" s="401">
        <v>1</v>
      </c>
      <c r="B224" s="494" t="s">
        <v>6291</v>
      </c>
      <c r="C224" s="401" t="s">
        <v>83</v>
      </c>
      <c r="D224" s="401" t="s">
        <v>242</v>
      </c>
      <c r="E224" s="401" t="s">
        <v>5853</v>
      </c>
      <c r="F224" s="401" t="s">
        <v>1752</v>
      </c>
      <c r="G224" s="401" t="s">
        <v>6141</v>
      </c>
      <c r="H224" s="499" t="s">
        <v>6292</v>
      </c>
      <c r="I224" s="486" t="s">
        <v>6293</v>
      </c>
      <c r="J224" s="487" t="s">
        <v>5598</v>
      </c>
      <c r="K224" s="487" t="s">
        <v>5598</v>
      </c>
      <c r="L224" s="500" t="s">
        <v>6294</v>
      </c>
      <c r="M224" s="500" t="s">
        <v>1755</v>
      </c>
      <c r="N224" s="487" t="s">
        <v>1773</v>
      </c>
      <c r="O224" s="487" t="s">
        <v>2234</v>
      </c>
      <c r="P224" s="578">
        <v>1352.37</v>
      </c>
      <c r="Q224" s="578">
        <v>1595.7965999999999</v>
      </c>
      <c r="R224" s="579">
        <v>1178.273443022081</v>
      </c>
      <c r="S224" s="494" t="s">
        <v>1774</v>
      </c>
      <c r="T224" s="490">
        <v>1.087</v>
      </c>
      <c r="U224" s="490">
        <v>1.077</v>
      </c>
      <c r="V224" s="490">
        <v>1.073</v>
      </c>
      <c r="W224" s="490">
        <v>1.071</v>
      </c>
      <c r="X224" s="491">
        <v>0.9</v>
      </c>
      <c r="Y224" s="502">
        <v>1332.09</v>
      </c>
      <c r="Z224" s="578">
        <v>1571.8661999999997</v>
      </c>
      <c r="AA224" s="578">
        <v>1364.155</v>
      </c>
      <c r="AB224" s="488">
        <v>1609.7028999999998</v>
      </c>
      <c r="AC224" s="492">
        <v>1332.09</v>
      </c>
      <c r="AD224" s="493">
        <v>1571.8661999999997</v>
      </c>
      <c r="AE224" s="494" t="s">
        <v>1775</v>
      </c>
      <c r="AF224" s="494" t="s">
        <v>83</v>
      </c>
      <c r="AG224" s="494" t="s">
        <v>211</v>
      </c>
      <c r="AH224" s="401" t="s">
        <v>545</v>
      </c>
      <c r="AI224" s="495">
        <v>41656</v>
      </c>
      <c r="AJ224" s="495">
        <v>41691</v>
      </c>
      <c r="AK224" s="401" t="s">
        <v>96</v>
      </c>
      <c r="AL224" s="494" t="s">
        <v>96</v>
      </c>
      <c r="AM224" s="496" t="s">
        <v>5599</v>
      </c>
      <c r="AN224" s="496" t="s">
        <v>1757</v>
      </c>
      <c r="AO224" s="401">
        <v>796</v>
      </c>
      <c r="AP224" s="401" t="s">
        <v>368</v>
      </c>
      <c r="AQ224" s="401">
        <v>1</v>
      </c>
      <c r="AR224" s="401">
        <v>45</v>
      </c>
      <c r="AS224" s="496" t="s">
        <v>547</v>
      </c>
      <c r="AT224" s="495">
        <v>41711</v>
      </c>
      <c r="AU224" s="495">
        <v>41711</v>
      </c>
      <c r="AV224" s="583">
        <v>41912</v>
      </c>
      <c r="AW224" s="401">
        <v>2014</v>
      </c>
      <c r="AX224" s="496"/>
      <c r="AY224" s="401" t="s">
        <v>186</v>
      </c>
      <c r="AZ224" s="401"/>
      <c r="BA224" s="401">
        <v>2014</v>
      </c>
      <c r="BB224" s="494" t="s">
        <v>6295</v>
      </c>
      <c r="BC224" s="487" t="s">
        <v>6296</v>
      </c>
      <c r="BD224" s="494" t="s">
        <v>1818</v>
      </c>
      <c r="BE224" s="575">
        <v>41912</v>
      </c>
      <c r="BF224" s="498">
        <v>1771.9446045999998</v>
      </c>
      <c r="BG224" s="488">
        <v>1771.9446045999998</v>
      </c>
      <c r="BH224" s="488">
        <v>0</v>
      </c>
      <c r="BI224" s="488">
        <v>0.44</v>
      </c>
      <c r="BJ224" s="494" t="s">
        <v>1465</v>
      </c>
      <c r="BK224" s="401"/>
    </row>
    <row r="225" spans="1:63" ht="88.5" customHeight="1">
      <c r="A225" s="401">
        <v>1</v>
      </c>
      <c r="B225" s="494" t="s">
        <v>6297</v>
      </c>
      <c r="C225" s="401" t="s">
        <v>83</v>
      </c>
      <c r="D225" s="401" t="s">
        <v>242</v>
      </c>
      <c r="E225" s="401" t="s">
        <v>5853</v>
      </c>
      <c r="F225" s="401" t="s">
        <v>1752</v>
      </c>
      <c r="G225" s="401" t="s">
        <v>6141</v>
      </c>
      <c r="H225" s="499">
        <v>854606</v>
      </c>
      <c r="I225" s="486" t="s">
        <v>6298</v>
      </c>
      <c r="J225" s="487" t="s">
        <v>5598</v>
      </c>
      <c r="K225" s="487" t="s">
        <v>5598</v>
      </c>
      <c r="L225" s="500" t="s">
        <v>6294</v>
      </c>
      <c r="M225" s="500" t="s">
        <v>1755</v>
      </c>
      <c r="N225" s="487" t="s">
        <v>1773</v>
      </c>
      <c r="O225" s="487" t="s">
        <v>2234</v>
      </c>
      <c r="P225" s="578">
        <v>2014.32</v>
      </c>
      <c r="Q225" s="578">
        <v>2376.8975999999998</v>
      </c>
      <c r="R225" s="579">
        <v>1755.0046325958015</v>
      </c>
      <c r="S225" s="494" t="s">
        <v>1774</v>
      </c>
      <c r="T225" s="490">
        <v>1.087</v>
      </c>
      <c r="U225" s="490">
        <v>1.077</v>
      </c>
      <c r="V225" s="490">
        <v>1.073</v>
      </c>
      <c r="W225" s="490">
        <v>1.071</v>
      </c>
      <c r="X225" s="491">
        <v>0.9</v>
      </c>
      <c r="Y225" s="502">
        <v>1984.11</v>
      </c>
      <c r="Z225" s="578">
        <v>2341.2497999999996</v>
      </c>
      <c r="AA225" s="578">
        <v>2090.7719999999999</v>
      </c>
      <c r="AB225" s="488">
        <v>2467.11096</v>
      </c>
      <c r="AC225" s="492">
        <v>1984.11</v>
      </c>
      <c r="AD225" s="493">
        <v>2341.2497999999996</v>
      </c>
      <c r="AE225" s="494" t="s">
        <v>1775</v>
      </c>
      <c r="AF225" s="494" t="s">
        <v>83</v>
      </c>
      <c r="AG225" s="494" t="s">
        <v>211</v>
      </c>
      <c r="AH225" s="401" t="s">
        <v>545</v>
      </c>
      <c r="AI225" s="495">
        <v>41656</v>
      </c>
      <c r="AJ225" s="495">
        <v>41691</v>
      </c>
      <c r="AK225" s="401" t="s">
        <v>96</v>
      </c>
      <c r="AL225" s="494" t="s">
        <v>96</v>
      </c>
      <c r="AM225" s="496" t="s">
        <v>5599</v>
      </c>
      <c r="AN225" s="496" t="s">
        <v>1757</v>
      </c>
      <c r="AO225" s="401">
        <v>796</v>
      </c>
      <c r="AP225" s="401" t="s">
        <v>368</v>
      </c>
      <c r="AQ225" s="401">
        <v>1</v>
      </c>
      <c r="AR225" s="401">
        <v>45</v>
      </c>
      <c r="AS225" s="496" t="s">
        <v>547</v>
      </c>
      <c r="AT225" s="495">
        <v>41711</v>
      </c>
      <c r="AU225" s="495">
        <v>41711</v>
      </c>
      <c r="AV225" s="583">
        <v>41912</v>
      </c>
      <c r="AW225" s="401">
        <v>2014</v>
      </c>
      <c r="AX225" s="496"/>
      <c r="AY225" s="401" t="s">
        <v>186</v>
      </c>
      <c r="AZ225" s="401"/>
      <c r="BA225" s="401">
        <v>2014</v>
      </c>
      <c r="BB225" s="494" t="s">
        <v>6299</v>
      </c>
      <c r="BC225" s="487" t="s">
        <v>6300</v>
      </c>
      <c r="BD225" s="494" t="s">
        <v>1818</v>
      </c>
      <c r="BE225" s="575">
        <v>41912</v>
      </c>
      <c r="BF225" s="498">
        <v>2645.5677408000001</v>
      </c>
      <c r="BG225" s="488">
        <v>2645.5677408000001</v>
      </c>
      <c r="BH225" s="488" t="s">
        <v>132</v>
      </c>
      <c r="BI225" s="488">
        <v>0.68</v>
      </c>
      <c r="BJ225" s="494" t="s">
        <v>1465</v>
      </c>
      <c r="BK225" s="401"/>
    </row>
    <row r="226" spans="1:63" ht="96.75" customHeight="1">
      <c r="A226" s="504">
        <v>1</v>
      </c>
      <c r="B226" s="570" t="s">
        <v>6301</v>
      </c>
      <c r="C226" s="504" t="s">
        <v>83</v>
      </c>
      <c r="D226" s="504" t="s">
        <v>242</v>
      </c>
      <c r="E226" s="570" t="s">
        <v>5853</v>
      </c>
      <c r="F226" s="504" t="s">
        <v>1752</v>
      </c>
      <c r="G226" s="504" t="s">
        <v>6141</v>
      </c>
      <c r="H226" s="517">
        <v>854660</v>
      </c>
      <c r="I226" s="506" t="s">
        <v>6302</v>
      </c>
      <c r="J226" s="506" t="s">
        <v>5598</v>
      </c>
      <c r="K226" s="506" t="s">
        <v>5598</v>
      </c>
      <c r="L226" s="506" t="s">
        <v>6303</v>
      </c>
      <c r="M226" s="571" t="s">
        <v>1755</v>
      </c>
      <c r="N226" s="506" t="s">
        <v>1773</v>
      </c>
      <c r="O226" s="506" t="s">
        <v>2234</v>
      </c>
      <c r="P226" s="512">
        <v>2677.2025100000001</v>
      </c>
      <c r="Q226" s="512">
        <v>3159.0989617999999</v>
      </c>
      <c r="R226" s="512">
        <v>2332.5495896834136</v>
      </c>
      <c r="S226" s="504" t="s">
        <v>1774</v>
      </c>
      <c r="T226" s="572">
        <v>1.087</v>
      </c>
      <c r="U226" s="572">
        <v>1.077</v>
      </c>
      <c r="V226" s="572">
        <v>1.073</v>
      </c>
      <c r="W226" s="572">
        <v>1.071</v>
      </c>
      <c r="X226" s="511">
        <v>0.9</v>
      </c>
      <c r="Y226" s="507">
        <v>2637.05</v>
      </c>
      <c r="Z226" s="512">
        <v>3111.7190000000001</v>
      </c>
      <c r="AA226" s="512">
        <v>2794.8690000000001</v>
      </c>
      <c r="AB226" s="513">
        <v>3297.94542</v>
      </c>
      <c r="AC226" s="512">
        <v>2637.05</v>
      </c>
      <c r="AD226" s="513">
        <v>3111.7190000000001</v>
      </c>
      <c r="AE226" s="494" t="s">
        <v>1775</v>
      </c>
      <c r="AF226" s="570" t="s">
        <v>83</v>
      </c>
      <c r="AG226" s="570" t="s">
        <v>211</v>
      </c>
      <c r="AH226" s="570" t="s">
        <v>545</v>
      </c>
      <c r="AI226" s="515">
        <v>41656</v>
      </c>
      <c r="AJ226" s="515">
        <v>41691</v>
      </c>
      <c r="AK226" s="570" t="s">
        <v>96</v>
      </c>
      <c r="AL226" s="570" t="s">
        <v>96</v>
      </c>
      <c r="AM226" s="506" t="s">
        <v>5599</v>
      </c>
      <c r="AN226" s="506" t="s">
        <v>1757</v>
      </c>
      <c r="AO226" s="570">
        <v>796</v>
      </c>
      <c r="AP226" s="570" t="s">
        <v>368</v>
      </c>
      <c r="AQ226" s="570">
        <v>1</v>
      </c>
      <c r="AR226" s="570">
        <v>45</v>
      </c>
      <c r="AS226" s="506" t="s">
        <v>547</v>
      </c>
      <c r="AT226" s="515">
        <v>41711</v>
      </c>
      <c r="AU226" s="515">
        <v>41711</v>
      </c>
      <c r="AV226" s="759">
        <v>41912</v>
      </c>
      <c r="AW226" s="570">
        <v>2014</v>
      </c>
      <c r="AX226" s="506"/>
      <c r="AY226" s="570" t="s">
        <v>186</v>
      </c>
      <c r="AZ226" s="570"/>
      <c r="BA226" s="570">
        <v>2014</v>
      </c>
      <c r="BB226" s="570" t="s">
        <v>2271</v>
      </c>
      <c r="BC226" s="506" t="s">
        <v>5807</v>
      </c>
      <c r="BD226" s="570" t="s">
        <v>2272</v>
      </c>
      <c r="BE226" s="573" t="s">
        <v>2272</v>
      </c>
      <c r="BF226" s="574" t="s">
        <v>2272</v>
      </c>
      <c r="BG226" s="488" t="s">
        <v>2272</v>
      </c>
      <c r="BH226" s="513" t="s">
        <v>2272</v>
      </c>
      <c r="BI226" s="513" t="s">
        <v>2272</v>
      </c>
      <c r="BJ226" s="570" t="s">
        <v>1465</v>
      </c>
      <c r="BK226" s="504"/>
    </row>
    <row r="227" spans="1:63" ht="106.5" customHeight="1">
      <c r="A227" s="523">
        <v>1</v>
      </c>
      <c r="B227" s="534" t="s">
        <v>6304</v>
      </c>
      <c r="C227" s="523" t="s">
        <v>7247</v>
      </c>
      <c r="D227" s="523" t="s">
        <v>242</v>
      </c>
      <c r="E227" s="534" t="s">
        <v>5853</v>
      </c>
      <c r="F227" s="523" t="s">
        <v>1752</v>
      </c>
      <c r="G227" s="523" t="s">
        <v>6141</v>
      </c>
      <c r="H227" s="524" t="s">
        <v>6160</v>
      </c>
      <c r="I227" s="525" t="s">
        <v>6305</v>
      </c>
      <c r="J227" s="525" t="s">
        <v>5598</v>
      </c>
      <c r="K227" s="525" t="s">
        <v>5598</v>
      </c>
      <c r="L227" s="525" t="s">
        <v>5019</v>
      </c>
      <c r="M227" s="541" t="s">
        <v>1755</v>
      </c>
      <c r="N227" s="525" t="s">
        <v>1773</v>
      </c>
      <c r="O227" s="525" t="s">
        <v>2234</v>
      </c>
      <c r="P227" s="531">
        <v>1858.2</v>
      </c>
      <c r="Q227" s="531">
        <v>2192.6759999999999</v>
      </c>
      <c r="R227" s="531">
        <v>1618.9816235889505</v>
      </c>
      <c r="S227" s="523" t="s">
        <v>1774</v>
      </c>
      <c r="T227" s="542">
        <v>1.087</v>
      </c>
      <c r="U227" s="543">
        <v>1.077</v>
      </c>
      <c r="V227" s="543">
        <v>1.073</v>
      </c>
      <c r="W227" s="543">
        <v>1.071</v>
      </c>
      <c r="X227" s="544">
        <v>0.9</v>
      </c>
      <c r="Y227" s="526">
        <v>1830.33</v>
      </c>
      <c r="Z227" s="531">
        <v>2159.7893999999997</v>
      </c>
      <c r="AA227" s="531">
        <v>1927.501</v>
      </c>
      <c r="AB227" s="532">
        <v>2274.45118</v>
      </c>
      <c r="AC227" s="531">
        <v>1830.33</v>
      </c>
      <c r="AD227" s="532">
        <v>2159.7893999999997</v>
      </c>
      <c r="AE227" s="494" t="s">
        <v>1775</v>
      </c>
      <c r="AF227" s="534" t="s">
        <v>83</v>
      </c>
      <c r="AG227" s="534" t="s">
        <v>211</v>
      </c>
      <c r="AH227" s="534" t="s">
        <v>545</v>
      </c>
      <c r="AI227" s="533">
        <v>41656</v>
      </c>
      <c r="AJ227" s="533">
        <v>41691</v>
      </c>
      <c r="AK227" s="534" t="s">
        <v>96</v>
      </c>
      <c r="AL227" s="534" t="s">
        <v>96</v>
      </c>
      <c r="AM227" s="525" t="s">
        <v>5599</v>
      </c>
      <c r="AN227" s="525" t="s">
        <v>1757</v>
      </c>
      <c r="AO227" s="534">
        <v>796</v>
      </c>
      <c r="AP227" s="534" t="s">
        <v>368</v>
      </c>
      <c r="AQ227" s="534">
        <v>1</v>
      </c>
      <c r="AR227" s="534">
        <v>45</v>
      </c>
      <c r="AS227" s="525" t="s">
        <v>547</v>
      </c>
      <c r="AT227" s="533">
        <v>41711</v>
      </c>
      <c r="AU227" s="533">
        <v>41711</v>
      </c>
      <c r="AV227" s="760">
        <v>41912</v>
      </c>
      <c r="AW227" s="534">
        <v>2014</v>
      </c>
      <c r="AX227" s="525"/>
      <c r="AY227" s="534" t="s">
        <v>186</v>
      </c>
      <c r="AZ227" s="534"/>
      <c r="BA227" s="534">
        <v>2014</v>
      </c>
      <c r="BB227" s="534" t="s">
        <v>6306</v>
      </c>
      <c r="BC227" s="525" t="s">
        <v>6307</v>
      </c>
      <c r="BD227" s="534" t="s">
        <v>1818</v>
      </c>
      <c r="BE227" s="545">
        <v>41912</v>
      </c>
      <c r="BF227" s="546">
        <v>2447.7093999999997</v>
      </c>
      <c r="BG227" s="488">
        <v>2447.7093999999997</v>
      </c>
      <c r="BH227" s="532">
        <v>0</v>
      </c>
      <c r="BI227" s="532">
        <v>0.69</v>
      </c>
      <c r="BJ227" s="534" t="s">
        <v>1465</v>
      </c>
      <c r="BK227" s="523"/>
    </row>
    <row r="228" spans="1:63" ht="106.5" customHeight="1">
      <c r="A228" s="523">
        <v>1</v>
      </c>
      <c r="B228" s="534" t="s">
        <v>6308</v>
      </c>
      <c r="C228" s="523" t="s">
        <v>7247</v>
      </c>
      <c r="D228" s="523" t="s">
        <v>242</v>
      </c>
      <c r="E228" s="534" t="s">
        <v>5853</v>
      </c>
      <c r="F228" s="523" t="s">
        <v>1752</v>
      </c>
      <c r="G228" s="523" t="s">
        <v>6141</v>
      </c>
      <c r="H228" s="524" t="s">
        <v>6160</v>
      </c>
      <c r="I228" s="525" t="s">
        <v>6309</v>
      </c>
      <c r="J228" s="525" t="s">
        <v>5598</v>
      </c>
      <c r="K228" s="525" t="s">
        <v>5598</v>
      </c>
      <c r="L228" s="525" t="s">
        <v>1980</v>
      </c>
      <c r="M228" s="541" t="s">
        <v>1755</v>
      </c>
      <c r="N228" s="525" t="s">
        <v>1773</v>
      </c>
      <c r="O228" s="525" t="s">
        <v>2234</v>
      </c>
      <c r="P228" s="531">
        <v>819.00250999999992</v>
      </c>
      <c r="Q228" s="531">
        <v>966.42296179999983</v>
      </c>
      <c r="R228" s="531">
        <v>713.56796609446303</v>
      </c>
      <c r="S228" s="523" t="s">
        <v>1774</v>
      </c>
      <c r="T228" s="542">
        <v>1.087</v>
      </c>
      <c r="U228" s="543">
        <v>1.077</v>
      </c>
      <c r="V228" s="543">
        <v>1.073</v>
      </c>
      <c r="W228" s="543">
        <v>1.071</v>
      </c>
      <c r="X228" s="544">
        <v>0.9</v>
      </c>
      <c r="Y228" s="526">
        <v>806.72</v>
      </c>
      <c r="Z228" s="531">
        <v>951.92959999999994</v>
      </c>
      <c r="AA228" s="531">
        <v>867.36800000000005</v>
      </c>
      <c r="AB228" s="532">
        <v>1023.49424</v>
      </c>
      <c r="AC228" s="531">
        <v>806.72</v>
      </c>
      <c r="AD228" s="532">
        <v>951.92959999999994</v>
      </c>
      <c r="AE228" s="494" t="s">
        <v>1775</v>
      </c>
      <c r="AF228" s="534" t="s">
        <v>83</v>
      </c>
      <c r="AG228" s="534" t="s">
        <v>211</v>
      </c>
      <c r="AH228" s="534" t="s">
        <v>545</v>
      </c>
      <c r="AI228" s="533">
        <v>41656</v>
      </c>
      <c r="AJ228" s="533">
        <v>41691</v>
      </c>
      <c r="AK228" s="534" t="s">
        <v>96</v>
      </c>
      <c r="AL228" s="534" t="s">
        <v>96</v>
      </c>
      <c r="AM228" s="525" t="s">
        <v>5599</v>
      </c>
      <c r="AN228" s="525" t="s">
        <v>1757</v>
      </c>
      <c r="AO228" s="534">
        <v>796</v>
      </c>
      <c r="AP228" s="534" t="s">
        <v>368</v>
      </c>
      <c r="AQ228" s="534">
        <v>1</v>
      </c>
      <c r="AR228" s="534">
        <v>45</v>
      </c>
      <c r="AS228" s="525" t="s">
        <v>547</v>
      </c>
      <c r="AT228" s="533">
        <v>41711</v>
      </c>
      <c r="AU228" s="533">
        <v>41711</v>
      </c>
      <c r="AV228" s="760">
        <v>41912</v>
      </c>
      <c r="AW228" s="534">
        <v>2014</v>
      </c>
      <c r="AX228" s="525"/>
      <c r="AY228" s="534" t="s">
        <v>186</v>
      </c>
      <c r="AZ228" s="534"/>
      <c r="BA228" s="534">
        <v>2014</v>
      </c>
      <c r="BB228" s="534" t="s">
        <v>6310</v>
      </c>
      <c r="BC228" s="525" t="s">
        <v>6311</v>
      </c>
      <c r="BD228" s="534" t="s">
        <v>1818</v>
      </c>
      <c r="BE228" s="545">
        <v>41912</v>
      </c>
      <c r="BF228" s="546">
        <v>1072.7982979999999</v>
      </c>
      <c r="BG228" s="488">
        <v>1072.7982979999999</v>
      </c>
      <c r="BH228" s="532">
        <v>0</v>
      </c>
      <c r="BI228" s="532">
        <v>0.3</v>
      </c>
      <c r="BJ228" s="534" t="s">
        <v>1465</v>
      </c>
      <c r="BK228" s="523"/>
    </row>
    <row r="229" spans="1:63" ht="103.5" customHeight="1">
      <c r="A229" s="401">
        <v>1</v>
      </c>
      <c r="B229" s="494" t="s">
        <v>6312</v>
      </c>
      <c r="C229" s="401" t="s">
        <v>83</v>
      </c>
      <c r="D229" s="401" t="s">
        <v>242</v>
      </c>
      <c r="E229" s="401" t="s">
        <v>5853</v>
      </c>
      <c r="F229" s="401" t="s">
        <v>1752</v>
      </c>
      <c r="G229" s="401" t="s">
        <v>6141</v>
      </c>
      <c r="H229" s="499" t="s">
        <v>6313</v>
      </c>
      <c r="I229" s="486" t="s">
        <v>6314</v>
      </c>
      <c r="J229" s="487" t="s">
        <v>5598</v>
      </c>
      <c r="K229" s="487" t="s">
        <v>5598</v>
      </c>
      <c r="L229" s="500" t="s">
        <v>1825</v>
      </c>
      <c r="M229" s="500" t="s">
        <v>1755</v>
      </c>
      <c r="N229" s="487" t="s">
        <v>1773</v>
      </c>
      <c r="O229" s="487" t="s">
        <v>2234</v>
      </c>
      <c r="P229" s="578">
        <v>1908.6293800000001</v>
      </c>
      <c r="Q229" s="578">
        <v>2252.1826683999998</v>
      </c>
      <c r="R229" s="579">
        <v>1662.9073787409875</v>
      </c>
      <c r="S229" s="494" t="s">
        <v>1774</v>
      </c>
      <c r="T229" s="490">
        <v>1.087</v>
      </c>
      <c r="U229" s="490">
        <v>1.077</v>
      </c>
      <c r="V229" s="490">
        <v>1.073</v>
      </c>
      <c r="W229" s="490">
        <v>1.071</v>
      </c>
      <c r="X229" s="491">
        <v>0.9</v>
      </c>
      <c r="Y229" s="502">
        <v>1879.99</v>
      </c>
      <c r="Z229" s="578">
        <v>2218.3881999999999</v>
      </c>
      <c r="AA229" s="578">
        <v>1948.954364194861</v>
      </c>
      <c r="AB229" s="488">
        <v>2299.7661497499357</v>
      </c>
      <c r="AC229" s="492">
        <v>1879.99</v>
      </c>
      <c r="AD229" s="493">
        <v>2218.3881999999999</v>
      </c>
      <c r="AE229" s="494" t="s">
        <v>1775</v>
      </c>
      <c r="AF229" s="494" t="s">
        <v>83</v>
      </c>
      <c r="AG229" s="494" t="s">
        <v>211</v>
      </c>
      <c r="AH229" s="401" t="s">
        <v>545</v>
      </c>
      <c r="AI229" s="495">
        <v>41656</v>
      </c>
      <c r="AJ229" s="495">
        <v>41691</v>
      </c>
      <c r="AK229" s="401" t="s">
        <v>96</v>
      </c>
      <c r="AL229" s="494" t="s">
        <v>96</v>
      </c>
      <c r="AM229" s="496" t="s">
        <v>5599</v>
      </c>
      <c r="AN229" s="496" t="s">
        <v>1757</v>
      </c>
      <c r="AO229" s="401">
        <v>796</v>
      </c>
      <c r="AP229" s="401" t="s">
        <v>368</v>
      </c>
      <c r="AQ229" s="401">
        <v>1</v>
      </c>
      <c r="AR229" s="401">
        <v>45</v>
      </c>
      <c r="AS229" s="496" t="s">
        <v>547</v>
      </c>
      <c r="AT229" s="495">
        <v>41711</v>
      </c>
      <c r="AU229" s="495">
        <v>41711</v>
      </c>
      <c r="AV229" s="583">
        <v>41912</v>
      </c>
      <c r="AW229" s="401">
        <v>2014</v>
      </c>
      <c r="AX229" s="496"/>
      <c r="AY229" s="401" t="s">
        <v>186</v>
      </c>
      <c r="AZ229" s="401"/>
      <c r="BA229" s="401">
        <v>2014</v>
      </c>
      <c r="BB229" s="494" t="s">
        <v>6315</v>
      </c>
      <c r="BC229" s="487" t="s">
        <v>6316</v>
      </c>
      <c r="BD229" s="494" t="s">
        <v>1818</v>
      </c>
      <c r="BE229" s="575">
        <v>41912</v>
      </c>
      <c r="BF229" s="498">
        <v>2501.9044045999999</v>
      </c>
      <c r="BG229" s="488">
        <v>2501.9044045999999</v>
      </c>
      <c r="BH229" s="488">
        <v>0</v>
      </c>
      <c r="BI229" s="488">
        <v>0.6</v>
      </c>
      <c r="BJ229" s="494" t="s">
        <v>5016</v>
      </c>
      <c r="BK229" s="401"/>
    </row>
    <row r="230" spans="1:63" ht="96.75" customHeight="1">
      <c r="A230" s="504">
        <v>1</v>
      </c>
      <c r="B230" s="570" t="s">
        <v>6317</v>
      </c>
      <c r="C230" s="504" t="s">
        <v>83</v>
      </c>
      <c r="D230" s="504" t="s">
        <v>242</v>
      </c>
      <c r="E230" s="570" t="s">
        <v>5853</v>
      </c>
      <c r="F230" s="504" t="s">
        <v>1752</v>
      </c>
      <c r="G230" s="504" t="s">
        <v>6141</v>
      </c>
      <c r="H230" s="517">
        <v>854656</v>
      </c>
      <c r="I230" s="506" t="s">
        <v>6318</v>
      </c>
      <c r="J230" s="506" t="s">
        <v>6319</v>
      </c>
      <c r="K230" s="506" t="s">
        <v>6319</v>
      </c>
      <c r="L230" s="506" t="s">
        <v>6294</v>
      </c>
      <c r="M230" s="571" t="s">
        <v>1755</v>
      </c>
      <c r="N230" s="506" t="s">
        <v>1773</v>
      </c>
      <c r="O230" s="506" t="s">
        <v>2234</v>
      </c>
      <c r="P230" s="512">
        <v>21945.014940000001</v>
      </c>
      <c r="Q230" s="512">
        <v>25895.117629199998</v>
      </c>
      <c r="R230" s="512">
        <v>19119.856932049948</v>
      </c>
      <c r="S230" s="504" t="s">
        <v>1774</v>
      </c>
      <c r="T230" s="572">
        <v>1.087</v>
      </c>
      <c r="U230" s="572">
        <v>1.077</v>
      </c>
      <c r="V230" s="572">
        <v>1.073</v>
      </c>
      <c r="W230" s="572">
        <v>1.071</v>
      </c>
      <c r="X230" s="511">
        <v>0.9</v>
      </c>
      <c r="Y230" s="507">
        <v>21615.84</v>
      </c>
      <c r="Z230" s="512">
        <v>25506.691199999997</v>
      </c>
      <c r="AA230" s="512">
        <v>23135.209000000003</v>
      </c>
      <c r="AB230" s="513">
        <v>27299.546620000001</v>
      </c>
      <c r="AC230" s="512">
        <v>21615.84</v>
      </c>
      <c r="AD230" s="513">
        <v>25506.691199999997</v>
      </c>
      <c r="AE230" s="494" t="s">
        <v>1775</v>
      </c>
      <c r="AF230" s="570" t="s">
        <v>83</v>
      </c>
      <c r="AG230" s="570" t="s">
        <v>211</v>
      </c>
      <c r="AH230" s="570" t="s">
        <v>545</v>
      </c>
      <c r="AI230" s="515">
        <v>41656</v>
      </c>
      <c r="AJ230" s="515">
        <v>41691</v>
      </c>
      <c r="AK230" s="570" t="s">
        <v>96</v>
      </c>
      <c r="AL230" s="570" t="s">
        <v>96</v>
      </c>
      <c r="AM230" s="506" t="s">
        <v>6320</v>
      </c>
      <c r="AN230" s="506" t="s">
        <v>1757</v>
      </c>
      <c r="AO230" s="570">
        <v>796</v>
      </c>
      <c r="AP230" s="570" t="s">
        <v>368</v>
      </c>
      <c r="AQ230" s="570">
        <v>1</v>
      </c>
      <c r="AR230" s="570">
        <v>45</v>
      </c>
      <c r="AS230" s="506" t="s">
        <v>547</v>
      </c>
      <c r="AT230" s="515">
        <v>41711</v>
      </c>
      <c r="AU230" s="515">
        <v>41711</v>
      </c>
      <c r="AV230" s="515">
        <v>42004</v>
      </c>
      <c r="AW230" s="570">
        <v>2014</v>
      </c>
      <c r="AX230" s="506"/>
      <c r="AY230" s="570" t="s">
        <v>186</v>
      </c>
      <c r="AZ230" s="570"/>
      <c r="BA230" s="570">
        <v>2014</v>
      </c>
      <c r="BB230" s="570" t="s">
        <v>2271</v>
      </c>
      <c r="BC230" s="506" t="s">
        <v>5807</v>
      </c>
      <c r="BD230" s="570" t="s">
        <v>2272</v>
      </c>
      <c r="BE230" s="573" t="s">
        <v>2272</v>
      </c>
      <c r="BF230" s="574" t="s">
        <v>2272</v>
      </c>
      <c r="BG230" s="488" t="s">
        <v>2272</v>
      </c>
      <c r="BH230" s="513" t="s">
        <v>2272</v>
      </c>
      <c r="BI230" s="513" t="s">
        <v>2272</v>
      </c>
      <c r="BJ230" s="570" t="s">
        <v>1465</v>
      </c>
      <c r="BK230" s="504"/>
    </row>
    <row r="231" spans="1:63" ht="106.5" customHeight="1">
      <c r="A231" s="523">
        <v>1</v>
      </c>
      <c r="B231" s="534" t="s">
        <v>6321</v>
      </c>
      <c r="C231" s="523" t="s">
        <v>7247</v>
      </c>
      <c r="D231" s="523" t="s">
        <v>242</v>
      </c>
      <c r="E231" s="534" t="s">
        <v>5853</v>
      </c>
      <c r="F231" s="523" t="s">
        <v>1752</v>
      </c>
      <c r="G231" s="523" t="s">
        <v>6141</v>
      </c>
      <c r="H231" s="524" t="s">
        <v>6160</v>
      </c>
      <c r="I231" s="525" t="s">
        <v>6322</v>
      </c>
      <c r="J231" s="525" t="s">
        <v>5598</v>
      </c>
      <c r="K231" s="525" t="s">
        <v>5598</v>
      </c>
      <c r="L231" s="525" t="s">
        <v>6294</v>
      </c>
      <c r="M231" s="541" t="s">
        <v>1755</v>
      </c>
      <c r="N231" s="525" t="s">
        <v>1773</v>
      </c>
      <c r="O231" s="525" t="s">
        <v>2234</v>
      </c>
      <c r="P231" s="531">
        <v>7933.19</v>
      </c>
      <c r="Q231" s="531">
        <v>9361.1641999999993</v>
      </c>
      <c r="R231" s="531">
        <v>6911.8847493252806</v>
      </c>
      <c r="S231" s="523" t="s">
        <v>1774</v>
      </c>
      <c r="T231" s="542">
        <v>1.087</v>
      </c>
      <c r="U231" s="543">
        <v>1.077</v>
      </c>
      <c r="V231" s="543">
        <v>1.073</v>
      </c>
      <c r="W231" s="543">
        <v>1.071</v>
      </c>
      <c r="X231" s="544">
        <v>0.9</v>
      </c>
      <c r="Y231" s="526">
        <v>7814.19</v>
      </c>
      <c r="Z231" s="531">
        <v>9220.7441999999992</v>
      </c>
      <c r="AA231" s="531">
        <v>8827.268</v>
      </c>
      <c r="AB231" s="532">
        <v>10416.176239999999</v>
      </c>
      <c r="AC231" s="531">
        <v>7814.19</v>
      </c>
      <c r="AD231" s="532">
        <v>9220.7441999999992</v>
      </c>
      <c r="AE231" s="494" t="s">
        <v>1775</v>
      </c>
      <c r="AF231" s="534" t="s">
        <v>83</v>
      </c>
      <c r="AG231" s="534" t="s">
        <v>211</v>
      </c>
      <c r="AH231" s="534" t="s">
        <v>545</v>
      </c>
      <c r="AI231" s="533">
        <v>41656</v>
      </c>
      <c r="AJ231" s="533">
        <v>41691</v>
      </c>
      <c r="AK231" s="534" t="s">
        <v>96</v>
      </c>
      <c r="AL231" s="534" t="s">
        <v>96</v>
      </c>
      <c r="AM231" s="525" t="s">
        <v>5599</v>
      </c>
      <c r="AN231" s="525" t="s">
        <v>1757</v>
      </c>
      <c r="AO231" s="534">
        <v>796</v>
      </c>
      <c r="AP231" s="534" t="s">
        <v>368</v>
      </c>
      <c r="AQ231" s="534">
        <v>1</v>
      </c>
      <c r="AR231" s="534">
        <v>45</v>
      </c>
      <c r="AS231" s="525" t="s">
        <v>547</v>
      </c>
      <c r="AT231" s="533">
        <v>41711</v>
      </c>
      <c r="AU231" s="533">
        <v>41711</v>
      </c>
      <c r="AV231" s="533">
        <v>42004</v>
      </c>
      <c r="AW231" s="534">
        <v>2014</v>
      </c>
      <c r="AX231" s="525"/>
      <c r="AY231" s="534" t="s">
        <v>186</v>
      </c>
      <c r="AZ231" s="534"/>
      <c r="BA231" s="534">
        <v>2014</v>
      </c>
      <c r="BB231" s="534" t="s">
        <v>6323</v>
      </c>
      <c r="BC231" s="525" t="s">
        <v>6324</v>
      </c>
      <c r="BD231" s="534" t="s">
        <v>1818</v>
      </c>
      <c r="BE231" s="545">
        <v>42004</v>
      </c>
      <c r="BF231" s="546">
        <v>10483.568399999998</v>
      </c>
      <c r="BG231" s="488">
        <v>10483.568399999998</v>
      </c>
      <c r="BH231" s="532">
        <v>0</v>
      </c>
      <c r="BI231" s="532">
        <v>2.2999999999999998</v>
      </c>
      <c r="BJ231" s="534" t="s">
        <v>5016</v>
      </c>
      <c r="BK231" s="523"/>
    </row>
    <row r="232" spans="1:63" ht="162" customHeight="1">
      <c r="A232" s="523">
        <v>1</v>
      </c>
      <c r="B232" s="534" t="s">
        <v>6325</v>
      </c>
      <c r="C232" s="523" t="s">
        <v>7247</v>
      </c>
      <c r="D232" s="523" t="s">
        <v>242</v>
      </c>
      <c r="E232" s="534" t="s">
        <v>5853</v>
      </c>
      <c r="F232" s="523" t="s">
        <v>1752</v>
      </c>
      <c r="G232" s="523" t="s">
        <v>6141</v>
      </c>
      <c r="H232" s="524" t="s">
        <v>6160</v>
      </c>
      <c r="I232" s="525" t="s">
        <v>6326</v>
      </c>
      <c r="J232" s="525" t="s">
        <v>6319</v>
      </c>
      <c r="K232" s="525" t="s">
        <v>6319</v>
      </c>
      <c r="L232" s="525" t="s">
        <v>6294</v>
      </c>
      <c r="M232" s="541" t="s">
        <v>1755</v>
      </c>
      <c r="N232" s="525" t="s">
        <v>1773</v>
      </c>
      <c r="O232" s="525" t="s">
        <v>2234</v>
      </c>
      <c r="P232" s="531">
        <v>14011.82494</v>
      </c>
      <c r="Q232" s="531">
        <v>16533.953429199999</v>
      </c>
      <c r="R232" s="531">
        <v>12207.972182724669</v>
      </c>
      <c r="S232" s="523" t="s">
        <v>1774</v>
      </c>
      <c r="T232" s="542">
        <v>1.087</v>
      </c>
      <c r="U232" s="543">
        <v>1.077</v>
      </c>
      <c r="V232" s="543">
        <v>1.073</v>
      </c>
      <c r="W232" s="543">
        <v>1.071</v>
      </c>
      <c r="X232" s="544">
        <v>0.9</v>
      </c>
      <c r="Y232" s="526">
        <v>13801.65</v>
      </c>
      <c r="Z232" s="531">
        <v>16285.946999999998</v>
      </c>
      <c r="AA232" s="531">
        <v>14307.941000000001</v>
      </c>
      <c r="AB232" s="532">
        <v>16883.37038</v>
      </c>
      <c r="AC232" s="531">
        <v>13801.65</v>
      </c>
      <c r="AD232" s="532">
        <v>16285.946999999998</v>
      </c>
      <c r="AE232" s="494" t="s">
        <v>1775</v>
      </c>
      <c r="AF232" s="534" t="s">
        <v>83</v>
      </c>
      <c r="AG232" s="534" t="s">
        <v>211</v>
      </c>
      <c r="AH232" s="534" t="s">
        <v>545</v>
      </c>
      <c r="AI232" s="533">
        <v>41656</v>
      </c>
      <c r="AJ232" s="533">
        <v>41691</v>
      </c>
      <c r="AK232" s="534" t="s">
        <v>96</v>
      </c>
      <c r="AL232" s="534" t="s">
        <v>96</v>
      </c>
      <c r="AM232" s="525" t="s">
        <v>6320</v>
      </c>
      <c r="AN232" s="525" t="s">
        <v>1757</v>
      </c>
      <c r="AO232" s="534">
        <v>796</v>
      </c>
      <c r="AP232" s="534" t="s">
        <v>368</v>
      </c>
      <c r="AQ232" s="534">
        <v>1</v>
      </c>
      <c r="AR232" s="534">
        <v>45</v>
      </c>
      <c r="AS232" s="525" t="s">
        <v>547</v>
      </c>
      <c r="AT232" s="533">
        <v>41711</v>
      </c>
      <c r="AU232" s="533">
        <v>41711</v>
      </c>
      <c r="AV232" s="533">
        <v>42004</v>
      </c>
      <c r="AW232" s="534">
        <v>2014</v>
      </c>
      <c r="AX232" s="525"/>
      <c r="AY232" s="534" t="s">
        <v>186</v>
      </c>
      <c r="AZ232" s="534"/>
      <c r="BA232" s="534">
        <v>2014</v>
      </c>
      <c r="BB232" s="534" t="s">
        <v>6327</v>
      </c>
      <c r="BC232" s="525" t="s">
        <v>6328</v>
      </c>
      <c r="BD232" s="534" t="s">
        <v>1818</v>
      </c>
      <c r="BE232" s="545">
        <v>42004</v>
      </c>
      <c r="BF232" s="546">
        <v>18825.4437856</v>
      </c>
      <c r="BG232" s="488">
        <v>18825.4437856</v>
      </c>
      <c r="BH232" s="532">
        <v>2.5</v>
      </c>
      <c r="BI232" s="532">
        <v>2.4400000000000004</v>
      </c>
      <c r="BJ232" s="534" t="s">
        <v>5016</v>
      </c>
      <c r="BK232" s="523"/>
    </row>
    <row r="233" spans="1:63" ht="128.25" customHeight="1">
      <c r="A233" s="401">
        <v>1</v>
      </c>
      <c r="B233" s="494" t="s">
        <v>6329</v>
      </c>
      <c r="C233" s="401" t="s">
        <v>83</v>
      </c>
      <c r="D233" s="401" t="s">
        <v>242</v>
      </c>
      <c r="E233" s="401" t="s">
        <v>5853</v>
      </c>
      <c r="F233" s="401" t="s">
        <v>1752</v>
      </c>
      <c r="G233" s="401" t="s">
        <v>6141</v>
      </c>
      <c r="H233" s="499" t="s">
        <v>6330</v>
      </c>
      <c r="I233" s="486" t="s">
        <v>6331</v>
      </c>
      <c r="J233" s="487" t="s">
        <v>6319</v>
      </c>
      <c r="K233" s="487" t="s">
        <v>6319</v>
      </c>
      <c r="L233" s="500" t="s">
        <v>6294</v>
      </c>
      <c r="M233" s="500" t="s">
        <v>1755</v>
      </c>
      <c r="N233" s="487" t="s">
        <v>1773</v>
      </c>
      <c r="O233" s="487" t="s">
        <v>2234</v>
      </c>
      <c r="P233" s="578">
        <v>10821.79</v>
      </c>
      <c r="Q233" s="578">
        <v>12769.7122</v>
      </c>
      <c r="R233" s="579">
        <v>9428.6111561201942</v>
      </c>
      <c r="S233" s="494" t="s">
        <v>1774</v>
      </c>
      <c r="T233" s="490">
        <v>1.087</v>
      </c>
      <c r="U233" s="490">
        <v>1.077</v>
      </c>
      <c r="V233" s="490">
        <v>1.073</v>
      </c>
      <c r="W233" s="490">
        <v>1.071</v>
      </c>
      <c r="X233" s="491">
        <v>0.9</v>
      </c>
      <c r="Y233" s="502">
        <v>10659.46</v>
      </c>
      <c r="Z233" s="578">
        <v>12578.162799999998</v>
      </c>
      <c r="AA233" s="578">
        <v>11403.885</v>
      </c>
      <c r="AB233" s="488">
        <v>13456.5843</v>
      </c>
      <c r="AC233" s="492">
        <v>10659.46</v>
      </c>
      <c r="AD233" s="493">
        <v>12578.162799999998</v>
      </c>
      <c r="AE233" s="494" t="s">
        <v>1775</v>
      </c>
      <c r="AF233" s="494" t="s">
        <v>83</v>
      </c>
      <c r="AG233" s="494" t="s">
        <v>211</v>
      </c>
      <c r="AH233" s="401" t="s">
        <v>545</v>
      </c>
      <c r="AI233" s="495">
        <v>41656</v>
      </c>
      <c r="AJ233" s="495">
        <v>41691</v>
      </c>
      <c r="AK233" s="401" t="s">
        <v>96</v>
      </c>
      <c r="AL233" s="494" t="s">
        <v>96</v>
      </c>
      <c r="AM233" s="496" t="s">
        <v>6320</v>
      </c>
      <c r="AN233" s="496" t="s">
        <v>1757</v>
      </c>
      <c r="AO233" s="401">
        <v>796</v>
      </c>
      <c r="AP233" s="401" t="s">
        <v>368</v>
      </c>
      <c r="AQ233" s="401">
        <v>1</v>
      </c>
      <c r="AR233" s="401">
        <v>45</v>
      </c>
      <c r="AS233" s="496" t="s">
        <v>547</v>
      </c>
      <c r="AT233" s="495">
        <v>41711</v>
      </c>
      <c r="AU233" s="495">
        <v>41711</v>
      </c>
      <c r="AV233" s="583">
        <v>41912</v>
      </c>
      <c r="AW233" s="401">
        <v>2014</v>
      </c>
      <c r="AX233" s="496"/>
      <c r="AY233" s="401" t="s">
        <v>186</v>
      </c>
      <c r="AZ233" s="401"/>
      <c r="BA233" s="401">
        <v>2014</v>
      </c>
      <c r="BB233" s="494" t="s">
        <v>6332</v>
      </c>
      <c r="BC233" s="487" t="s">
        <v>6333</v>
      </c>
      <c r="BD233" s="494" t="s">
        <v>1818</v>
      </c>
      <c r="BE233" s="575">
        <v>41885</v>
      </c>
      <c r="BF233" s="498">
        <v>14515.601625799998</v>
      </c>
      <c r="BG233" s="488">
        <v>14515.601625799998</v>
      </c>
      <c r="BH233" s="488">
        <v>1.26</v>
      </c>
      <c r="BI233" s="488">
        <v>1</v>
      </c>
      <c r="BJ233" s="494" t="s">
        <v>5016</v>
      </c>
      <c r="BK233" s="401"/>
    </row>
    <row r="234" spans="1:63" ht="128.25" customHeight="1">
      <c r="A234" s="401">
        <v>1</v>
      </c>
      <c r="B234" s="494" t="s">
        <v>6334</v>
      </c>
      <c r="C234" s="401" t="s">
        <v>83</v>
      </c>
      <c r="D234" s="401" t="s">
        <v>242</v>
      </c>
      <c r="E234" s="401" t="s">
        <v>5853</v>
      </c>
      <c r="F234" s="401" t="s">
        <v>1752</v>
      </c>
      <c r="G234" s="401" t="s">
        <v>6141</v>
      </c>
      <c r="H234" s="499" t="s">
        <v>6335</v>
      </c>
      <c r="I234" s="486" t="s">
        <v>6336</v>
      </c>
      <c r="J234" s="487" t="s">
        <v>6319</v>
      </c>
      <c r="K234" s="487" t="s">
        <v>6319</v>
      </c>
      <c r="L234" s="500" t="s">
        <v>6294</v>
      </c>
      <c r="M234" s="500" t="s">
        <v>1755</v>
      </c>
      <c r="N234" s="487" t="s">
        <v>1773</v>
      </c>
      <c r="O234" s="487" t="s">
        <v>2234</v>
      </c>
      <c r="P234" s="578">
        <v>1124.72</v>
      </c>
      <c r="Q234" s="578">
        <v>1327.1695999999999</v>
      </c>
      <c r="R234" s="579">
        <v>881.93381112898612</v>
      </c>
      <c r="S234" s="494" t="s">
        <v>1774</v>
      </c>
      <c r="T234" s="490">
        <v>1.087</v>
      </c>
      <c r="U234" s="490">
        <v>1.077</v>
      </c>
      <c r="V234" s="490">
        <v>1.073</v>
      </c>
      <c r="W234" s="490">
        <v>1.071</v>
      </c>
      <c r="X234" s="491">
        <v>0.9</v>
      </c>
      <c r="Y234" s="502">
        <v>1107.8499999999999</v>
      </c>
      <c r="Z234" s="578">
        <v>1307.2629999999999</v>
      </c>
      <c r="AA234" s="578">
        <v>1191.0999999999999</v>
      </c>
      <c r="AB234" s="488">
        <v>1405.4979999999998</v>
      </c>
      <c r="AC234" s="492">
        <v>1107.8499999999999</v>
      </c>
      <c r="AD234" s="493">
        <v>1307.2629999999999</v>
      </c>
      <c r="AE234" s="494" t="s">
        <v>1775</v>
      </c>
      <c r="AF234" s="494" t="s">
        <v>83</v>
      </c>
      <c r="AG234" s="494" t="s">
        <v>211</v>
      </c>
      <c r="AH234" s="401" t="s">
        <v>545</v>
      </c>
      <c r="AI234" s="495">
        <v>41656</v>
      </c>
      <c r="AJ234" s="495">
        <v>41691</v>
      </c>
      <c r="AK234" s="401" t="s">
        <v>96</v>
      </c>
      <c r="AL234" s="494" t="s">
        <v>96</v>
      </c>
      <c r="AM234" s="496" t="s">
        <v>6320</v>
      </c>
      <c r="AN234" s="496" t="s">
        <v>1757</v>
      </c>
      <c r="AO234" s="401">
        <v>796</v>
      </c>
      <c r="AP234" s="401" t="s">
        <v>368</v>
      </c>
      <c r="AQ234" s="401">
        <v>1</v>
      </c>
      <c r="AR234" s="401">
        <v>45</v>
      </c>
      <c r="AS234" s="496" t="s">
        <v>547</v>
      </c>
      <c r="AT234" s="495">
        <v>41711</v>
      </c>
      <c r="AU234" s="495">
        <v>41711</v>
      </c>
      <c r="AV234" s="583">
        <v>41912</v>
      </c>
      <c r="AW234" s="401">
        <v>2014</v>
      </c>
      <c r="AX234" s="496"/>
      <c r="AY234" s="401" t="s">
        <v>186</v>
      </c>
      <c r="AZ234" s="401"/>
      <c r="BA234" s="401">
        <v>2014</v>
      </c>
      <c r="BB234" s="494" t="s">
        <v>6337</v>
      </c>
      <c r="BC234" s="487" t="s">
        <v>6338</v>
      </c>
      <c r="BD234" s="494" t="s">
        <v>1818</v>
      </c>
      <c r="BE234" s="575">
        <v>41912</v>
      </c>
      <c r="BF234" s="498">
        <v>1473.1613711999998</v>
      </c>
      <c r="BG234" s="488">
        <v>1473.1613711999998</v>
      </c>
      <c r="BH234" s="488">
        <v>0</v>
      </c>
      <c r="BI234" s="488">
        <v>0.4</v>
      </c>
      <c r="BJ234" s="494" t="s">
        <v>5016</v>
      </c>
      <c r="BK234" s="401"/>
    </row>
    <row r="235" spans="1:63" ht="128.25" customHeight="1">
      <c r="A235" s="401">
        <v>1</v>
      </c>
      <c r="B235" s="494" t="s">
        <v>6339</v>
      </c>
      <c r="C235" s="401" t="s">
        <v>83</v>
      </c>
      <c r="D235" s="401" t="s">
        <v>242</v>
      </c>
      <c r="E235" s="401" t="s">
        <v>5853</v>
      </c>
      <c r="F235" s="401" t="s">
        <v>1752</v>
      </c>
      <c r="G235" s="401" t="s">
        <v>6141</v>
      </c>
      <c r="H235" s="499" t="s">
        <v>6340</v>
      </c>
      <c r="I235" s="486" t="s">
        <v>6341</v>
      </c>
      <c r="J235" s="487" t="s">
        <v>5598</v>
      </c>
      <c r="K235" s="487" t="s">
        <v>5598</v>
      </c>
      <c r="L235" s="500" t="s">
        <v>6294</v>
      </c>
      <c r="M235" s="500" t="s">
        <v>1755</v>
      </c>
      <c r="N235" s="487" t="s">
        <v>1773</v>
      </c>
      <c r="O235" s="487" t="s">
        <v>2234</v>
      </c>
      <c r="P235" s="578">
        <v>23981.503000000001</v>
      </c>
      <c r="Q235" s="578">
        <v>28298.17354</v>
      </c>
      <c r="R235" s="579">
        <v>19063.211636843818</v>
      </c>
      <c r="S235" s="494" t="s">
        <v>1774</v>
      </c>
      <c r="T235" s="490">
        <v>1.087</v>
      </c>
      <c r="U235" s="490">
        <v>1.077</v>
      </c>
      <c r="V235" s="490">
        <v>1.073</v>
      </c>
      <c r="W235" s="490">
        <v>1.071</v>
      </c>
      <c r="X235" s="491">
        <v>0.9</v>
      </c>
      <c r="Y235" s="502">
        <v>21551.8</v>
      </c>
      <c r="Z235" s="578">
        <v>25431.123999999996</v>
      </c>
      <c r="AA235" s="578">
        <v>22027.026000000002</v>
      </c>
      <c r="AB235" s="488">
        <v>25991.89068</v>
      </c>
      <c r="AC235" s="492">
        <v>21551.8</v>
      </c>
      <c r="AD235" s="493">
        <v>25431.123999999996</v>
      </c>
      <c r="AE235" s="494" t="s">
        <v>1775</v>
      </c>
      <c r="AF235" s="494" t="s">
        <v>83</v>
      </c>
      <c r="AG235" s="494" t="s">
        <v>211</v>
      </c>
      <c r="AH235" s="401" t="s">
        <v>545</v>
      </c>
      <c r="AI235" s="495">
        <v>41659</v>
      </c>
      <c r="AJ235" s="495">
        <v>41694</v>
      </c>
      <c r="AK235" s="401" t="s">
        <v>96</v>
      </c>
      <c r="AL235" s="494" t="s">
        <v>96</v>
      </c>
      <c r="AM235" s="496" t="s">
        <v>5599</v>
      </c>
      <c r="AN235" s="496" t="s">
        <v>1757</v>
      </c>
      <c r="AO235" s="401">
        <v>796</v>
      </c>
      <c r="AP235" s="401" t="s">
        <v>368</v>
      </c>
      <c r="AQ235" s="401">
        <v>1</v>
      </c>
      <c r="AR235" s="401">
        <v>45</v>
      </c>
      <c r="AS235" s="496" t="s">
        <v>547</v>
      </c>
      <c r="AT235" s="495">
        <v>41714</v>
      </c>
      <c r="AU235" s="495">
        <v>41714</v>
      </c>
      <c r="AV235" s="583">
        <v>41912</v>
      </c>
      <c r="AW235" s="401">
        <v>2014</v>
      </c>
      <c r="AX235" s="496"/>
      <c r="AY235" s="401" t="s">
        <v>186</v>
      </c>
      <c r="AZ235" s="401"/>
      <c r="BA235" s="401">
        <v>2014</v>
      </c>
      <c r="BB235" s="494" t="s">
        <v>6342</v>
      </c>
      <c r="BC235" s="487" t="s">
        <v>6343</v>
      </c>
      <c r="BD235" s="494" t="s">
        <v>1818</v>
      </c>
      <c r="BE235" s="575">
        <v>41912</v>
      </c>
      <c r="BF235" s="498">
        <v>29260.366048399999</v>
      </c>
      <c r="BG235" s="488">
        <v>29260.366048399999</v>
      </c>
      <c r="BH235" s="488">
        <v>0</v>
      </c>
      <c r="BI235" s="488">
        <v>1</v>
      </c>
      <c r="BJ235" s="494" t="s">
        <v>5016</v>
      </c>
      <c r="BK235" s="401"/>
    </row>
    <row r="236" spans="1:63" ht="168" customHeight="1">
      <c r="A236" s="401">
        <v>1</v>
      </c>
      <c r="B236" s="494" t="s">
        <v>6344</v>
      </c>
      <c r="C236" s="401" t="s">
        <v>83</v>
      </c>
      <c r="D236" s="401" t="s">
        <v>242</v>
      </c>
      <c r="E236" s="401" t="s">
        <v>5853</v>
      </c>
      <c r="F236" s="401" t="s">
        <v>1752</v>
      </c>
      <c r="G236" s="401" t="s">
        <v>6141</v>
      </c>
      <c r="H236" s="499" t="s">
        <v>6345</v>
      </c>
      <c r="I236" s="486" t="s">
        <v>6346</v>
      </c>
      <c r="J236" s="487" t="s">
        <v>6347</v>
      </c>
      <c r="K236" s="487" t="s">
        <v>6347</v>
      </c>
      <c r="L236" s="500" t="s">
        <v>1980</v>
      </c>
      <c r="M236" s="500" t="s">
        <v>1755</v>
      </c>
      <c r="N236" s="487" t="s">
        <v>1773</v>
      </c>
      <c r="O236" s="487" t="s">
        <v>1786</v>
      </c>
      <c r="P236" s="578">
        <v>80055.854999999996</v>
      </c>
      <c r="Q236" s="578">
        <v>94465.908899999995</v>
      </c>
      <c r="R236" s="579">
        <v>67212.084064615236</v>
      </c>
      <c r="S236" s="494" t="s">
        <v>1774</v>
      </c>
      <c r="T236" s="490">
        <v>1.087</v>
      </c>
      <c r="U236" s="490">
        <v>1.077</v>
      </c>
      <c r="V236" s="490">
        <v>1.073</v>
      </c>
      <c r="W236" s="490">
        <v>1.071</v>
      </c>
      <c r="X236" s="491">
        <v>0.9</v>
      </c>
      <c r="Y236" s="502">
        <v>75986.22</v>
      </c>
      <c r="Z236" s="578">
        <v>89663.739600000001</v>
      </c>
      <c r="AA236" s="578">
        <v>82461.915999999997</v>
      </c>
      <c r="AB236" s="488">
        <v>97305.06087999999</v>
      </c>
      <c r="AC236" s="492">
        <v>75986.22</v>
      </c>
      <c r="AD236" s="493">
        <v>89663.739600000001</v>
      </c>
      <c r="AE236" s="494" t="s">
        <v>1775</v>
      </c>
      <c r="AF236" s="494" t="s">
        <v>83</v>
      </c>
      <c r="AG236" s="494" t="s">
        <v>211</v>
      </c>
      <c r="AH236" s="401" t="s">
        <v>545</v>
      </c>
      <c r="AI236" s="495">
        <v>41659</v>
      </c>
      <c r="AJ236" s="495">
        <v>41694</v>
      </c>
      <c r="AK236" s="401" t="s">
        <v>96</v>
      </c>
      <c r="AL236" s="494" t="s">
        <v>96</v>
      </c>
      <c r="AM236" s="496" t="s">
        <v>6348</v>
      </c>
      <c r="AN236" s="496" t="s">
        <v>1757</v>
      </c>
      <c r="AO236" s="401">
        <v>796</v>
      </c>
      <c r="AP236" s="401" t="s">
        <v>368</v>
      </c>
      <c r="AQ236" s="401">
        <v>1</v>
      </c>
      <c r="AR236" s="401">
        <v>45</v>
      </c>
      <c r="AS236" s="496" t="s">
        <v>547</v>
      </c>
      <c r="AT236" s="495">
        <v>41714</v>
      </c>
      <c r="AU236" s="495">
        <v>41714</v>
      </c>
      <c r="AV236" s="495">
        <v>41882</v>
      </c>
      <c r="AW236" s="401">
        <v>2014</v>
      </c>
      <c r="AX236" s="496"/>
      <c r="AY236" s="401" t="s">
        <v>186</v>
      </c>
      <c r="AZ236" s="401"/>
      <c r="BA236" s="401">
        <v>2014</v>
      </c>
      <c r="BB236" s="494" t="s">
        <v>6349</v>
      </c>
      <c r="BC236" s="487" t="s">
        <v>6350</v>
      </c>
      <c r="BD236" s="494" t="s">
        <v>6351</v>
      </c>
      <c r="BE236" s="575">
        <v>41912</v>
      </c>
      <c r="BF236" s="498">
        <v>222734.01717900005</v>
      </c>
      <c r="BG236" s="488">
        <v>222734.01717900005</v>
      </c>
      <c r="BH236" s="488">
        <v>3.2</v>
      </c>
      <c r="BI236" s="488">
        <v>0</v>
      </c>
      <c r="BJ236" s="494" t="s">
        <v>5016</v>
      </c>
      <c r="BK236" s="401"/>
    </row>
    <row r="237" spans="1:63" ht="154.5" customHeight="1">
      <c r="A237" s="401">
        <v>1</v>
      </c>
      <c r="B237" s="494" t="s">
        <v>6352</v>
      </c>
      <c r="C237" s="401" t="s">
        <v>83</v>
      </c>
      <c r="D237" s="401" t="s">
        <v>242</v>
      </c>
      <c r="E237" s="401" t="s">
        <v>5853</v>
      </c>
      <c r="F237" s="401" t="s">
        <v>1752</v>
      </c>
      <c r="G237" s="401" t="s">
        <v>6141</v>
      </c>
      <c r="H237" s="499" t="s">
        <v>6353</v>
      </c>
      <c r="I237" s="486" t="s">
        <v>6354</v>
      </c>
      <c r="J237" s="487" t="s">
        <v>6355</v>
      </c>
      <c r="K237" s="487" t="s">
        <v>6355</v>
      </c>
      <c r="L237" s="500" t="s">
        <v>1825</v>
      </c>
      <c r="M237" s="500" t="s">
        <v>1755</v>
      </c>
      <c r="N237" s="487" t="s">
        <v>1773</v>
      </c>
      <c r="O237" s="487" t="s">
        <v>2234</v>
      </c>
      <c r="P237" s="578">
        <v>128807.21874999999</v>
      </c>
      <c r="Q237" s="578">
        <v>151992.51812499997</v>
      </c>
      <c r="R237" s="579">
        <v>109062.74888888889</v>
      </c>
      <c r="S237" s="494" t="s">
        <v>1774</v>
      </c>
      <c r="T237" s="490">
        <v>1.087</v>
      </c>
      <c r="U237" s="490">
        <v>1.077</v>
      </c>
      <c r="V237" s="490">
        <v>1.073</v>
      </c>
      <c r="W237" s="490">
        <v>1.071</v>
      </c>
      <c r="X237" s="491">
        <v>0.9</v>
      </c>
      <c r="Y237" s="502">
        <v>117920.29</v>
      </c>
      <c r="Z237" s="578">
        <v>139145.94219999999</v>
      </c>
      <c r="AA237" s="578">
        <v>125343.61500000001</v>
      </c>
      <c r="AB237" s="488">
        <v>147905.4657</v>
      </c>
      <c r="AC237" s="492">
        <v>117920.29</v>
      </c>
      <c r="AD237" s="493">
        <v>139145.94219999999</v>
      </c>
      <c r="AE237" s="494" t="s">
        <v>1775</v>
      </c>
      <c r="AF237" s="494" t="s">
        <v>83</v>
      </c>
      <c r="AG237" s="494" t="s">
        <v>211</v>
      </c>
      <c r="AH237" s="401" t="s">
        <v>545</v>
      </c>
      <c r="AI237" s="495">
        <v>41656</v>
      </c>
      <c r="AJ237" s="495">
        <v>41691</v>
      </c>
      <c r="AK237" s="401" t="s">
        <v>96</v>
      </c>
      <c r="AL237" s="494" t="s">
        <v>96</v>
      </c>
      <c r="AM237" s="496" t="s">
        <v>6356</v>
      </c>
      <c r="AN237" s="496" t="s">
        <v>1757</v>
      </c>
      <c r="AO237" s="401">
        <v>796</v>
      </c>
      <c r="AP237" s="401" t="s">
        <v>368</v>
      </c>
      <c r="AQ237" s="401">
        <v>1</v>
      </c>
      <c r="AR237" s="401">
        <v>45</v>
      </c>
      <c r="AS237" s="496" t="s">
        <v>547</v>
      </c>
      <c r="AT237" s="495">
        <v>41711</v>
      </c>
      <c r="AU237" s="495">
        <v>41711</v>
      </c>
      <c r="AV237" s="583">
        <v>41912</v>
      </c>
      <c r="AW237" s="401">
        <v>2014</v>
      </c>
      <c r="AX237" s="496"/>
      <c r="AY237" s="401" t="s">
        <v>186</v>
      </c>
      <c r="AZ237" s="401"/>
      <c r="BA237" s="401">
        <v>2014</v>
      </c>
      <c r="BB237" s="494" t="s">
        <v>2229</v>
      </c>
      <c r="BC237" s="487" t="s">
        <v>2230</v>
      </c>
      <c r="BD237" s="494" t="s">
        <v>1818</v>
      </c>
      <c r="BE237" s="575">
        <v>41912</v>
      </c>
      <c r="BF237" s="498">
        <v>159128.26683559996</v>
      </c>
      <c r="BG237" s="488">
        <v>154848.58215999999</v>
      </c>
      <c r="BH237" s="488">
        <v>8.4</v>
      </c>
      <c r="BI237" s="488">
        <v>11.1</v>
      </c>
      <c r="BJ237" s="494" t="s">
        <v>5016</v>
      </c>
      <c r="BK237" s="401"/>
    </row>
    <row r="238" spans="1:63" ht="154.5" customHeight="1">
      <c r="A238" s="401">
        <v>1</v>
      </c>
      <c r="B238" s="494" t="s">
        <v>6357</v>
      </c>
      <c r="C238" s="401" t="s">
        <v>83</v>
      </c>
      <c r="D238" s="401" t="s">
        <v>242</v>
      </c>
      <c r="E238" s="401" t="s">
        <v>5853</v>
      </c>
      <c r="F238" s="401" t="s">
        <v>1752</v>
      </c>
      <c r="G238" s="401" t="s">
        <v>6141</v>
      </c>
      <c r="H238" s="499" t="s">
        <v>6358</v>
      </c>
      <c r="I238" s="486" t="s">
        <v>6359</v>
      </c>
      <c r="J238" s="487" t="s">
        <v>6319</v>
      </c>
      <c r="K238" s="487" t="s">
        <v>6319</v>
      </c>
      <c r="L238" s="500" t="s">
        <v>6360</v>
      </c>
      <c r="M238" s="500" t="s">
        <v>1755</v>
      </c>
      <c r="N238" s="487" t="s">
        <v>1773</v>
      </c>
      <c r="O238" s="487" t="s">
        <v>2234</v>
      </c>
      <c r="P238" s="578">
        <v>19260.013999999999</v>
      </c>
      <c r="Q238" s="578">
        <v>22726.816519999997</v>
      </c>
      <c r="R238" s="579">
        <v>15635.154067480571</v>
      </c>
      <c r="S238" s="494" t="s">
        <v>1774</v>
      </c>
      <c r="T238" s="490">
        <v>1.087</v>
      </c>
      <c r="U238" s="490">
        <v>1.077</v>
      </c>
      <c r="V238" s="490">
        <v>1.073</v>
      </c>
      <c r="W238" s="490">
        <v>1.071</v>
      </c>
      <c r="X238" s="491">
        <v>0.9</v>
      </c>
      <c r="Y238" s="502">
        <v>17676.23</v>
      </c>
      <c r="Z238" s="578">
        <v>20857.951399999998</v>
      </c>
      <c r="AA238" s="578">
        <v>18602.951000000001</v>
      </c>
      <c r="AB238" s="488">
        <v>21951.482179999999</v>
      </c>
      <c r="AC238" s="492">
        <v>17676.23</v>
      </c>
      <c r="AD238" s="493">
        <v>20857.951399999998</v>
      </c>
      <c r="AE238" s="494" t="s">
        <v>1775</v>
      </c>
      <c r="AF238" s="494" t="s">
        <v>83</v>
      </c>
      <c r="AG238" s="494" t="s">
        <v>211</v>
      </c>
      <c r="AH238" s="401" t="s">
        <v>545</v>
      </c>
      <c r="AI238" s="495">
        <v>41656</v>
      </c>
      <c r="AJ238" s="495">
        <v>41691</v>
      </c>
      <c r="AK238" s="401" t="s">
        <v>96</v>
      </c>
      <c r="AL238" s="494" t="s">
        <v>96</v>
      </c>
      <c r="AM238" s="496" t="s">
        <v>6320</v>
      </c>
      <c r="AN238" s="496" t="s">
        <v>1757</v>
      </c>
      <c r="AO238" s="401">
        <v>796</v>
      </c>
      <c r="AP238" s="401" t="s">
        <v>368</v>
      </c>
      <c r="AQ238" s="401">
        <v>1</v>
      </c>
      <c r="AR238" s="401">
        <v>45</v>
      </c>
      <c r="AS238" s="496" t="s">
        <v>547</v>
      </c>
      <c r="AT238" s="495">
        <v>41711</v>
      </c>
      <c r="AU238" s="495">
        <v>41711</v>
      </c>
      <c r="AV238" s="583">
        <v>41912</v>
      </c>
      <c r="AW238" s="401">
        <v>2014</v>
      </c>
      <c r="AX238" s="496"/>
      <c r="AY238" s="401" t="s">
        <v>186</v>
      </c>
      <c r="AZ238" s="401"/>
      <c r="BA238" s="401">
        <v>2014</v>
      </c>
      <c r="BB238" s="494" t="s">
        <v>6361</v>
      </c>
      <c r="BC238" s="487" t="s">
        <v>6362</v>
      </c>
      <c r="BD238" s="494" t="s">
        <v>1818</v>
      </c>
      <c r="BE238" s="575">
        <v>41912</v>
      </c>
      <c r="BF238" s="498">
        <v>23453.8254232</v>
      </c>
      <c r="BG238" s="488">
        <v>23453.8254232</v>
      </c>
      <c r="BH238" s="488">
        <v>2</v>
      </c>
      <c r="BI238" s="488">
        <v>1.6</v>
      </c>
      <c r="BJ238" s="494" t="s">
        <v>5016</v>
      </c>
      <c r="BK238" s="401"/>
    </row>
    <row r="239" spans="1:63" ht="154.5" customHeight="1">
      <c r="A239" s="401">
        <v>1</v>
      </c>
      <c r="B239" s="494" t="s">
        <v>6363</v>
      </c>
      <c r="C239" s="401" t="s">
        <v>83</v>
      </c>
      <c r="D239" s="401" t="s">
        <v>242</v>
      </c>
      <c r="E239" s="401" t="s">
        <v>5853</v>
      </c>
      <c r="F239" s="401" t="s">
        <v>1752</v>
      </c>
      <c r="G239" s="401" t="s">
        <v>6141</v>
      </c>
      <c r="H239" s="499" t="s">
        <v>6364</v>
      </c>
      <c r="I239" s="486" t="s">
        <v>6365</v>
      </c>
      <c r="J239" s="487" t="s">
        <v>6355</v>
      </c>
      <c r="K239" s="487" t="s">
        <v>6355</v>
      </c>
      <c r="L239" s="500" t="s">
        <v>5025</v>
      </c>
      <c r="M239" s="500" t="s">
        <v>1755</v>
      </c>
      <c r="N239" s="487" t="s">
        <v>1773</v>
      </c>
      <c r="O239" s="487" t="s">
        <v>2234</v>
      </c>
      <c r="P239" s="578">
        <v>14534.563313636363</v>
      </c>
      <c r="Q239" s="578">
        <v>17150.784710090909</v>
      </c>
      <c r="R239" s="579">
        <v>11128.183000000001</v>
      </c>
      <c r="S239" s="494" t="s">
        <v>1774</v>
      </c>
      <c r="T239" s="490">
        <v>1.087</v>
      </c>
      <c r="U239" s="490">
        <v>1.077</v>
      </c>
      <c r="V239" s="490">
        <v>1.073</v>
      </c>
      <c r="W239" s="490">
        <v>1.071</v>
      </c>
      <c r="X239" s="491">
        <v>0.9</v>
      </c>
      <c r="Y239" s="502">
        <v>13029.989</v>
      </c>
      <c r="Z239" s="578">
        <v>15375.387019999998</v>
      </c>
      <c r="AA239" s="578">
        <v>12690.055</v>
      </c>
      <c r="AB239" s="488">
        <v>14974.2649</v>
      </c>
      <c r="AC239" s="492">
        <v>12690.055</v>
      </c>
      <c r="AD239" s="493">
        <v>14974.2649</v>
      </c>
      <c r="AE239" s="494" t="s">
        <v>1775</v>
      </c>
      <c r="AF239" s="494" t="s">
        <v>83</v>
      </c>
      <c r="AG239" s="494" t="s">
        <v>211</v>
      </c>
      <c r="AH239" s="401" t="s">
        <v>545</v>
      </c>
      <c r="AI239" s="495">
        <v>41659</v>
      </c>
      <c r="AJ239" s="495">
        <v>41694</v>
      </c>
      <c r="AK239" s="401" t="s">
        <v>96</v>
      </c>
      <c r="AL239" s="494" t="s">
        <v>96</v>
      </c>
      <c r="AM239" s="496" t="s">
        <v>6356</v>
      </c>
      <c r="AN239" s="496" t="s">
        <v>1757</v>
      </c>
      <c r="AO239" s="401">
        <v>796</v>
      </c>
      <c r="AP239" s="401" t="s">
        <v>368</v>
      </c>
      <c r="AQ239" s="401">
        <v>1</v>
      </c>
      <c r="AR239" s="401">
        <v>45</v>
      </c>
      <c r="AS239" s="496" t="s">
        <v>547</v>
      </c>
      <c r="AT239" s="495">
        <v>41714</v>
      </c>
      <c r="AU239" s="495">
        <v>41714</v>
      </c>
      <c r="AV239" s="583">
        <v>41912</v>
      </c>
      <c r="AW239" s="401">
        <v>2014</v>
      </c>
      <c r="AX239" s="496"/>
      <c r="AY239" s="401" t="s">
        <v>186</v>
      </c>
      <c r="AZ239" s="401"/>
      <c r="BA239" s="401">
        <v>2014</v>
      </c>
      <c r="BB239" s="494" t="s">
        <v>6366</v>
      </c>
      <c r="BC239" s="487" t="s">
        <v>6367</v>
      </c>
      <c r="BD239" s="494" t="s">
        <v>1818</v>
      </c>
      <c r="BE239" s="575">
        <v>41912</v>
      </c>
      <c r="BF239" s="498">
        <v>20186.413400000001</v>
      </c>
      <c r="BG239" s="488">
        <v>20186.413400000001</v>
      </c>
      <c r="BH239" s="488">
        <v>1.26</v>
      </c>
      <c r="BI239" s="488">
        <v>0.68</v>
      </c>
      <c r="BJ239" s="494" t="s">
        <v>5016</v>
      </c>
      <c r="BK239" s="401"/>
    </row>
    <row r="240" spans="1:63" ht="96.75" customHeight="1">
      <c r="A240" s="504">
        <v>1</v>
      </c>
      <c r="B240" s="570" t="s">
        <v>6368</v>
      </c>
      <c r="C240" s="504" t="s">
        <v>83</v>
      </c>
      <c r="D240" s="504" t="s">
        <v>242</v>
      </c>
      <c r="E240" s="570" t="s">
        <v>5853</v>
      </c>
      <c r="F240" s="504" t="s">
        <v>1752</v>
      </c>
      <c r="G240" s="504" t="s">
        <v>6141</v>
      </c>
      <c r="H240" s="517">
        <v>813920</v>
      </c>
      <c r="I240" s="506" t="s">
        <v>6369</v>
      </c>
      <c r="J240" s="506" t="s">
        <v>6319</v>
      </c>
      <c r="K240" s="506" t="s">
        <v>6319</v>
      </c>
      <c r="L240" s="506" t="s">
        <v>2513</v>
      </c>
      <c r="M240" s="571" t="s">
        <v>1755</v>
      </c>
      <c r="N240" s="506" t="s">
        <v>1773</v>
      </c>
      <c r="O240" s="506" t="s">
        <v>2234</v>
      </c>
      <c r="P240" s="512">
        <v>17978.933870000001</v>
      </c>
      <c r="Q240" s="512">
        <v>21215.1419666</v>
      </c>
      <c r="R240" s="512">
        <v>13688.221577664632</v>
      </c>
      <c r="S240" s="504" t="s">
        <v>1774</v>
      </c>
      <c r="T240" s="572">
        <v>1.087</v>
      </c>
      <c r="U240" s="572">
        <v>1.077</v>
      </c>
      <c r="V240" s="572">
        <v>1.073</v>
      </c>
      <c r="W240" s="572">
        <v>1.071</v>
      </c>
      <c r="X240" s="511">
        <v>0.9</v>
      </c>
      <c r="Y240" s="507">
        <v>15631.743</v>
      </c>
      <c r="Z240" s="512">
        <v>18445.456739999998</v>
      </c>
      <c r="AA240" s="512">
        <v>15852.944</v>
      </c>
      <c r="AB240" s="513">
        <v>18706.47392</v>
      </c>
      <c r="AC240" s="512">
        <v>15631.743</v>
      </c>
      <c r="AD240" s="513">
        <v>18445.456739999998</v>
      </c>
      <c r="AE240" s="494" t="s">
        <v>1775</v>
      </c>
      <c r="AF240" s="570" t="s">
        <v>83</v>
      </c>
      <c r="AG240" s="570" t="s">
        <v>211</v>
      </c>
      <c r="AH240" s="570" t="s">
        <v>545</v>
      </c>
      <c r="AI240" s="515">
        <v>41656</v>
      </c>
      <c r="AJ240" s="515">
        <v>41691</v>
      </c>
      <c r="AK240" s="570" t="s">
        <v>96</v>
      </c>
      <c r="AL240" s="570" t="s">
        <v>96</v>
      </c>
      <c r="AM240" s="506" t="s">
        <v>6320</v>
      </c>
      <c r="AN240" s="506" t="s">
        <v>6370</v>
      </c>
      <c r="AO240" s="570">
        <v>796</v>
      </c>
      <c r="AP240" s="570" t="s">
        <v>368</v>
      </c>
      <c r="AQ240" s="570">
        <v>1</v>
      </c>
      <c r="AR240" s="570">
        <v>45</v>
      </c>
      <c r="AS240" s="506" t="s">
        <v>547</v>
      </c>
      <c r="AT240" s="515">
        <v>41711</v>
      </c>
      <c r="AU240" s="515">
        <v>41711</v>
      </c>
      <c r="AV240" s="759">
        <v>41912</v>
      </c>
      <c r="AW240" s="570">
        <v>2014</v>
      </c>
      <c r="AX240" s="506"/>
      <c r="AY240" s="570" t="s">
        <v>186</v>
      </c>
      <c r="AZ240" s="570"/>
      <c r="BA240" s="570">
        <v>2014</v>
      </c>
      <c r="BB240" s="570" t="s">
        <v>2271</v>
      </c>
      <c r="BC240" s="506" t="s">
        <v>2271</v>
      </c>
      <c r="BD240" s="570" t="s">
        <v>2272</v>
      </c>
      <c r="BE240" s="573" t="s">
        <v>2272</v>
      </c>
      <c r="BF240" s="574" t="s">
        <v>2272</v>
      </c>
      <c r="BG240" s="488" t="s">
        <v>2272</v>
      </c>
      <c r="BH240" s="513" t="s">
        <v>2272</v>
      </c>
      <c r="BI240" s="513" t="s">
        <v>2272</v>
      </c>
      <c r="BJ240" s="570" t="s">
        <v>1465</v>
      </c>
      <c r="BK240" s="504"/>
    </row>
    <row r="241" spans="1:63" ht="106.5" customHeight="1">
      <c r="A241" s="523">
        <v>1</v>
      </c>
      <c r="B241" s="534" t="s">
        <v>6371</v>
      </c>
      <c r="C241" s="523" t="s">
        <v>7247</v>
      </c>
      <c r="D241" s="523" t="s">
        <v>242</v>
      </c>
      <c r="E241" s="534" t="s">
        <v>5853</v>
      </c>
      <c r="F241" s="523" t="s">
        <v>1752</v>
      </c>
      <c r="G241" s="523" t="s">
        <v>6141</v>
      </c>
      <c r="H241" s="524">
        <v>813234</v>
      </c>
      <c r="I241" s="525" t="s">
        <v>6372</v>
      </c>
      <c r="J241" s="525" t="s">
        <v>132</v>
      </c>
      <c r="K241" s="525" t="s">
        <v>132</v>
      </c>
      <c r="L241" s="525" t="s">
        <v>2513</v>
      </c>
      <c r="M241" s="541" t="s">
        <v>1755</v>
      </c>
      <c r="N241" s="525" t="s">
        <v>1773</v>
      </c>
      <c r="O241" s="525" t="s">
        <v>2234</v>
      </c>
      <c r="P241" s="531">
        <v>1477.70352</v>
      </c>
      <c r="Q241" s="531">
        <v>1743.6901536</v>
      </c>
      <c r="R241" s="531">
        <v>1287.4598146686253</v>
      </c>
      <c r="S241" s="523" t="s">
        <v>1774</v>
      </c>
      <c r="T241" s="542">
        <v>1.087</v>
      </c>
      <c r="U241" s="543">
        <v>1.077</v>
      </c>
      <c r="V241" s="543">
        <v>1.073</v>
      </c>
      <c r="W241" s="543">
        <v>1.071</v>
      </c>
      <c r="X241" s="544">
        <v>0.9</v>
      </c>
      <c r="Y241" s="526">
        <v>1455.53</v>
      </c>
      <c r="Z241" s="531">
        <v>1717.5254</v>
      </c>
      <c r="AA241" s="531">
        <v>1533.9929999999999</v>
      </c>
      <c r="AB241" s="532">
        <v>1810.1117399999998</v>
      </c>
      <c r="AC241" s="531">
        <v>1455.53</v>
      </c>
      <c r="AD241" s="532">
        <v>1717.5254</v>
      </c>
      <c r="AE241" s="494" t="s">
        <v>1775</v>
      </c>
      <c r="AF241" s="534" t="s">
        <v>83</v>
      </c>
      <c r="AG241" s="534" t="s">
        <v>211</v>
      </c>
      <c r="AH241" s="534" t="s">
        <v>545</v>
      </c>
      <c r="AI241" s="533">
        <v>41656</v>
      </c>
      <c r="AJ241" s="533">
        <v>41691</v>
      </c>
      <c r="AK241" s="534" t="s">
        <v>96</v>
      </c>
      <c r="AL241" s="534" t="s">
        <v>96</v>
      </c>
      <c r="AM241" s="525" t="s">
        <v>6320</v>
      </c>
      <c r="AN241" s="525" t="s">
        <v>6370</v>
      </c>
      <c r="AO241" s="534">
        <v>796</v>
      </c>
      <c r="AP241" s="534" t="s">
        <v>368</v>
      </c>
      <c r="AQ241" s="534">
        <v>1</v>
      </c>
      <c r="AR241" s="534">
        <v>45</v>
      </c>
      <c r="AS241" s="525" t="s">
        <v>547</v>
      </c>
      <c r="AT241" s="533">
        <v>41711</v>
      </c>
      <c r="AU241" s="533">
        <v>41711</v>
      </c>
      <c r="AV241" s="760">
        <v>41912</v>
      </c>
      <c r="AW241" s="534">
        <v>2014</v>
      </c>
      <c r="AX241" s="525"/>
      <c r="AY241" s="534" t="s">
        <v>186</v>
      </c>
      <c r="AZ241" s="534"/>
      <c r="BA241" s="534">
        <v>2014</v>
      </c>
      <c r="BB241" s="534" t="s">
        <v>6373</v>
      </c>
      <c r="BC241" s="525" t="s">
        <v>6374</v>
      </c>
      <c r="BD241" s="534" t="s">
        <v>1818</v>
      </c>
      <c r="BE241" s="545">
        <v>41912</v>
      </c>
      <c r="BF241" s="546">
        <v>1937.4769279999998</v>
      </c>
      <c r="BG241" s="488">
        <v>1937.4769279999998</v>
      </c>
      <c r="BH241" s="532">
        <v>0</v>
      </c>
      <c r="BI241" s="532">
        <v>0.46</v>
      </c>
      <c r="BJ241" s="534" t="s">
        <v>5016</v>
      </c>
      <c r="BK241" s="523"/>
    </row>
    <row r="242" spans="1:63" ht="106.5" customHeight="1">
      <c r="A242" s="523">
        <v>1</v>
      </c>
      <c r="B242" s="534" t="s">
        <v>6375</v>
      </c>
      <c r="C242" s="523" t="s">
        <v>7247</v>
      </c>
      <c r="D242" s="523" t="s">
        <v>242</v>
      </c>
      <c r="E242" s="534" t="s">
        <v>5853</v>
      </c>
      <c r="F242" s="523" t="s">
        <v>1752</v>
      </c>
      <c r="G242" s="523" t="s">
        <v>6141</v>
      </c>
      <c r="H242" s="524" t="s">
        <v>6160</v>
      </c>
      <c r="I242" s="525" t="s">
        <v>6376</v>
      </c>
      <c r="J242" s="525" t="s">
        <v>132</v>
      </c>
      <c r="K242" s="525" t="s">
        <v>132</v>
      </c>
      <c r="L242" s="525" t="s">
        <v>2513</v>
      </c>
      <c r="M242" s="541" t="s">
        <v>1755</v>
      </c>
      <c r="N242" s="525" t="s">
        <v>1773</v>
      </c>
      <c r="O242" s="525" t="s">
        <v>2234</v>
      </c>
      <c r="P242" s="531">
        <v>672.18819999999994</v>
      </c>
      <c r="Q242" s="531">
        <v>793.18207599999994</v>
      </c>
      <c r="R242" s="531">
        <v>585.65609632933968</v>
      </c>
      <c r="S242" s="523" t="s">
        <v>1774</v>
      </c>
      <c r="T242" s="542">
        <v>1.087</v>
      </c>
      <c r="U242" s="543">
        <v>1.077</v>
      </c>
      <c r="V242" s="543">
        <v>1.073</v>
      </c>
      <c r="W242" s="543">
        <v>1.071</v>
      </c>
      <c r="X242" s="544">
        <v>0.9</v>
      </c>
      <c r="Y242" s="526">
        <v>662.11</v>
      </c>
      <c r="Z242" s="531">
        <v>781.28980000000001</v>
      </c>
      <c r="AA242" s="531">
        <v>697.67</v>
      </c>
      <c r="AB242" s="532">
        <v>823.25059999999996</v>
      </c>
      <c r="AC242" s="531">
        <v>662.11</v>
      </c>
      <c r="AD242" s="532">
        <v>781.28980000000001</v>
      </c>
      <c r="AE242" s="494" t="s">
        <v>1775</v>
      </c>
      <c r="AF242" s="534" t="s">
        <v>83</v>
      </c>
      <c r="AG242" s="534" t="s">
        <v>211</v>
      </c>
      <c r="AH242" s="534" t="s">
        <v>545</v>
      </c>
      <c r="AI242" s="533">
        <v>41656</v>
      </c>
      <c r="AJ242" s="533">
        <v>41691</v>
      </c>
      <c r="AK242" s="534" t="s">
        <v>96</v>
      </c>
      <c r="AL242" s="534" t="s">
        <v>96</v>
      </c>
      <c r="AM242" s="525" t="s">
        <v>6320</v>
      </c>
      <c r="AN242" s="525" t="s">
        <v>6370</v>
      </c>
      <c r="AO242" s="534">
        <v>796</v>
      </c>
      <c r="AP242" s="534" t="s">
        <v>368</v>
      </c>
      <c r="AQ242" s="534">
        <v>1</v>
      </c>
      <c r="AR242" s="534">
        <v>45</v>
      </c>
      <c r="AS242" s="525" t="s">
        <v>547</v>
      </c>
      <c r="AT242" s="533">
        <v>41711</v>
      </c>
      <c r="AU242" s="533">
        <v>41711</v>
      </c>
      <c r="AV242" s="760">
        <v>41912</v>
      </c>
      <c r="AW242" s="534">
        <v>2014</v>
      </c>
      <c r="AX242" s="525"/>
      <c r="AY242" s="534" t="s">
        <v>186</v>
      </c>
      <c r="AZ242" s="534"/>
      <c r="BA242" s="534">
        <v>2014</v>
      </c>
      <c r="BB242" s="534" t="s">
        <v>6377</v>
      </c>
      <c r="BC242" s="525" t="s">
        <v>6378</v>
      </c>
      <c r="BD242" s="534" t="s">
        <v>1818</v>
      </c>
      <c r="BE242" s="545">
        <v>41912</v>
      </c>
      <c r="BF242" s="546">
        <v>882.83244619999994</v>
      </c>
      <c r="BG242" s="488">
        <v>882.83244619999994</v>
      </c>
      <c r="BH242" s="532">
        <v>0</v>
      </c>
      <c r="BI242" s="532">
        <v>0.18</v>
      </c>
      <c r="BJ242" s="534" t="s">
        <v>5016</v>
      </c>
      <c r="BK242" s="523"/>
    </row>
    <row r="243" spans="1:63" ht="106.5" customHeight="1">
      <c r="A243" s="523">
        <v>1</v>
      </c>
      <c r="B243" s="534" t="s">
        <v>6379</v>
      </c>
      <c r="C243" s="523" t="s">
        <v>7247</v>
      </c>
      <c r="D243" s="523" t="s">
        <v>242</v>
      </c>
      <c r="E243" s="534" t="s">
        <v>5853</v>
      </c>
      <c r="F243" s="523" t="s">
        <v>1752</v>
      </c>
      <c r="G243" s="523" t="s">
        <v>6141</v>
      </c>
      <c r="H243" s="524">
        <v>813683</v>
      </c>
      <c r="I243" s="525" t="s">
        <v>6380</v>
      </c>
      <c r="J243" s="525" t="s">
        <v>132</v>
      </c>
      <c r="K243" s="525" t="s">
        <v>132</v>
      </c>
      <c r="L243" s="525" t="s">
        <v>2513</v>
      </c>
      <c r="M243" s="541" t="s">
        <v>1755</v>
      </c>
      <c r="N243" s="525" t="s">
        <v>1773</v>
      </c>
      <c r="O243" s="525" t="s">
        <v>2234</v>
      </c>
      <c r="P243" s="531">
        <v>11456.53134</v>
      </c>
      <c r="Q243" s="531">
        <v>13518.706981199999</v>
      </c>
      <c r="R243" s="531">
        <v>7863.3389999999999</v>
      </c>
      <c r="S243" s="523" t="s">
        <v>1774</v>
      </c>
      <c r="T243" s="542">
        <v>1.087</v>
      </c>
      <c r="U243" s="543">
        <v>1.077</v>
      </c>
      <c r="V243" s="543">
        <v>1.073</v>
      </c>
      <c r="W243" s="543">
        <v>1.071</v>
      </c>
      <c r="X243" s="544">
        <v>0.9</v>
      </c>
      <c r="Y243" s="526">
        <v>9207.1830000000009</v>
      </c>
      <c r="Z243" s="531">
        <v>10864.47594</v>
      </c>
      <c r="AA243" s="531">
        <v>9116.7250000000004</v>
      </c>
      <c r="AB243" s="532">
        <v>10757.735500000001</v>
      </c>
      <c r="AC243" s="531">
        <v>9116.7250000000004</v>
      </c>
      <c r="AD243" s="532">
        <v>10757.735500000001</v>
      </c>
      <c r="AE243" s="494" t="s">
        <v>1775</v>
      </c>
      <c r="AF243" s="534" t="s">
        <v>83</v>
      </c>
      <c r="AG243" s="534" t="s">
        <v>211</v>
      </c>
      <c r="AH243" s="534" t="s">
        <v>545</v>
      </c>
      <c r="AI243" s="533">
        <v>41656</v>
      </c>
      <c r="AJ243" s="533">
        <v>41691</v>
      </c>
      <c r="AK243" s="534" t="s">
        <v>96</v>
      </c>
      <c r="AL243" s="534" t="s">
        <v>96</v>
      </c>
      <c r="AM243" s="525" t="s">
        <v>6320</v>
      </c>
      <c r="AN243" s="525" t="s">
        <v>6370</v>
      </c>
      <c r="AO243" s="534">
        <v>796</v>
      </c>
      <c r="AP243" s="534" t="s">
        <v>368</v>
      </c>
      <c r="AQ243" s="534">
        <v>1</v>
      </c>
      <c r="AR243" s="534">
        <v>45</v>
      </c>
      <c r="AS243" s="525" t="s">
        <v>547</v>
      </c>
      <c r="AT243" s="533">
        <v>41711</v>
      </c>
      <c r="AU243" s="533">
        <v>41711</v>
      </c>
      <c r="AV243" s="760">
        <v>41912</v>
      </c>
      <c r="AW243" s="534">
        <v>2014</v>
      </c>
      <c r="AX243" s="525"/>
      <c r="AY243" s="534" t="s">
        <v>186</v>
      </c>
      <c r="AZ243" s="534"/>
      <c r="BA243" s="534">
        <v>2014</v>
      </c>
      <c r="BB243" s="534" t="s">
        <v>6381</v>
      </c>
      <c r="BC243" s="525" t="s">
        <v>6382</v>
      </c>
      <c r="BD243" s="534" t="s">
        <v>1818</v>
      </c>
      <c r="BE243" s="545">
        <v>41912</v>
      </c>
      <c r="BF243" s="546">
        <v>13634.094614599999</v>
      </c>
      <c r="BG243" s="488">
        <v>13634.094614599999</v>
      </c>
      <c r="BH243" s="532">
        <v>2</v>
      </c>
      <c r="BI243" s="532">
        <v>0</v>
      </c>
      <c r="BJ243" s="534" t="s">
        <v>5016</v>
      </c>
      <c r="BK243" s="523"/>
    </row>
    <row r="244" spans="1:63" ht="106.5" customHeight="1">
      <c r="A244" s="523">
        <v>1</v>
      </c>
      <c r="B244" s="534" t="s">
        <v>6383</v>
      </c>
      <c r="C244" s="523" t="s">
        <v>7247</v>
      </c>
      <c r="D244" s="523" t="s">
        <v>242</v>
      </c>
      <c r="E244" s="534" t="s">
        <v>5853</v>
      </c>
      <c r="F244" s="523" t="s">
        <v>1752</v>
      </c>
      <c r="G244" s="523" t="s">
        <v>6141</v>
      </c>
      <c r="H244" s="524">
        <v>813750</v>
      </c>
      <c r="I244" s="525" t="s">
        <v>6384</v>
      </c>
      <c r="J244" s="525" t="s">
        <v>132</v>
      </c>
      <c r="K244" s="525" t="s">
        <v>132</v>
      </c>
      <c r="L244" s="525" t="s">
        <v>1772</v>
      </c>
      <c r="M244" s="541" t="s">
        <v>1755</v>
      </c>
      <c r="N244" s="525" t="s">
        <v>1773</v>
      </c>
      <c r="O244" s="525" t="s">
        <v>2234</v>
      </c>
      <c r="P244" s="531">
        <v>4372.5108099999998</v>
      </c>
      <c r="Q244" s="531">
        <v>5159.5627557999996</v>
      </c>
      <c r="R244" s="531">
        <v>3951.7666666666669</v>
      </c>
      <c r="S244" s="523" t="s">
        <v>1774</v>
      </c>
      <c r="T244" s="542">
        <v>1.087</v>
      </c>
      <c r="U244" s="543">
        <v>1.077</v>
      </c>
      <c r="V244" s="543">
        <v>1.073</v>
      </c>
      <c r="W244" s="543">
        <v>1.071</v>
      </c>
      <c r="X244" s="544">
        <v>0.9</v>
      </c>
      <c r="Y244" s="526">
        <v>4306.92</v>
      </c>
      <c r="Z244" s="531">
        <v>5082.1656000000003</v>
      </c>
      <c r="AA244" s="531">
        <v>4504.5559999999996</v>
      </c>
      <c r="AB244" s="532">
        <v>5315.3760799999991</v>
      </c>
      <c r="AC244" s="531">
        <v>4306.92</v>
      </c>
      <c r="AD244" s="532">
        <v>5082.1656000000003</v>
      </c>
      <c r="AE244" s="494" t="s">
        <v>1775</v>
      </c>
      <c r="AF244" s="534" t="s">
        <v>83</v>
      </c>
      <c r="AG244" s="534" t="s">
        <v>211</v>
      </c>
      <c r="AH244" s="534" t="s">
        <v>545</v>
      </c>
      <c r="AI244" s="533">
        <v>41656</v>
      </c>
      <c r="AJ244" s="533">
        <v>41691</v>
      </c>
      <c r="AK244" s="534" t="s">
        <v>96</v>
      </c>
      <c r="AL244" s="534" t="s">
        <v>96</v>
      </c>
      <c r="AM244" s="525" t="s">
        <v>6320</v>
      </c>
      <c r="AN244" s="525" t="s">
        <v>6370</v>
      </c>
      <c r="AO244" s="534">
        <v>796</v>
      </c>
      <c r="AP244" s="534" t="s">
        <v>368</v>
      </c>
      <c r="AQ244" s="534">
        <v>1</v>
      </c>
      <c r="AR244" s="534">
        <v>45</v>
      </c>
      <c r="AS244" s="525" t="s">
        <v>547</v>
      </c>
      <c r="AT244" s="533">
        <v>41711</v>
      </c>
      <c r="AU244" s="533">
        <v>41711</v>
      </c>
      <c r="AV244" s="760">
        <v>41912</v>
      </c>
      <c r="AW244" s="534">
        <v>2014</v>
      </c>
      <c r="AX244" s="525"/>
      <c r="AY244" s="534" t="s">
        <v>186</v>
      </c>
      <c r="AZ244" s="534"/>
      <c r="BA244" s="534">
        <v>2014</v>
      </c>
      <c r="BB244" s="534" t="s">
        <v>6385</v>
      </c>
      <c r="BC244" s="525" t="s">
        <v>6386</v>
      </c>
      <c r="BD244" s="534" t="s">
        <v>1818</v>
      </c>
      <c r="BE244" s="545">
        <v>41912</v>
      </c>
      <c r="BF244" s="546">
        <v>5727.1556885999998</v>
      </c>
      <c r="BG244" s="488">
        <v>5727.1556885999998</v>
      </c>
      <c r="BH244" s="532">
        <v>0</v>
      </c>
      <c r="BI244" s="532">
        <v>1.5</v>
      </c>
      <c r="BJ244" s="534" t="s">
        <v>5016</v>
      </c>
      <c r="BK244" s="523"/>
    </row>
    <row r="245" spans="1:63" ht="154.5" customHeight="1">
      <c r="A245" s="401">
        <v>1</v>
      </c>
      <c r="B245" s="494" t="s">
        <v>6387</v>
      </c>
      <c r="C245" s="401" t="s">
        <v>83</v>
      </c>
      <c r="D245" s="401" t="s">
        <v>242</v>
      </c>
      <c r="E245" s="401" t="s">
        <v>5853</v>
      </c>
      <c r="F245" s="401" t="s">
        <v>1752</v>
      </c>
      <c r="G245" s="401" t="s">
        <v>6141</v>
      </c>
      <c r="H245" s="499">
        <v>854500</v>
      </c>
      <c r="I245" s="486" t="s">
        <v>6388</v>
      </c>
      <c r="J245" s="487" t="s">
        <v>5598</v>
      </c>
      <c r="K245" s="487" t="s">
        <v>5598</v>
      </c>
      <c r="L245" s="500" t="s">
        <v>2513</v>
      </c>
      <c r="M245" s="500" t="s">
        <v>1755</v>
      </c>
      <c r="N245" s="487" t="s">
        <v>1773</v>
      </c>
      <c r="O245" s="487" t="s">
        <v>2234</v>
      </c>
      <c r="P245" s="578">
        <v>1569.5127500000001</v>
      </c>
      <c r="Q245" s="578">
        <v>1852.0250450000001</v>
      </c>
      <c r="R245" s="579">
        <v>1367.4566994038289</v>
      </c>
      <c r="S245" s="494" t="s">
        <v>1774</v>
      </c>
      <c r="T245" s="490">
        <v>1.087</v>
      </c>
      <c r="U245" s="490">
        <v>1.077</v>
      </c>
      <c r="V245" s="490">
        <v>1.073</v>
      </c>
      <c r="W245" s="490">
        <v>1.071</v>
      </c>
      <c r="X245" s="491">
        <v>0.9</v>
      </c>
      <c r="Y245" s="502">
        <v>1545.97</v>
      </c>
      <c r="Z245" s="578">
        <v>1824.2446</v>
      </c>
      <c r="AA245" s="578">
        <v>1629.07</v>
      </c>
      <c r="AB245" s="488">
        <v>1922.3025999999998</v>
      </c>
      <c r="AC245" s="492">
        <v>1545.97</v>
      </c>
      <c r="AD245" s="493">
        <v>1824.2446</v>
      </c>
      <c r="AE245" s="494" t="s">
        <v>1775</v>
      </c>
      <c r="AF245" s="494" t="s">
        <v>83</v>
      </c>
      <c r="AG245" s="494" t="s">
        <v>211</v>
      </c>
      <c r="AH245" s="401" t="s">
        <v>545</v>
      </c>
      <c r="AI245" s="495">
        <v>41656</v>
      </c>
      <c r="AJ245" s="495">
        <v>41691</v>
      </c>
      <c r="AK245" s="401" t="s">
        <v>96</v>
      </c>
      <c r="AL245" s="494" t="s">
        <v>96</v>
      </c>
      <c r="AM245" s="496" t="s">
        <v>5599</v>
      </c>
      <c r="AN245" s="496" t="s">
        <v>6370</v>
      </c>
      <c r="AO245" s="401">
        <v>796</v>
      </c>
      <c r="AP245" s="401" t="s">
        <v>368</v>
      </c>
      <c r="AQ245" s="401">
        <v>1</v>
      </c>
      <c r="AR245" s="401">
        <v>45</v>
      </c>
      <c r="AS245" s="496" t="s">
        <v>547</v>
      </c>
      <c r="AT245" s="495">
        <v>41711</v>
      </c>
      <c r="AU245" s="495">
        <v>41711</v>
      </c>
      <c r="AV245" s="583">
        <v>41912</v>
      </c>
      <c r="AW245" s="401">
        <v>2014</v>
      </c>
      <c r="AX245" s="496"/>
      <c r="AY245" s="401" t="s">
        <v>186</v>
      </c>
      <c r="AZ245" s="401"/>
      <c r="BA245" s="401">
        <v>2014</v>
      </c>
      <c r="BB245" s="494" t="s">
        <v>6389</v>
      </c>
      <c r="BC245" s="487" t="s">
        <v>6390</v>
      </c>
      <c r="BD245" s="494" t="s">
        <v>1818</v>
      </c>
      <c r="BE245" s="575">
        <v>41912</v>
      </c>
      <c r="BF245" s="498">
        <v>2061.3608091999999</v>
      </c>
      <c r="BG245" s="488">
        <v>2061.3608091999999</v>
      </c>
      <c r="BH245" s="488">
        <v>0</v>
      </c>
      <c r="BI245" s="488">
        <v>0.5</v>
      </c>
      <c r="BJ245" s="494" t="s">
        <v>5016</v>
      </c>
      <c r="BK245" s="401"/>
    </row>
    <row r="246" spans="1:63" ht="96.75" customHeight="1">
      <c r="A246" s="504">
        <v>1</v>
      </c>
      <c r="B246" s="570" t="s">
        <v>6391</v>
      </c>
      <c r="C246" s="504" t="s">
        <v>83</v>
      </c>
      <c r="D246" s="504" t="s">
        <v>242</v>
      </c>
      <c r="E246" s="570" t="s">
        <v>5853</v>
      </c>
      <c r="F246" s="504" t="s">
        <v>1752</v>
      </c>
      <c r="G246" s="504" t="s">
        <v>6141</v>
      </c>
      <c r="H246" s="517">
        <v>854515</v>
      </c>
      <c r="I246" s="506" t="s">
        <v>6392</v>
      </c>
      <c r="J246" s="506" t="s">
        <v>6319</v>
      </c>
      <c r="K246" s="506" t="s">
        <v>6319</v>
      </c>
      <c r="L246" s="506" t="s">
        <v>2513</v>
      </c>
      <c r="M246" s="571" t="s">
        <v>1755</v>
      </c>
      <c r="N246" s="506" t="s">
        <v>1773</v>
      </c>
      <c r="O246" s="506" t="s">
        <v>2234</v>
      </c>
      <c r="P246" s="512">
        <v>6139.2903399999996</v>
      </c>
      <c r="Q246" s="512">
        <v>7244.3626012000004</v>
      </c>
      <c r="R246" s="512">
        <v>5126.5182416738235</v>
      </c>
      <c r="S246" s="504" t="s">
        <v>1774</v>
      </c>
      <c r="T246" s="572">
        <v>1.087</v>
      </c>
      <c r="U246" s="572">
        <v>1.077</v>
      </c>
      <c r="V246" s="572">
        <v>1.073</v>
      </c>
      <c r="W246" s="572">
        <v>1.071</v>
      </c>
      <c r="X246" s="511">
        <v>0.9</v>
      </c>
      <c r="Y246" s="507">
        <v>5708.7800000000007</v>
      </c>
      <c r="Z246" s="512">
        <v>6736.3604000000005</v>
      </c>
      <c r="AA246" s="512">
        <v>5548.0623433381488</v>
      </c>
      <c r="AB246" s="513">
        <v>6546.7135651390154</v>
      </c>
      <c r="AC246" s="512">
        <v>5548.0623433381488</v>
      </c>
      <c r="AD246" s="513">
        <v>6546.7135651390154</v>
      </c>
      <c r="AE246" s="494" t="s">
        <v>1775</v>
      </c>
      <c r="AF246" s="570" t="s">
        <v>83</v>
      </c>
      <c r="AG246" s="570" t="s">
        <v>211</v>
      </c>
      <c r="AH246" s="570" t="s">
        <v>545</v>
      </c>
      <c r="AI246" s="515">
        <v>41656</v>
      </c>
      <c r="AJ246" s="515">
        <v>41691</v>
      </c>
      <c r="AK246" s="570" t="s">
        <v>96</v>
      </c>
      <c r="AL246" s="570" t="s">
        <v>96</v>
      </c>
      <c r="AM246" s="506" t="s">
        <v>6320</v>
      </c>
      <c r="AN246" s="506" t="s">
        <v>6370</v>
      </c>
      <c r="AO246" s="570">
        <v>796</v>
      </c>
      <c r="AP246" s="570" t="s">
        <v>368</v>
      </c>
      <c r="AQ246" s="570">
        <v>1</v>
      </c>
      <c r="AR246" s="570">
        <v>45</v>
      </c>
      <c r="AS246" s="506" t="s">
        <v>547</v>
      </c>
      <c r="AT246" s="515">
        <v>41711</v>
      </c>
      <c r="AU246" s="515">
        <v>41711</v>
      </c>
      <c r="AV246" s="759">
        <v>41912</v>
      </c>
      <c r="AW246" s="570">
        <v>2014</v>
      </c>
      <c r="AX246" s="506"/>
      <c r="AY246" s="570" t="s">
        <v>186</v>
      </c>
      <c r="AZ246" s="570"/>
      <c r="BA246" s="570">
        <v>2014</v>
      </c>
      <c r="BB246" s="570" t="s">
        <v>2271</v>
      </c>
      <c r="BC246" s="506" t="s">
        <v>2271</v>
      </c>
      <c r="BD246" s="570" t="s">
        <v>2272</v>
      </c>
      <c r="BE246" s="573" t="s">
        <v>2272</v>
      </c>
      <c r="BF246" s="574" t="s">
        <v>2272</v>
      </c>
      <c r="BG246" s="488" t="s">
        <v>2272</v>
      </c>
      <c r="BH246" s="513" t="s">
        <v>2272</v>
      </c>
      <c r="BI246" s="513" t="s">
        <v>2272</v>
      </c>
      <c r="BJ246" s="570" t="s">
        <v>1465</v>
      </c>
      <c r="BK246" s="504"/>
    </row>
    <row r="247" spans="1:63" ht="106.5" customHeight="1">
      <c r="A247" s="523">
        <v>1</v>
      </c>
      <c r="B247" s="534" t="s">
        <v>6393</v>
      </c>
      <c r="C247" s="523" t="s">
        <v>7247</v>
      </c>
      <c r="D247" s="523" t="s">
        <v>242</v>
      </c>
      <c r="E247" s="534" t="s">
        <v>5853</v>
      </c>
      <c r="F247" s="523" t="s">
        <v>1752</v>
      </c>
      <c r="G247" s="523" t="s">
        <v>6141</v>
      </c>
      <c r="H247" s="524" t="s">
        <v>6160</v>
      </c>
      <c r="I247" s="525" t="s">
        <v>6394</v>
      </c>
      <c r="J247" s="525" t="s">
        <v>6319</v>
      </c>
      <c r="K247" s="525" t="s">
        <v>6319</v>
      </c>
      <c r="L247" s="525" t="s">
        <v>2513</v>
      </c>
      <c r="M247" s="541" t="s">
        <v>1755</v>
      </c>
      <c r="N247" s="525" t="s">
        <v>1773</v>
      </c>
      <c r="O247" s="525" t="s">
        <v>2234</v>
      </c>
      <c r="P247" s="531">
        <v>1481.12284</v>
      </c>
      <c r="Q247" s="531">
        <v>1747.7249511999999</v>
      </c>
      <c r="R247" s="531">
        <v>1310.1008381436914</v>
      </c>
      <c r="S247" s="523" t="s">
        <v>1774</v>
      </c>
      <c r="T247" s="542">
        <v>1.087</v>
      </c>
      <c r="U247" s="543">
        <v>1.077</v>
      </c>
      <c r="V247" s="543">
        <v>1.073</v>
      </c>
      <c r="W247" s="543">
        <v>1.071</v>
      </c>
      <c r="X247" s="544">
        <v>0.9</v>
      </c>
      <c r="Y247" s="526">
        <v>1458.9</v>
      </c>
      <c r="Z247" s="531">
        <v>1721.502</v>
      </c>
      <c r="AA247" s="531">
        <v>1385.4138333108804</v>
      </c>
      <c r="AB247" s="532">
        <v>1634.7883233068387</v>
      </c>
      <c r="AC247" s="531">
        <v>1385.4138333108804</v>
      </c>
      <c r="AD247" s="532">
        <v>1634.7883233068387</v>
      </c>
      <c r="AE247" s="494" t="s">
        <v>1775</v>
      </c>
      <c r="AF247" s="534" t="s">
        <v>83</v>
      </c>
      <c r="AG247" s="534" t="s">
        <v>211</v>
      </c>
      <c r="AH247" s="534" t="s">
        <v>545</v>
      </c>
      <c r="AI247" s="533">
        <v>41656</v>
      </c>
      <c r="AJ247" s="533">
        <v>41691</v>
      </c>
      <c r="AK247" s="534" t="s">
        <v>96</v>
      </c>
      <c r="AL247" s="534" t="s">
        <v>96</v>
      </c>
      <c r="AM247" s="525" t="s">
        <v>6320</v>
      </c>
      <c r="AN247" s="525" t="s">
        <v>6370</v>
      </c>
      <c r="AO247" s="534">
        <v>796</v>
      </c>
      <c r="AP247" s="534" t="s">
        <v>368</v>
      </c>
      <c r="AQ247" s="534">
        <v>1</v>
      </c>
      <c r="AR247" s="534">
        <v>45</v>
      </c>
      <c r="AS247" s="525" t="s">
        <v>547</v>
      </c>
      <c r="AT247" s="533">
        <v>41711</v>
      </c>
      <c r="AU247" s="533">
        <v>41711</v>
      </c>
      <c r="AV247" s="760">
        <v>41912</v>
      </c>
      <c r="AW247" s="534">
        <v>2014</v>
      </c>
      <c r="AX247" s="525"/>
      <c r="AY247" s="534" t="s">
        <v>186</v>
      </c>
      <c r="AZ247" s="534"/>
      <c r="BA247" s="534">
        <v>2014</v>
      </c>
      <c r="BB247" s="534" t="s">
        <v>6395</v>
      </c>
      <c r="BC247" s="525" t="s">
        <v>6396</v>
      </c>
      <c r="BD247" s="534" t="s">
        <v>1818</v>
      </c>
      <c r="BE247" s="545">
        <v>41912</v>
      </c>
      <c r="BF247" s="546">
        <v>1945.2704031999999</v>
      </c>
      <c r="BG247" s="488">
        <v>1945.2704031999999</v>
      </c>
      <c r="BH247" s="532">
        <v>0</v>
      </c>
      <c r="BI247" s="532">
        <v>0.5</v>
      </c>
      <c r="BJ247" s="534" t="s">
        <v>5016</v>
      </c>
      <c r="BK247" s="523"/>
    </row>
    <row r="248" spans="1:63" ht="106.5" customHeight="1">
      <c r="A248" s="523">
        <v>1</v>
      </c>
      <c r="B248" s="534" t="s">
        <v>6397</v>
      </c>
      <c r="C248" s="523" t="s">
        <v>7247</v>
      </c>
      <c r="D248" s="523" t="s">
        <v>242</v>
      </c>
      <c r="E248" s="534" t="s">
        <v>5853</v>
      </c>
      <c r="F248" s="523" t="s">
        <v>1752</v>
      </c>
      <c r="G248" s="523" t="s">
        <v>6141</v>
      </c>
      <c r="H248" s="524" t="s">
        <v>6160</v>
      </c>
      <c r="I248" s="525" t="s">
        <v>6398</v>
      </c>
      <c r="J248" s="525" t="s">
        <v>6319</v>
      </c>
      <c r="K248" s="525" t="s">
        <v>6319</v>
      </c>
      <c r="L248" s="525" t="s">
        <v>2513</v>
      </c>
      <c r="M248" s="541" t="s">
        <v>1755</v>
      </c>
      <c r="N248" s="525" t="s">
        <v>1773</v>
      </c>
      <c r="O248" s="525" t="s">
        <v>2234</v>
      </c>
      <c r="P248" s="531">
        <v>1588.78</v>
      </c>
      <c r="Q248" s="531">
        <v>1874.7603999999999</v>
      </c>
      <c r="R248" s="531">
        <v>1101.4222222222222</v>
      </c>
      <c r="S248" s="523" t="s">
        <v>1774</v>
      </c>
      <c r="T248" s="542">
        <v>1.087</v>
      </c>
      <c r="U248" s="543">
        <v>1.077</v>
      </c>
      <c r="V248" s="543">
        <v>1.073</v>
      </c>
      <c r="W248" s="543">
        <v>1.071</v>
      </c>
      <c r="X248" s="544">
        <v>0.9</v>
      </c>
      <c r="Y248" s="526">
        <v>1226.52</v>
      </c>
      <c r="Z248" s="531">
        <v>1447.2936</v>
      </c>
      <c r="AA248" s="531">
        <v>1291.578</v>
      </c>
      <c r="AB248" s="532">
        <v>1524.0620399999998</v>
      </c>
      <c r="AC248" s="531">
        <v>1226.52</v>
      </c>
      <c r="AD248" s="532">
        <v>1447.2936</v>
      </c>
      <c r="AE248" s="494" t="s">
        <v>1775</v>
      </c>
      <c r="AF248" s="534" t="s">
        <v>83</v>
      </c>
      <c r="AG248" s="534" t="s">
        <v>211</v>
      </c>
      <c r="AH248" s="534" t="s">
        <v>545</v>
      </c>
      <c r="AI248" s="533">
        <v>41656</v>
      </c>
      <c r="AJ248" s="533">
        <v>41691</v>
      </c>
      <c r="AK248" s="534" t="s">
        <v>96</v>
      </c>
      <c r="AL248" s="534" t="s">
        <v>96</v>
      </c>
      <c r="AM248" s="525" t="s">
        <v>6320</v>
      </c>
      <c r="AN248" s="525" t="s">
        <v>6370</v>
      </c>
      <c r="AO248" s="534">
        <v>796</v>
      </c>
      <c r="AP248" s="534" t="s">
        <v>368</v>
      </c>
      <c r="AQ248" s="534">
        <v>1</v>
      </c>
      <c r="AR248" s="534">
        <v>45</v>
      </c>
      <c r="AS248" s="525" t="s">
        <v>547</v>
      </c>
      <c r="AT248" s="533">
        <v>41711</v>
      </c>
      <c r="AU248" s="533">
        <v>41711</v>
      </c>
      <c r="AV248" s="760">
        <v>41912</v>
      </c>
      <c r="AW248" s="534">
        <v>2014</v>
      </c>
      <c r="AX248" s="525"/>
      <c r="AY248" s="534" t="s">
        <v>186</v>
      </c>
      <c r="AZ248" s="534"/>
      <c r="BA248" s="534">
        <v>2014</v>
      </c>
      <c r="BB248" s="534" t="s">
        <v>6399</v>
      </c>
      <c r="BC248" s="525" t="s">
        <v>6400</v>
      </c>
      <c r="BD248" s="534" t="s">
        <v>1818</v>
      </c>
      <c r="BE248" s="545">
        <v>41912</v>
      </c>
      <c r="BF248" s="546">
        <v>2076.3397999999997</v>
      </c>
      <c r="BG248" s="488">
        <v>2076.3397999999997</v>
      </c>
      <c r="BH248" s="532">
        <v>0</v>
      </c>
      <c r="BI248" s="532">
        <v>0.4</v>
      </c>
      <c r="BJ248" s="534" t="s">
        <v>5016</v>
      </c>
      <c r="BK248" s="523"/>
    </row>
    <row r="249" spans="1:63" ht="106.5" customHeight="1">
      <c r="A249" s="523">
        <v>1</v>
      </c>
      <c r="B249" s="534" t="s">
        <v>6401</v>
      </c>
      <c r="C249" s="523" t="s">
        <v>7247</v>
      </c>
      <c r="D249" s="523" t="s">
        <v>242</v>
      </c>
      <c r="E249" s="534" t="s">
        <v>5853</v>
      </c>
      <c r="F249" s="523" t="s">
        <v>1752</v>
      </c>
      <c r="G249" s="523" t="s">
        <v>6141</v>
      </c>
      <c r="H249" s="524" t="s">
        <v>6160</v>
      </c>
      <c r="I249" s="525" t="s">
        <v>6402</v>
      </c>
      <c r="J249" s="525" t="s">
        <v>6319</v>
      </c>
      <c r="K249" s="525" t="s">
        <v>6319</v>
      </c>
      <c r="L249" s="525" t="s">
        <v>2513</v>
      </c>
      <c r="M249" s="541" t="s">
        <v>1755</v>
      </c>
      <c r="N249" s="525" t="s">
        <v>1773</v>
      </c>
      <c r="O249" s="525" t="s">
        <v>2234</v>
      </c>
      <c r="P249" s="531">
        <v>1603.3071299999999</v>
      </c>
      <c r="Q249" s="531">
        <v>1891.9024133999999</v>
      </c>
      <c r="R249" s="531">
        <v>1418.1938108541965</v>
      </c>
      <c r="S249" s="523" t="s">
        <v>1774</v>
      </c>
      <c r="T249" s="542">
        <v>1.087</v>
      </c>
      <c r="U249" s="543">
        <v>1.077</v>
      </c>
      <c r="V249" s="543">
        <v>1.073</v>
      </c>
      <c r="W249" s="543">
        <v>1.071</v>
      </c>
      <c r="X249" s="544">
        <v>0.9</v>
      </c>
      <c r="Y249" s="526">
        <v>1579.27</v>
      </c>
      <c r="Z249" s="531">
        <v>1863.5385999999999</v>
      </c>
      <c r="AA249" s="531">
        <v>1499.7206830714058</v>
      </c>
      <c r="AB249" s="532">
        <v>1769.6704060242587</v>
      </c>
      <c r="AC249" s="531">
        <v>1499.7206830714058</v>
      </c>
      <c r="AD249" s="532">
        <v>1769.6704060242587</v>
      </c>
      <c r="AE249" s="494" t="s">
        <v>1775</v>
      </c>
      <c r="AF249" s="534" t="s">
        <v>83</v>
      </c>
      <c r="AG249" s="534" t="s">
        <v>211</v>
      </c>
      <c r="AH249" s="534" t="s">
        <v>545</v>
      </c>
      <c r="AI249" s="533">
        <v>41656</v>
      </c>
      <c r="AJ249" s="533">
        <v>41691</v>
      </c>
      <c r="AK249" s="534" t="s">
        <v>96</v>
      </c>
      <c r="AL249" s="534" t="s">
        <v>96</v>
      </c>
      <c r="AM249" s="525" t="s">
        <v>6320</v>
      </c>
      <c r="AN249" s="525" t="s">
        <v>6370</v>
      </c>
      <c r="AO249" s="534">
        <v>796</v>
      </c>
      <c r="AP249" s="534" t="s">
        <v>368</v>
      </c>
      <c r="AQ249" s="534">
        <v>1</v>
      </c>
      <c r="AR249" s="534">
        <v>45</v>
      </c>
      <c r="AS249" s="525" t="s">
        <v>547</v>
      </c>
      <c r="AT249" s="533">
        <v>41711</v>
      </c>
      <c r="AU249" s="533">
        <v>41711</v>
      </c>
      <c r="AV249" s="760">
        <v>41912</v>
      </c>
      <c r="AW249" s="534">
        <v>2014</v>
      </c>
      <c r="AX249" s="525"/>
      <c r="AY249" s="534" t="s">
        <v>186</v>
      </c>
      <c r="AZ249" s="534"/>
      <c r="BA249" s="534">
        <v>2014</v>
      </c>
      <c r="BB249" s="534" t="s">
        <v>6403</v>
      </c>
      <c r="BC249" s="525" t="s">
        <v>6404</v>
      </c>
      <c r="BD249" s="534" t="s">
        <v>1818</v>
      </c>
      <c r="BE249" s="545">
        <v>41912</v>
      </c>
      <c r="BF249" s="546">
        <v>2105.7453999999998</v>
      </c>
      <c r="BG249" s="488">
        <v>2105.7453999999998</v>
      </c>
      <c r="BH249" s="532">
        <v>0</v>
      </c>
      <c r="BI249" s="532">
        <v>0.5</v>
      </c>
      <c r="BJ249" s="534" t="s">
        <v>5016</v>
      </c>
      <c r="BK249" s="523"/>
    </row>
    <row r="250" spans="1:63" ht="106.5" customHeight="1">
      <c r="A250" s="523">
        <v>1</v>
      </c>
      <c r="B250" s="534" t="s">
        <v>6405</v>
      </c>
      <c r="C250" s="523" t="s">
        <v>7247</v>
      </c>
      <c r="D250" s="523" t="s">
        <v>242</v>
      </c>
      <c r="E250" s="534" t="s">
        <v>5853</v>
      </c>
      <c r="F250" s="523" t="s">
        <v>1752</v>
      </c>
      <c r="G250" s="523" t="s">
        <v>6141</v>
      </c>
      <c r="H250" s="524" t="s">
        <v>6160</v>
      </c>
      <c r="I250" s="525" t="s">
        <v>6406</v>
      </c>
      <c r="J250" s="525" t="s">
        <v>6319</v>
      </c>
      <c r="K250" s="525" t="s">
        <v>6319</v>
      </c>
      <c r="L250" s="525" t="s">
        <v>2513</v>
      </c>
      <c r="M250" s="541" t="s">
        <v>1755</v>
      </c>
      <c r="N250" s="525" t="s">
        <v>1773</v>
      </c>
      <c r="O250" s="525" t="s">
        <v>2234</v>
      </c>
      <c r="P250" s="531">
        <v>1466.0803700000001</v>
      </c>
      <c r="Q250" s="531">
        <v>1729.9748366000001</v>
      </c>
      <c r="R250" s="531">
        <v>1296.8013704537136</v>
      </c>
      <c r="S250" s="523" t="s">
        <v>1774</v>
      </c>
      <c r="T250" s="542">
        <v>1.087</v>
      </c>
      <c r="U250" s="543">
        <v>1.077</v>
      </c>
      <c r="V250" s="543">
        <v>1.073</v>
      </c>
      <c r="W250" s="543">
        <v>1.071</v>
      </c>
      <c r="X250" s="544">
        <v>0.9</v>
      </c>
      <c r="Y250" s="526">
        <v>1444.09</v>
      </c>
      <c r="Z250" s="531">
        <v>1704.0261999999998</v>
      </c>
      <c r="AA250" s="531">
        <v>1371.3498269558634</v>
      </c>
      <c r="AB250" s="532">
        <v>1618.1927958079186</v>
      </c>
      <c r="AC250" s="531">
        <v>1371.3498269558634</v>
      </c>
      <c r="AD250" s="532">
        <v>1618.1927958079186</v>
      </c>
      <c r="AE250" s="494" t="s">
        <v>1775</v>
      </c>
      <c r="AF250" s="534" t="s">
        <v>83</v>
      </c>
      <c r="AG250" s="534" t="s">
        <v>211</v>
      </c>
      <c r="AH250" s="534" t="s">
        <v>545</v>
      </c>
      <c r="AI250" s="533">
        <v>41656</v>
      </c>
      <c r="AJ250" s="533">
        <v>41691</v>
      </c>
      <c r="AK250" s="534" t="s">
        <v>96</v>
      </c>
      <c r="AL250" s="534" t="s">
        <v>96</v>
      </c>
      <c r="AM250" s="525" t="s">
        <v>6320</v>
      </c>
      <c r="AN250" s="525" t="s">
        <v>6370</v>
      </c>
      <c r="AO250" s="534">
        <v>796</v>
      </c>
      <c r="AP250" s="534" t="s">
        <v>368</v>
      </c>
      <c r="AQ250" s="534">
        <v>1</v>
      </c>
      <c r="AR250" s="534">
        <v>45</v>
      </c>
      <c r="AS250" s="525" t="s">
        <v>547</v>
      </c>
      <c r="AT250" s="533">
        <v>41711</v>
      </c>
      <c r="AU250" s="533">
        <v>41711</v>
      </c>
      <c r="AV250" s="760">
        <v>41912</v>
      </c>
      <c r="AW250" s="534">
        <v>2014</v>
      </c>
      <c r="AX250" s="525"/>
      <c r="AY250" s="534" t="s">
        <v>186</v>
      </c>
      <c r="AZ250" s="534"/>
      <c r="BA250" s="534">
        <v>2014</v>
      </c>
      <c r="BB250" s="534" t="s">
        <v>6407</v>
      </c>
      <c r="BC250" s="525" t="s">
        <v>6408</v>
      </c>
      <c r="BD250" s="534" t="s">
        <v>1818</v>
      </c>
      <c r="BE250" s="545">
        <v>41912</v>
      </c>
      <c r="BF250" s="546">
        <v>1927.0667555999999</v>
      </c>
      <c r="BG250" s="488">
        <v>1927.0667555999999</v>
      </c>
      <c r="BH250" s="532">
        <v>0</v>
      </c>
      <c r="BI250" s="532">
        <v>0.48</v>
      </c>
      <c r="BJ250" s="534" t="s">
        <v>5016</v>
      </c>
      <c r="BK250" s="523"/>
    </row>
    <row r="251" spans="1:63" ht="154.5" customHeight="1">
      <c r="A251" s="401">
        <v>1</v>
      </c>
      <c r="B251" s="494" t="s">
        <v>6409</v>
      </c>
      <c r="C251" s="401" t="s">
        <v>83</v>
      </c>
      <c r="D251" s="401" t="s">
        <v>242</v>
      </c>
      <c r="E251" s="401" t="s">
        <v>5853</v>
      </c>
      <c r="F251" s="401" t="s">
        <v>1752</v>
      </c>
      <c r="G251" s="401" t="s">
        <v>6141</v>
      </c>
      <c r="H251" s="499">
        <v>854459</v>
      </c>
      <c r="I251" s="486" t="s">
        <v>6410</v>
      </c>
      <c r="J251" s="487" t="s">
        <v>6319</v>
      </c>
      <c r="K251" s="487" t="s">
        <v>6319</v>
      </c>
      <c r="L251" s="500" t="s">
        <v>2513</v>
      </c>
      <c r="M251" s="500" t="s">
        <v>1755</v>
      </c>
      <c r="N251" s="487" t="s">
        <v>1773</v>
      </c>
      <c r="O251" s="487" t="s">
        <v>2234</v>
      </c>
      <c r="P251" s="578">
        <v>16864.37629</v>
      </c>
      <c r="Q251" s="578">
        <v>19899.964022199998</v>
      </c>
      <c r="R251" s="579">
        <v>14693.288932543164</v>
      </c>
      <c r="S251" s="494" t="s">
        <v>1774</v>
      </c>
      <c r="T251" s="490">
        <v>1.087</v>
      </c>
      <c r="U251" s="490">
        <v>1.077</v>
      </c>
      <c r="V251" s="490">
        <v>1.073</v>
      </c>
      <c r="W251" s="490">
        <v>1.071</v>
      </c>
      <c r="X251" s="491">
        <v>0.9</v>
      </c>
      <c r="Y251" s="502">
        <v>16611.41</v>
      </c>
      <c r="Z251" s="578">
        <v>19601.463799999998</v>
      </c>
      <c r="AA251" s="578">
        <v>17719.447</v>
      </c>
      <c r="AB251" s="488">
        <v>20908.947459999999</v>
      </c>
      <c r="AC251" s="492">
        <v>16611.41</v>
      </c>
      <c r="AD251" s="493">
        <v>19601.463799999998</v>
      </c>
      <c r="AE251" s="494" t="s">
        <v>1775</v>
      </c>
      <c r="AF251" s="494" t="s">
        <v>83</v>
      </c>
      <c r="AG251" s="494" t="s">
        <v>211</v>
      </c>
      <c r="AH251" s="401" t="s">
        <v>545</v>
      </c>
      <c r="AI251" s="495">
        <v>41656</v>
      </c>
      <c r="AJ251" s="495">
        <v>41691</v>
      </c>
      <c r="AK251" s="401" t="s">
        <v>96</v>
      </c>
      <c r="AL251" s="494" t="s">
        <v>96</v>
      </c>
      <c r="AM251" s="496" t="s">
        <v>6320</v>
      </c>
      <c r="AN251" s="496" t="s">
        <v>6370</v>
      </c>
      <c r="AO251" s="401">
        <v>796</v>
      </c>
      <c r="AP251" s="401" t="s">
        <v>368</v>
      </c>
      <c r="AQ251" s="401">
        <v>1</v>
      </c>
      <c r="AR251" s="401">
        <v>45</v>
      </c>
      <c r="AS251" s="496" t="s">
        <v>547</v>
      </c>
      <c r="AT251" s="495">
        <v>41711</v>
      </c>
      <c r="AU251" s="495">
        <v>41711</v>
      </c>
      <c r="AV251" s="583">
        <v>41912</v>
      </c>
      <c r="AW251" s="401">
        <v>2014</v>
      </c>
      <c r="AX251" s="496"/>
      <c r="AY251" s="401" t="s">
        <v>186</v>
      </c>
      <c r="AZ251" s="401"/>
      <c r="BA251" s="401">
        <v>2014</v>
      </c>
      <c r="BB251" s="494" t="s">
        <v>6411</v>
      </c>
      <c r="BC251" s="487" t="s">
        <v>6412</v>
      </c>
      <c r="BD251" s="494" t="s">
        <v>1818</v>
      </c>
      <c r="BE251" s="575">
        <v>41912</v>
      </c>
      <c r="BF251" s="498">
        <v>22529.220799999999</v>
      </c>
      <c r="BG251" s="488">
        <v>22529.220799999999</v>
      </c>
      <c r="BH251" s="488">
        <v>2</v>
      </c>
      <c r="BI251" s="488">
        <v>1.4</v>
      </c>
      <c r="BJ251" s="494" t="s">
        <v>5016</v>
      </c>
      <c r="BK251" s="401"/>
    </row>
    <row r="252" spans="1:63" ht="96.75" customHeight="1">
      <c r="A252" s="504">
        <v>1</v>
      </c>
      <c r="B252" s="570" t="s">
        <v>6413</v>
      </c>
      <c r="C252" s="504" t="s">
        <v>83</v>
      </c>
      <c r="D252" s="504" t="s">
        <v>242</v>
      </c>
      <c r="E252" s="570" t="s">
        <v>5853</v>
      </c>
      <c r="F252" s="504" t="s">
        <v>1752</v>
      </c>
      <c r="G252" s="504" t="s">
        <v>6141</v>
      </c>
      <c r="H252" s="517">
        <v>854506</v>
      </c>
      <c r="I252" s="506" t="s">
        <v>6414</v>
      </c>
      <c r="J252" s="506" t="s">
        <v>6319</v>
      </c>
      <c r="K252" s="506" t="s">
        <v>6319</v>
      </c>
      <c r="L252" s="506" t="s">
        <v>2513</v>
      </c>
      <c r="M252" s="571" t="s">
        <v>1755</v>
      </c>
      <c r="N252" s="506" t="s">
        <v>1773</v>
      </c>
      <c r="O252" s="506" t="s">
        <v>2234</v>
      </c>
      <c r="P252" s="512">
        <v>18710.659584364315</v>
      </c>
      <c r="Q252" s="512">
        <v>22078.578309549892</v>
      </c>
      <c r="R252" s="512">
        <v>16787.498277384613</v>
      </c>
      <c r="S252" s="504" t="s">
        <v>1774</v>
      </c>
      <c r="T252" s="572">
        <v>1.087</v>
      </c>
      <c r="U252" s="572">
        <v>1.077</v>
      </c>
      <c r="V252" s="572">
        <v>1.073</v>
      </c>
      <c r="W252" s="572">
        <v>1.071</v>
      </c>
      <c r="X252" s="511">
        <v>0.9</v>
      </c>
      <c r="Y252" s="507">
        <v>18296.225000000002</v>
      </c>
      <c r="Z252" s="512">
        <v>21589.5455</v>
      </c>
      <c r="AA252" s="512">
        <v>13920.500038414448</v>
      </c>
      <c r="AB252" s="513">
        <v>16426.190045329047</v>
      </c>
      <c r="AC252" s="512">
        <v>13920.500038414448</v>
      </c>
      <c r="AD252" s="513">
        <v>16426.190045329047</v>
      </c>
      <c r="AE252" s="494" t="s">
        <v>1775</v>
      </c>
      <c r="AF252" s="570" t="s">
        <v>83</v>
      </c>
      <c r="AG252" s="570" t="s">
        <v>211</v>
      </c>
      <c r="AH252" s="570" t="s">
        <v>545</v>
      </c>
      <c r="AI252" s="515">
        <v>41656</v>
      </c>
      <c r="AJ252" s="515">
        <v>41691</v>
      </c>
      <c r="AK252" s="570" t="s">
        <v>96</v>
      </c>
      <c r="AL252" s="570" t="s">
        <v>96</v>
      </c>
      <c r="AM252" s="506" t="s">
        <v>6320</v>
      </c>
      <c r="AN252" s="506" t="s">
        <v>6370</v>
      </c>
      <c r="AO252" s="570">
        <v>796</v>
      </c>
      <c r="AP252" s="570" t="s">
        <v>368</v>
      </c>
      <c r="AQ252" s="570">
        <v>1</v>
      </c>
      <c r="AR252" s="570">
        <v>45</v>
      </c>
      <c r="AS252" s="506" t="s">
        <v>547</v>
      </c>
      <c r="AT252" s="515">
        <v>41711</v>
      </c>
      <c r="AU252" s="515">
        <v>41711</v>
      </c>
      <c r="AV252" s="759">
        <v>41912</v>
      </c>
      <c r="AW252" s="570">
        <v>2014</v>
      </c>
      <c r="AX252" s="506"/>
      <c r="AY252" s="570" t="s">
        <v>186</v>
      </c>
      <c r="AZ252" s="570"/>
      <c r="BA252" s="570">
        <v>2014</v>
      </c>
      <c r="BB252" s="570" t="s">
        <v>2271</v>
      </c>
      <c r="BC252" s="506" t="s">
        <v>2271</v>
      </c>
      <c r="BD252" s="570" t="s">
        <v>2272</v>
      </c>
      <c r="BE252" s="573" t="s">
        <v>2272</v>
      </c>
      <c r="BF252" s="574" t="s">
        <v>2272</v>
      </c>
      <c r="BG252" s="488" t="s">
        <v>2272</v>
      </c>
      <c r="BH252" s="513" t="s">
        <v>2272</v>
      </c>
      <c r="BI252" s="513" t="s">
        <v>2272</v>
      </c>
      <c r="BJ252" s="570" t="s">
        <v>1465</v>
      </c>
      <c r="BK252" s="504"/>
    </row>
    <row r="253" spans="1:63" ht="106.5" customHeight="1">
      <c r="A253" s="523">
        <v>1</v>
      </c>
      <c r="B253" s="534" t="s">
        <v>6415</v>
      </c>
      <c r="C253" s="523" t="s">
        <v>7247</v>
      </c>
      <c r="D253" s="523" t="s">
        <v>242</v>
      </c>
      <c r="E253" s="534" t="s">
        <v>5853</v>
      </c>
      <c r="F253" s="523" t="s">
        <v>1752</v>
      </c>
      <c r="G253" s="523" t="s">
        <v>6141</v>
      </c>
      <c r="H253" s="524" t="s">
        <v>6160</v>
      </c>
      <c r="I253" s="525" t="s">
        <v>6416</v>
      </c>
      <c r="J253" s="525" t="s">
        <v>6319</v>
      </c>
      <c r="K253" s="525" t="s">
        <v>6319</v>
      </c>
      <c r="L253" s="525" t="s">
        <v>2513</v>
      </c>
      <c r="M253" s="541" t="s">
        <v>1755</v>
      </c>
      <c r="N253" s="525" t="s">
        <v>1773</v>
      </c>
      <c r="O253" s="525" t="s">
        <v>2234</v>
      </c>
      <c r="P253" s="531">
        <v>1603.3071299999999</v>
      </c>
      <c r="Q253" s="531">
        <v>1891.9024133999999</v>
      </c>
      <c r="R253" s="531">
        <v>1449.0416686789322</v>
      </c>
      <c r="S253" s="523" t="s">
        <v>1774</v>
      </c>
      <c r="T253" s="542">
        <v>1.087</v>
      </c>
      <c r="U253" s="543">
        <v>1.077</v>
      </c>
      <c r="V253" s="543">
        <v>1.073</v>
      </c>
      <c r="W253" s="543">
        <v>1.071</v>
      </c>
      <c r="X253" s="544">
        <v>0.9</v>
      </c>
      <c r="Y253" s="526">
        <v>1579.27</v>
      </c>
      <c r="Z253" s="531">
        <v>1863.5385999999999</v>
      </c>
      <c r="AA253" s="531">
        <v>1201.5718048759666</v>
      </c>
      <c r="AB253" s="532">
        <v>1417.8547297536404</v>
      </c>
      <c r="AC253" s="531">
        <v>1201.5718048759666</v>
      </c>
      <c r="AD253" s="532">
        <v>1417.8547297536404</v>
      </c>
      <c r="AE253" s="494" t="s">
        <v>1775</v>
      </c>
      <c r="AF253" s="534" t="s">
        <v>83</v>
      </c>
      <c r="AG253" s="534" t="s">
        <v>211</v>
      </c>
      <c r="AH253" s="534" t="s">
        <v>545</v>
      </c>
      <c r="AI253" s="533">
        <v>41656</v>
      </c>
      <c r="AJ253" s="533">
        <v>41691</v>
      </c>
      <c r="AK253" s="534" t="s">
        <v>96</v>
      </c>
      <c r="AL253" s="534" t="s">
        <v>96</v>
      </c>
      <c r="AM253" s="525" t="s">
        <v>6320</v>
      </c>
      <c r="AN253" s="525" t="s">
        <v>6370</v>
      </c>
      <c r="AO253" s="534">
        <v>796</v>
      </c>
      <c r="AP253" s="534" t="s">
        <v>368</v>
      </c>
      <c r="AQ253" s="534">
        <v>1</v>
      </c>
      <c r="AR253" s="534">
        <v>45</v>
      </c>
      <c r="AS253" s="525" t="s">
        <v>547</v>
      </c>
      <c r="AT253" s="533">
        <v>41711</v>
      </c>
      <c r="AU253" s="533">
        <v>41711</v>
      </c>
      <c r="AV253" s="760">
        <v>41912</v>
      </c>
      <c r="AW253" s="534">
        <v>2014</v>
      </c>
      <c r="AX253" s="525"/>
      <c r="AY253" s="534" t="s">
        <v>186</v>
      </c>
      <c r="AZ253" s="534"/>
      <c r="BA253" s="534">
        <v>2014</v>
      </c>
      <c r="BB253" s="534" t="s">
        <v>6417</v>
      </c>
      <c r="BC253" s="525" t="s">
        <v>6418</v>
      </c>
      <c r="BD253" s="534" t="s">
        <v>1818</v>
      </c>
      <c r="BE253" s="545">
        <v>41912</v>
      </c>
      <c r="BF253" s="546">
        <v>2105.7483146</v>
      </c>
      <c r="BG253" s="488">
        <v>2105.7483146</v>
      </c>
      <c r="BH253" s="532">
        <v>0</v>
      </c>
      <c r="BI253" s="532">
        <v>0.5</v>
      </c>
      <c r="BJ253" s="534" t="s">
        <v>5016</v>
      </c>
      <c r="BK253" s="523"/>
    </row>
    <row r="254" spans="1:63" ht="129.75" customHeight="1">
      <c r="A254" s="523">
        <v>1</v>
      </c>
      <c r="B254" s="534" t="s">
        <v>6419</v>
      </c>
      <c r="C254" s="523" t="s">
        <v>7247</v>
      </c>
      <c r="D254" s="523" t="s">
        <v>242</v>
      </c>
      <c r="E254" s="534" t="s">
        <v>5853</v>
      </c>
      <c r="F254" s="523" t="s">
        <v>1752</v>
      </c>
      <c r="G254" s="523" t="s">
        <v>6141</v>
      </c>
      <c r="H254" s="524" t="s">
        <v>6160</v>
      </c>
      <c r="I254" s="525" t="s">
        <v>6420</v>
      </c>
      <c r="J254" s="525" t="s">
        <v>6319</v>
      </c>
      <c r="K254" s="525" t="s">
        <v>6319</v>
      </c>
      <c r="L254" s="525" t="s">
        <v>2513</v>
      </c>
      <c r="M254" s="541" t="s">
        <v>1755</v>
      </c>
      <c r="N254" s="525" t="s">
        <v>1773</v>
      </c>
      <c r="O254" s="525" t="s">
        <v>2234</v>
      </c>
      <c r="P254" s="531">
        <v>17107.352454364314</v>
      </c>
      <c r="Q254" s="531">
        <v>20186.675896149889</v>
      </c>
      <c r="R254" s="531">
        <v>15338.456608705681</v>
      </c>
      <c r="S254" s="523" t="s">
        <v>1774</v>
      </c>
      <c r="T254" s="542">
        <v>1.087</v>
      </c>
      <c r="U254" s="543">
        <v>1.077</v>
      </c>
      <c r="V254" s="543">
        <v>1.073</v>
      </c>
      <c r="W254" s="543">
        <v>1.071</v>
      </c>
      <c r="X254" s="544">
        <v>0.9</v>
      </c>
      <c r="Y254" s="526">
        <v>16716.955000000002</v>
      </c>
      <c r="Z254" s="531">
        <v>19726.0069</v>
      </c>
      <c r="AA254" s="531">
        <v>12718.928233538481</v>
      </c>
      <c r="AB254" s="532">
        <v>15008.335315575407</v>
      </c>
      <c r="AC254" s="531">
        <v>12718.928233538481</v>
      </c>
      <c r="AD254" s="532">
        <v>15008.335315575407</v>
      </c>
      <c r="AE254" s="494" t="s">
        <v>1775</v>
      </c>
      <c r="AF254" s="534" t="s">
        <v>83</v>
      </c>
      <c r="AG254" s="534" t="s">
        <v>211</v>
      </c>
      <c r="AH254" s="534" t="s">
        <v>545</v>
      </c>
      <c r="AI254" s="533">
        <v>41656</v>
      </c>
      <c r="AJ254" s="533">
        <v>41691</v>
      </c>
      <c r="AK254" s="534" t="s">
        <v>96</v>
      </c>
      <c r="AL254" s="534" t="s">
        <v>96</v>
      </c>
      <c r="AM254" s="525" t="s">
        <v>6320</v>
      </c>
      <c r="AN254" s="525" t="s">
        <v>6370</v>
      </c>
      <c r="AO254" s="534">
        <v>796</v>
      </c>
      <c r="AP254" s="534" t="s">
        <v>368</v>
      </c>
      <c r="AQ254" s="534">
        <v>1</v>
      </c>
      <c r="AR254" s="534">
        <v>45</v>
      </c>
      <c r="AS254" s="525" t="s">
        <v>547</v>
      </c>
      <c r="AT254" s="533">
        <v>41711</v>
      </c>
      <c r="AU254" s="533">
        <v>41711</v>
      </c>
      <c r="AV254" s="760">
        <v>41912</v>
      </c>
      <c r="AW254" s="534">
        <v>2014</v>
      </c>
      <c r="AX254" s="525"/>
      <c r="AY254" s="534" t="s">
        <v>186</v>
      </c>
      <c r="AZ254" s="534"/>
      <c r="BA254" s="534">
        <v>2014</v>
      </c>
      <c r="BB254" s="534" t="s">
        <v>6421</v>
      </c>
      <c r="BC254" s="525" t="s">
        <v>6422</v>
      </c>
      <c r="BD254" s="534" t="s">
        <v>1818</v>
      </c>
      <c r="BE254" s="545">
        <v>41912</v>
      </c>
      <c r="BF254" s="546">
        <v>24982.740048</v>
      </c>
      <c r="BG254" s="488">
        <v>24982.740048</v>
      </c>
      <c r="BH254" s="532">
        <v>1.26</v>
      </c>
      <c r="BI254" s="532">
        <v>2.4</v>
      </c>
      <c r="BJ254" s="534" t="s">
        <v>5016</v>
      </c>
      <c r="BK254" s="523"/>
    </row>
    <row r="255" spans="1:63" ht="96.75" customHeight="1">
      <c r="A255" s="504">
        <v>1</v>
      </c>
      <c r="B255" s="570" t="s">
        <v>6423</v>
      </c>
      <c r="C255" s="504" t="s">
        <v>83</v>
      </c>
      <c r="D255" s="504" t="s">
        <v>242</v>
      </c>
      <c r="E255" s="570" t="s">
        <v>5853</v>
      </c>
      <c r="F255" s="504" t="s">
        <v>1752</v>
      </c>
      <c r="G255" s="504" t="s">
        <v>6141</v>
      </c>
      <c r="H255" s="517">
        <v>854572</v>
      </c>
      <c r="I255" s="506" t="s">
        <v>6424</v>
      </c>
      <c r="J255" s="506" t="s">
        <v>5598</v>
      </c>
      <c r="K255" s="506" t="s">
        <v>5598</v>
      </c>
      <c r="L255" s="506" t="s">
        <v>2513</v>
      </c>
      <c r="M255" s="571" t="s">
        <v>1755</v>
      </c>
      <c r="N255" s="506" t="s">
        <v>1773</v>
      </c>
      <c r="O255" s="506" t="s">
        <v>2234</v>
      </c>
      <c r="P255" s="512">
        <v>4289.14329</v>
      </c>
      <c r="Q255" s="512">
        <v>5061.1890821999996</v>
      </c>
      <c r="R255" s="512">
        <v>3876.4183716747311</v>
      </c>
      <c r="S255" s="504" t="s">
        <v>1774</v>
      </c>
      <c r="T255" s="572">
        <v>1.087</v>
      </c>
      <c r="U255" s="572">
        <v>1.077</v>
      </c>
      <c r="V255" s="572">
        <v>1.073</v>
      </c>
      <c r="W255" s="572">
        <v>1.071</v>
      </c>
      <c r="X255" s="511">
        <v>0.9</v>
      </c>
      <c r="Y255" s="507">
        <v>4224.8</v>
      </c>
      <c r="Z255" s="512">
        <v>4985.2640000000001</v>
      </c>
      <c r="AA255" s="512">
        <v>3214.3968803561038</v>
      </c>
      <c r="AB255" s="513">
        <v>3792.9883188202029</v>
      </c>
      <c r="AC255" s="512">
        <v>3214.3968803561038</v>
      </c>
      <c r="AD255" s="513">
        <v>3792.9883188202025</v>
      </c>
      <c r="AE255" s="494" t="s">
        <v>1775</v>
      </c>
      <c r="AF255" s="570" t="s">
        <v>83</v>
      </c>
      <c r="AG255" s="570" t="s">
        <v>211</v>
      </c>
      <c r="AH255" s="570" t="s">
        <v>545</v>
      </c>
      <c r="AI255" s="515">
        <v>41656</v>
      </c>
      <c r="AJ255" s="515">
        <v>41691</v>
      </c>
      <c r="AK255" s="570" t="s">
        <v>96</v>
      </c>
      <c r="AL255" s="570" t="s">
        <v>96</v>
      </c>
      <c r="AM255" s="506" t="s">
        <v>5599</v>
      </c>
      <c r="AN255" s="506" t="s">
        <v>6370</v>
      </c>
      <c r="AO255" s="570">
        <v>796</v>
      </c>
      <c r="AP255" s="570" t="s">
        <v>368</v>
      </c>
      <c r="AQ255" s="570">
        <v>1</v>
      </c>
      <c r="AR255" s="570">
        <v>45</v>
      </c>
      <c r="AS255" s="506" t="s">
        <v>547</v>
      </c>
      <c r="AT255" s="515">
        <v>41711</v>
      </c>
      <c r="AU255" s="515">
        <v>41711</v>
      </c>
      <c r="AV255" s="759">
        <v>41912</v>
      </c>
      <c r="AW255" s="570">
        <v>2014</v>
      </c>
      <c r="AX255" s="506"/>
      <c r="AY255" s="570" t="s">
        <v>186</v>
      </c>
      <c r="AZ255" s="570"/>
      <c r="BA255" s="570">
        <v>2014</v>
      </c>
      <c r="BB255" s="570" t="s">
        <v>2271</v>
      </c>
      <c r="BC255" s="506" t="s">
        <v>2271</v>
      </c>
      <c r="BD255" s="570" t="s">
        <v>2272</v>
      </c>
      <c r="BE255" s="573" t="s">
        <v>2272</v>
      </c>
      <c r="BF255" s="574" t="s">
        <v>2272</v>
      </c>
      <c r="BG255" s="488" t="s">
        <v>2272</v>
      </c>
      <c r="BH255" s="513" t="s">
        <v>2272</v>
      </c>
      <c r="BI255" s="513" t="s">
        <v>2272</v>
      </c>
      <c r="BJ255" s="570" t="s">
        <v>1465</v>
      </c>
      <c r="BK255" s="504"/>
    </row>
    <row r="256" spans="1:63" ht="106.5" customHeight="1">
      <c r="A256" s="523">
        <v>1</v>
      </c>
      <c r="B256" s="534" t="s">
        <v>6425</v>
      </c>
      <c r="C256" s="523" t="s">
        <v>7247</v>
      </c>
      <c r="D256" s="523" t="s">
        <v>242</v>
      </c>
      <c r="E256" s="534" t="s">
        <v>5853</v>
      </c>
      <c r="F256" s="523" t="s">
        <v>1752</v>
      </c>
      <c r="G256" s="523" t="s">
        <v>6141</v>
      </c>
      <c r="H256" s="524" t="s">
        <v>6160</v>
      </c>
      <c r="I256" s="525" t="s">
        <v>6426</v>
      </c>
      <c r="J256" s="525" t="s">
        <v>5598</v>
      </c>
      <c r="K256" s="525" t="s">
        <v>5598</v>
      </c>
      <c r="L256" s="525" t="s">
        <v>2513</v>
      </c>
      <c r="M256" s="541" t="s">
        <v>1755</v>
      </c>
      <c r="N256" s="525" t="s">
        <v>1773</v>
      </c>
      <c r="O256" s="525" t="s">
        <v>2234</v>
      </c>
      <c r="P256" s="531">
        <v>2365.1707299999998</v>
      </c>
      <c r="Q256" s="531">
        <v>2790.9014613999998</v>
      </c>
      <c r="R256" s="531">
        <v>2137.5812148047021</v>
      </c>
      <c r="S256" s="523" t="s">
        <v>1774</v>
      </c>
      <c r="T256" s="542">
        <v>1.087</v>
      </c>
      <c r="U256" s="543">
        <v>1.077</v>
      </c>
      <c r="V256" s="543">
        <v>1.073</v>
      </c>
      <c r="W256" s="543">
        <v>1.071</v>
      </c>
      <c r="X256" s="544">
        <v>0.9</v>
      </c>
      <c r="Y256" s="526">
        <v>2329.69</v>
      </c>
      <c r="Z256" s="531">
        <v>2749.0342000000001</v>
      </c>
      <c r="AA256" s="531">
        <v>1772.5213662651042</v>
      </c>
      <c r="AB256" s="532">
        <v>2091.5752121928231</v>
      </c>
      <c r="AC256" s="531">
        <v>1772.5213662651042</v>
      </c>
      <c r="AD256" s="532">
        <v>2091.5752121928231</v>
      </c>
      <c r="AE256" s="494" t="s">
        <v>1775</v>
      </c>
      <c r="AF256" s="534" t="s">
        <v>83</v>
      </c>
      <c r="AG256" s="534" t="s">
        <v>211</v>
      </c>
      <c r="AH256" s="534" t="s">
        <v>545</v>
      </c>
      <c r="AI256" s="533">
        <v>41656</v>
      </c>
      <c r="AJ256" s="533">
        <v>41691</v>
      </c>
      <c r="AK256" s="534" t="s">
        <v>96</v>
      </c>
      <c r="AL256" s="534" t="s">
        <v>96</v>
      </c>
      <c r="AM256" s="525" t="s">
        <v>6320</v>
      </c>
      <c r="AN256" s="525" t="s">
        <v>6370</v>
      </c>
      <c r="AO256" s="534">
        <v>796</v>
      </c>
      <c r="AP256" s="534" t="s">
        <v>368</v>
      </c>
      <c r="AQ256" s="534">
        <v>1</v>
      </c>
      <c r="AR256" s="534">
        <v>45</v>
      </c>
      <c r="AS256" s="525" t="s">
        <v>547</v>
      </c>
      <c r="AT256" s="533">
        <v>41711</v>
      </c>
      <c r="AU256" s="533">
        <v>41711</v>
      </c>
      <c r="AV256" s="760">
        <v>41912</v>
      </c>
      <c r="AW256" s="534">
        <v>2014</v>
      </c>
      <c r="AX256" s="525"/>
      <c r="AY256" s="534" t="s">
        <v>186</v>
      </c>
      <c r="AZ256" s="534"/>
      <c r="BA256" s="534">
        <v>2014</v>
      </c>
      <c r="BB256" s="534" t="s">
        <v>6427</v>
      </c>
      <c r="BC256" s="525" t="s">
        <v>6428</v>
      </c>
      <c r="BD256" s="534" t="s">
        <v>1818</v>
      </c>
      <c r="BE256" s="545">
        <v>41912</v>
      </c>
      <c r="BF256" s="546">
        <v>3099.2045453999999</v>
      </c>
      <c r="BG256" s="488">
        <v>3099.2045453999999</v>
      </c>
      <c r="BH256" s="532">
        <v>0</v>
      </c>
      <c r="BI256" s="532">
        <v>0.44</v>
      </c>
      <c r="BJ256" s="534" t="s">
        <v>5016</v>
      </c>
      <c r="BK256" s="523"/>
    </row>
    <row r="257" spans="1:63" ht="129.75" customHeight="1">
      <c r="A257" s="523">
        <v>1</v>
      </c>
      <c r="B257" s="534" t="s">
        <v>6429</v>
      </c>
      <c r="C257" s="523" t="s">
        <v>7247</v>
      </c>
      <c r="D257" s="523" t="s">
        <v>242</v>
      </c>
      <c r="E257" s="534" t="s">
        <v>5853</v>
      </c>
      <c r="F257" s="523" t="s">
        <v>1752</v>
      </c>
      <c r="G257" s="523" t="s">
        <v>6141</v>
      </c>
      <c r="H257" s="524" t="s">
        <v>6160</v>
      </c>
      <c r="I257" s="525" t="s">
        <v>6430</v>
      </c>
      <c r="J257" s="525" t="s">
        <v>5598</v>
      </c>
      <c r="K257" s="525" t="s">
        <v>5598</v>
      </c>
      <c r="L257" s="525" t="s">
        <v>2513</v>
      </c>
      <c r="M257" s="541" t="s">
        <v>1755</v>
      </c>
      <c r="N257" s="525" t="s">
        <v>1773</v>
      </c>
      <c r="O257" s="525" t="s">
        <v>2234</v>
      </c>
      <c r="P257" s="531">
        <v>1923.9725599999999</v>
      </c>
      <c r="Q257" s="531">
        <v>2270.2876207999998</v>
      </c>
      <c r="R257" s="531">
        <v>1738.8371568700293</v>
      </c>
      <c r="S257" s="523" t="s">
        <v>1774</v>
      </c>
      <c r="T257" s="542">
        <v>1.087</v>
      </c>
      <c r="U257" s="543">
        <v>1.077</v>
      </c>
      <c r="V257" s="543">
        <v>1.073</v>
      </c>
      <c r="W257" s="543">
        <v>1.071</v>
      </c>
      <c r="X257" s="544">
        <v>0.9</v>
      </c>
      <c r="Y257" s="526">
        <v>1895.11</v>
      </c>
      <c r="Z257" s="531">
        <v>2236.2297999999996</v>
      </c>
      <c r="AA257" s="531">
        <v>1441.8755140909998</v>
      </c>
      <c r="AB257" s="532">
        <v>1701.4131066273796</v>
      </c>
      <c r="AC257" s="531">
        <v>1441.8755140909998</v>
      </c>
      <c r="AD257" s="532">
        <v>1701.4131066273796</v>
      </c>
      <c r="AE257" s="494" t="s">
        <v>1775</v>
      </c>
      <c r="AF257" s="534" t="s">
        <v>83</v>
      </c>
      <c r="AG257" s="534" t="s">
        <v>211</v>
      </c>
      <c r="AH257" s="534" t="s">
        <v>545</v>
      </c>
      <c r="AI257" s="533">
        <v>41656</v>
      </c>
      <c r="AJ257" s="533">
        <v>41691</v>
      </c>
      <c r="AK257" s="534" t="s">
        <v>96</v>
      </c>
      <c r="AL257" s="534" t="s">
        <v>96</v>
      </c>
      <c r="AM257" s="525" t="s">
        <v>6320</v>
      </c>
      <c r="AN257" s="525" t="s">
        <v>6370</v>
      </c>
      <c r="AO257" s="534">
        <v>796</v>
      </c>
      <c r="AP257" s="534" t="s">
        <v>368</v>
      </c>
      <c r="AQ257" s="534">
        <v>1</v>
      </c>
      <c r="AR257" s="534">
        <v>45</v>
      </c>
      <c r="AS257" s="525" t="s">
        <v>547</v>
      </c>
      <c r="AT257" s="533">
        <v>41711</v>
      </c>
      <c r="AU257" s="533">
        <v>41711</v>
      </c>
      <c r="AV257" s="760">
        <v>41912</v>
      </c>
      <c r="AW257" s="534">
        <v>2014</v>
      </c>
      <c r="AX257" s="525"/>
      <c r="AY257" s="534" t="s">
        <v>186</v>
      </c>
      <c r="AZ257" s="534"/>
      <c r="BA257" s="534">
        <v>2014</v>
      </c>
      <c r="BB257" s="534" t="s">
        <v>6431</v>
      </c>
      <c r="BC257" s="525" t="s">
        <v>6432</v>
      </c>
      <c r="BD257" s="534" t="s">
        <v>1818</v>
      </c>
      <c r="BE257" s="545">
        <v>41912</v>
      </c>
      <c r="BF257" s="546">
        <v>2526.8979846000002</v>
      </c>
      <c r="BG257" s="488">
        <v>2526.8979846000002</v>
      </c>
      <c r="BH257" s="532">
        <v>0</v>
      </c>
      <c r="BI257" s="532">
        <v>0.6</v>
      </c>
      <c r="BJ257" s="534" t="s">
        <v>5016</v>
      </c>
      <c r="BK257" s="523"/>
    </row>
    <row r="258" spans="1:63" ht="154.5" customHeight="1">
      <c r="A258" s="401">
        <v>1</v>
      </c>
      <c r="B258" s="494" t="s">
        <v>6433</v>
      </c>
      <c r="C258" s="401" t="s">
        <v>83</v>
      </c>
      <c r="D258" s="401" t="s">
        <v>242</v>
      </c>
      <c r="E258" s="401" t="s">
        <v>5853</v>
      </c>
      <c r="F258" s="401" t="s">
        <v>1752</v>
      </c>
      <c r="G258" s="401" t="s">
        <v>6141</v>
      </c>
      <c r="H258" s="499">
        <v>854479</v>
      </c>
      <c r="I258" s="486" t="s">
        <v>6434</v>
      </c>
      <c r="J258" s="487" t="s">
        <v>5598</v>
      </c>
      <c r="K258" s="487" t="s">
        <v>5598</v>
      </c>
      <c r="L258" s="500" t="s">
        <v>2513</v>
      </c>
      <c r="M258" s="500" t="s">
        <v>1755</v>
      </c>
      <c r="N258" s="487" t="s">
        <v>1773</v>
      </c>
      <c r="O258" s="487" t="s">
        <v>2234</v>
      </c>
      <c r="P258" s="578">
        <v>1153.74791</v>
      </c>
      <c r="Q258" s="578">
        <v>1361.4225337999999</v>
      </c>
      <c r="R258" s="579">
        <v>1005.2151668340831</v>
      </c>
      <c r="S258" s="494" t="s">
        <v>1774</v>
      </c>
      <c r="T258" s="490">
        <v>1.087</v>
      </c>
      <c r="U258" s="490">
        <v>1.077</v>
      </c>
      <c r="V258" s="490">
        <v>1.073</v>
      </c>
      <c r="W258" s="490">
        <v>1.071</v>
      </c>
      <c r="X258" s="491">
        <v>0.9</v>
      </c>
      <c r="Y258" s="502">
        <v>1136.44</v>
      </c>
      <c r="Z258" s="578">
        <v>1340.9992</v>
      </c>
      <c r="AA258" s="578">
        <v>1197.7950000000001</v>
      </c>
      <c r="AB258" s="488">
        <v>1413.3981000000001</v>
      </c>
      <c r="AC258" s="492">
        <v>1136.44</v>
      </c>
      <c r="AD258" s="493">
        <v>1340.9992</v>
      </c>
      <c r="AE258" s="494" t="s">
        <v>1775</v>
      </c>
      <c r="AF258" s="494" t="s">
        <v>83</v>
      </c>
      <c r="AG258" s="494" t="s">
        <v>211</v>
      </c>
      <c r="AH258" s="401" t="s">
        <v>545</v>
      </c>
      <c r="AI258" s="495">
        <v>41656</v>
      </c>
      <c r="AJ258" s="495">
        <v>41691</v>
      </c>
      <c r="AK258" s="401" t="s">
        <v>96</v>
      </c>
      <c r="AL258" s="494" t="s">
        <v>96</v>
      </c>
      <c r="AM258" s="496" t="s">
        <v>5599</v>
      </c>
      <c r="AN258" s="496" t="s">
        <v>6370</v>
      </c>
      <c r="AO258" s="401">
        <v>796</v>
      </c>
      <c r="AP258" s="401" t="s">
        <v>368</v>
      </c>
      <c r="AQ258" s="401">
        <v>1</v>
      </c>
      <c r="AR258" s="401">
        <v>45</v>
      </c>
      <c r="AS258" s="496" t="s">
        <v>547</v>
      </c>
      <c r="AT258" s="495">
        <v>41711</v>
      </c>
      <c r="AU258" s="495">
        <v>41711</v>
      </c>
      <c r="AV258" s="583">
        <v>41912</v>
      </c>
      <c r="AW258" s="401">
        <v>2014</v>
      </c>
      <c r="AX258" s="496"/>
      <c r="AY258" s="401" t="s">
        <v>186</v>
      </c>
      <c r="AZ258" s="401"/>
      <c r="BA258" s="401">
        <v>2014</v>
      </c>
      <c r="BB258" s="494" t="s">
        <v>6435</v>
      </c>
      <c r="BC258" s="487" t="s">
        <v>6436</v>
      </c>
      <c r="BD258" s="494" t="s">
        <v>1818</v>
      </c>
      <c r="BE258" s="575">
        <v>41912</v>
      </c>
      <c r="BF258" s="498">
        <v>1511.7205261999998</v>
      </c>
      <c r="BG258" s="488">
        <v>1511.7205261999998</v>
      </c>
      <c r="BH258" s="488">
        <v>0</v>
      </c>
      <c r="BI258" s="488">
        <v>0.5</v>
      </c>
      <c r="BJ258" s="494" t="s">
        <v>5016</v>
      </c>
      <c r="BK258" s="401"/>
    </row>
    <row r="259" spans="1:63" ht="154.5" customHeight="1">
      <c r="A259" s="401">
        <v>1</v>
      </c>
      <c r="B259" s="494" t="s">
        <v>6437</v>
      </c>
      <c r="C259" s="401" t="s">
        <v>83</v>
      </c>
      <c r="D259" s="401" t="s">
        <v>242</v>
      </c>
      <c r="E259" s="401" t="s">
        <v>5853</v>
      </c>
      <c r="F259" s="401" t="s">
        <v>1752</v>
      </c>
      <c r="G259" s="401" t="s">
        <v>6141</v>
      </c>
      <c r="H259" s="499">
        <v>854084</v>
      </c>
      <c r="I259" s="486" t="s">
        <v>6438</v>
      </c>
      <c r="J259" s="487" t="s">
        <v>6319</v>
      </c>
      <c r="K259" s="487" t="s">
        <v>6319</v>
      </c>
      <c r="L259" s="500" t="s">
        <v>2513</v>
      </c>
      <c r="M259" s="500" t="s">
        <v>1755</v>
      </c>
      <c r="N259" s="487" t="s">
        <v>1773</v>
      </c>
      <c r="O259" s="487" t="s">
        <v>2234</v>
      </c>
      <c r="P259" s="578">
        <v>24823.633307299999</v>
      </c>
      <c r="Q259" s="578">
        <v>29291.887302613995</v>
      </c>
      <c r="R259" s="579">
        <v>20263.129526675617</v>
      </c>
      <c r="S259" s="494" t="s">
        <v>1774</v>
      </c>
      <c r="T259" s="490">
        <v>1.087</v>
      </c>
      <c r="U259" s="490">
        <v>1.077</v>
      </c>
      <c r="V259" s="490">
        <v>1.073</v>
      </c>
      <c r="W259" s="490">
        <v>1.071</v>
      </c>
      <c r="X259" s="491">
        <v>0.9</v>
      </c>
      <c r="Y259" s="502">
        <v>22908.36</v>
      </c>
      <c r="Z259" s="578">
        <v>27031.864799999999</v>
      </c>
      <c r="AA259" s="578">
        <v>21734.918444642029</v>
      </c>
      <c r="AB259" s="488">
        <v>25647.203764677593</v>
      </c>
      <c r="AC259" s="492">
        <v>21734.918444642029</v>
      </c>
      <c r="AD259" s="493">
        <v>25647.203764677593</v>
      </c>
      <c r="AE259" s="494" t="s">
        <v>1775</v>
      </c>
      <c r="AF259" s="494" t="s">
        <v>83</v>
      </c>
      <c r="AG259" s="494" t="s">
        <v>211</v>
      </c>
      <c r="AH259" s="401" t="s">
        <v>545</v>
      </c>
      <c r="AI259" s="495">
        <v>41656</v>
      </c>
      <c r="AJ259" s="495">
        <v>41691</v>
      </c>
      <c r="AK259" s="401" t="s">
        <v>96</v>
      </c>
      <c r="AL259" s="494" t="s">
        <v>96</v>
      </c>
      <c r="AM259" s="496" t="s">
        <v>6320</v>
      </c>
      <c r="AN259" s="496" t="s">
        <v>6370</v>
      </c>
      <c r="AO259" s="401">
        <v>796</v>
      </c>
      <c r="AP259" s="401" t="s">
        <v>368</v>
      </c>
      <c r="AQ259" s="401">
        <v>1</v>
      </c>
      <c r="AR259" s="401">
        <v>45</v>
      </c>
      <c r="AS259" s="496" t="s">
        <v>547</v>
      </c>
      <c r="AT259" s="495">
        <v>41711</v>
      </c>
      <c r="AU259" s="495">
        <v>41711</v>
      </c>
      <c r="AV259" s="583">
        <v>41912</v>
      </c>
      <c r="AW259" s="401">
        <v>2014</v>
      </c>
      <c r="AX259" s="496"/>
      <c r="AY259" s="401" t="s">
        <v>186</v>
      </c>
      <c r="AZ259" s="401"/>
      <c r="BA259" s="401">
        <v>2014</v>
      </c>
      <c r="BB259" s="494" t="s">
        <v>6439</v>
      </c>
      <c r="BC259" s="487" t="s">
        <v>6440</v>
      </c>
      <c r="BD259" s="494" t="s">
        <v>1818</v>
      </c>
      <c r="BE259" s="575">
        <v>41912</v>
      </c>
      <c r="BF259" s="498">
        <v>30447.644052399995</v>
      </c>
      <c r="BG259" s="488">
        <v>30447.644052399995</v>
      </c>
      <c r="BH259" s="488">
        <v>0</v>
      </c>
      <c r="BI259" s="488">
        <v>2.7010000000000001</v>
      </c>
      <c r="BJ259" s="494" t="s">
        <v>5016</v>
      </c>
      <c r="BK259" s="401"/>
    </row>
    <row r="260" spans="1:63" ht="154.5" customHeight="1">
      <c r="A260" s="401">
        <v>1</v>
      </c>
      <c r="B260" s="494" t="s">
        <v>6441</v>
      </c>
      <c r="C260" s="401" t="s">
        <v>83</v>
      </c>
      <c r="D260" s="401" t="s">
        <v>242</v>
      </c>
      <c r="E260" s="401" t="s">
        <v>5853</v>
      </c>
      <c r="F260" s="401" t="s">
        <v>1752</v>
      </c>
      <c r="G260" s="401" t="s">
        <v>6141</v>
      </c>
      <c r="H260" s="499">
        <v>854383</v>
      </c>
      <c r="I260" s="486" t="s">
        <v>6442</v>
      </c>
      <c r="J260" s="487" t="s">
        <v>6319</v>
      </c>
      <c r="K260" s="487" t="s">
        <v>6319</v>
      </c>
      <c r="L260" s="500" t="s">
        <v>2513</v>
      </c>
      <c r="M260" s="500" t="s">
        <v>1755</v>
      </c>
      <c r="N260" s="487" t="s">
        <v>1773</v>
      </c>
      <c r="O260" s="487" t="s">
        <v>2234</v>
      </c>
      <c r="P260" s="578">
        <v>24887.490670000003</v>
      </c>
      <c r="Q260" s="578">
        <v>29367.238990600003</v>
      </c>
      <c r="R260" s="579">
        <v>19386.452476780389</v>
      </c>
      <c r="S260" s="494" t="s">
        <v>1774</v>
      </c>
      <c r="T260" s="490">
        <v>1.087</v>
      </c>
      <c r="U260" s="490">
        <v>1.077</v>
      </c>
      <c r="V260" s="490">
        <v>1.073</v>
      </c>
      <c r="W260" s="490">
        <v>1.071</v>
      </c>
      <c r="X260" s="491">
        <v>0.9</v>
      </c>
      <c r="Y260" s="502">
        <v>21917.238000000001</v>
      </c>
      <c r="Z260" s="578">
        <v>25862.340840000001</v>
      </c>
      <c r="AA260" s="578">
        <v>20794.564973739245</v>
      </c>
      <c r="AB260" s="488">
        <v>24537.586669012308</v>
      </c>
      <c r="AC260" s="492">
        <v>20794.564973739245</v>
      </c>
      <c r="AD260" s="493">
        <v>24537.586669012308</v>
      </c>
      <c r="AE260" s="494" t="s">
        <v>1775</v>
      </c>
      <c r="AF260" s="494" t="s">
        <v>83</v>
      </c>
      <c r="AG260" s="494" t="s">
        <v>211</v>
      </c>
      <c r="AH260" s="401" t="s">
        <v>545</v>
      </c>
      <c r="AI260" s="495">
        <v>41656</v>
      </c>
      <c r="AJ260" s="495">
        <v>41691</v>
      </c>
      <c r="AK260" s="401" t="s">
        <v>96</v>
      </c>
      <c r="AL260" s="494" t="s">
        <v>96</v>
      </c>
      <c r="AM260" s="496" t="s">
        <v>6320</v>
      </c>
      <c r="AN260" s="496" t="s">
        <v>6370</v>
      </c>
      <c r="AO260" s="401">
        <v>796</v>
      </c>
      <c r="AP260" s="401" t="s">
        <v>368</v>
      </c>
      <c r="AQ260" s="401">
        <v>1</v>
      </c>
      <c r="AR260" s="401">
        <v>45</v>
      </c>
      <c r="AS260" s="496" t="s">
        <v>547</v>
      </c>
      <c r="AT260" s="495">
        <v>41711</v>
      </c>
      <c r="AU260" s="495">
        <v>41711</v>
      </c>
      <c r="AV260" s="583">
        <v>41912</v>
      </c>
      <c r="AW260" s="401">
        <v>2014</v>
      </c>
      <c r="AX260" s="496"/>
      <c r="AY260" s="401" t="s">
        <v>186</v>
      </c>
      <c r="AZ260" s="401"/>
      <c r="BA260" s="401">
        <v>2014</v>
      </c>
      <c r="BB260" s="494" t="s">
        <v>6443</v>
      </c>
      <c r="BC260" s="487" t="s">
        <v>6444</v>
      </c>
      <c r="BD260" s="494" t="s">
        <v>1818</v>
      </c>
      <c r="BE260" s="575">
        <v>41912</v>
      </c>
      <c r="BF260" s="498">
        <v>36572</v>
      </c>
      <c r="BG260" s="488">
        <v>36572</v>
      </c>
      <c r="BH260" s="488">
        <v>2</v>
      </c>
      <c r="BI260" s="488">
        <v>2</v>
      </c>
      <c r="BJ260" s="494" t="s">
        <v>5016</v>
      </c>
      <c r="BK260" s="401"/>
    </row>
    <row r="261" spans="1:63" ht="96.75" customHeight="1">
      <c r="A261" s="504">
        <v>1</v>
      </c>
      <c r="B261" s="570" t="s">
        <v>6445</v>
      </c>
      <c r="C261" s="504" t="s">
        <v>83</v>
      </c>
      <c r="D261" s="504" t="s">
        <v>242</v>
      </c>
      <c r="E261" s="570" t="s">
        <v>5853</v>
      </c>
      <c r="F261" s="504" t="s">
        <v>1752</v>
      </c>
      <c r="G261" s="504" t="s">
        <v>6141</v>
      </c>
      <c r="H261" s="517">
        <v>854513</v>
      </c>
      <c r="I261" s="506" t="s">
        <v>6446</v>
      </c>
      <c r="J261" s="506" t="s">
        <v>6319</v>
      </c>
      <c r="K261" s="506" t="s">
        <v>6319</v>
      </c>
      <c r="L261" s="506" t="s">
        <v>2513</v>
      </c>
      <c r="M261" s="571" t="s">
        <v>1755</v>
      </c>
      <c r="N261" s="506" t="s">
        <v>1773</v>
      </c>
      <c r="O261" s="506" t="s">
        <v>2234</v>
      </c>
      <c r="P261" s="512">
        <v>6112.9852099999998</v>
      </c>
      <c r="Q261" s="512">
        <v>7213.3225477999995</v>
      </c>
      <c r="R261" s="512">
        <v>3428.5008500823806</v>
      </c>
      <c r="S261" s="504" t="s">
        <v>1774</v>
      </c>
      <c r="T261" s="572">
        <v>1.087</v>
      </c>
      <c r="U261" s="572">
        <v>1.077</v>
      </c>
      <c r="V261" s="572">
        <v>1.073</v>
      </c>
      <c r="W261" s="572">
        <v>1.071</v>
      </c>
      <c r="X261" s="511">
        <v>0.9</v>
      </c>
      <c r="Y261" s="507">
        <v>3814.3700000000003</v>
      </c>
      <c r="Z261" s="512">
        <v>4500.9566000000004</v>
      </c>
      <c r="AA261" s="512">
        <v>3711.5299387658197</v>
      </c>
      <c r="AB261" s="513">
        <v>4379.6053277436667</v>
      </c>
      <c r="AC261" s="512">
        <v>3711.5299387658197</v>
      </c>
      <c r="AD261" s="513">
        <v>4379.6053277436667</v>
      </c>
      <c r="AE261" s="494" t="s">
        <v>1775</v>
      </c>
      <c r="AF261" s="570" t="s">
        <v>83</v>
      </c>
      <c r="AG261" s="570" t="s">
        <v>211</v>
      </c>
      <c r="AH261" s="570" t="s">
        <v>545</v>
      </c>
      <c r="AI261" s="515">
        <v>41656</v>
      </c>
      <c r="AJ261" s="515">
        <v>41691</v>
      </c>
      <c r="AK261" s="570" t="s">
        <v>96</v>
      </c>
      <c r="AL261" s="570" t="s">
        <v>96</v>
      </c>
      <c r="AM261" s="506" t="s">
        <v>6320</v>
      </c>
      <c r="AN261" s="506" t="s">
        <v>6370</v>
      </c>
      <c r="AO261" s="570">
        <v>796</v>
      </c>
      <c r="AP261" s="570" t="s">
        <v>368</v>
      </c>
      <c r="AQ261" s="570">
        <v>1</v>
      </c>
      <c r="AR261" s="570">
        <v>45</v>
      </c>
      <c r="AS261" s="506" t="s">
        <v>547</v>
      </c>
      <c r="AT261" s="515">
        <v>41711</v>
      </c>
      <c r="AU261" s="515">
        <v>41711</v>
      </c>
      <c r="AV261" s="759">
        <v>41912</v>
      </c>
      <c r="AW261" s="570">
        <v>2014</v>
      </c>
      <c r="AX261" s="506"/>
      <c r="AY261" s="570" t="s">
        <v>186</v>
      </c>
      <c r="AZ261" s="570"/>
      <c r="BA261" s="570">
        <v>2014</v>
      </c>
      <c r="BB261" s="570" t="s">
        <v>2271</v>
      </c>
      <c r="BC261" s="506" t="s">
        <v>2271</v>
      </c>
      <c r="BD261" s="570" t="s">
        <v>2272</v>
      </c>
      <c r="BE261" s="573" t="s">
        <v>2272</v>
      </c>
      <c r="BF261" s="574" t="s">
        <v>2272</v>
      </c>
      <c r="BG261" s="488" t="s">
        <v>2272</v>
      </c>
      <c r="BH261" s="513" t="s">
        <v>2272</v>
      </c>
      <c r="BI261" s="513" t="s">
        <v>2272</v>
      </c>
      <c r="BJ261" s="570" t="s">
        <v>1465</v>
      </c>
      <c r="BK261" s="504"/>
    </row>
    <row r="262" spans="1:63" ht="106.5" customHeight="1">
      <c r="A262" s="523">
        <v>1</v>
      </c>
      <c r="B262" s="534" t="s">
        <v>6447</v>
      </c>
      <c r="C262" s="523" t="s">
        <v>7247</v>
      </c>
      <c r="D262" s="523" t="s">
        <v>242</v>
      </c>
      <c r="E262" s="534" t="s">
        <v>5853</v>
      </c>
      <c r="F262" s="523" t="s">
        <v>1752</v>
      </c>
      <c r="G262" s="523" t="s">
        <v>6141</v>
      </c>
      <c r="H262" s="524" t="s">
        <v>6160</v>
      </c>
      <c r="I262" s="525" t="s">
        <v>6448</v>
      </c>
      <c r="J262" s="525" t="s">
        <v>6319</v>
      </c>
      <c r="K262" s="525" t="s">
        <v>6319</v>
      </c>
      <c r="L262" s="525" t="s">
        <v>2513</v>
      </c>
      <c r="M262" s="541" t="s">
        <v>1755</v>
      </c>
      <c r="N262" s="525" t="s">
        <v>1773</v>
      </c>
      <c r="O262" s="525" t="s">
        <v>2234</v>
      </c>
      <c r="P262" s="531">
        <v>888.68</v>
      </c>
      <c r="Q262" s="531">
        <v>3692.453994</v>
      </c>
      <c r="R262" s="531">
        <v>786.78888888888889</v>
      </c>
      <c r="S262" s="523" t="s">
        <v>1774</v>
      </c>
      <c r="T262" s="542">
        <v>1.087</v>
      </c>
      <c r="U262" s="543">
        <v>1.077</v>
      </c>
      <c r="V262" s="543">
        <v>1.073</v>
      </c>
      <c r="W262" s="543">
        <v>1.071</v>
      </c>
      <c r="X262" s="544">
        <v>0.9</v>
      </c>
      <c r="Y262" s="526">
        <v>875.34</v>
      </c>
      <c r="Z262" s="531">
        <v>1032.9012</v>
      </c>
      <c r="AA262" s="531">
        <v>922.37699999999995</v>
      </c>
      <c r="AB262" s="532">
        <v>1088.4048599999999</v>
      </c>
      <c r="AC262" s="531">
        <v>875.34</v>
      </c>
      <c r="AD262" s="532">
        <v>1032.9012</v>
      </c>
      <c r="AE262" s="494" t="s">
        <v>1775</v>
      </c>
      <c r="AF262" s="534" t="s">
        <v>83</v>
      </c>
      <c r="AG262" s="534" t="s">
        <v>211</v>
      </c>
      <c r="AH262" s="534" t="s">
        <v>545</v>
      </c>
      <c r="AI262" s="533">
        <v>41656</v>
      </c>
      <c r="AJ262" s="533">
        <v>41691</v>
      </c>
      <c r="AK262" s="534" t="s">
        <v>96</v>
      </c>
      <c r="AL262" s="534" t="s">
        <v>96</v>
      </c>
      <c r="AM262" s="525" t="s">
        <v>6320</v>
      </c>
      <c r="AN262" s="525" t="s">
        <v>6370</v>
      </c>
      <c r="AO262" s="534">
        <v>796</v>
      </c>
      <c r="AP262" s="534" t="s">
        <v>368</v>
      </c>
      <c r="AQ262" s="534">
        <v>1</v>
      </c>
      <c r="AR262" s="534">
        <v>45</v>
      </c>
      <c r="AS262" s="525" t="s">
        <v>547</v>
      </c>
      <c r="AT262" s="533">
        <v>41711</v>
      </c>
      <c r="AU262" s="533">
        <v>41711</v>
      </c>
      <c r="AV262" s="760">
        <v>41912</v>
      </c>
      <c r="AW262" s="534">
        <v>2014</v>
      </c>
      <c r="AX262" s="525"/>
      <c r="AY262" s="534" t="s">
        <v>186</v>
      </c>
      <c r="AZ262" s="534"/>
      <c r="BA262" s="534">
        <v>2014</v>
      </c>
      <c r="BB262" s="534" t="s">
        <v>6449</v>
      </c>
      <c r="BC262" s="525" t="s">
        <v>6450</v>
      </c>
      <c r="BD262" s="534" t="s">
        <v>1818</v>
      </c>
      <c r="BE262" s="545">
        <v>41912</v>
      </c>
      <c r="BF262" s="546">
        <v>4212.2453509999996</v>
      </c>
      <c r="BG262" s="488">
        <v>4212.2453509999996</v>
      </c>
      <c r="BH262" s="532">
        <v>0</v>
      </c>
      <c r="BI262" s="532">
        <v>0.3</v>
      </c>
      <c r="BJ262" s="534" t="s">
        <v>5016</v>
      </c>
      <c r="BK262" s="523"/>
    </row>
    <row r="263" spans="1:63" ht="106.5" customHeight="1">
      <c r="A263" s="523">
        <v>1</v>
      </c>
      <c r="B263" s="534" t="s">
        <v>6451</v>
      </c>
      <c r="C263" s="523" t="s">
        <v>7247</v>
      </c>
      <c r="D263" s="523" t="s">
        <v>242</v>
      </c>
      <c r="E263" s="534" t="s">
        <v>5853</v>
      </c>
      <c r="F263" s="523" t="s">
        <v>1752</v>
      </c>
      <c r="G263" s="523" t="s">
        <v>6141</v>
      </c>
      <c r="H263" s="524" t="s">
        <v>6160</v>
      </c>
      <c r="I263" s="525" t="s">
        <v>6452</v>
      </c>
      <c r="J263" s="525" t="s">
        <v>6319</v>
      </c>
      <c r="K263" s="525" t="s">
        <v>6319</v>
      </c>
      <c r="L263" s="525" t="s">
        <v>2513</v>
      </c>
      <c r="M263" s="541" t="s">
        <v>1755</v>
      </c>
      <c r="N263" s="525" t="s">
        <v>1773</v>
      </c>
      <c r="O263" s="525" t="s">
        <v>2234</v>
      </c>
      <c r="P263" s="531">
        <v>2983.7869099999998</v>
      </c>
      <c r="Q263" s="531">
        <v>3520.8685537999995</v>
      </c>
      <c r="R263" s="531">
        <v>2641.7119611934918</v>
      </c>
      <c r="S263" s="523" t="s">
        <v>1774</v>
      </c>
      <c r="T263" s="542">
        <v>1.087</v>
      </c>
      <c r="U263" s="543">
        <v>1.077</v>
      </c>
      <c r="V263" s="543">
        <v>1.073</v>
      </c>
      <c r="W263" s="543">
        <v>1.071</v>
      </c>
      <c r="X263" s="544">
        <v>0.9</v>
      </c>
      <c r="Y263" s="526">
        <v>2939.03</v>
      </c>
      <c r="Z263" s="531">
        <v>3468.0554000000002</v>
      </c>
      <c r="AA263" s="531">
        <v>2789.1529387658197</v>
      </c>
      <c r="AB263" s="532">
        <v>3291.2004677436671</v>
      </c>
      <c r="AC263" s="531">
        <v>2789.1529387658197</v>
      </c>
      <c r="AD263" s="532">
        <v>3291.2004677436671</v>
      </c>
      <c r="AE263" s="494" t="s">
        <v>1775</v>
      </c>
      <c r="AF263" s="534" t="s">
        <v>83</v>
      </c>
      <c r="AG263" s="534" t="s">
        <v>211</v>
      </c>
      <c r="AH263" s="534" t="s">
        <v>545</v>
      </c>
      <c r="AI263" s="533">
        <v>41656</v>
      </c>
      <c r="AJ263" s="533">
        <v>41691</v>
      </c>
      <c r="AK263" s="534" t="s">
        <v>96</v>
      </c>
      <c r="AL263" s="534" t="s">
        <v>96</v>
      </c>
      <c r="AM263" s="525" t="s">
        <v>6320</v>
      </c>
      <c r="AN263" s="525" t="s">
        <v>6370</v>
      </c>
      <c r="AO263" s="534">
        <v>796</v>
      </c>
      <c r="AP263" s="534" t="s">
        <v>368</v>
      </c>
      <c r="AQ263" s="534">
        <v>1</v>
      </c>
      <c r="AR263" s="534">
        <v>45</v>
      </c>
      <c r="AS263" s="525" t="s">
        <v>547</v>
      </c>
      <c r="AT263" s="533">
        <v>41711</v>
      </c>
      <c r="AU263" s="533">
        <v>41711</v>
      </c>
      <c r="AV263" s="760">
        <v>41912</v>
      </c>
      <c r="AW263" s="534">
        <v>2014</v>
      </c>
      <c r="AX263" s="525"/>
      <c r="AY263" s="534" t="s">
        <v>186</v>
      </c>
      <c r="AZ263" s="534"/>
      <c r="BA263" s="534">
        <v>2014</v>
      </c>
      <c r="BB263" s="534" t="s">
        <v>6453</v>
      </c>
      <c r="BC263" s="525" t="s">
        <v>6454</v>
      </c>
      <c r="BD263" s="534" t="s">
        <v>1818</v>
      </c>
      <c r="BE263" s="545">
        <v>41912</v>
      </c>
      <c r="BF263" s="546">
        <v>3909.4579999999996</v>
      </c>
      <c r="BG263" s="488">
        <v>3909.4579999999996</v>
      </c>
      <c r="BH263" s="532">
        <v>0</v>
      </c>
      <c r="BI263" s="532">
        <v>0.3</v>
      </c>
      <c r="BJ263" s="534" t="s">
        <v>5016</v>
      </c>
      <c r="BK263" s="523"/>
    </row>
    <row r="264" spans="1:63" ht="96.75" customHeight="1">
      <c r="A264" s="504">
        <v>1</v>
      </c>
      <c r="B264" s="570" t="s">
        <v>6455</v>
      </c>
      <c r="C264" s="504" t="s">
        <v>83</v>
      </c>
      <c r="D264" s="504" t="s">
        <v>242</v>
      </c>
      <c r="E264" s="570" t="s">
        <v>5853</v>
      </c>
      <c r="F264" s="504" t="s">
        <v>1752</v>
      </c>
      <c r="G264" s="504" t="s">
        <v>6141</v>
      </c>
      <c r="H264" s="517">
        <v>854507</v>
      </c>
      <c r="I264" s="506" t="s">
        <v>6456</v>
      </c>
      <c r="J264" s="506" t="s">
        <v>6319</v>
      </c>
      <c r="K264" s="506" t="s">
        <v>6319</v>
      </c>
      <c r="L264" s="506" t="s">
        <v>2513</v>
      </c>
      <c r="M264" s="571" t="s">
        <v>1755</v>
      </c>
      <c r="N264" s="506" t="s">
        <v>1773</v>
      </c>
      <c r="O264" s="506" t="s">
        <v>2234</v>
      </c>
      <c r="P264" s="512">
        <v>3659.7062981818181</v>
      </c>
      <c r="Q264" s="512">
        <v>4318.4534318545448</v>
      </c>
      <c r="R264" s="512">
        <v>3220.6364640660263</v>
      </c>
      <c r="S264" s="504" t="s">
        <v>1774</v>
      </c>
      <c r="T264" s="572">
        <v>1.087</v>
      </c>
      <c r="U264" s="572">
        <v>1.077</v>
      </c>
      <c r="V264" s="572">
        <v>1.073</v>
      </c>
      <c r="W264" s="572">
        <v>1.071</v>
      </c>
      <c r="X264" s="511">
        <v>0.9</v>
      </c>
      <c r="Y264" s="507">
        <v>3583.1109999999999</v>
      </c>
      <c r="Z264" s="512">
        <v>4228.0709799999995</v>
      </c>
      <c r="AA264" s="512">
        <v>3400.3887594118241</v>
      </c>
      <c r="AB264" s="513">
        <v>4012.4587361059525</v>
      </c>
      <c r="AC264" s="512">
        <v>3400.3887594118241</v>
      </c>
      <c r="AD264" s="513">
        <v>4012.4587361059521</v>
      </c>
      <c r="AE264" s="494" t="s">
        <v>1775</v>
      </c>
      <c r="AF264" s="570" t="s">
        <v>83</v>
      </c>
      <c r="AG264" s="570" t="s">
        <v>211</v>
      </c>
      <c r="AH264" s="570" t="s">
        <v>545</v>
      </c>
      <c r="AI264" s="515">
        <v>41656</v>
      </c>
      <c r="AJ264" s="515">
        <v>41691</v>
      </c>
      <c r="AK264" s="570" t="s">
        <v>96</v>
      </c>
      <c r="AL264" s="570" t="s">
        <v>96</v>
      </c>
      <c r="AM264" s="506" t="s">
        <v>6320</v>
      </c>
      <c r="AN264" s="506" t="s">
        <v>6370</v>
      </c>
      <c r="AO264" s="570">
        <v>796</v>
      </c>
      <c r="AP264" s="570" t="s">
        <v>368</v>
      </c>
      <c r="AQ264" s="570">
        <v>1</v>
      </c>
      <c r="AR264" s="570">
        <v>45</v>
      </c>
      <c r="AS264" s="506" t="s">
        <v>547</v>
      </c>
      <c r="AT264" s="515">
        <v>41711</v>
      </c>
      <c r="AU264" s="515">
        <v>41711</v>
      </c>
      <c r="AV264" s="759">
        <v>41912</v>
      </c>
      <c r="AW264" s="570">
        <v>2014</v>
      </c>
      <c r="AX264" s="506"/>
      <c r="AY264" s="570" t="s">
        <v>186</v>
      </c>
      <c r="AZ264" s="570"/>
      <c r="BA264" s="570">
        <v>2014</v>
      </c>
      <c r="BB264" s="570" t="s">
        <v>2271</v>
      </c>
      <c r="BC264" s="506" t="s">
        <v>2271</v>
      </c>
      <c r="BD264" s="570" t="s">
        <v>2272</v>
      </c>
      <c r="BE264" s="573" t="s">
        <v>2272</v>
      </c>
      <c r="BF264" s="574" t="s">
        <v>2272</v>
      </c>
      <c r="BG264" s="488" t="s">
        <v>2272</v>
      </c>
      <c r="BH264" s="513" t="s">
        <v>2272</v>
      </c>
      <c r="BI264" s="513" t="s">
        <v>2272</v>
      </c>
      <c r="BJ264" s="570" t="s">
        <v>1465</v>
      </c>
      <c r="BK264" s="504"/>
    </row>
    <row r="265" spans="1:63" ht="106.5" customHeight="1">
      <c r="A265" s="523">
        <v>1</v>
      </c>
      <c r="B265" s="534" t="s">
        <v>6457</v>
      </c>
      <c r="C265" s="523" t="s">
        <v>7247</v>
      </c>
      <c r="D265" s="523" t="s">
        <v>242</v>
      </c>
      <c r="E265" s="534" t="s">
        <v>5853</v>
      </c>
      <c r="F265" s="523" t="s">
        <v>1752</v>
      </c>
      <c r="G265" s="523" t="s">
        <v>6141</v>
      </c>
      <c r="H265" s="524" t="s">
        <v>6160</v>
      </c>
      <c r="I265" s="525" t="s">
        <v>6458</v>
      </c>
      <c r="J265" s="525" t="s">
        <v>6319</v>
      </c>
      <c r="K265" s="525" t="s">
        <v>6319</v>
      </c>
      <c r="L265" s="525" t="s">
        <v>2513</v>
      </c>
      <c r="M265" s="541" t="s">
        <v>1755</v>
      </c>
      <c r="N265" s="525" t="s">
        <v>1773</v>
      </c>
      <c r="O265" s="525" t="s">
        <v>2234</v>
      </c>
      <c r="P265" s="531">
        <v>945.83838818181823</v>
      </c>
      <c r="Q265" s="531">
        <v>1116.0892980545455</v>
      </c>
      <c r="R265" s="531">
        <v>817.89857225002095</v>
      </c>
      <c r="S265" s="523" t="s">
        <v>1774</v>
      </c>
      <c r="T265" s="542">
        <v>1.087</v>
      </c>
      <c r="U265" s="543">
        <v>1.077</v>
      </c>
      <c r="V265" s="543">
        <v>1.073</v>
      </c>
      <c r="W265" s="543">
        <v>1.071</v>
      </c>
      <c r="X265" s="544">
        <v>0.9</v>
      </c>
      <c r="Y265" s="526">
        <v>909.95100000000002</v>
      </c>
      <c r="Z265" s="531">
        <v>1073.74218</v>
      </c>
      <c r="AA265" s="531">
        <v>863.54766905506108</v>
      </c>
      <c r="AB265" s="532">
        <v>1018.9862494849721</v>
      </c>
      <c r="AC265" s="531">
        <v>863.54766905506108</v>
      </c>
      <c r="AD265" s="532">
        <v>1018.9862494849721</v>
      </c>
      <c r="AE265" s="494" t="s">
        <v>1775</v>
      </c>
      <c r="AF265" s="534" t="s">
        <v>83</v>
      </c>
      <c r="AG265" s="534" t="s">
        <v>211</v>
      </c>
      <c r="AH265" s="534" t="s">
        <v>545</v>
      </c>
      <c r="AI265" s="533">
        <v>41656</v>
      </c>
      <c r="AJ265" s="533">
        <v>41691</v>
      </c>
      <c r="AK265" s="534" t="s">
        <v>96</v>
      </c>
      <c r="AL265" s="534" t="s">
        <v>96</v>
      </c>
      <c r="AM265" s="525" t="s">
        <v>6320</v>
      </c>
      <c r="AN265" s="525" t="s">
        <v>6370</v>
      </c>
      <c r="AO265" s="534">
        <v>796</v>
      </c>
      <c r="AP265" s="534" t="s">
        <v>368</v>
      </c>
      <c r="AQ265" s="534">
        <v>1</v>
      </c>
      <c r="AR265" s="534">
        <v>45</v>
      </c>
      <c r="AS265" s="525" t="s">
        <v>547</v>
      </c>
      <c r="AT265" s="533">
        <v>41711</v>
      </c>
      <c r="AU265" s="533">
        <v>41711</v>
      </c>
      <c r="AV265" s="760">
        <v>41912</v>
      </c>
      <c r="AW265" s="534">
        <v>2014</v>
      </c>
      <c r="AX265" s="525"/>
      <c r="AY265" s="534" t="s">
        <v>186</v>
      </c>
      <c r="AZ265" s="534"/>
      <c r="BA265" s="534">
        <v>2014</v>
      </c>
      <c r="BB265" s="534" t="s">
        <v>6459</v>
      </c>
      <c r="BC265" s="525" t="s">
        <v>6460</v>
      </c>
      <c r="BD265" s="534" t="s">
        <v>1818</v>
      </c>
      <c r="BE265" s="545">
        <v>41912</v>
      </c>
      <c r="BF265" s="546">
        <v>1170.086348</v>
      </c>
      <c r="BG265" s="488">
        <v>1170.086348</v>
      </c>
      <c r="BH265" s="532">
        <v>0</v>
      </c>
      <c r="BI265" s="532">
        <v>0.4</v>
      </c>
      <c r="BJ265" s="534" t="s">
        <v>5016</v>
      </c>
      <c r="BK265" s="523"/>
    </row>
    <row r="266" spans="1:63" ht="106.5" customHeight="1">
      <c r="A266" s="523">
        <v>1</v>
      </c>
      <c r="B266" s="534" t="s">
        <v>6461</v>
      </c>
      <c r="C266" s="523" t="s">
        <v>7247</v>
      </c>
      <c r="D266" s="523" t="s">
        <v>242</v>
      </c>
      <c r="E266" s="534" t="s">
        <v>5853</v>
      </c>
      <c r="F266" s="523" t="s">
        <v>1752</v>
      </c>
      <c r="G266" s="523" t="s">
        <v>6141</v>
      </c>
      <c r="H266" s="524" t="s">
        <v>6160</v>
      </c>
      <c r="I266" s="525" t="s">
        <v>6462</v>
      </c>
      <c r="J266" s="525" t="s">
        <v>6319</v>
      </c>
      <c r="K266" s="525" t="s">
        <v>6319</v>
      </c>
      <c r="L266" s="525" t="s">
        <v>2513</v>
      </c>
      <c r="M266" s="541" t="s">
        <v>1755</v>
      </c>
      <c r="N266" s="525" t="s">
        <v>1773</v>
      </c>
      <c r="O266" s="525" t="s">
        <v>2234</v>
      </c>
      <c r="P266" s="531">
        <v>2713.8679099999999</v>
      </c>
      <c r="Q266" s="531">
        <v>3202.3641337999998</v>
      </c>
      <c r="R266" s="531">
        <v>2402.7378918160052</v>
      </c>
      <c r="S266" s="523" t="s">
        <v>1774</v>
      </c>
      <c r="T266" s="542">
        <v>1.087</v>
      </c>
      <c r="U266" s="543">
        <v>1.077</v>
      </c>
      <c r="V266" s="543">
        <v>1.073</v>
      </c>
      <c r="W266" s="543">
        <v>1.071</v>
      </c>
      <c r="X266" s="544">
        <v>0.9</v>
      </c>
      <c r="Y266" s="526">
        <v>2673.16</v>
      </c>
      <c r="Z266" s="531">
        <v>3154.3287999999998</v>
      </c>
      <c r="AA266" s="531">
        <v>2536.8410903567633</v>
      </c>
      <c r="AB266" s="532">
        <v>2993.4724866209804</v>
      </c>
      <c r="AC266" s="531">
        <v>2536.8410903567633</v>
      </c>
      <c r="AD266" s="532">
        <v>2993.4724866209804</v>
      </c>
      <c r="AE266" s="494" t="s">
        <v>1775</v>
      </c>
      <c r="AF266" s="534" t="s">
        <v>83</v>
      </c>
      <c r="AG266" s="534" t="s">
        <v>211</v>
      </c>
      <c r="AH266" s="534" t="s">
        <v>545</v>
      </c>
      <c r="AI266" s="533">
        <v>41656</v>
      </c>
      <c r="AJ266" s="533">
        <v>41691</v>
      </c>
      <c r="AK266" s="534" t="s">
        <v>96</v>
      </c>
      <c r="AL266" s="534" t="s">
        <v>96</v>
      </c>
      <c r="AM266" s="525" t="s">
        <v>6320</v>
      </c>
      <c r="AN266" s="525" t="s">
        <v>6370</v>
      </c>
      <c r="AO266" s="534">
        <v>796</v>
      </c>
      <c r="AP266" s="534" t="s">
        <v>368</v>
      </c>
      <c r="AQ266" s="534">
        <v>1</v>
      </c>
      <c r="AR266" s="534">
        <v>45</v>
      </c>
      <c r="AS266" s="525" t="s">
        <v>547</v>
      </c>
      <c r="AT266" s="533">
        <v>41711</v>
      </c>
      <c r="AU266" s="533">
        <v>41711</v>
      </c>
      <c r="AV266" s="760">
        <v>41912</v>
      </c>
      <c r="AW266" s="534">
        <v>2014</v>
      </c>
      <c r="AX266" s="525"/>
      <c r="AY266" s="534" t="s">
        <v>186</v>
      </c>
      <c r="AZ266" s="534"/>
      <c r="BA266" s="534">
        <v>2014</v>
      </c>
      <c r="BB266" s="534" t="s">
        <v>6463</v>
      </c>
      <c r="BC266" s="525" t="s">
        <v>6464</v>
      </c>
      <c r="BD266" s="534" t="s">
        <v>1818</v>
      </c>
      <c r="BE266" s="545">
        <v>41912</v>
      </c>
      <c r="BF266" s="546">
        <v>3555.4461999999999</v>
      </c>
      <c r="BG266" s="488">
        <v>3555.4461999999999</v>
      </c>
      <c r="BH266" s="532">
        <v>0</v>
      </c>
      <c r="BI266" s="532">
        <v>0.4</v>
      </c>
      <c r="BJ266" s="534" t="s">
        <v>5016</v>
      </c>
      <c r="BK266" s="523"/>
    </row>
    <row r="267" spans="1:63" ht="127.5" customHeight="1">
      <c r="A267" s="401">
        <v>1</v>
      </c>
      <c r="B267" s="494" t="s">
        <v>6465</v>
      </c>
      <c r="C267" s="401" t="s">
        <v>83</v>
      </c>
      <c r="D267" s="401" t="s">
        <v>242</v>
      </c>
      <c r="E267" s="401" t="s">
        <v>5853</v>
      </c>
      <c r="F267" s="401" t="s">
        <v>1761</v>
      </c>
      <c r="G267" s="401" t="s">
        <v>1762</v>
      </c>
      <c r="H267" s="499">
        <v>854555</v>
      </c>
      <c r="I267" s="486" t="s">
        <v>6466</v>
      </c>
      <c r="J267" s="487" t="s">
        <v>2978</v>
      </c>
      <c r="K267" s="487" t="s">
        <v>2978</v>
      </c>
      <c r="L267" s="500" t="s">
        <v>2513</v>
      </c>
      <c r="M267" s="500" t="s">
        <v>1755</v>
      </c>
      <c r="N267" s="487" t="s">
        <v>1773</v>
      </c>
      <c r="O267" s="487" t="s">
        <v>2234</v>
      </c>
      <c r="P267" s="578">
        <v>3768.3171499999999</v>
      </c>
      <c r="Q267" s="578">
        <v>4446.6142369999998</v>
      </c>
      <c r="R267" s="579">
        <v>3130.4945539374589</v>
      </c>
      <c r="S267" s="494" t="s">
        <v>1774</v>
      </c>
      <c r="T267" s="490">
        <v>1.087</v>
      </c>
      <c r="U267" s="490">
        <v>1.077</v>
      </c>
      <c r="V267" s="490">
        <v>1.073</v>
      </c>
      <c r="W267" s="490">
        <v>1.071</v>
      </c>
      <c r="X267" s="491">
        <v>0.9</v>
      </c>
      <c r="Y267" s="502">
        <v>3612.4850000000001</v>
      </c>
      <c r="Z267" s="578">
        <v>4262.7322999999997</v>
      </c>
      <c r="AA267" s="578">
        <v>2717.1625475055612</v>
      </c>
      <c r="AB267" s="488">
        <v>3206.2518060565621</v>
      </c>
      <c r="AC267" s="492">
        <v>2717.1625475055612</v>
      </c>
      <c r="AD267" s="493">
        <v>3206.2518060565621</v>
      </c>
      <c r="AE267" s="494" t="s">
        <v>1775</v>
      </c>
      <c r="AF267" s="494" t="s">
        <v>83</v>
      </c>
      <c r="AG267" s="494" t="s">
        <v>211</v>
      </c>
      <c r="AH267" s="401" t="s">
        <v>545</v>
      </c>
      <c r="AI267" s="495">
        <v>41656</v>
      </c>
      <c r="AJ267" s="495">
        <v>41691</v>
      </c>
      <c r="AK267" s="401" t="s">
        <v>96</v>
      </c>
      <c r="AL267" s="494" t="s">
        <v>96</v>
      </c>
      <c r="AM267" s="496" t="s">
        <v>5709</v>
      </c>
      <c r="AN267" s="496" t="s">
        <v>6370</v>
      </c>
      <c r="AO267" s="401">
        <v>796</v>
      </c>
      <c r="AP267" s="401" t="s">
        <v>368</v>
      </c>
      <c r="AQ267" s="401">
        <v>1</v>
      </c>
      <c r="AR267" s="401">
        <v>45</v>
      </c>
      <c r="AS267" s="496" t="s">
        <v>547</v>
      </c>
      <c r="AT267" s="495">
        <v>41711</v>
      </c>
      <c r="AU267" s="495">
        <v>41711</v>
      </c>
      <c r="AV267" s="495">
        <v>42004</v>
      </c>
      <c r="AW267" s="401">
        <v>2014</v>
      </c>
      <c r="AX267" s="496"/>
      <c r="AY267" s="401" t="s">
        <v>186</v>
      </c>
      <c r="AZ267" s="401"/>
      <c r="BA267" s="401">
        <v>2014</v>
      </c>
      <c r="BB267" s="494" t="s">
        <v>5511</v>
      </c>
      <c r="BC267" s="487" t="s">
        <v>5512</v>
      </c>
      <c r="BD267" s="494" t="s">
        <v>1818</v>
      </c>
      <c r="BE267" s="575">
        <v>42004</v>
      </c>
      <c r="BF267" s="498">
        <v>68288.450499600003</v>
      </c>
      <c r="BG267" s="488">
        <v>68288.450499600003</v>
      </c>
      <c r="BH267" s="488">
        <v>6.4</v>
      </c>
      <c r="BI267" s="488">
        <v>6</v>
      </c>
      <c r="BJ267" s="494" t="s">
        <v>5016</v>
      </c>
      <c r="BK267" s="401"/>
    </row>
    <row r="268" spans="1:63" ht="127.5" customHeight="1">
      <c r="A268" s="401">
        <v>1</v>
      </c>
      <c r="B268" s="494" t="s">
        <v>6467</v>
      </c>
      <c r="C268" s="401" t="s">
        <v>83</v>
      </c>
      <c r="D268" s="401" t="s">
        <v>242</v>
      </c>
      <c r="E268" s="401" t="s">
        <v>5853</v>
      </c>
      <c r="F268" s="401" t="s">
        <v>1761</v>
      </c>
      <c r="G268" s="401" t="s">
        <v>1762</v>
      </c>
      <c r="H268" s="499">
        <v>854553</v>
      </c>
      <c r="I268" s="486" t="s">
        <v>6468</v>
      </c>
      <c r="J268" s="487" t="s">
        <v>2978</v>
      </c>
      <c r="K268" s="487" t="s">
        <v>2978</v>
      </c>
      <c r="L268" s="500" t="s">
        <v>2513</v>
      </c>
      <c r="M268" s="500" t="s">
        <v>1755</v>
      </c>
      <c r="N268" s="487" t="s">
        <v>1773</v>
      </c>
      <c r="O268" s="487" t="s">
        <v>2234</v>
      </c>
      <c r="P268" s="578">
        <v>12915.594349999999</v>
      </c>
      <c r="Q268" s="578">
        <v>15240.401332999998</v>
      </c>
      <c r="R268" s="579">
        <v>10731.32182963597</v>
      </c>
      <c r="S268" s="494" t="s">
        <v>1774</v>
      </c>
      <c r="T268" s="490">
        <v>1.087</v>
      </c>
      <c r="U268" s="490">
        <v>1.077</v>
      </c>
      <c r="V268" s="490">
        <v>1.073</v>
      </c>
      <c r="W268" s="490">
        <v>1.071</v>
      </c>
      <c r="X268" s="491">
        <v>0.9</v>
      </c>
      <c r="Y268" s="502">
        <v>12383.583000000001</v>
      </c>
      <c r="Z268" s="578">
        <v>14612.62794</v>
      </c>
      <c r="AA268" s="578">
        <v>9314.421494214248</v>
      </c>
      <c r="AB268" s="488">
        <v>10991.017363172812</v>
      </c>
      <c r="AC268" s="492">
        <v>9314.421494214248</v>
      </c>
      <c r="AD268" s="493">
        <v>10991.017363172812</v>
      </c>
      <c r="AE268" s="494" t="s">
        <v>1775</v>
      </c>
      <c r="AF268" s="494" t="s">
        <v>83</v>
      </c>
      <c r="AG268" s="494" t="s">
        <v>211</v>
      </c>
      <c r="AH268" s="401" t="s">
        <v>545</v>
      </c>
      <c r="AI268" s="495">
        <v>41656</v>
      </c>
      <c r="AJ268" s="495">
        <v>41691</v>
      </c>
      <c r="AK268" s="401" t="s">
        <v>96</v>
      </c>
      <c r="AL268" s="494" t="s">
        <v>96</v>
      </c>
      <c r="AM268" s="496" t="s">
        <v>5709</v>
      </c>
      <c r="AN268" s="496" t="s">
        <v>6370</v>
      </c>
      <c r="AO268" s="401">
        <v>796</v>
      </c>
      <c r="AP268" s="401" t="s">
        <v>368</v>
      </c>
      <c r="AQ268" s="401">
        <v>1</v>
      </c>
      <c r="AR268" s="401">
        <v>45</v>
      </c>
      <c r="AS268" s="496" t="s">
        <v>547</v>
      </c>
      <c r="AT268" s="495">
        <v>41711</v>
      </c>
      <c r="AU268" s="495">
        <v>41711</v>
      </c>
      <c r="AV268" s="495">
        <v>42004</v>
      </c>
      <c r="AW268" s="401">
        <v>2014</v>
      </c>
      <c r="AX268" s="496"/>
      <c r="AY268" s="401" t="s">
        <v>186</v>
      </c>
      <c r="AZ268" s="401"/>
      <c r="BA268" s="401">
        <v>2014</v>
      </c>
      <c r="BB268" s="494" t="s">
        <v>5505</v>
      </c>
      <c r="BC268" s="487" t="s">
        <v>5506</v>
      </c>
      <c r="BD268" s="494" t="s">
        <v>1818</v>
      </c>
      <c r="BE268" s="575">
        <v>42004</v>
      </c>
      <c r="BF268" s="498">
        <v>143845.04439999998</v>
      </c>
      <c r="BG268" s="488">
        <v>106350.09836</v>
      </c>
      <c r="BH268" s="488">
        <v>4</v>
      </c>
      <c r="BI268" s="488">
        <v>11.8</v>
      </c>
      <c r="BJ268" s="494" t="s">
        <v>5016</v>
      </c>
      <c r="BK268" s="401"/>
    </row>
    <row r="269" spans="1:63" ht="127.5" customHeight="1">
      <c r="A269" s="401">
        <v>1</v>
      </c>
      <c r="B269" s="494" t="s">
        <v>6469</v>
      </c>
      <c r="C269" s="401" t="s">
        <v>83</v>
      </c>
      <c r="D269" s="401" t="s">
        <v>242</v>
      </c>
      <c r="E269" s="401" t="s">
        <v>5853</v>
      </c>
      <c r="F269" s="401" t="s">
        <v>1761</v>
      </c>
      <c r="G269" s="401" t="s">
        <v>1762</v>
      </c>
      <c r="H269" s="499">
        <v>854522</v>
      </c>
      <c r="I269" s="486" t="s">
        <v>6470</v>
      </c>
      <c r="J269" s="487" t="s">
        <v>2978</v>
      </c>
      <c r="K269" s="487" t="s">
        <v>2978</v>
      </c>
      <c r="L269" s="500" t="s">
        <v>2513</v>
      </c>
      <c r="M269" s="500" t="s">
        <v>1755</v>
      </c>
      <c r="N269" s="487" t="s">
        <v>1773</v>
      </c>
      <c r="O269" s="487" t="s">
        <v>2234</v>
      </c>
      <c r="P269" s="578">
        <v>7175.8848799999996</v>
      </c>
      <c r="Q269" s="578">
        <v>8467.5441583999982</v>
      </c>
      <c r="R269" s="579">
        <v>5960.8668071983157</v>
      </c>
      <c r="S269" s="494" t="s">
        <v>1774</v>
      </c>
      <c r="T269" s="490">
        <v>1.087</v>
      </c>
      <c r="U269" s="490">
        <v>1.077</v>
      </c>
      <c r="V269" s="490">
        <v>1.073</v>
      </c>
      <c r="W269" s="490">
        <v>1.071</v>
      </c>
      <c r="X269" s="491">
        <v>0.9</v>
      </c>
      <c r="Y269" s="502">
        <v>6878.6390000000001</v>
      </c>
      <c r="Z269" s="578">
        <v>8116.7940199999994</v>
      </c>
      <c r="AA269" s="578">
        <v>5173.8291698404573</v>
      </c>
      <c r="AB269" s="488">
        <v>6105.118420411739</v>
      </c>
      <c r="AC269" s="492">
        <v>5173.8291698404573</v>
      </c>
      <c r="AD269" s="493">
        <v>6105.118420411739</v>
      </c>
      <c r="AE269" s="494" t="s">
        <v>1775</v>
      </c>
      <c r="AF269" s="494" t="s">
        <v>83</v>
      </c>
      <c r="AG269" s="494" t="s">
        <v>211</v>
      </c>
      <c r="AH269" s="401" t="s">
        <v>545</v>
      </c>
      <c r="AI269" s="495">
        <v>41656</v>
      </c>
      <c r="AJ269" s="495">
        <v>41691</v>
      </c>
      <c r="AK269" s="401" t="s">
        <v>96</v>
      </c>
      <c r="AL269" s="494" t="s">
        <v>96</v>
      </c>
      <c r="AM269" s="496" t="s">
        <v>5709</v>
      </c>
      <c r="AN269" s="496" t="s">
        <v>6370</v>
      </c>
      <c r="AO269" s="401">
        <v>796</v>
      </c>
      <c r="AP269" s="401" t="s">
        <v>368</v>
      </c>
      <c r="AQ269" s="401">
        <v>1</v>
      </c>
      <c r="AR269" s="401">
        <v>45</v>
      </c>
      <c r="AS269" s="496" t="s">
        <v>547</v>
      </c>
      <c r="AT269" s="495">
        <v>41711</v>
      </c>
      <c r="AU269" s="495">
        <v>41711</v>
      </c>
      <c r="AV269" s="495">
        <v>42004</v>
      </c>
      <c r="AW269" s="401">
        <v>2014</v>
      </c>
      <c r="AX269" s="496"/>
      <c r="AY269" s="401" t="s">
        <v>186</v>
      </c>
      <c r="AZ269" s="401"/>
      <c r="BA269" s="401">
        <v>2014</v>
      </c>
      <c r="BB269" s="494" t="s">
        <v>5509</v>
      </c>
      <c r="BC269" s="487" t="s">
        <v>5510</v>
      </c>
      <c r="BD269" s="494" t="s">
        <v>1818</v>
      </c>
      <c r="BE269" s="575">
        <v>42004</v>
      </c>
      <c r="BF269" s="498">
        <v>99977.547016800003</v>
      </c>
      <c r="BG269" s="488">
        <v>99977.547016800003</v>
      </c>
      <c r="BH269" s="488">
        <v>5.8</v>
      </c>
      <c r="BI269" s="488">
        <v>8</v>
      </c>
      <c r="BJ269" s="494" t="s">
        <v>5016</v>
      </c>
      <c r="BK269" s="401"/>
    </row>
    <row r="270" spans="1:63" ht="127.5" customHeight="1">
      <c r="A270" s="401">
        <v>1</v>
      </c>
      <c r="B270" s="494" t="s">
        <v>6471</v>
      </c>
      <c r="C270" s="401" t="s">
        <v>83</v>
      </c>
      <c r="D270" s="401" t="s">
        <v>242</v>
      </c>
      <c r="E270" s="401" t="s">
        <v>5853</v>
      </c>
      <c r="F270" s="401" t="s">
        <v>1752</v>
      </c>
      <c r="G270" s="401" t="s">
        <v>6141</v>
      </c>
      <c r="H270" s="499" t="s">
        <v>6472</v>
      </c>
      <c r="I270" s="486" t="s">
        <v>6473</v>
      </c>
      <c r="J270" s="487" t="s">
        <v>6355</v>
      </c>
      <c r="K270" s="487" t="s">
        <v>6355</v>
      </c>
      <c r="L270" s="500" t="s">
        <v>1825</v>
      </c>
      <c r="M270" s="500" t="s">
        <v>1755</v>
      </c>
      <c r="N270" s="487" t="s">
        <v>1773</v>
      </c>
      <c r="O270" s="487" t="s">
        <v>2234</v>
      </c>
      <c r="P270" s="578">
        <v>296358.78210000001</v>
      </c>
      <c r="Q270" s="578">
        <v>349703.36287800001</v>
      </c>
      <c r="R270" s="579">
        <v>233069.07333333333</v>
      </c>
      <c r="S270" s="494" t="s">
        <v>1774</v>
      </c>
      <c r="T270" s="490">
        <v>1.087</v>
      </c>
      <c r="U270" s="490">
        <v>1.077</v>
      </c>
      <c r="V270" s="490">
        <v>1.073</v>
      </c>
      <c r="W270" s="490">
        <v>1.071</v>
      </c>
      <c r="X270" s="491">
        <v>0.9</v>
      </c>
      <c r="Y270" s="502">
        <v>268953.84000000003</v>
      </c>
      <c r="Z270" s="578">
        <v>317365.53120000003</v>
      </c>
      <c r="AA270" s="578">
        <v>268523.304</v>
      </c>
      <c r="AB270" s="488">
        <v>316857.49871999997</v>
      </c>
      <c r="AC270" s="492">
        <v>268523.304</v>
      </c>
      <c r="AD270" s="493">
        <v>316857.49871999997</v>
      </c>
      <c r="AE270" s="494" t="s">
        <v>1775</v>
      </c>
      <c r="AF270" s="494" t="s">
        <v>83</v>
      </c>
      <c r="AG270" s="494" t="s">
        <v>211</v>
      </c>
      <c r="AH270" s="401" t="s">
        <v>545</v>
      </c>
      <c r="AI270" s="495">
        <v>41659</v>
      </c>
      <c r="AJ270" s="495">
        <v>41694</v>
      </c>
      <c r="AK270" s="401" t="s">
        <v>96</v>
      </c>
      <c r="AL270" s="494" t="s">
        <v>96</v>
      </c>
      <c r="AM270" s="496" t="s">
        <v>6356</v>
      </c>
      <c r="AN270" s="496" t="s">
        <v>1757</v>
      </c>
      <c r="AO270" s="401">
        <v>796</v>
      </c>
      <c r="AP270" s="401" t="s">
        <v>368</v>
      </c>
      <c r="AQ270" s="401">
        <v>1</v>
      </c>
      <c r="AR270" s="401">
        <v>45</v>
      </c>
      <c r="AS270" s="496" t="s">
        <v>547</v>
      </c>
      <c r="AT270" s="495">
        <v>41714</v>
      </c>
      <c r="AU270" s="495">
        <v>41714</v>
      </c>
      <c r="AV270" s="495">
        <v>42004</v>
      </c>
      <c r="AW270" s="401">
        <v>2014</v>
      </c>
      <c r="AX270" s="496"/>
      <c r="AY270" s="401" t="s">
        <v>186</v>
      </c>
      <c r="AZ270" s="401"/>
      <c r="BA270" s="401">
        <v>2014</v>
      </c>
      <c r="BB270" s="494" t="s">
        <v>5515</v>
      </c>
      <c r="BC270" s="487" t="s">
        <v>5516</v>
      </c>
      <c r="BD270" s="494" t="s">
        <v>1818</v>
      </c>
      <c r="BE270" s="575">
        <v>42004</v>
      </c>
      <c r="BF270" s="498">
        <v>365660.20540000004</v>
      </c>
      <c r="BG270" s="488">
        <v>304479.99728000001</v>
      </c>
      <c r="BH270" s="488">
        <v>8</v>
      </c>
      <c r="BI270" s="488">
        <v>21.9</v>
      </c>
      <c r="BJ270" s="494" t="s">
        <v>5016</v>
      </c>
      <c r="BK270" s="401"/>
    </row>
    <row r="271" spans="1:63" ht="127.5" customHeight="1">
      <c r="A271" s="401">
        <v>1</v>
      </c>
      <c r="B271" s="494" t="s">
        <v>6474</v>
      </c>
      <c r="C271" s="401" t="s">
        <v>83</v>
      </c>
      <c r="D271" s="401" t="s">
        <v>242</v>
      </c>
      <c r="E271" s="401" t="s">
        <v>5853</v>
      </c>
      <c r="F271" s="401" t="s">
        <v>1761</v>
      </c>
      <c r="G271" s="401" t="s">
        <v>1762</v>
      </c>
      <c r="H271" s="499">
        <v>854501</v>
      </c>
      <c r="I271" s="486" t="s">
        <v>6475</v>
      </c>
      <c r="J271" s="487" t="s">
        <v>2978</v>
      </c>
      <c r="K271" s="487" t="s">
        <v>2978</v>
      </c>
      <c r="L271" s="500" t="s">
        <v>2513</v>
      </c>
      <c r="M271" s="500" t="s">
        <v>1755</v>
      </c>
      <c r="N271" s="487" t="s">
        <v>1773</v>
      </c>
      <c r="O271" s="487" t="s">
        <v>2234</v>
      </c>
      <c r="P271" s="578">
        <v>14148.64748</v>
      </c>
      <c r="Q271" s="578">
        <v>16695.4040264</v>
      </c>
      <c r="R271" s="579">
        <v>11753.226950283784</v>
      </c>
      <c r="S271" s="494" t="s">
        <v>1774</v>
      </c>
      <c r="T271" s="490">
        <v>1.087</v>
      </c>
      <c r="U271" s="490">
        <v>1.077</v>
      </c>
      <c r="V271" s="490">
        <v>1.073</v>
      </c>
      <c r="W271" s="490">
        <v>1.071</v>
      </c>
      <c r="X271" s="491">
        <v>0.9</v>
      </c>
      <c r="Y271" s="502">
        <v>13562.826999999999</v>
      </c>
      <c r="Z271" s="578">
        <v>16004.135859999999</v>
      </c>
      <c r="AA271" s="578">
        <v>10201.40029998663</v>
      </c>
      <c r="AB271" s="488">
        <v>12037.652353984222</v>
      </c>
      <c r="AC271" s="492">
        <v>10201.40029998663</v>
      </c>
      <c r="AD271" s="493">
        <v>12037.652353984222</v>
      </c>
      <c r="AE271" s="494" t="s">
        <v>1775</v>
      </c>
      <c r="AF271" s="494" t="s">
        <v>83</v>
      </c>
      <c r="AG271" s="494" t="s">
        <v>211</v>
      </c>
      <c r="AH271" s="401" t="s">
        <v>545</v>
      </c>
      <c r="AI271" s="495">
        <v>41656</v>
      </c>
      <c r="AJ271" s="495">
        <v>41691</v>
      </c>
      <c r="AK271" s="401" t="s">
        <v>96</v>
      </c>
      <c r="AL271" s="494" t="s">
        <v>96</v>
      </c>
      <c r="AM271" s="496" t="s">
        <v>5709</v>
      </c>
      <c r="AN271" s="496" t="s">
        <v>6370</v>
      </c>
      <c r="AO271" s="401">
        <v>796</v>
      </c>
      <c r="AP271" s="401" t="s">
        <v>368</v>
      </c>
      <c r="AQ271" s="401">
        <v>1</v>
      </c>
      <c r="AR271" s="401">
        <v>45</v>
      </c>
      <c r="AS271" s="496" t="s">
        <v>547</v>
      </c>
      <c r="AT271" s="495">
        <v>41711</v>
      </c>
      <c r="AU271" s="495">
        <v>41711</v>
      </c>
      <c r="AV271" s="495">
        <v>42004</v>
      </c>
      <c r="AW271" s="401">
        <v>2014</v>
      </c>
      <c r="AX271" s="496"/>
      <c r="AY271" s="401" t="s">
        <v>186</v>
      </c>
      <c r="AZ271" s="401"/>
      <c r="BA271" s="401">
        <v>2014</v>
      </c>
      <c r="BB271" s="494" t="s">
        <v>5503</v>
      </c>
      <c r="BC271" s="487" t="s">
        <v>5504</v>
      </c>
      <c r="BD271" s="494" t="s">
        <v>1818</v>
      </c>
      <c r="BE271" s="575">
        <v>42004</v>
      </c>
      <c r="BF271" s="498">
        <v>106079.41958779999</v>
      </c>
      <c r="BG271" s="488">
        <v>107701.52522</v>
      </c>
      <c r="BH271" s="488">
        <v>5</v>
      </c>
      <c r="BI271" s="488">
        <v>7.1</v>
      </c>
      <c r="BJ271" s="494" t="s">
        <v>5016</v>
      </c>
      <c r="BK271" s="401"/>
    </row>
    <row r="272" spans="1:63" ht="96.75" customHeight="1">
      <c r="A272" s="504">
        <v>1</v>
      </c>
      <c r="B272" s="570" t="s">
        <v>6476</v>
      </c>
      <c r="C272" s="504" t="s">
        <v>83</v>
      </c>
      <c r="D272" s="504" t="s">
        <v>242</v>
      </c>
      <c r="E272" s="570" t="s">
        <v>5853</v>
      </c>
      <c r="F272" s="504" t="s">
        <v>1752</v>
      </c>
      <c r="G272" s="504" t="s">
        <v>6141</v>
      </c>
      <c r="H272" s="517">
        <v>854518</v>
      </c>
      <c r="I272" s="506" t="s">
        <v>6477</v>
      </c>
      <c r="J272" s="506" t="s">
        <v>6319</v>
      </c>
      <c r="K272" s="506" t="s">
        <v>6319</v>
      </c>
      <c r="L272" s="506" t="s">
        <v>6478</v>
      </c>
      <c r="M272" s="571" t="s">
        <v>1755</v>
      </c>
      <c r="N272" s="506" t="s">
        <v>1773</v>
      </c>
      <c r="O272" s="506" t="s">
        <v>2234</v>
      </c>
      <c r="P272" s="512">
        <v>1274.75524</v>
      </c>
      <c r="Q272" s="512">
        <v>1504.2111832000001</v>
      </c>
      <c r="R272" s="512">
        <v>1047.0466666666666</v>
      </c>
      <c r="S272" s="504" t="s">
        <v>1774</v>
      </c>
      <c r="T272" s="572">
        <v>1.087</v>
      </c>
      <c r="U272" s="572">
        <v>1.077</v>
      </c>
      <c r="V272" s="572">
        <v>1.073</v>
      </c>
      <c r="W272" s="572">
        <v>1.071</v>
      </c>
      <c r="X272" s="511">
        <v>0.9</v>
      </c>
      <c r="Y272" s="507">
        <v>1136.21</v>
      </c>
      <c r="Z272" s="512">
        <v>1340.7277999999999</v>
      </c>
      <c r="AA272" s="512">
        <v>1197.3310000000001</v>
      </c>
      <c r="AB272" s="513">
        <v>1412.8505799999998</v>
      </c>
      <c r="AC272" s="512">
        <v>1136.21</v>
      </c>
      <c r="AD272" s="513">
        <v>1340.7277999999999</v>
      </c>
      <c r="AE272" s="494" t="s">
        <v>1775</v>
      </c>
      <c r="AF272" s="570" t="s">
        <v>83</v>
      </c>
      <c r="AG272" s="570" t="s">
        <v>211</v>
      </c>
      <c r="AH272" s="570" t="s">
        <v>545</v>
      </c>
      <c r="AI272" s="515">
        <v>41656</v>
      </c>
      <c r="AJ272" s="515">
        <v>41691</v>
      </c>
      <c r="AK272" s="570" t="s">
        <v>96</v>
      </c>
      <c r="AL272" s="570" t="s">
        <v>96</v>
      </c>
      <c r="AM272" s="506" t="s">
        <v>6320</v>
      </c>
      <c r="AN272" s="506" t="s">
        <v>6370</v>
      </c>
      <c r="AO272" s="570">
        <v>796</v>
      </c>
      <c r="AP272" s="570" t="s">
        <v>368</v>
      </c>
      <c r="AQ272" s="570">
        <v>1</v>
      </c>
      <c r="AR272" s="570">
        <v>45</v>
      </c>
      <c r="AS272" s="506" t="s">
        <v>547</v>
      </c>
      <c r="AT272" s="515">
        <v>41714</v>
      </c>
      <c r="AU272" s="515">
        <v>41714</v>
      </c>
      <c r="AV272" s="759">
        <v>41912</v>
      </c>
      <c r="AW272" s="570">
        <v>2014</v>
      </c>
      <c r="AX272" s="506"/>
      <c r="AY272" s="570" t="s">
        <v>186</v>
      </c>
      <c r="AZ272" s="570"/>
      <c r="BA272" s="570">
        <v>2014</v>
      </c>
      <c r="BB272" s="570" t="s">
        <v>2271</v>
      </c>
      <c r="BC272" s="506" t="s">
        <v>2271</v>
      </c>
      <c r="BD272" s="570" t="s">
        <v>2272</v>
      </c>
      <c r="BE272" s="573" t="s">
        <v>2272</v>
      </c>
      <c r="BF272" s="574" t="s">
        <v>2272</v>
      </c>
      <c r="BG272" s="488" t="s">
        <v>2272</v>
      </c>
      <c r="BH272" s="513" t="s">
        <v>2272</v>
      </c>
      <c r="BI272" s="513" t="s">
        <v>2272</v>
      </c>
      <c r="BJ272" s="570" t="s">
        <v>1465</v>
      </c>
      <c r="BK272" s="504"/>
    </row>
    <row r="273" spans="1:63" ht="106.5" customHeight="1">
      <c r="A273" s="523">
        <v>1</v>
      </c>
      <c r="B273" s="534" t="s">
        <v>6479</v>
      </c>
      <c r="C273" s="523" t="s">
        <v>7247</v>
      </c>
      <c r="D273" s="523" t="s">
        <v>242</v>
      </c>
      <c r="E273" s="534" t="s">
        <v>5853</v>
      </c>
      <c r="F273" s="523" t="s">
        <v>1752</v>
      </c>
      <c r="G273" s="523" t="s">
        <v>6141</v>
      </c>
      <c r="H273" s="524" t="s">
        <v>6480</v>
      </c>
      <c r="I273" s="525" t="s">
        <v>6481</v>
      </c>
      <c r="J273" s="525" t="s">
        <v>5598</v>
      </c>
      <c r="K273" s="525" t="s">
        <v>5598</v>
      </c>
      <c r="L273" s="525" t="s">
        <v>1825</v>
      </c>
      <c r="M273" s="541" t="s">
        <v>1755</v>
      </c>
      <c r="N273" s="525" t="s">
        <v>1773</v>
      </c>
      <c r="O273" s="525" t="s">
        <v>2234</v>
      </c>
      <c r="P273" s="531">
        <v>563.82996000000003</v>
      </c>
      <c r="Q273" s="531">
        <v>665.31935280000005</v>
      </c>
      <c r="R273" s="531">
        <v>401.73444444444442</v>
      </c>
      <c r="S273" s="523" t="s">
        <v>1774</v>
      </c>
      <c r="T273" s="542">
        <v>1.087</v>
      </c>
      <c r="U273" s="543">
        <v>1.077</v>
      </c>
      <c r="V273" s="543">
        <v>1.073</v>
      </c>
      <c r="W273" s="543">
        <v>1.071</v>
      </c>
      <c r="X273" s="544">
        <v>0.9</v>
      </c>
      <c r="Y273" s="526">
        <v>435.94</v>
      </c>
      <c r="Z273" s="531">
        <v>514.40919999999994</v>
      </c>
      <c r="AA273" s="531">
        <v>459.50900000000001</v>
      </c>
      <c r="AB273" s="532">
        <v>542.22061999999994</v>
      </c>
      <c r="AC273" s="531">
        <v>435.94</v>
      </c>
      <c r="AD273" s="532">
        <v>514.40919999999994</v>
      </c>
      <c r="AE273" s="494" t="s">
        <v>1775</v>
      </c>
      <c r="AF273" s="534" t="s">
        <v>83</v>
      </c>
      <c r="AG273" s="534" t="s">
        <v>211</v>
      </c>
      <c r="AH273" s="534" t="s">
        <v>545</v>
      </c>
      <c r="AI273" s="533">
        <v>41659</v>
      </c>
      <c r="AJ273" s="533">
        <v>41694</v>
      </c>
      <c r="AK273" s="534" t="s">
        <v>96</v>
      </c>
      <c r="AL273" s="534" t="s">
        <v>96</v>
      </c>
      <c r="AM273" s="525" t="s">
        <v>5599</v>
      </c>
      <c r="AN273" s="525" t="s">
        <v>1757</v>
      </c>
      <c r="AO273" s="534">
        <v>796</v>
      </c>
      <c r="AP273" s="534" t="s">
        <v>368</v>
      </c>
      <c r="AQ273" s="534">
        <v>1</v>
      </c>
      <c r="AR273" s="534">
        <v>45</v>
      </c>
      <c r="AS273" s="525" t="s">
        <v>547</v>
      </c>
      <c r="AT273" s="533">
        <v>41714</v>
      </c>
      <c r="AU273" s="533">
        <v>41714</v>
      </c>
      <c r="AV273" s="760">
        <v>41912</v>
      </c>
      <c r="AW273" s="534">
        <v>2014</v>
      </c>
      <c r="AX273" s="525"/>
      <c r="AY273" s="534" t="s">
        <v>186</v>
      </c>
      <c r="AZ273" s="534"/>
      <c r="BA273" s="534">
        <v>2014</v>
      </c>
      <c r="BB273" s="534" t="s">
        <v>6482</v>
      </c>
      <c r="BC273" s="525" t="s">
        <v>6483</v>
      </c>
      <c r="BD273" s="534" t="s">
        <v>1818</v>
      </c>
      <c r="BE273" s="545">
        <v>41912</v>
      </c>
      <c r="BF273" s="546">
        <v>581.26800000000003</v>
      </c>
      <c r="BG273" s="488">
        <v>581.26800000000003</v>
      </c>
      <c r="BH273" s="532">
        <v>0</v>
      </c>
      <c r="BI273" s="532">
        <v>0.13</v>
      </c>
      <c r="BJ273" s="534" t="s">
        <v>5016</v>
      </c>
      <c r="BK273" s="523"/>
    </row>
    <row r="274" spans="1:63" ht="106.5" customHeight="1">
      <c r="A274" s="523">
        <v>1</v>
      </c>
      <c r="B274" s="534" t="s">
        <v>6484</v>
      </c>
      <c r="C274" s="523" t="s">
        <v>7247</v>
      </c>
      <c r="D274" s="523" t="s">
        <v>242</v>
      </c>
      <c r="E274" s="534" t="s">
        <v>5853</v>
      </c>
      <c r="F274" s="523" t="s">
        <v>1752</v>
      </c>
      <c r="G274" s="523" t="s">
        <v>6141</v>
      </c>
      <c r="H274" s="524" t="s">
        <v>6485</v>
      </c>
      <c r="I274" s="525" t="s">
        <v>6486</v>
      </c>
      <c r="J274" s="525" t="s">
        <v>5598</v>
      </c>
      <c r="K274" s="525" t="s">
        <v>5598</v>
      </c>
      <c r="L274" s="525" t="s">
        <v>5019</v>
      </c>
      <c r="M274" s="541" t="s">
        <v>1755</v>
      </c>
      <c r="N274" s="525" t="s">
        <v>1773</v>
      </c>
      <c r="O274" s="525" t="s">
        <v>2234</v>
      </c>
      <c r="P274" s="531">
        <v>710.92527999999993</v>
      </c>
      <c r="Q274" s="531">
        <v>838.89183039999989</v>
      </c>
      <c r="R274" s="531">
        <v>645.3122222222222</v>
      </c>
      <c r="S274" s="523" t="s">
        <v>1774</v>
      </c>
      <c r="T274" s="542">
        <v>1.087</v>
      </c>
      <c r="U274" s="543">
        <v>1.077</v>
      </c>
      <c r="V274" s="543">
        <v>1.073</v>
      </c>
      <c r="W274" s="543">
        <v>1.071</v>
      </c>
      <c r="X274" s="544">
        <v>0.9</v>
      </c>
      <c r="Y274" s="526">
        <v>700.27</v>
      </c>
      <c r="Z274" s="531">
        <v>826.31859999999995</v>
      </c>
      <c r="AA274" s="531">
        <v>737.822</v>
      </c>
      <c r="AB274" s="532">
        <v>870.62995999999998</v>
      </c>
      <c r="AC274" s="531">
        <v>700.27</v>
      </c>
      <c r="AD274" s="532">
        <v>826.31859999999995</v>
      </c>
      <c r="AE274" s="494" t="s">
        <v>1775</v>
      </c>
      <c r="AF274" s="534" t="s">
        <v>83</v>
      </c>
      <c r="AG274" s="534" t="s">
        <v>211</v>
      </c>
      <c r="AH274" s="534" t="s">
        <v>545</v>
      </c>
      <c r="AI274" s="533">
        <v>41659</v>
      </c>
      <c r="AJ274" s="533">
        <v>41694</v>
      </c>
      <c r="AK274" s="534" t="s">
        <v>96</v>
      </c>
      <c r="AL274" s="534" t="s">
        <v>96</v>
      </c>
      <c r="AM274" s="525" t="s">
        <v>5599</v>
      </c>
      <c r="AN274" s="525" t="s">
        <v>1757</v>
      </c>
      <c r="AO274" s="534">
        <v>796</v>
      </c>
      <c r="AP274" s="534" t="s">
        <v>368</v>
      </c>
      <c r="AQ274" s="534">
        <v>1</v>
      </c>
      <c r="AR274" s="534">
        <v>45</v>
      </c>
      <c r="AS274" s="525" t="s">
        <v>547</v>
      </c>
      <c r="AT274" s="533">
        <v>41714</v>
      </c>
      <c r="AU274" s="533">
        <v>41714</v>
      </c>
      <c r="AV274" s="760">
        <v>41912</v>
      </c>
      <c r="AW274" s="534">
        <v>2014</v>
      </c>
      <c r="AX274" s="525"/>
      <c r="AY274" s="534" t="s">
        <v>186</v>
      </c>
      <c r="AZ274" s="534"/>
      <c r="BA274" s="534">
        <v>2014</v>
      </c>
      <c r="BB274" s="534" t="s">
        <v>6487</v>
      </c>
      <c r="BC274" s="525" t="s">
        <v>6488</v>
      </c>
      <c r="BD274" s="534" t="s">
        <v>1818</v>
      </c>
      <c r="BE274" s="545">
        <v>41912</v>
      </c>
      <c r="BF274" s="546">
        <v>933.71424679999996</v>
      </c>
      <c r="BG274" s="488">
        <v>933.71424679999996</v>
      </c>
      <c r="BH274" s="532">
        <v>0</v>
      </c>
      <c r="BI274" s="532">
        <v>0.24</v>
      </c>
      <c r="BJ274" s="534" t="s">
        <v>5016</v>
      </c>
      <c r="BK274" s="523"/>
    </row>
    <row r="275" spans="1:63" ht="96.75" customHeight="1">
      <c r="A275" s="504">
        <v>1</v>
      </c>
      <c r="B275" s="570" t="s">
        <v>6489</v>
      </c>
      <c r="C275" s="504" t="s">
        <v>83</v>
      </c>
      <c r="D275" s="504" t="s">
        <v>242</v>
      </c>
      <c r="E275" s="570" t="s">
        <v>5853</v>
      </c>
      <c r="F275" s="504" t="s">
        <v>1752</v>
      </c>
      <c r="G275" s="504" t="s">
        <v>6141</v>
      </c>
      <c r="H275" s="517">
        <v>854415</v>
      </c>
      <c r="I275" s="506" t="s">
        <v>6490</v>
      </c>
      <c r="J275" s="506" t="s">
        <v>6319</v>
      </c>
      <c r="K275" s="506" t="s">
        <v>6319</v>
      </c>
      <c r="L275" s="506" t="s">
        <v>6491</v>
      </c>
      <c r="M275" s="571" t="s">
        <v>1755</v>
      </c>
      <c r="N275" s="506" t="s">
        <v>1773</v>
      </c>
      <c r="O275" s="506" t="s">
        <v>2234</v>
      </c>
      <c r="P275" s="512">
        <v>27792.205529999999</v>
      </c>
      <c r="Q275" s="512">
        <v>32794.802525399995</v>
      </c>
      <c r="R275" s="512">
        <v>23392.079770068623</v>
      </c>
      <c r="S275" s="504" t="s">
        <v>1774</v>
      </c>
      <c r="T275" s="572">
        <v>1.087</v>
      </c>
      <c r="U275" s="572">
        <v>1.077</v>
      </c>
      <c r="V275" s="572">
        <v>1.073</v>
      </c>
      <c r="W275" s="572">
        <v>1.071</v>
      </c>
      <c r="X275" s="511">
        <v>0.9</v>
      </c>
      <c r="Y275" s="507">
        <v>26445.775999999998</v>
      </c>
      <c r="Z275" s="512">
        <v>31206.015679999997</v>
      </c>
      <c r="AA275" s="512">
        <v>26745.489215557012</v>
      </c>
      <c r="AB275" s="513">
        <v>31559.677274357273</v>
      </c>
      <c r="AC275" s="512">
        <v>26445.775999999998</v>
      </c>
      <c r="AD275" s="513">
        <v>31206.015679999997</v>
      </c>
      <c r="AE275" s="494" t="s">
        <v>1775</v>
      </c>
      <c r="AF275" s="570" t="s">
        <v>83</v>
      </c>
      <c r="AG275" s="570" t="s">
        <v>211</v>
      </c>
      <c r="AH275" s="570" t="s">
        <v>545</v>
      </c>
      <c r="AI275" s="515">
        <v>41656</v>
      </c>
      <c r="AJ275" s="515">
        <v>41691</v>
      </c>
      <c r="AK275" s="570" t="s">
        <v>96</v>
      </c>
      <c r="AL275" s="570" t="s">
        <v>96</v>
      </c>
      <c r="AM275" s="506" t="s">
        <v>6320</v>
      </c>
      <c r="AN275" s="506" t="s">
        <v>6370</v>
      </c>
      <c r="AO275" s="570">
        <v>796</v>
      </c>
      <c r="AP275" s="570" t="s">
        <v>368</v>
      </c>
      <c r="AQ275" s="570">
        <v>1</v>
      </c>
      <c r="AR275" s="570">
        <v>45</v>
      </c>
      <c r="AS275" s="506" t="s">
        <v>547</v>
      </c>
      <c r="AT275" s="515">
        <v>41711</v>
      </c>
      <c r="AU275" s="515">
        <v>41711</v>
      </c>
      <c r="AV275" s="759">
        <v>41912</v>
      </c>
      <c r="AW275" s="570">
        <v>2014</v>
      </c>
      <c r="AX275" s="506"/>
      <c r="AY275" s="570" t="s">
        <v>186</v>
      </c>
      <c r="AZ275" s="570"/>
      <c r="BA275" s="570">
        <v>2014</v>
      </c>
      <c r="BB275" s="570" t="s">
        <v>2271</v>
      </c>
      <c r="BC275" s="506" t="s">
        <v>2271</v>
      </c>
      <c r="BD275" s="570" t="s">
        <v>2272</v>
      </c>
      <c r="BE275" s="573" t="s">
        <v>2272</v>
      </c>
      <c r="BF275" s="574" t="s">
        <v>2272</v>
      </c>
      <c r="BG275" s="488" t="s">
        <v>2272</v>
      </c>
      <c r="BH275" s="513" t="s">
        <v>2272</v>
      </c>
      <c r="BI275" s="513" t="s">
        <v>2272</v>
      </c>
      <c r="BJ275" s="570" t="s">
        <v>1465</v>
      </c>
      <c r="BK275" s="504"/>
    </row>
    <row r="276" spans="1:63" ht="106.5" customHeight="1">
      <c r="A276" s="523">
        <v>1</v>
      </c>
      <c r="B276" s="534" t="s">
        <v>6492</v>
      </c>
      <c r="C276" s="523" t="s">
        <v>7247</v>
      </c>
      <c r="D276" s="523" t="s">
        <v>242</v>
      </c>
      <c r="E276" s="534" t="s">
        <v>5853</v>
      </c>
      <c r="F276" s="523" t="s">
        <v>1752</v>
      </c>
      <c r="G276" s="523" t="s">
        <v>6141</v>
      </c>
      <c r="H276" s="524" t="s">
        <v>6160</v>
      </c>
      <c r="I276" s="525" t="s">
        <v>6493</v>
      </c>
      <c r="J276" s="525" t="s">
        <v>6319</v>
      </c>
      <c r="K276" s="525" t="s">
        <v>6319</v>
      </c>
      <c r="L276" s="525" t="s">
        <v>2513</v>
      </c>
      <c r="M276" s="541" t="s">
        <v>1755</v>
      </c>
      <c r="N276" s="525" t="s">
        <v>1773</v>
      </c>
      <c r="O276" s="525" t="s">
        <v>2234</v>
      </c>
      <c r="P276" s="531">
        <v>14095.34325</v>
      </c>
      <c r="Q276" s="531">
        <v>16632.505034999998</v>
      </c>
      <c r="R276" s="531">
        <v>12271.780401112859</v>
      </c>
      <c r="S276" s="523" t="s">
        <v>1774</v>
      </c>
      <c r="T276" s="542">
        <v>1.087</v>
      </c>
      <c r="U276" s="543">
        <v>1.077</v>
      </c>
      <c r="V276" s="543">
        <v>1.073</v>
      </c>
      <c r="W276" s="543">
        <v>1.071</v>
      </c>
      <c r="X276" s="544">
        <v>0.9</v>
      </c>
      <c r="Y276" s="526">
        <v>13873.788</v>
      </c>
      <c r="Z276" s="531">
        <v>16371.06984</v>
      </c>
      <c r="AA276" s="531">
        <v>14031.021337128632</v>
      </c>
      <c r="AB276" s="532">
        <v>16556.605177811784</v>
      </c>
      <c r="AC276" s="531">
        <v>13873.788</v>
      </c>
      <c r="AD276" s="532">
        <v>16371.06984</v>
      </c>
      <c r="AE276" s="494" t="s">
        <v>1775</v>
      </c>
      <c r="AF276" s="534" t="s">
        <v>83</v>
      </c>
      <c r="AG276" s="534" t="s">
        <v>211</v>
      </c>
      <c r="AH276" s="534" t="s">
        <v>545</v>
      </c>
      <c r="AI276" s="533">
        <v>41656</v>
      </c>
      <c r="AJ276" s="533">
        <v>41691</v>
      </c>
      <c r="AK276" s="534" t="s">
        <v>96</v>
      </c>
      <c r="AL276" s="534" t="s">
        <v>96</v>
      </c>
      <c r="AM276" s="525" t="s">
        <v>5599</v>
      </c>
      <c r="AN276" s="525" t="s">
        <v>6370</v>
      </c>
      <c r="AO276" s="534">
        <v>796</v>
      </c>
      <c r="AP276" s="534" t="s">
        <v>368</v>
      </c>
      <c r="AQ276" s="534">
        <v>1</v>
      </c>
      <c r="AR276" s="534">
        <v>45</v>
      </c>
      <c r="AS276" s="525" t="s">
        <v>547</v>
      </c>
      <c r="AT276" s="533">
        <v>41711</v>
      </c>
      <c r="AU276" s="533">
        <v>41711</v>
      </c>
      <c r="AV276" s="760">
        <v>41912</v>
      </c>
      <c r="AW276" s="534">
        <v>2014</v>
      </c>
      <c r="AX276" s="525"/>
      <c r="AY276" s="534" t="s">
        <v>186</v>
      </c>
      <c r="AZ276" s="534"/>
      <c r="BA276" s="534">
        <v>2014</v>
      </c>
      <c r="BB276" s="534" t="s">
        <v>6494</v>
      </c>
      <c r="BC276" s="525" t="s">
        <v>6495</v>
      </c>
      <c r="BD276" s="534" t="s">
        <v>1818</v>
      </c>
      <c r="BE276" s="545">
        <v>41912</v>
      </c>
      <c r="BF276" s="546">
        <v>17084.849833999997</v>
      </c>
      <c r="BG276" s="488">
        <v>17084.849833999997</v>
      </c>
      <c r="BH276" s="532">
        <v>1.26</v>
      </c>
      <c r="BI276" s="532">
        <v>0.35</v>
      </c>
      <c r="BJ276" s="534" t="s">
        <v>5016</v>
      </c>
      <c r="BK276" s="523"/>
    </row>
    <row r="277" spans="1:63" ht="106.5" customHeight="1">
      <c r="A277" s="523">
        <v>1</v>
      </c>
      <c r="B277" s="534" t="s">
        <v>6496</v>
      </c>
      <c r="C277" s="523" t="s">
        <v>7247</v>
      </c>
      <c r="D277" s="523" t="s">
        <v>242</v>
      </c>
      <c r="E277" s="534" t="s">
        <v>5853</v>
      </c>
      <c r="F277" s="523" t="s">
        <v>1752</v>
      </c>
      <c r="G277" s="523" t="s">
        <v>6141</v>
      </c>
      <c r="H277" s="524" t="s">
        <v>6160</v>
      </c>
      <c r="I277" s="525" t="s">
        <v>6497</v>
      </c>
      <c r="J277" s="525" t="s">
        <v>6319</v>
      </c>
      <c r="K277" s="525" t="s">
        <v>6319</v>
      </c>
      <c r="L277" s="525" t="s">
        <v>2325</v>
      </c>
      <c r="M277" s="541" t="s">
        <v>1755</v>
      </c>
      <c r="N277" s="525" t="s">
        <v>1773</v>
      </c>
      <c r="O277" s="525" t="s">
        <v>2234</v>
      </c>
      <c r="P277" s="531">
        <v>13696.862279999999</v>
      </c>
      <c r="Q277" s="531">
        <v>16162.297490399998</v>
      </c>
      <c r="R277" s="531">
        <v>11120.299368955764</v>
      </c>
      <c r="S277" s="523" t="s">
        <v>1774</v>
      </c>
      <c r="T277" s="542">
        <v>1.087</v>
      </c>
      <c r="U277" s="543">
        <v>1.077</v>
      </c>
      <c r="V277" s="543">
        <v>1.073</v>
      </c>
      <c r="W277" s="543">
        <v>1.071</v>
      </c>
      <c r="X277" s="544">
        <v>0.9</v>
      </c>
      <c r="Y277" s="526">
        <v>12571.987999999999</v>
      </c>
      <c r="Z277" s="531">
        <v>14834.945839999998</v>
      </c>
      <c r="AA277" s="531">
        <v>12714.467878428381</v>
      </c>
      <c r="AB277" s="532">
        <v>15003.072096545488</v>
      </c>
      <c r="AC277" s="531">
        <v>12571.987999999999</v>
      </c>
      <c r="AD277" s="532">
        <v>14834.945839999998</v>
      </c>
      <c r="AE277" s="494" t="s">
        <v>1775</v>
      </c>
      <c r="AF277" s="534" t="s">
        <v>83</v>
      </c>
      <c r="AG277" s="534" t="s">
        <v>211</v>
      </c>
      <c r="AH277" s="534" t="s">
        <v>545</v>
      </c>
      <c r="AI277" s="533">
        <v>41656</v>
      </c>
      <c r="AJ277" s="533">
        <v>41691</v>
      </c>
      <c r="AK277" s="534" t="s">
        <v>96</v>
      </c>
      <c r="AL277" s="534" t="s">
        <v>96</v>
      </c>
      <c r="AM277" s="525" t="s">
        <v>5599</v>
      </c>
      <c r="AN277" s="525" t="s">
        <v>6370</v>
      </c>
      <c r="AO277" s="534">
        <v>796</v>
      </c>
      <c r="AP277" s="534" t="s">
        <v>368</v>
      </c>
      <c r="AQ277" s="534">
        <v>1</v>
      </c>
      <c r="AR277" s="534">
        <v>45</v>
      </c>
      <c r="AS277" s="525" t="s">
        <v>547</v>
      </c>
      <c r="AT277" s="533">
        <v>41711</v>
      </c>
      <c r="AU277" s="533">
        <v>41711</v>
      </c>
      <c r="AV277" s="760">
        <v>41912</v>
      </c>
      <c r="AW277" s="534">
        <v>2014</v>
      </c>
      <c r="AX277" s="525"/>
      <c r="AY277" s="534" t="s">
        <v>186</v>
      </c>
      <c r="AZ277" s="534"/>
      <c r="BA277" s="534">
        <v>2014</v>
      </c>
      <c r="BB277" s="534" t="s">
        <v>6498</v>
      </c>
      <c r="BC277" s="525" t="s">
        <v>6499</v>
      </c>
      <c r="BD277" s="534" t="s">
        <v>1818</v>
      </c>
      <c r="BE277" s="545">
        <v>41912</v>
      </c>
      <c r="BF277" s="546">
        <v>17226.6024788</v>
      </c>
      <c r="BG277" s="488">
        <v>17226.6024788</v>
      </c>
      <c r="BH277" s="532">
        <v>2</v>
      </c>
      <c r="BI277" s="532">
        <v>0.2</v>
      </c>
      <c r="BJ277" s="534" t="s">
        <v>5016</v>
      </c>
      <c r="BK277" s="523"/>
    </row>
    <row r="278" spans="1:63" ht="96.75" customHeight="1">
      <c r="A278" s="504">
        <v>1</v>
      </c>
      <c r="B278" s="570" t="s">
        <v>6500</v>
      </c>
      <c r="C278" s="504" t="s">
        <v>83</v>
      </c>
      <c r="D278" s="504" t="s">
        <v>242</v>
      </c>
      <c r="E278" s="570" t="s">
        <v>5853</v>
      </c>
      <c r="F278" s="504" t="s">
        <v>1752</v>
      </c>
      <c r="G278" s="504" t="s">
        <v>6141</v>
      </c>
      <c r="H278" s="517">
        <v>854505</v>
      </c>
      <c r="I278" s="506" t="s">
        <v>6501</v>
      </c>
      <c r="J278" s="506" t="s">
        <v>5598</v>
      </c>
      <c r="K278" s="506" t="s">
        <v>5598</v>
      </c>
      <c r="L278" s="506" t="s">
        <v>2513</v>
      </c>
      <c r="M278" s="571" t="s">
        <v>1755</v>
      </c>
      <c r="N278" s="506" t="s">
        <v>1773</v>
      </c>
      <c r="O278" s="506" t="s">
        <v>2234</v>
      </c>
      <c r="P278" s="512">
        <v>3882.9773999999998</v>
      </c>
      <c r="Q278" s="512">
        <v>4581.9133320000001</v>
      </c>
      <c r="R278" s="512">
        <v>3383.1057595197799</v>
      </c>
      <c r="S278" s="504" t="s">
        <v>1774</v>
      </c>
      <c r="T278" s="572">
        <v>1.087</v>
      </c>
      <c r="U278" s="572">
        <v>1.077</v>
      </c>
      <c r="V278" s="572">
        <v>1.073</v>
      </c>
      <c r="W278" s="572">
        <v>1.071</v>
      </c>
      <c r="X278" s="511">
        <v>0.9</v>
      </c>
      <c r="Y278" s="507">
        <v>5088.17</v>
      </c>
      <c r="Z278" s="512">
        <v>6004.0405999999994</v>
      </c>
      <c r="AA278" s="512">
        <v>3868.096359781679</v>
      </c>
      <c r="AB278" s="513">
        <v>4564.3537045423809</v>
      </c>
      <c r="AC278" s="512">
        <v>3868.096359781679</v>
      </c>
      <c r="AD278" s="513">
        <v>4564.3537045423809</v>
      </c>
      <c r="AE278" s="494" t="s">
        <v>1775</v>
      </c>
      <c r="AF278" s="570" t="s">
        <v>83</v>
      </c>
      <c r="AG278" s="570" t="s">
        <v>211</v>
      </c>
      <c r="AH278" s="570" t="s">
        <v>545</v>
      </c>
      <c r="AI278" s="515">
        <v>41656</v>
      </c>
      <c r="AJ278" s="515">
        <v>41691</v>
      </c>
      <c r="AK278" s="570" t="s">
        <v>96</v>
      </c>
      <c r="AL278" s="570" t="s">
        <v>96</v>
      </c>
      <c r="AM278" s="506" t="s">
        <v>5599</v>
      </c>
      <c r="AN278" s="506" t="s">
        <v>6370</v>
      </c>
      <c r="AO278" s="570">
        <v>796</v>
      </c>
      <c r="AP278" s="570" t="s">
        <v>368</v>
      </c>
      <c r="AQ278" s="570">
        <v>1</v>
      </c>
      <c r="AR278" s="570">
        <v>45</v>
      </c>
      <c r="AS278" s="506" t="s">
        <v>547</v>
      </c>
      <c r="AT278" s="515">
        <v>41711</v>
      </c>
      <c r="AU278" s="515">
        <v>41711</v>
      </c>
      <c r="AV278" s="759">
        <v>41912</v>
      </c>
      <c r="AW278" s="570">
        <v>2014</v>
      </c>
      <c r="AX278" s="506"/>
      <c r="AY278" s="570" t="s">
        <v>186</v>
      </c>
      <c r="AZ278" s="570"/>
      <c r="BA278" s="570">
        <v>2014</v>
      </c>
      <c r="BB278" s="570" t="s">
        <v>2271</v>
      </c>
      <c r="BC278" s="506" t="s">
        <v>2271</v>
      </c>
      <c r="BD278" s="570" t="s">
        <v>2272</v>
      </c>
      <c r="BE278" s="573" t="s">
        <v>2272</v>
      </c>
      <c r="BF278" s="574" t="s">
        <v>2272</v>
      </c>
      <c r="BG278" s="488" t="s">
        <v>2272</v>
      </c>
      <c r="BH278" s="513" t="s">
        <v>2272</v>
      </c>
      <c r="BI278" s="513" t="s">
        <v>2272</v>
      </c>
      <c r="BJ278" s="570" t="s">
        <v>1465</v>
      </c>
      <c r="BK278" s="504"/>
    </row>
    <row r="279" spans="1:63" ht="106.5" customHeight="1">
      <c r="A279" s="523">
        <v>1</v>
      </c>
      <c r="B279" s="534" t="s">
        <v>6502</v>
      </c>
      <c r="C279" s="523" t="s">
        <v>7247</v>
      </c>
      <c r="D279" s="523" t="s">
        <v>242</v>
      </c>
      <c r="E279" s="534" t="s">
        <v>5853</v>
      </c>
      <c r="F279" s="523" t="s">
        <v>1752</v>
      </c>
      <c r="G279" s="523" t="s">
        <v>6141</v>
      </c>
      <c r="H279" s="524" t="s">
        <v>6160</v>
      </c>
      <c r="I279" s="525" t="s">
        <v>6503</v>
      </c>
      <c r="J279" s="525" t="s">
        <v>5598</v>
      </c>
      <c r="K279" s="525" t="s">
        <v>5598</v>
      </c>
      <c r="L279" s="525" t="s">
        <v>2513</v>
      </c>
      <c r="M279" s="541" t="s">
        <v>1755</v>
      </c>
      <c r="N279" s="525" t="s">
        <v>1773</v>
      </c>
      <c r="O279" s="525" t="s">
        <v>2234</v>
      </c>
      <c r="P279" s="531">
        <v>1094.77</v>
      </c>
      <c r="Q279" s="531">
        <v>1291.8285999999998</v>
      </c>
      <c r="R279" s="531">
        <v>953.83282457105827</v>
      </c>
      <c r="S279" s="523" t="s">
        <v>1774</v>
      </c>
      <c r="T279" s="542">
        <v>1.087</v>
      </c>
      <c r="U279" s="543">
        <v>1.077</v>
      </c>
      <c r="V279" s="543">
        <v>1.073</v>
      </c>
      <c r="W279" s="543">
        <v>1.071</v>
      </c>
      <c r="X279" s="544">
        <v>0.9</v>
      </c>
      <c r="Y279" s="526">
        <v>1078.3499999999999</v>
      </c>
      <c r="Z279" s="531">
        <v>1272.4529999999997</v>
      </c>
      <c r="AA279" s="531">
        <v>1090.5710725068498</v>
      </c>
      <c r="AB279" s="532">
        <v>1286.8738655580826</v>
      </c>
      <c r="AC279" s="531">
        <v>1078.3499999999999</v>
      </c>
      <c r="AD279" s="532">
        <v>1272.4529999999997</v>
      </c>
      <c r="AE279" s="494" t="s">
        <v>1775</v>
      </c>
      <c r="AF279" s="534" t="s">
        <v>83</v>
      </c>
      <c r="AG279" s="534" t="s">
        <v>211</v>
      </c>
      <c r="AH279" s="534" t="s">
        <v>545</v>
      </c>
      <c r="AI279" s="533">
        <v>41656</v>
      </c>
      <c r="AJ279" s="533">
        <v>41691</v>
      </c>
      <c r="AK279" s="534" t="s">
        <v>96</v>
      </c>
      <c r="AL279" s="534" t="s">
        <v>96</v>
      </c>
      <c r="AM279" s="525" t="s">
        <v>5599</v>
      </c>
      <c r="AN279" s="525" t="s">
        <v>6370</v>
      </c>
      <c r="AO279" s="534">
        <v>796</v>
      </c>
      <c r="AP279" s="534" t="s">
        <v>368</v>
      </c>
      <c r="AQ279" s="534">
        <v>1</v>
      </c>
      <c r="AR279" s="534">
        <v>45</v>
      </c>
      <c r="AS279" s="525" t="s">
        <v>547</v>
      </c>
      <c r="AT279" s="533">
        <v>41711</v>
      </c>
      <c r="AU279" s="533">
        <v>41711</v>
      </c>
      <c r="AV279" s="760">
        <v>41912</v>
      </c>
      <c r="AW279" s="534">
        <v>2014</v>
      </c>
      <c r="AX279" s="525"/>
      <c r="AY279" s="534" t="s">
        <v>186</v>
      </c>
      <c r="AZ279" s="534"/>
      <c r="BA279" s="534">
        <v>2014</v>
      </c>
      <c r="BB279" s="534" t="s">
        <v>6504</v>
      </c>
      <c r="BC279" s="525" t="s">
        <v>6495</v>
      </c>
      <c r="BD279" s="534" t="s">
        <v>1818</v>
      </c>
      <c r="BE279" s="545">
        <v>41912</v>
      </c>
      <c r="BF279" s="546">
        <v>1442.0779999999997</v>
      </c>
      <c r="BG279" s="488">
        <v>1442.0779999999997</v>
      </c>
      <c r="BH279" s="532">
        <v>0</v>
      </c>
      <c r="BI279" s="532">
        <v>0.34</v>
      </c>
      <c r="BJ279" s="534" t="s">
        <v>5016</v>
      </c>
      <c r="BK279" s="523"/>
    </row>
    <row r="280" spans="1:63" ht="106.5" customHeight="1">
      <c r="A280" s="523">
        <v>1</v>
      </c>
      <c r="B280" s="534" t="s">
        <v>6505</v>
      </c>
      <c r="C280" s="523" t="s">
        <v>7247</v>
      </c>
      <c r="D280" s="523" t="s">
        <v>242</v>
      </c>
      <c r="E280" s="534" t="s">
        <v>5853</v>
      </c>
      <c r="F280" s="523" t="s">
        <v>1752</v>
      </c>
      <c r="G280" s="523" t="s">
        <v>6141</v>
      </c>
      <c r="H280" s="524" t="s">
        <v>6160</v>
      </c>
      <c r="I280" s="525" t="s">
        <v>6506</v>
      </c>
      <c r="J280" s="525" t="s">
        <v>5598</v>
      </c>
      <c r="K280" s="525" t="s">
        <v>5598</v>
      </c>
      <c r="L280" s="525" t="s">
        <v>2513</v>
      </c>
      <c r="M280" s="541" t="s">
        <v>1755</v>
      </c>
      <c r="N280" s="525" t="s">
        <v>1773</v>
      </c>
      <c r="O280" s="525" t="s">
        <v>2234</v>
      </c>
      <c r="P280" s="531">
        <v>1603.3071299999999</v>
      </c>
      <c r="Q280" s="531">
        <v>1891.9024133999999</v>
      </c>
      <c r="R280" s="531">
        <v>1396.9115452870915</v>
      </c>
      <c r="S280" s="523" t="s">
        <v>1774</v>
      </c>
      <c r="T280" s="542">
        <v>1.087</v>
      </c>
      <c r="U280" s="543">
        <v>1.077</v>
      </c>
      <c r="V280" s="543">
        <v>1.073</v>
      </c>
      <c r="W280" s="543">
        <v>1.071</v>
      </c>
      <c r="X280" s="544">
        <v>0.9</v>
      </c>
      <c r="Y280" s="526">
        <v>1579.27</v>
      </c>
      <c r="Z280" s="531">
        <v>1863.5385999999999</v>
      </c>
      <c r="AA280" s="531">
        <v>1597.1680601640401</v>
      </c>
      <c r="AB280" s="532">
        <v>1884.6583109935673</v>
      </c>
      <c r="AC280" s="531">
        <v>1579.27</v>
      </c>
      <c r="AD280" s="532">
        <v>1863.5385999999999</v>
      </c>
      <c r="AE280" s="494" t="s">
        <v>1775</v>
      </c>
      <c r="AF280" s="534" t="s">
        <v>83</v>
      </c>
      <c r="AG280" s="534" t="s">
        <v>211</v>
      </c>
      <c r="AH280" s="534" t="s">
        <v>545</v>
      </c>
      <c r="AI280" s="533">
        <v>41656</v>
      </c>
      <c r="AJ280" s="533">
        <v>41691</v>
      </c>
      <c r="AK280" s="534" t="s">
        <v>96</v>
      </c>
      <c r="AL280" s="534" t="s">
        <v>96</v>
      </c>
      <c r="AM280" s="525" t="s">
        <v>5599</v>
      </c>
      <c r="AN280" s="525" t="s">
        <v>6370</v>
      </c>
      <c r="AO280" s="534">
        <v>796</v>
      </c>
      <c r="AP280" s="534" t="s">
        <v>368</v>
      </c>
      <c r="AQ280" s="534">
        <v>1</v>
      </c>
      <c r="AR280" s="534">
        <v>45</v>
      </c>
      <c r="AS280" s="525" t="s">
        <v>547</v>
      </c>
      <c r="AT280" s="533">
        <v>41711</v>
      </c>
      <c r="AU280" s="533">
        <v>41711</v>
      </c>
      <c r="AV280" s="760">
        <v>41912</v>
      </c>
      <c r="AW280" s="534">
        <v>2014</v>
      </c>
      <c r="AX280" s="525"/>
      <c r="AY280" s="534" t="s">
        <v>186</v>
      </c>
      <c r="AZ280" s="534"/>
      <c r="BA280" s="534">
        <v>2014</v>
      </c>
      <c r="BB280" s="534" t="s">
        <v>6507</v>
      </c>
      <c r="BC280" s="525" t="s">
        <v>6499</v>
      </c>
      <c r="BD280" s="534" t="s">
        <v>1818</v>
      </c>
      <c r="BE280" s="545">
        <v>41912</v>
      </c>
      <c r="BF280" s="546">
        <v>2105.7453999999998</v>
      </c>
      <c r="BG280" s="488">
        <v>2105.7453999999998</v>
      </c>
      <c r="BH280" s="532">
        <v>0</v>
      </c>
      <c r="BI280" s="532">
        <v>0.5</v>
      </c>
      <c r="BJ280" s="534" t="s">
        <v>5016</v>
      </c>
      <c r="BK280" s="523"/>
    </row>
    <row r="281" spans="1:63" ht="106.5" customHeight="1">
      <c r="A281" s="523">
        <v>1</v>
      </c>
      <c r="B281" s="534" t="s">
        <v>6508</v>
      </c>
      <c r="C281" s="523" t="s">
        <v>7247</v>
      </c>
      <c r="D281" s="523" t="s">
        <v>242</v>
      </c>
      <c r="E281" s="534" t="s">
        <v>5853</v>
      </c>
      <c r="F281" s="523" t="s">
        <v>1752</v>
      </c>
      <c r="G281" s="523" t="s">
        <v>6141</v>
      </c>
      <c r="H281" s="524" t="s">
        <v>6160</v>
      </c>
      <c r="I281" s="525" t="s">
        <v>6509</v>
      </c>
      <c r="J281" s="525" t="s">
        <v>5598</v>
      </c>
      <c r="K281" s="525" t="s">
        <v>5598</v>
      </c>
      <c r="L281" s="525" t="s">
        <v>2513</v>
      </c>
      <c r="M281" s="541" t="s">
        <v>1755</v>
      </c>
      <c r="N281" s="525" t="s">
        <v>1773</v>
      </c>
      <c r="O281" s="525" t="s">
        <v>2234</v>
      </c>
      <c r="P281" s="531">
        <v>1184.9002700000001</v>
      </c>
      <c r="Q281" s="531">
        <v>1398.1823186000001</v>
      </c>
      <c r="R281" s="531">
        <v>1032.3613896616305</v>
      </c>
      <c r="S281" s="523" t="s">
        <v>1774</v>
      </c>
      <c r="T281" s="542">
        <v>1.087</v>
      </c>
      <c r="U281" s="543">
        <v>1.077</v>
      </c>
      <c r="V281" s="543">
        <v>1.073</v>
      </c>
      <c r="W281" s="543">
        <v>1.071</v>
      </c>
      <c r="X281" s="544">
        <v>0.9</v>
      </c>
      <c r="Y281" s="526">
        <v>1167.1300000000001</v>
      </c>
      <c r="Z281" s="531">
        <v>1377.2134000000001</v>
      </c>
      <c r="AA281" s="531">
        <v>1180.3572271107892</v>
      </c>
      <c r="AB281" s="532">
        <v>1392.8215279907311</v>
      </c>
      <c r="AC281" s="531">
        <v>1167.1300000000001</v>
      </c>
      <c r="AD281" s="532">
        <v>1377.2134000000001</v>
      </c>
      <c r="AE281" s="494" t="s">
        <v>1775</v>
      </c>
      <c r="AF281" s="534" t="s">
        <v>83</v>
      </c>
      <c r="AG281" s="534" t="s">
        <v>211</v>
      </c>
      <c r="AH281" s="534" t="s">
        <v>545</v>
      </c>
      <c r="AI281" s="533">
        <v>41656</v>
      </c>
      <c r="AJ281" s="533">
        <v>41691</v>
      </c>
      <c r="AK281" s="534" t="s">
        <v>96</v>
      </c>
      <c r="AL281" s="534" t="s">
        <v>96</v>
      </c>
      <c r="AM281" s="525" t="s">
        <v>5599</v>
      </c>
      <c r="AN281" s="525" t="s">
        <v>6370</v>
      </c>
      <c r="AO281" s="534">
        <v>796</v>
      </c>
      <c r="AP281" s="534" t="s">
        <v>368</v>
      </c>
      <c r="AQ281" s="534">
        <v>1</v>
      </c>
      <c r="AR281" s="534">
        <v>45</v>
      </c>
      <c r="AS281" s="525" t="s">
        <v>547</v>
      </c>
      <c r="AT281" s="533">
        <v>41711</v>
      </c>
      <c r="AU281" s="533">
        <v>41711</v>
      </c>
      <c r="AV281" s="760">
        <v>41912</v>
      </c>
      <c r="AW281" s="534">
        <v>2014</v>
      </c>
      <c r="AX281" s="525"/>
      <c r="AY281" s="534" t="s">
        <v>186</v>
      </c>
      <c r="AZ281" s="534"/>
      <c r="BA281" s="534">
        <v>2014</v>
      </c>
      <c r="BB281" s="534" t="s">
        <v>6510</v>
      </c>
      <c r="BC281" s="525" t="s">
        <v>6499</v>
      </c>
      <c r="BD281" s="534" t="s">
        <v>1818</v>
      </c>
      <c r="BE281" s="545">
        <v>41912</v>
      </c>
      <c r="BF281" s="546">
        <v>1556.2163201999999</v>
      </c>
      <c r="BG281" s="488">
        <v>1556.2163201999999</v>
      </c>
      <c r="BH281" s="532">
        <v>0</v>
      </c>
      <c r="BI281" s="532">
        <v>0.4</v>
      </c>
      <c r="BJ281" s="534" t="s">
        <v>5016</v>
      </c>
      <c r="BK281" s="523"/>
    </row>
    <row r="282" spans="1:63" ht="96.75" customHeight="1">
      <c r="A282" s="504">
        <v>1</v>
      </c>
      <c r="B282" s="570" t="s">
        <v>6511</v>
      </c>
      <c r="C282" s="504" t="s">
        <v>83</v>
      </c>
      <c r="D282" s="504" t="s">
        <v>242</v>
      </c>
      <c r="E282" s="570" t="s">
        <v>5853</v>
      </c>
      <c r="F282" s="504" t="s">
        <v>1752</v>
      </c>
      <c r="G282" s="504" t="s">
        <v>6141</v>
      </c>
      <c r="H282" s="517">
        <v>854511</v>
      </c>
      <c r="I282" s="506" t="s">
        <v>6512</v>
      </c>
      <c r="J282" s="506" t="s">
        <v>5598</v>
      </c>
      <c r="K282" s="506" t="s">
        <v>5598</v>
      </c>
      <c r="L282" s="506" t="s">
        <v>2513</v>
      </c>
      <c r="M282" s="571" t="s">
        <v>1755</v>
      </c>
      <c r="N282" s="506" t="s">
        <v>1773</v>
      </c>
      <c r="O282" s="506" t="s">
        <v>2234</v>
      </c>
      <c r="P282" s="512">
        <v>4272.21738</v>
      </c>
      <c r="Q282" s="512">
        <v>5041.2165083999998</v>
      </c>
      <c r="R282" s="512">
        <v>3722.2168350370544</v>
      </c>
      <c r="S282" s="504" t="s">
        <v>1774</v>
      </c>
      <c r="T282" s="572">
        <v>1.087</v>
      </c>
      <c r="U282" s="572">
        <v>1.077</v>
      </c>
      <c r="V282" s="572">
        <v>1.073</v>
      </c>
      <c r="W282" s="572">
        <v>1.071</v>
      </c>
      <c r="X282" s="511">
        <v>0.9</v>
      </c>
      <c r="Y282" s="507">
        <v>4208.13</v>
      </c>
      <c r="Z282" s="512">
        <v>4965.5933999999997</v>
      </c>
      <c r="AA282" s="512">
        <v>3900.4458767381043</v>
      </c>
      <c r="AB282" s="513">
        <v>4602.5261345509625</v>
      </c>
      <c r="AC282" s="512">
        <v>3900.4458767381043</v>
      </c>
      <c r="AD282" s="513">
        <v>4602.5261345509625</v>
      </c>
      <c r="AE282" s="494" t="s">
        <v>1775</v>
      </c>
      <c r="AF282" s="570" t="s">
        <v>83</v>
      </c>
      <c r="AG282" s="570" t="s">
        <v>211</v>
      </c>
      <c r="AH282" s="570" t="s">
        <v>545</v>
      </c>
      <c r="AI282" s="515">
        <v>41656</v>
      </c>
      <c r="AJ282" s="515">
        <v>41691</v>
      </c>
      <c r="AK282" s="570" t="s">
        <v>96</v>
      </c>
      <c r="AL282" s="570" t="s">
        <v>96</v>
      </c>
      <c r="AM282" s="506" t="s">
        <v>5599</v>
      </c>
      <c r="AN282" s="506" t="s">
        <v>6370</v>
      </c>
      <c r="AO282" s="570">
        <v>796</v>
      </c>
      <c r="AP282" s="570" t="s">
        <v>368</v>
      </c>
      <c r="AQ282" s="570">
        <v>1</v>
      </c>
      <c r="AR282" s="570">
        <v>45</v>
      </c>
      <c r="AS282" s="506" t="s">
        <v>547</v>
      </c>
      <c r="AT282" s="515">
        <v>41711</v>
      </c>
      <c r="AU282" s="515">
        <v>41711</v>
      </c>
      <c r="AV282" s="759">
        <v>41912</v>
      </c>
      <c r="AW282" s="570">
        <v>2014</v>
      </c>
      <c r="AX282" s="506"/>
      <c r="AY282" s="570" t="s">
        <v>186</v>
      </c>
      <c r="AZ282" s="570"/>
      <c r="BA282" s="570">
        <v>2014</v>
      </c>
      <c r="BB282" s="570" t="s">
        <v>2271</v>
      </c>
      <c r="BC282" s="506" t="s">
        <v>2271</v>
      </c>
      <c r="BD282" s="570" t="s">
        <v>2272</v>
      </c>
      <c r="BE282" s="573" t="s">
        <v>2272</v>
      </c>
      <c r="BF282" s="574" t="s">
        <v>2272</v>
      </c>
      <c r="BG282" s="488" t="s">
        <v>2272</v>
      </c>
      <c r="BH282" s="513" t="s">
        <v>2272</v>
      </c>
      <c r="BI282" s="513" t="s">
        <v>2272</v>
      </c>
      <c r="BJ282" s="570" t="s">
        <v>1465</v>
      </c>
      <c r="BK282" s="504"/>
    </row>
    <row r="283" spans="1:63" ht="106.5" customHeight="1">
      <c r="A283" s="523">
        <v>1</v>
      </c>
      <c r="B283" s="534" t="s">
        <v>6513</v>
      </c>
      <c r="C283" s="523" t="s">
        <v>7247</v>
      </c>
      <c r="D283" s="523" t="s">
        <v>242</v>
      </c>
      <c r="E283" s="534" t="s">
        <v>5853</v>
      </c>
      <c r="F283" s="523" t="s">
        <v>1752</v>
      </c>
      <c r="G283" s="523" t="s">
        <v>6141</v>
      </c>
      <c r="H283" s="524" t="s">
        <v>6160</v>
      </c>
      <c r="I283" s="525" t="s">
        <v>6514</v>
      </c>
      <c r="J283" s="525" t="s">
        <v>5598</v>
      </c>
      <c r="K283" s="525" t="s">
        <v>5598</v>
      </c>
      <c r="L283" s="525" t="s">
        <v>2513</v>
      </c>
      <c r="M283" s="541" t="s">
        <v>1755</v>
      </c>
      <c r="N283" s="525" t="s">
        <v>1773</v>
      </c>
      <c r="O283" s="525" t="s">
        <v>2234</v>
      </c>
      <c r="P283" s="531">
        <v>1184.9002700000001</v>
      </c>
      <c r="Q283" s="531">
        <v>1398.1823186000001</v>
      </c>
      <c r="R283" s="531">
        <v>1032.3613896616305</v>
      </c>
      <c r="S283" s="523" t="s">
        <v>1774</v>
      </c>
      <c r="T283" s="542">
        <v>1.087</v>
      </c>
      <c r="U283" s="543">
        <v>1.077</v>
      </c>
      <c r="V283" s="543">
        <v>1.073</v>
      </c>
      <c r="W283" s="543">
        <v>1.071</v>
      </c>
      <c r="X283" s="544">
        <v>0.9</v>
      </c>
      <c r="Y283" s="526">
        <v>1167.1300000000001</v>
      </c>
      <c r="Z283" s="531">
        <v>1377.2134000000001</v>
      </c>
      <c r="AA283" s="531">
        <v>1180.3572271107892</v>
      </c>
      <c r="AB283" s="532">
        <v>1392.8215279907311</v>
      </c>
      <c r="AC283" s="531">
        <v>1167.1300000000001</v>
      </c>
      <c r="AD283" s="532">
        <v>1377.2134000000001</v>
      </c>
      <c r="AE283" s="494" t="s">
        <v>1775</v>
      </c>
      <c r="AF283" s="534" t="s">
        <v>83</v>
      </c>
      <c r="AG283" s="534" t="s">
        <v>211</v>
      </c>
      <c r="AH283" s="534" t="s">
        <v>545</v>
      </c>
      <c r="AI283" s="533">
        <v>41656</v>
      </c>
      <c r="AJ283" s="533">
        <v>41691</v>
      </c>
      <c r="AK283" s="534" t="s">
        <v>96</v>
      </c>
      <c r="AL283" s="534" t="s">
        <v>96</v>
      </c>
      <c r="AM283" s="525" t="s">
        <v>5599</v>
      </c>
      <c r="AN283" s="525" t="s">
        <v>6370</v>
      </c>
      <c r="AO283" s="534">
        <v>796</v>
      </c>
      <c r="AP283" s="534" t="s">
        <v>368</v>
      </c>
      <c r="AQ283" s="534">
        <v>1</v>
      </c>
      <c r="AR283" s="534">
        <v>45</v>
      </c>
      <c r="AS283" s="525" t="s">
        <v>547</v>
      </c>
      <c r="AT283" s="533">
        <v>41711</v>
      </c>
      <c r="AU283" s="533">
        <v>41711</v>
      </c>
      <c r="AV283" s="760">
        <v>41912</v>
      </c>
      <c r="AW283" s="534">
        <v>2014</v>
      </c>
      <c r="AX283" s="525"/>
      <c r="AY283" s="534" t="s">
        <v>186</v>
      </c>
      <c r="AZ283" s="534"/>
      <c r="BA283" s="534">
        <v>2014</v>
      </c>
      <c r="BB283" s="534" t="s">
        <v>6515</v>
      </c>
      <c r="BC283" s="525" t="s">
        <v>6516</v>
      </c>
      <c r="BD283" s="534" t="s">
        <v>1818</v>
      </c>
      <c r="BE283" s="545">
        <v>41912</v>
      </c>
      <c r="BF283" s="546">
        <v>1556.2163201999999</v>
      </c>
      <c r="BG283" s="488">
        <v>1556.2163201999999</v>
      </c>
      <c r="BH283" s="532">
        <v>0</v>
      </c>
      <c r="BI283" s="532">
        <v>0.4</v>
      </c>
      <c r="BJ283" s="534" t="s">
        <v>5016</v>
      </c>
      <c r="BK283" s="523"/>
    </row>
    <row r="284" spans="1:63" ht="106.5" customHeight="1">
      <c r="A284" s="523">
        <v>1</v>
      </c>
      <c r="B284" s="534" t="s">
        <v>6517</v>
      </c>
      <c r="C284" s="523" t="s">
        <v>7247</v>
      </c>
      <c r="D284" s="523" t="s">
        <v>242</v>
      </c>
      <c r="E284" s="534" t="s">
        <v>5853</v>
      </c>
      <c r="F284" s="523" t="s">
        <v>1752</v>
      </c>
      <c r="G284" s="523" t="s">
        <v>6141</v>
      </c>
      <c r="H284" s="524" t="s">
        <v>6160</v>
      </c>
      <c r="I284" s="525" t="s">
        <v>6518</v>
      </c>
      <c r="J284" s="525" t="s">
        <v>5598</v>
      </c>
      <c r="K284" s="525" t="s">
        <v>5598</v>
      </c>
      <c r="L284" s="525" t="s">
        <v>2513</v>
      </c>
      <c r="M284" s="541" t="s">
        <v>1755</v>
      </c>
      <c r="N284" s="525" t="s">
        <v>1773</v>
      </c>
      <c r="O284" s="525" t="s">
        <v>2234</v>
      </c>
      <c r="P284" s="531">
        <v>1481.12284</v>
      </c>
      <c r="Q284" s="531">
        <v>1747.7249511999999</v>
      </c>
      <c r="R284" s="531">
        <v>1290.4406804532082</v>
      </c>
      <c r="S284" s="523" t="s">
        <v>1774</v>
      </c>
      <c r="T284" s="542">
        <v>1.087</v>
      </c>
      <c r="U284" s="543">
        <v>1.077</v>
      </c>
      <c r="V284" s="543">
        <v>1.073</v>
      </c>
      <c r="W284" s="543">
        <v>1.071</v>
      </c>
      <c r="X284" s="544">
        <v>0.9</v>
      </c>
      <c r="Y284" s="526">
        <v>1458.9</v>
      </c>
      <c r="Z284" s="531">
        <v>1721.502</v>
      </c>
      <c r="AA284" s="531">
        <v>1120.0585167269703</v>
      </c>
      <c r="AB284" s="532">
        <v>1321.6690497378249</v>
      </c>
      <c r="AC284" s="531">
        <v>1120.0585167269703</v>
      </c>
      <c r="AD284" s="532">
        <v>1321.6690497378249</v>
      </c>
      <c r="AE284" s="494" t="s">
        <v>1775</v>
      </c>
      <c r="AF284" s="534" t="s">
        <v>83</v>
      </c>
      <c r="AG284" s="534" t="s">
        <v>211</v>
      </c>
      <c r="AH284" s="534" t="s">
        <v>545</v>
      </c>
      <c r="AI284" s="533">
        <v>41656</v>
      </c>
      <c r="AJ284" s="533">
        <v>41691</v>
      </c>
      <c r="AK284" s="534" t="s">
        <v>96</v>
      </c>
      <c r="AL284" s="534" t="s">
        <v>96</v>
      </c>
      <c r="AM284" s="525" t="s">
        <v>5599</v>
      </c>
      <c r="AN284" s="525" t="s">
        <v>6370</v>
      </c>
      <c r="AO284" s="534">
        <v>796</v>
      </c>
      <c r="AP284" s="534" t="s">
        <v>368</v>
      </c>
      <c r="AQ284" s="534">
        <v>1</v>
      </c>
      <c r="AR284" s="534">
        <v>45</v>
      </c>
      <c r="AS284" s="525" t="s">
        <v>547</v>
      </c>
      <c r="AT284" s="533">
        <v>41711</v>
      </c>
      <c r="AU284" s="533">
        <v>41711</v>
      </c>
      <c r="AV284" s="760">
        <v>41912</v>
      </c>
      <c r="AW284" s="534">
        <v>2014</v>
      </c>
      <c r="AX284" s="525"/>
      <c r="AY284" s="534" t="s">
        <v>186</v>
      </c>
      <c r="AZ284" s="534"/>
      <c r="BA284" s="534">
        <v>2014</v>
      </c>
      <c r="BB284" s="534" t="s">
        <v>6519</v>
      </c>
      <c r="BC284" s="525" t="s">
        <v>6520</v>
      </c>
      <c r="BD284" s="534" t="s">
        <v>1818</v>
      </c>
      <c r="BE284" s="545">
        <v>41912</v>
      </c>
      <c r="BF284" s="546">
        <v>1945.2704031999999</v>
      </c>
      <c r="BG284" s="488">
        <v>1945.2704031999999</v>
      </c>
      <c r="BH284" s="532">
        <v>0</v>
      </c>
      <c r="BI284" s="532">
        <v>0.5</v>
      </c>
      <c r="BJ284" s="534" t="s">
        <v>5016</v>
      </c>
      <c r="BK284" s="523"/>
    </row>
    <row r="285" spans="1:63" ht="106.5" customHeight="1">
      <c r="A285" s="523">
        <v>1</v>
      </c>
      <c r="B285" s="534" t="s">
        <v>6521</v>
      </c>
      <c r="C285" s="523" t="s">
        <v>7247</v>
      </c>
      <c r="D285" s="523" t="s">
        <v>242</v>
      </c>
      <c r="E285" s="534" t="s">
        <v>5853</v>
      </c>
      <c r="F285" s="523" t="s">
        <v>1752</v>
      </c>
      <c r="G285" s="523" t="s">
        <v>6141</v>
      </c>
      <c r="H285" s="524" t="s">
        <v>6160</v>
      </c>
      <c r="I285" s="525" t="s">
        <v>6522</v>
      </c>
      <c r="J285" s="525" t="s">
        <v>5598</v>
      </c>
      <c r="K285" s="525" t="s">
        <v>5598</v>
      </c>
      <c r="L285" s="525" t="s">
        <v>2513</v>
      </c>
      <c r="M285" s="541" t="s">
        <v>1755</v>
      </c>
      <c r="N285" s="525" t="s">
        <v>1773</v>
      </c>
      <c r="O285" s="525" t="s">
        <v>2234</v>
      </c>
      <c r="P285" s="531">
        <v>1606.19427</v>
      </c>
      <c r="Q285" s="531">
        <v>1895.3092385999998</v>
      </c>
      <c r="R285" s="531">
        <v>1399.4147649222155</v>
      </c>
      <c r="S285" s="523" t="s">
        <v>1774</v>
      </c>
      <c r="T285" s="542">
        <v>1.087</v>
      </c>
      <c r="U285" s="543">
        <v>1.077</v>
      </c>
      <c r="V285" s="543">
        <v>1.073</v>
      </c>
      <c r="W285" s="543">
        <v>1.071</v>
      </c>
      <c r="X285" s="544">
        <v>0.9</v>
      </c>
      <c r="Y285" s="526">
        <v>1582.1</v>
      </c>
      <c r="Z285" s="531">
        <v>1866.8779999999997</v>
      </c>
      <c r="AA285" s="531">
        <v>1600.0301329003446</v>
      </c>
      <c r="AB285" s="532">
        <v>1888.0355568224065</v>
      </c>
      <c r="AC285" s="531">
        <v>1582.1</v>
      </c>
      <c r="AD285" s="532">
        <v>1866.8779999999997</v>
      </c>
      <c r="AE285" s="494" t="s">
        <v>1775</v>
      </c>
      <c r="AF285" s="534" t="s">
        <v>83</v>
      </c>
      <c r="AG285" s="534" t="s">
        <v>211</v>
      </c>
      <c r="AH285" s="534" t="s">
        <v>545</v>
      </c>
      <c r="AI285" s="533">
        <v>41656</v>
      </c>
      <c r="AJ285" s="533">
        <v>41691</v>
      </c>
      <c r="AK285" s="534" t="s">
        <v>96</v>
      </c>
      <c r="AL285" s="534" t="s">
        <v>96</v>
      </c>
      <c r="AM285" s="525" t="s">
        <v>5599</v>
      </c>
      <c r="AN285" s="525" t="s">
        <v>6370</v>
      </c>
      <c r="AO285" s="534">
        <v>796</v>
      </c>
      <c r="AP285" s="534" t="s">
        <v>368</v>
      </c>
      <c r="AQ285" s="534">
        <v>1</v>
      </c>
      <c r="AR285" s="534">
        <v>45</v>
      </c>
      <c r="AS285" s="525" t="s">
        <v>547</v>
      </c>
      <c r="AT285" s="533">
        <v>41711</v>
      </c>
      <c r="AU285" s="533">
        <v>41711</v>
      </c>
      <c r="AV285" s="760">
        <v>41912</v>
      </c>
      <c r="AW285" s="534">
        <v>2014</v>
      </c>
      <c r="AX285" s="525"/>
      <c r="AY285" s="534" t="s">
        <v>186</v>
      </c>
      <c r="AZ285" s="534"/>
      <c r="BA285" s="534">
        <v>2014</v>
      </c>
      <c r="BB285" s="534" t="s">
        <v>6523</v>
      </c>
      <c r="BC285" s="525" t="s">
        <v>6524</v>
      </c>
      <c r="BD285" s="534" t="s">
        <v>1818</v>
      </c>
      <c r="BE285" s="545">
        <v>41912</v>
      </c>
      <c r="BF285" s="546">
        <v>2105.9531861999999</v>
      </c>
      <c r="BG285" s="488">
        <v>2105.9531861999999</v>
      </c>
      <c r="BH285" s="532">
        <v>0</v>
      </c>
      <c r="BI285" s="532">
        <v>0.5</v>
      </c>
      <c r="BJ285" s="534" t="s">
        <v>5016</v>
      </c>
      <c r="BK285" s="523"/>
    </row>
    <row r="286" spans="1:63" ht="96.75" customHeight="1">
      <c r="A286" s="504">
        <v>1</v>
      </c>
      <c r="B286" s="570" t="s">
        <v>6525</v>
      </c>
      <c r="C286" s="504" t="s">
        <v>83</v>
      </c>
      <c r="D286" s="504" t="s">
        <v>242</v>
      </c>
      <c r="E286" s="570" t="s">
        <v>5853</v>
      </c>
      <c r="F286" s="504" t="s">
        <v>1752</v>
      </c>
      <c r="G286" s="504" t="s">
        <v>6141</v>
      </c>
      <c r="H286" s="517" t="s">
        <v>6526</v>
      </c>
      <c r="I286" s="506" t="s">
        <v>6527</v>
      </c>
      <c r="J286" s="506" t="s">
        <v>5598</v>
      </c>
      <c r="K286" s="506" t="s">
        <v>5598</v>
      </c>
      <c r="L286" s="506" t="s">
        <v>2513</v>
      </c>
      <c r="M286" s="571" t="s">
        <v>1755</v>
      </c>
      <c r="N286" s="506" t="s">
        <v>1773</v>
      </c>
      <c r="O286" s="506" t="s">
        <v>2234</v>
      </c>
      <c r="P286" s="512">
        <v>4269.3302400000002</v>
      </c>
      <c r="Q286" s="512">
        <v>5037.8096832000001</v>
      </c>
      <c r="R286" s="512">
        <v>3719.7136154019299</v>
      </c>
      <c r="S286" s="504" t="s">
        <v>1774</v>
      </c>
      <c r="T286" s="572">
        <v>1.087</v>
      </c>
      <c r="U286" s="572">
        <v>1.077</v>
      </c>
      <c r="V286" s="572">
        <v>1.073</v>
      </c>
      <c r="W286" s="572">
        <v>1.071</v>
      </c>
      <c r="X286" s="511">
        <v>0.9</v>
      </c>
      <c r="Y286" s="507">
        <v>4205.3</v>
      </c>
      <c r="Z286" s="512">
        <v>4962.2539999999999</v>
      </c>
      <c r="AA286" s="512">
        <v>4252.9591794992866</v>
      </c>
      <c r="AB286" s="513">
        <v>5018.4918318091577</v>
      </c>
      <c r="AC286" s="512">
        <v>4205.3</v>
      </c>
      <c r="AD286" s="513">
        <v>4962.2539999999999</v>
      </c>
      <c r="AE286" s="494" t="s">
        <v>1775</v>
      </c>
      <c r="AF286" s="570" t="s">
        <v>83</v>
      </c>
      <c r="AG286" s="570" t="s">
        <v>211</v>
      </c>
      <c r="AH286" s="570" t="s">
        <v>545</v>
      </c>
      <c r="AI286" s="515">
        <v>41656</v>
      </c>
      <c r="AJ286" s="515">
        <v>41691</v>
      </c>
      <c r="AK286" s="570" t="s">
        <v>96</v>
      </c>
      <c r="AL286" s="570" t="s">
        <v>96</v>
      </c>
      <c r="AM286" s="506" t="s">
        <v>5599</v>
      </c>
      <c r="AN286" s="506" t="s">
        <v>6370</v>
      </c>
      <c r="AO286" s="570">
        <v>796</v>
      </c>
      <c r="AP286" s="570" t="s">
        <v>368</v>
      </c>
      <c r="AQ286" s="570">
        <v>1</v>
      </c>
      <c r="AR286" s="570">
        <v>45</v>
      </c>
      <c r="AS286" s="506" t="s">
        <v>547</v>
      </c>
      <c r="AT286" s="515">
        <v>41711</v>
      </c>
      <c r="AU286" s="515">
        <v>41711</v>
      </c>
      <c r="AV286" s="759">
        <v>41912</v>
      </c>
      <c r="AW286" s="570">
        <v>2014</v>
      </c>
      <c r="AX286" s="506"/>
      <c r="AY286" s="570" t="s">
        <v>186</v>
      </c>
      <c r="AZ286" s="570"/>
      <c r="BA286" s="570">
        <v>2014</v>
      </c>
      <c r="BB286" s="570" t="s">
        <v>2271</v>
      </c>
      <c r="BC286" s="506" t="s">
        <v>2271</v>
      </c>
      <c r="BD286" s="570" t="s">
        <v>2272</v>
      </c>
      <c r="BE286" s="573" t="s">
        <v>2272</v>
      </c>
      <c r="BF286" s="574" t="s">
        <v>2272</v>
      </c>
      <c r="BG286" s="488" t="s">
        <v>2272</v>
      </c>
      <c r="BH286" s="513" t="s">
        <v>2272</v>
      </c>
      <c r="BI286" s="513" t="s">
        <v>2272</v>
      </c>
      <c r="BJ286" s="570" t="s">
        <v>1465</v>
      </c>
      <c r="BK286" s="504"/>
    </row>
    <row r="287" spans="1:63" ht="106.5" customHeight="1">
      <c r="A287" s="523">
        <v>1</v>
      </c>
      <c r="B287" s="534" t="s">
        <v>6528</v>
      </c>
      <c r="C287" s="523" t="s">
        <v>7247</v>
      </c>
      <c r="D287" s="523" t="s">
        <v>242</v>
      </c>
      <c r="E287" s="534" t="s">
        <v>5853</v>
      </c>
      <c r="F287" s="523" t="s">
        <v>1752</v>
      </c>
      <c r="G287" s="523" t="s">
        <v>6141</v>
      </c>
      <c r="H287" s="524" t="s">
        <v>6160</v>
      </c>
      <c r="I287" s="525" t="s">
        <v>6529</v>
      </c>
      <c r="J287" s="525" t="s">
        <v>5598</v>
      </c>
      <c r="K287" s="525" t="s">
        <v>5598</v>
      </c>
      <c r="L287" s="525" t="s">
        <v>2513</v>
      </c>
      <c r="M287" s="541" t="s">
        <v>1755</v>
      </c>
      <c r="N287" s="525" t="s">
        <v>1773</v>
      </c>
      <c r="O287" s="525" t="s">
        <v>2234</v>
      </c>
      <c r="P287" s="531">
        <v>1481.12284</v>
      </c>
      <c r="Q287" s="531">
        <v>1747.7249511999999</v>
      </c>
      <c r="R287" s="531">
        <v>1290.4406804532082</v>
      </c>
      <c r="S287" s="523" t="s">
        <v>1774</v>
      </c>
      <c r="T287" s="542">
        <v>1.087</v>
      </c>
      <c r="U287" s="543">
        <v>1.077</v>
      </c>
      <c r="V287" s="543">
        <v>1.073</v>
      </c>
      <c r="W287" s="543">
        <v>1.071</v>
      </c>
      <c r="X287" s="544">
        <v>0.9</v>
      </c>
      <c r="Y287" s="526">
        <v>1458.9</v>
      </c>
      <c r="Z287" s="531">
        <v>1721.502</v>
      </c>
      <c r="AA287" s="531">
        <v>1475.4338922244569</v>
      </c>
      <c r="AB287" s="532">
        <v>1741.0119928248591</v>
      </c>
      <c r="AC287" s="531">
        <v>1458.9</v>
      </c>
      <c r="AD287" s="532">
        <v>1721.502</v>
      </c>
      <c r="AE287" s="494" t="s">
        <v>1775</v>
      </c>
      <c r="AF287" s="534" t="s">
        <v>83</v>
      </c>
      <c r="AG287" s="534" t="s">
        <v>211</v>
      </c>
      <c r="AH287" s="534" t="s">
        <v>545</v>
      </c>
      <c r="AI287" s="533">
        <v>41656</v>
      </c>
      <c r="AJ287" s="533">
        <v>41691</v>
      </c>
      <c r="AK287" s="534" t="s">
        <v>96</v>
      </c>
      <c r="AL287" s="534" t="s">
        <v>96</v>
      </c>
      <c r="AM287" s="525" t="s">
        <v>5599</v>
      </c>
      <c r="AN287" s="525" t="s">
        <v>6370</v>
      </c>
      <c r="AO287" s="534">
        <v>796</v>
      </c>
      <c r="AP287" s="534" t="s">
        <v>368</v>
      </c>
      <c r="AQ287" s="534">
        <v>1</v>
      </c>
      <c r="AR287" s="534">
        <v>45</v>
      </c>
      <c r="AS287" s="525" t="s">
        <v>547</v>
      </c>
      <c r="AT287" s="533">
        <v>41711</v>
      </c>
      <c r="AU287" s="533">
        <v>41711</v>
      </c>
      <c r="AV287" s="760">
        <v>41912</v>
      </c>
      <c r="AW287" s="534">
        <v>2014</v>
      </c>
      <c r="AX287" s="525"/>
      <c r="AY287" s="534" t="s">
        <v>186</v>
      </c>
      <c r="AZ287" s="534"/>
      <c r="BA287" s="534">
        <v>2014</v>
      </c>
      <c r="BB287" s="534" t="s">
        <v>6530</v>
      </c>
      <c r="BC287" s="525" t="s">
        <v>6531</v>
      </c>
      <c r="BD287" s="534" t="s">
        <v>1818</v>
      </c>
      <c r="BE287" s="545">
        <v>41912</v>
      </c>
      <c r="BF287" s="546">
        <v>1945.2704031999999</v>
      </c>
      <c r="BG287" s="488">
        <v>1945.2704031999999</v>
      </c>
      <c r="BH287" s="532">
        <v>0</v>
      </c>
      <c r="BI287" s="532">
        <v>0.5</v>
      </c>
      <c r="BJ287" s="534" t="s">
        <v>5016</v>
      </c>
      <c r="BK287" s="523"/>
    </row>
    <row r="288" spans="1:63" ht="106.5" customHeight="1">
      <c r="A288" s="523">
        <v>1</v>
      </c>
      <c r="B288" s="534" t="s">
        <v>6532</v>
      </c>
      <c r="C288" s="523" t="s">
        <v>7247</v>
      </c>
      <c r="D288" s="523" t="s">
        <v>242</v>
      </c>
      <c r="E288" s="534" t="s">
        <v>5853</v>
      </c>
      <c r="F288" s="523" t="s">
        <v>1752</v>
      </c>
      <c r="G288" s="523" t="s">
        <v>6141</v>
      </c>
      <c r="H288" s="524" t="s">
        <v>6160</v>
      </c>
      <c r="I288" s="525" t="s">
        <v>6533</v>
      </c>
      <c r="J288" s="525" t="s">
        <v>5598</v>
      </c>
      <c r="K288" s="525" t="s">
        <v>5598</v>
      </c>
      <c r="L288" s="525" t="s">
        <v>2513</v>
      </c>
      <c r="M288" s="541" t="s">
        <v>1755</v>
      </c>
      <c r="N288" s="525" t="s">
        <v>1773</v>
      </c>
      <c r="O288" s="525" t="s">
        <v>2234</v>
      </c>
      <c r="P288" s="531">
        <v>1603.3071299999999</v>
      </c>
      <c r="Q288" s="531">
        <v>1891.9024133999999</v>
      </c>
      <c r="R288" s="531">
        <v>1396.9115452870915</v>
      </c>
      <c r="S288" s="523" t="s">
        <v>1774</v>
      </c>
      <c r="T288" s="542">
        <v>1.087</v>
      </c>
      <c r="U288" s="543">
        <v>1.077</v>
      </c>
      <c r="V288" s="543">
        <v>1.073</v>
      </c>
      <c r="W288" s="543">
        <v>1.071</v>
      </c>
      <c r="X288" s="544">
        <v>0.9</v>
      </c>
      <c r="Y288" s="526">
        <v>1579.27</v>
      </c>
      <c r="Z288" s="531">
        <v>1863.5385999999999</v>
      </c>
      <c r="AA288" s="531">
        <v>1597.1680601640401</v>
      </c>
      <c r="AB288" s="532">
        <v>1884.6583109935673</v>
      </c>
      <c r="AC288" s="531">
        <v>1579.27</v>
      </c>
      <c r="AD288" s="532">
        <v>1863.5385999999999</v>
      </c>
      <c r="AE288" s="494" t="s">
        <v>1775</v>
      </c>
      <c r="AF288" s="534" t="s">
        <v>83</v>
      </c>
      <c r="AG288" s="534" t="s">
        <v>211</v>
      </c>
      <c r="AH288" s="534" t="s">
        <v>545</v>
      </c>
      <c r="AI288" s="533">
        <v>41656</v>
      </c>
      <c r="AJ288" s="533">
        <v>41691</v>
      </c>
      <c r="AK288" s="534" t="s">
        <v>96</v>
      </c>
      <c r="AL288" s="534" t="s">
        <v>96</v>
      </c>
      <c r="AM288" s="525" t="s">
        <v>5599</v>
      </c>
      <c r="AN288" s="525" t="s">
        <v>6370</v>
      </c>
      <c r="AO288" s="534">
        <v>796</v>
      </c>
      <c r="AP288" s="534" t="s">
        <v>368</v>
      </c>
      <c r="AQ288" s="534">
        <v>1</v>
      </c>
      <c r="AR288" s="534">
        <v>45</v>
      </c>
      <c r="AS288" s="525" t="s">
        <v>547</v>
      </c>
      <c r="AT288" s="533">
        <v>41711</v>
      </c>
      <c r="AU288" s="533">
        <v>41711</v>
      </c>
      <c r="AV288" s="760">
        <v>41912</v>
      </c>
      <c r="AW288" s="534">
        <v>2014</v>
      </c>
      <c r="AX288" s="525"/>
      <c r="AY288" s="534" t="s">
        <v>186</v>
      </c>
      <c r="AZ288" s="534"/>
      <c r="BA288" s="534">
        <v>2014</v>
      </c>
      <c r="BB288" s="534" t="s">
        <v>6534</v>
      </c>
      <c r="BC288" s="525" t="s">
        <v>6535</v>
      </c>
      <c r="BD288" s="534" t="s">
        <v>1818</v>
      </c>
      <c r="BE288" s="545">
        <v>41912</v>
      </c>
      <c r="BF288" s="546">
        <v>2105.7483146</v>
      </c>
      <c r="BG288" s="488">
        <v>2105.7483146</v>
      </c>
      <c r="BH288" s="532">
        <v>0</v>
      </c>
      <c r="BI288" s="532">
        <v>0.5</v>
      </c>
      <c r="BJ288" s="534" t="s">
        <v>5016</v>
      </c>
      <c r="BK288" s="523"/>
    </row>
    <row r="289" spans="1:63" ht="106.5" customHeight="1">
      <c r="A289" s="523">
        <v>1</v>
      </c>
      <c r="B289" s="534" t="s">
        <v>6536</v>
      </c>
      <c r="C289" s="523" t="s">
        <v>7247</v>
      </c>
      <c r="D289" s="523" t="s">
        <v>242</v>
      </c>
      <c r="E289" s="534" t="s">
        <v>5853</v>
      </c>
      <c r="F289" s="523" t="s">
        <v>1752</v>
      </c>
      <c r="G289" s="523" t="s">
        <v>6141</v>
      </c>
      <c r="H289" s="524" t="s">
        <v>6160</v>
      </c>
      <c r="I289" s="525" t="s">
        <v>6537</v>
      </c>
      <c r="J289" s="525" t="s">
        <v>5598</v>
      </c>
      <c r="K289" s="525" t="s">
        <v>5598</v>
      </c>
      <c r="L289" s="525" t="s">
        <v>2513</v>
      </c>
      <c r="M289" s="541" t="s">
        <v>1755</v>
      </c>
      <c r="N289" s="525" t="s">
        <v>1773</v>
      </c>
      <c r="O289" s="525" t="s">
        <v>2234</v>
      </c>
      <c r="P289" s="531">
        <v>1184.9002700000001</v>
      </c>
      <c r="Q289" s="531">
        <v>1398.1823186000001</v>
      </c>
      <c r="R289" s="531">
        <v>1032.3613896616305</v>
      </c>
      <c r="S289" s="523" t="s">
        <v>1774</v>
      </c>
      <c r="T289" s="542">
        <v>1.087</v>
      </c>
      <c r="U289" s="543">
        <v>1.077</v>
      </c>
      <c r="V289" s="543">
        <v>1.073</v>
      </c>
      <c r="W289" s="543">
        <v>1.071</v>
      </c>
      <c r="X289" s="544">
        <v>0.9</v>
      </c>
      <c r="Y289" s="526">
        <v>1167.1300000000001</v>
      </c>
      <c r="Z289" s="531">
        <v>1377.2134000000001</v>
      </c>
      <c r="AA289" s="531">
        <v>1180.3572271107892</v>
      </c>
      <c r="AB289" s="532">
        <v>1392.8215279907311</v>
      </c>
      <c r="AC289" s="531">
        <v>1167.1300000000001</v>
      </c>
      <c r="AD289" s="532">
        <v>1377.2134000000001</v>
      </c>
      <c r="AE289" s="494" t="s">
        <v>1775</v>
      </c>
      <c r="AF289" s="534" t="s">
        <v>83</v>
      </c>
      <c r="AG289" s="534" t="s">
        <v>211</v>
      </c>
      <c r="AH289" s="534" t="s">
        <v>545</v>
      </c>
      <c r="AI289" s="533">
        <v>41656</v>
      </c>
      <c r="AJ289" s="533">
        <v>41691</v>
      </c>
      <c r="AK289" s="534" t="s">
        <v>96</v>
      </c>
      <c r="AL289" s="534" t="s">
        <v>96</v>
      </c>
      <c r="AM289" s="525" t="s">
        <v>5599</v>
      </c>
      <c r="AN289" s="525" t="s">
        <v>6370</v>
      </c>
      <c r="AO289" s="534">
        <v>796</v>
      </c>
      <c r="AP289" s="534" t="s">
        <v>368</v>
      </c>
      <c r="AQ289" s="534">
        <v>1</v>
      </c>
      <c r="AR289" s="534">
        <v>45</v>
      </c>
      <c r="AS289" s="525" t="s">
        <v>547</v>
      </c>
      <c r="AT289" s="533">
        <v>41711</v>
      </c>
      <c r="AU289" s="533">
        <v>41711</v>
      </c>
      <c r="AV289" s="760">
        <v>41912</v>
      </c>
      <c r="AW289" s="534">
        <v>2014</v>
      </c>
      <c r="AX289" s="525"/>
      <c r="AY289" s="534" t="s">
        <v>186</v>
      </c>
      <c r="AZ289" s="534"/>
      <c r="BA289" s="534">
        <v>2014</v>
      </c>
      <c r="BB289" s="534" t="s">
        <v>6538</v>
      </c>
      <c r="BC289" s="525" t="s">
        <v>6539</v>
      </c>
      <c r="BD289" s="534" t="s">
        <v>1818</v>
      </c>
      <c r="BE289" s="545">
        <v>41912</v>
      </c>
      <c r="BF289" s="546">
        <v>1556.2163201999999</v>
      </c>
      <c r="BG289" s="488">
        <v>1556.2163201999999</v>
      </c>
      <c r="BH289" s="532">
        <v>0</v>
      </c>
      <c r="BI289" s="532">
        <v>0.4</v>
      </c>
      <c r="BJ289" s="534" t="s">
        <v>5016</v>
      </c>
      <c r="BK289" s="523"/>
    </row>
    <row r="290" spans="1:63" ht="150">
      <c r="A290" s="401">
        <v>1</v>
      </c>
      <c r="B290" s="494" t="s">
        <v>6540</v>
      </c>
      <c r="C290" s="401" t="s">
        <v>83</v>
      </c>
      <c r="D290" s="401" t="s">
        <v>242</v>
      </c>
      <c r="E290" s="401" t="s">
        <v>5853</v>
      </c>
      <c r="F290" s="401" t="s">
        <v>1752</v>
      </c>
      <c r="G290" s="401" t="s">
        <v>6141</v>
      </c>
      <c r="H290" s="499">
        <v>854485</v>
      </c>
      <c r="I290" s="486" t="s">
        <v>6541</v>
      </c>
      <c r="J290" s="487" t="s">
        <v>6319</v>
      </c>
      <c r="K290" s="487" t="s">
        <v>6319</v>
      </c>
      <c r="L290" s="500" t="s">
        <v>2513</v>
      </c>
      <c r="M290" s="500" t="s">
        <v>1755</v>
      </c>
      <c r="N290" s="487" t="s">
        <v>1773</v>
      </c>
      <c r="O290" s="487" t="s">
        <v>2234</v>
      </c>
      <c r="P290" s="578">
        <v>1233.9839499999998</v>
      </c>
      <c r="Q290" s="578">
        <v>1456.1010609999996</v>
      </c>
      <c r="R290" s="579">
        <v>1053.3063861635142</v>
      </c>
      <c r="S290" s="494" t="s">
        <v>1774</v>
      </c>
      <c r="T290" s="490">
        <v>1.087</v>
      </c>
      <c r="U290" s="490">
        <v>1.077</v>
      </c>
      <c r="V290" s="490">
        <v>1.073</v>
      </c>
      <c r="W290" s="490">
        <v>1.071</v>
      </c>
      <c r="X290" s="491">
        <v>0.9</v>
      </c>
      <c r="Y290" s="502">
        <v>1215.48</v>
      </c>
      <c r="Z290" s="578">
        <v>1434.2664</v>
      </c>
      <c r="AA290" s="578">
        <v>1191.7483231871424</v>
      </c>
      <c r="AB290" s="488">
        <v>1406.2630213608279</v>
      </c>
      <c r="AC290" s="492">
        <v>1191.7483231871424</v>
      </c>
      <c r="AD290" s="493">
        <v>1406.2630213608279</v>
      </c>
      <c r="AE290" s="494" t="s">
        <v>1775</v>
      </c>
      <c r="AF290" s="494" t="s">
        <v>83</v>
      </c>
      <c r="AG290" s="494" t="s">
        <v>211</v>
      </c>
      <c r="AH290" s="401" t="s">
        <v>545</v>
      </c>
      <c r="AI290" s="495">
        <v>41656</v>
      </c>
      <c r="AJ290" s="495">
        <v>41691</v>
      </c>
      <c r="AK290" s="401" t="s">
        <v>96</v>
      </c>
      <c r="AL290" s="494" t="s">
        <v>96</v>
      </c>
      <c r="AM290" s="496" t="s">
        <v>6320</v>
      </c>
      <c r="AN290" s="496" t="s">
        <v>6370</v>
      </c>
      <c r="AO290" s="401">
        <v>796</v>
      </c>
      <c r="AP290" s="401" t="s">
        <v>368</v>
      </c>
      <c r="AQ290" s="401">
        <v>1</v>
      </c>
      <c r="AR290" s="401">
        <v>45</v>
      </c>
      <c r="AS290" s="496" t="s">
        <v>547</v>
      </c>
      <c r="AT290" s="495">
        <v>41711</v>
      </c>
      <c r="AU290" s="495">
        <v>41711</v>
      </c>
      <c r="AV290" s="583">
        <v>41912</v>
      </c>
      <c r="AW290" s="401">
        <v>2014</v>
      </c>
      <c r="AX290" s="496"/>
      <c r="AY290" s="401" t="s">
        <v>186</v>
      </c>
      <c r="AZ290" s="401"/>
      <c r="BA290" s="401">
        <v>2014</v>
      </c>
      <c r="BB290" s="494" t="s">
        <v>6542</v>
      </c>
      <c r="BC290" s="487" t="s">
        <v>6543</v>
      </c>
      <c r="BD290" s="494" t="s">
        <v>1818</v>
      </c>
      <c r="BE290" s="575">
        <v>41912</v>
      </c>
      <c r="BF290" s="498">
        <v>1615.5735887999999</v>
      </c>
      <c r="BG290" s="488">
        <v>1615.5735887999999</v>
      </c>
      <c r="BH290" s="488">
        <v>0</v>
      </c>
      <c r="BI290" s="488">
        <v>0.65</v>
      </c>
      <c r="BJ290" s="494" t="s">
        <v>5016</v>
      </c>
      <c r="BK290" s="401"/>
    </row>
    <row r="291" spans="1:63" ht="150">
      <c r="A291" s="401">
        <v>1</v>
      </c>
      <c r="B291" s="494" t="s">
        <v>6544</v>
      </c>
      <c r="C291" s="401" t="s">
        <v>83</v>
      </c>
      <c r="D291" s="401" t="s">
        <v>242</v>
      </c>
      <c r="E291" s="401" t="s">
        <v>5853</v>
      </c>
      <c r="F291" s="401" t="s">
        <v>1752</v>
      </c>
      <c r="G291" s="401" t="s">
        <v>6141</v>
      </c>
      <c r="H291" s="499">
        <v>854460</v>
      </c>
      <c r="I291" s="486" t="s">
        <v>6545</v>
      </c>
      <c r="J291" s="487" t="s">
        <v>5598</v>
      </c>
      <c r="K291" s="487" t="s">
        <v>5598</v>
      </c>
      <c r="L291" s="500" t="s">
        <v>2513</v>
      </c>
      <c r="M291" s="500" t="s">
        <v>1755</v>
      </c>
      <c r="N291" s="487" t="s">
        <v>1773</v>
      </c>
      <c r="O291" s="487" t="s">
        <v>2234</v>
      </c>
      <c r="P291" s="578">
        <v>1481.12284</v>
      </c>
      <c r="Q291" s="578">
        <v>1747.7249511999999</v>
      </c>
      <c r="R291" s="579">
        <v>1264.2484341774039</v>
      </c>
      <c r="S291" s="494" t="s">
        <v>1774</v>
      </c>
      <c r="T291" s="490">
        <v>1.087</v>
      </c>
      <c r="U291" s="490">
        <v>1.077</v>
      </c>
      <c r="V291" s="490">
        <v>1.073</v>
      </c>
      <c r="W291" s="490">
        <v>1.071</v>
      </c>
      <c r="X291" s="491">
        <v>0.9</v>
      </c>
      <c r="Y291" s="502">
        <v>1458.9</v>
      </c>
      <c r="Z291" s="578">
        <v>1721.502</v>
      </c>
      <c r="AA291" s="578">
        <v>1430.4156618765608</v>
      </c>
      <c r="AB291" s="488">
        <v>1687.8904810143415</v>
      </c>
      <c r="AC291" s="492">
        <v>1430.4156618765608</v>
      </c>
      <c r="AD291" s="493">
        <v>1687.8904810143415</v>
      </c>
      <c r="AE291" s="494" t="s">
        <v>1775</v>
      </c>
      <c r="AF291" s="494" t="s">
        <v>83</v>
      </c>
      <c r="AG291" s="494" t="s">
        <v>211</v>
      </c>
      <c r="AH291" s="401" t="s">
        <v>545</v>
      </c>
      <c r="AI291" s="495">
        <v>41656</v>
      </c>
      <c r="AJ291" s="495">
        <v>41691</v>
      </c>
      <c r="AK291" s="401" t="s">
        <v>96</v>
      </c>
      <c r="AL291" s="494" t="s">
        <v>96</v>
      </c>
      <c r="AM291" s="496" t="s">
        <v>5599</v>
      </c>
      <c r="AN291" s="496" t="s">
        <v>6370</v>
      </c>
      <c r="AO291" s="401">
        <v>796</v>
      </c>
      <c r="AP291" s="401" t="s">
        <v>368</v>
      </c>
      <c r="AQ291" s="401">
        <v>1</v>
      </c>
      <c r="AR291" s="401">
        <v>45</v>
      </c>
      <c r="AS291" s="496" t="s">
        <v>547</v>
      </c>
      <c r="AT291" s="495">
        <v>41711</v>
      </c>
      <c r="AU291" s="495">
        <v>41711</v>
      </c>
      <c r="AV291" s="583">
        <v>41912</v>
      </c>
      <c r="AW291" s="401">
        <v>2014</v>
      </c>
      <c r="AX291" s="496"/>
      <c r="AY291" s="401" t="s">
        <v>186</v>
      </c>
      <c r="AZ291" s="401"/>
      <c r="BA291" s="401">
        <v>2014</v>
      </c>
      <c r="BB291" s="494" t="s">
        <v>6546</v>
      </c>
      <c r="BC291" s="487" t="s">
        <v>6547</v>
      </c>
      <c r="BD291" s="494" t="s">
        <v>1818</v>
      </c>
      <c r="BE291" s="575">
        <v>41912</v>
      </c>
      <c r="BF291" s="498">
        <v>1945.2653999999998</v>
      </c>
      <c r="BG291" s="488">
        <v>1945.2653999999998</v>
      </c>
      <c r="BH291" s="488">
        <v>0</v>
      </c>
      <c r="BI291" s="488">
        <v>0.5</v>
      </c>
      <c r="BJ291" s="494" t="s">
        <v>5016</v>
      </c>
      <c r="BK291" s="401"/>
    </row>
    <row r="292" spans="1:63" ht="150">
      <c r="A292" s="401">
        <v>1</v>
      </c>
      <c r="B292" s="494" t="s">
        <v>6548</v>
      </c>
      <c r="C292" s="401" t="s">
        <v>83</v>
      </c>
      <c r="D292" s="401" t="s">
        <v>242</v>
      </c>
      <c r="E292" s="401" t="s">
        <v>5853</v>
      </c>
      <c r="F292" s="401" t="s">
        <v>1752</v>
      </c>
      <c r="G292" s="401" t="s">
        <v>6141</v>
      </c>
      <c r="H292" s="499">
        <v>854461</v>
      </c>
      <c r="I292" s="486" t="s">
        <v>6549</v>
      </c>
      <c r="J292" s="487" t="s">
        <v>5598</v>
      </c>
      <c r="K292" s="487" t="s">
        <v>5598</v>
      </c>
      <c r="L292" s="500" t="s">
        <v>2513</v>
      </c>
      <c r="M292" s="500" t="s">
        <v>1755</v>
      </c>
      <c r="N292" s="487" t="s">
        <v>1773</v>
      </c>
      <c r="O292" s="487" t="s">
        <v>2234</v>
      </c>
      <c r="P292" s="578">
        <v>3582.9929300000003</v>
      </c>
      <c r="Q292" s="578">
        <v>4227.9316574000004</v>
      </c>
      <c r="R292" s="579">
        <v>3058.3650601964509</v>
      </c>
      <c r="S292" s="494" t="s">
        <v>1774</v>
      </c>
      <c r="T292" s="490">
        <v>1.087</v>
      </c>
      <c r="U292" s="490">
        <v>1.077</v>
      </c>
      <c r="V292" s="490">
        <v>1.073</v>
      </c>
      <c r="W292" s="490">
        <v>1.071</v>
      </c>
      <c r="X292" s="491">
        <v>0.9</v>
      </c>
      <c r="Y292" s="502">
        <v>3529.25</v>
      </c>
      <c r="Z292" s="578">
        <v>4164.5149999999994</v>
      </c>
      <c r="AA292" s="578">
        <v>3467.6888880267738</v>
      </c>
      <c r="AB292" s="488">
        <v>4091.8728878715929</v>
      </c>
      <c r="AC292" s="492">
        <v>3467.6888880267738</v>
      </c>
      <c r="AD292" s="493">
        <v>4091.8728878715929</v>
      </c>
      <c r="AE292" s="494" t="s">
        <v>1775</v>
      </c>
      <c r="AF292" s="494" t="s">
        <v>83</v>
      </c>
      <c r="AG292" s="494" t="s">
        <v>211</v>
      </c>
      <c r="AH292" s="401" t="s">
        <v>545</v>
      </c>
      <c r="AI292" s="495">
        <v>41656</v>
      </c>
      <c r="AJ292" s="495">
        <v>41691</v>
      </c>
      <c r="AK292" s="401" t="s">
        <v>96</v>
      </c>
      <c r="AL292" s="494" t="s">
        <v>96</v>
      </c>
      <c r="AM292" s="496" t="s">
        <v>5599</v>
      </c>
      <c r="AN292" s="496" t="s">
        <v>6370</v>
      </c>
      <c r="AO292" s="401">
        <v>796</v>
      </c>
      <c r="AP292" s="401" t="s">
        <v>368</v>
      </c>
      <c r="AQ292" s="401">
        <v>1</v>
      </c>
      <c r="AR292" s="401">
        <v>45</v>
      </c>
      <c r="AS292" s="496" t="s">
        <v>547</v>
      </c>
      <c r="AT292" s="495">
        <v>41711</v>
      </c>
      <c r="AU292" s="495">
        <v>41711</v>
      </c>
      <c r="AV292" s="583">
        <v>41912</v>
      </c>
      <c r="AW292" s="401">
        <v>2014</v>
      </c>
      <c r="AX292" s="496"/>
      <c r="AY292" s="401" t="s">
        <v>186</v>
      </c>
      <c r="AZ292" s="401"/>
      <c r="BA292" s="401">
        <v>2014</v>
      </c>
      <c r="BB292" s="494" t="s">
        <v>6550</v>
      </c>
      <c r="BC292" s="487" t="s">
        <v>6551</v>
      </c>
      <c r="BD292" s="494" t="s">
        <v>1818</v>
      </c>
      <c r="BE292" s="575">
        <v>41912</v>
      </c>
      <c r="BF292" s="498">
        <v>4705.8163999999997</v>
      </c>
      <c r="BG292" s="488">
        <v>4705.8163999999997</v>
      </c>
      <c r="BH292" s="488">
        <v>0</v>
      </c>
      <c r="BI292" s="488">
        <v>1.52</v>
      </c>
      <c r="BJ292" s="494" t="s">
        <v>5016</v>
      </c>
      <c r="BK292" s="401"/>
    </row>
    <row r="293" spans="1:63" ht="168.75">
      <c r="A293" s="401">
        <v>1</v>
      </c>
      <c r="B293" s="494" t="s">
        <v>6552</v>
      </c>
      <c r="C293" s="401" t="s">
        <v>83</v>
      </c>
      <c r="D293" s="401" t="s">
        <v>242</v>
      </c>
      <c r="E293" s="401" t="s">
        <v>5853</v>
      </c>
      <c r="F293" s="401" t="s">
        <v>1752</v>
      </c>
      <c r="G293" s="401" t="s">
        <v>6141</v>
      </c>
      <c r="H293" s="499">
        <v>854590</v>
      </c>
      <c r="I293" s="486" t="s">
        <v>6553</v>
      </c>
      <c r="J293" s="487" t="s">
        <v>6319</v>
      </c>
      <c r="K293" s="487" t="s">
        <v>6319</v>
      </c>
      <c r="L293" s="500" t="s">
        <v>5025</v>
      </c>
      <c r="M293" s="500" t="s">
        <v>1755</v>
      </c>
      <c r="N293" s="487" t="s">
        <v>1773</v>
      </c>
      <c r="O293" s="487" t="s">
        <v>2234</v>
      </c>
      <c r="P293" s="578">
        <v>16674.45223090909</v>
      </c>
      <c r="Q293" s="578">
        <v>19675.853632472725</v>
      </c>
      <c r="R293" s="579">
        <v>14179.580448334602</v>
      </c>
      <c r="S293" s="494" t="s">
        <v>1774</v>
      </c>
      <c r="T293" s="490">
        <v>1.087</v>
      </c>
      <c r="U293" s="490">
        <v>1.077</v>
      </c>
      <c r="V293" s="490">
        <v>1.073</v>
      </c>
      <c r="W293" s="490">
        <v>1.071</v>
      </c>
      <c r="X293" s="491">
        <v>0.9</v>
      </c>
      <c r="Y293" s="502">
        <v>16362.757</v>
      </c>
      <c r="Z293" s="578">
        <v>19308.053259999997</v>
      </c>
      <c r="AA293" s="578">
        <v>16043.281845418003</v>
      </c>
      <c r="AB293" s="488">
        <v>18931.072577593244</v>
      </c>
      <c r="AC293" s="492">
        <v>16043.281845418003</v>
      </c>
      <c r="AD293" s="493">
        <v>18931.072577593244</v>
      </c>
      <c r="AE293" s="494" t="s">
        <v>1775</v>
      </c>
      <c r="AF293" s="494" t="s">
        <v>83</v>
      </c>
      <c r="AG293" s="494" t="s">
        <v>211</v>
      </c>
      <c r="AH293" s="401" t="s">
        <v>545</v>
      </c>
      <c r="AI293" s="495">
        <v>41656</v>
      </c>
      <c r="AJ293" s="495">
        <v>41691</v>
      </c>
      <c r="AK293" s="401" t="s">
        <v>96</v>
      </c>
      <c r="AL293" s="494" t="s">
        <v>96</v>
      </c>
      <c r="AM293" s="496" t="s">
        <v>6320</v>
      </c>
      <c r="AN293" s="496" t="s">
        <v>6370</v>
      </c>
      <c r="AO293" s="401">
        <v>796</v>
      </c>
      <c r="AP293" s="401" t="s">
        <v>368</v>
      </c>
      <c r="AQ293" s="401">
        <v>1</v>
      </c>
      <c r="AR293" s="401">
        <v>45</v>
      </c>
      <c r="AS293" s="496" t="s">
        <v>547</v>
      </c>
      <c r="AT293" s="495">
        <v>41711</v>
      </c>
      <c r="AU293" s="495">
        <v>41711</v>
      </c>
      <c r="AV293" s="583">
        <v>41912</v>
      </c>
      <c r="AW293" s="401">
        <v>2014</v>
      </c>
      <c r="AX293" s="496"/>
      <c r="AY293" s="401" t="s">
        <v>186</v>
      </c>
      <c r="AZ293" s="401"/>
      <c r="BA293" s="401">
        <v>2014</v>
      </c>
      <c r="BB293" s="494" t="s">
        <v>6554</v>
      </c>
      <c r="BC293" s="487" t="s">
        <v>6555</v>
      </c>
      <c r="BD293" s="494" t="s">
        <v>1818</v>
      </c>
      <c r="BE293" s="575">
        <v>41912</v>
      </c>
      <c r="BF293" s="498">
        <v>20435.289500999999</v>
      </c>
      <c r="BG293" s="488">
        <v>20434.289500999996</v>
      </c>
      <c r="BH293" s="488">
        <v>1.26</v>
      </c>
      <c r="BI293" s="488">
        <v>2</v>
      </c>
      <c r="BJ293" s="494" t="s">
        <v>5016</v>
      </c>
      <c r="BK293" s="401"/>
    </row>
    <row r="294" spans="1:63" ht="150">
      <c r="A294" s="401">
        <v>1</v>
      </c>
      <c r="B294" s="494" t="s">
        <v>6556</v>
      </c>
      <c r="C294" s="401" t="s">
        <v>83</v>
      </c>
      <c r="D294" s="401" t="s">
        <v>242</v>
      </c>
      <c r="E294" s="401" t="s">
        <v>5853</v>
      </c>
      <c r="F294" s="401" t="s">
        <v>1752</v>
      </c>
      <c r="G294" s="401" t="s">
        <v>6141</v>
      </c>
      <c r="H294" s="499">
        <v>854458</v>
      </c>
      <c r="I294" s="486" t="s">
        <v>6557</v>
      </c>
      <c r="J294" s="487" t="s">
        <v>6319</v>
      </c>
      <c r="K294" s="487" t="s">
        <v>6319</v>
      </c>
      <c r="L294" s="500" t="s">
        <v>2513</v>
      </c>
      <c r="M294" s="500" t="s">
        <v>1755</v>
      </c>
      <c r="N294" s="487" t="s">
        <v>1773</v>
      </c>
      <c r="O294" s="487" t="s">
        <v>2234</v>
      </c>
      <c r="P294" s="578">
        <v>16086.630840000002</v>
      </c>
      <c r="Q294" s="578">
        <v>18982.224391200001</v>
      </c>
      <c r="R294" s="579">
        <v>13731.190377355706</v>
      </c>
      <c r="S294" s="494" t="s">
        <v>1774</v>
      </c>
      <c r="T294" s="490">
        <v>1.087</v>
      </c>
      <c r="U294" s="490">
        <v>1.077</v>
      </c>
      <c r="V294" s="490">
        <v>1.073</v>
      </c>
      <c r="W294" s="490">
        <v>1.071</v>
      </c>
      <c r="X294" s="491">
        <v>0.9</v>
      </c>
      <c r="Y294" s="502">
        <v>15845.33</v>
      </c>
      <c r="Z294" s="578">
        <v>18697.489399999999</v>
      </c>
      <c r="AA294" s="578">
        <v>15535.957364865668</v>
      </c>
      <c r="AB294" s="488">
        <v>18332.429690541489</v>
      </c>
      <c r="AC294" s="492">
        <v>15535.957364865668</v>
      </c>
      <c r="AD294" s="493">
        <v>18332.429690541489</v>
      </c>
      <c r="AE294" s="494" t="s">
        <v>1775</v>
      </c>
      <c r="AF294" s="494" t="s">
        <v>83</v>
      </c>
      <c r="AG294" s="494" t="s">
        <v>211</v>
      </c>
      <c r="AH294" s="401" t="s">
        <v>545</v>
      </c>
      <c r="AI294" s="495">
        <v>41656</v>
      </c>
      <c r="AJ294" s="495">
        <v>41691</v>
      </c>
      <c r="AK294" s="401" t="s">
        <v>96</v>
      </c>
      <c r="AL294" s="494" t="s">
        <v>96</v>
      </c>
      <c r="AM294" s="496" t="s">
        <v>6320</v>
      </c>
      <c r="AN294" s="496" t="s">
        <v>6370</v>
      </c>
      <c r="AO294" s="401">
        <v>796</v>
      </c>
      <c r="AP294" s="401" t="s">
        <v>368</v>
      </c>
      <c r="AQ294" s="401">
        <v>1</v>
      </c>
      <c r="AR294" s="401">
        <v>45</v>
      </c>
      <c r="AS294" s="496" t="s">
        <v>547</v>
      </c>
      <c r="AT294" s="495">
        <v>41711</v>
      </c>
      <c r="AU294" s="495">
        <v>41711</v>
      </c>
      <c r="AV294" s="583">
        <v>41912</v>
      </c>
      <c r="AW294" s="401">
        <v>2014</v>
      </c>
      <c r="AX294" s="496"/>
      <c r="AY294" s="401" t="s">
        <v>186</v>
      </c>
      <c r="AZ294" s="401"/>
      <c r="BA294" s="401">
        <v>2014</v>
      </c>
      <c r="BB294" s="494" t="s">
        <v>6558</v>
      </c>
      <c r="BC294" s="487" t="s">
        <v>6559</v>
      </c>
      <c r="BD294" s="494" t="s">
        <v>1818</v>
      </c>
      <c r="BE294" s="575">
        <v>41912</v>
      </c>
      <c r="BF294" s="498">
        <v>21430.333999999999</v>
      </c>
      <c r="BG294" s="488">
        <v>21430.333999999999</v>
      </c>
      <c r="BH294" s="488">
        <v>1.26</v>
      </c>
      <c r="BI294" s="488">
        <v>3.2</v>
      </c>
      <c r="BJ294" s="494" t="s">
        <v>5016</v>
      </c>
      <c r="BK294" s="401"/>
    </row>
    <row r="295" spans="1:63" ht="168.75">
      <c r="A295" s="401">
        <v>1</v>
      </c>
      <c r="B295" s="494" t="s">
        <v>6560</v>
      </c>
      <c r="C295" s="401" t="s">
        <v>83</v>
      </c>
      <c r="D295" s="401" t="s">
        <v>242</v>
      </c>
      <c r="E295" s="401" t="s">
        <v>5853</v>
      </c>
      <c r="F295" s="401" t="s">
        <v>1752</v>
      </c>
      <c r="G295" s="401" t="s">
        <v>6141</v>
      </c>
      <c r="H295" s="499" t="s">
        <v>6561</v>
      </c>
      <c r="I295" s="486" t="s">
        <v>6562</v>
      </c>
      <c r="J295" s="487" t="s">
        <v>6319</v>
      </c>
      <c r="K295" s="487" t="s">
        <v>6319</v>
      </c>
      <c r="L295" s="500" t="s">
        <v>2513</v>
      </c>
      <c r="M295" s="500" t="s">
        <v>1755</v>
      </c>
      <c r="N295" s="487" t="s">
        <v>1773</v>
      </c>
      <c r="O295" s="487" t="s">
        <v>2234</v>
      </c>
      <c r="P295" s="578">
        <v>128271.05938345</v>
      </c>
      <c r="Q295" s="578">
        <v>151359.85007247099</v>
      </c>
      <c r="R295" s="579">
        <v>110303.51888888888</v>
      </c>
      <c r="S295" s="494" t="s">
        <v>1774</v>
      </c>
      <c r="T295" s="490">
        <v>1.087</v>
      </c>
      <c r="U295" s="490">
        <v>1.077</v>
      </c>
      <c r="V295" s="490">
        <v>1.073</v>
      </c>
      <c r="W295" s="490">
        <v>1.071</v>
      </c>
      <c r="X295" s="491">
        <v>0.9</v>
      </c>
      <c r="Y295" s="502">
        <v>119234.99</v>
      </c>
      <c r="Z295" s="578">
        <v>140697.28820000001</v>
      </c>
      <c r="AA295" s="578">
        <v>124801.326</v>
      </c>
      <c r="AB295" s="488">
        <v>147265.56467999998</v>
      </c>
      <c r="AC295" s="492">
        <v>119234.99</v>
      </c>
      <c r="AD295" s="493">
        <v>140697.28820000001</v>
      </c>
      <c r="AE295" s="494" t="s">
        <v>1775</v>
      </c>
      <c r="AF295" s="494" t="s">
        <v>83</v>
      </c>
      <c r="AG295" s="494" t="s">
        <v>211</v>
      </c>
      <c r="AH295" s="401" t="s">
        <v>545</v>
      </c>
      <c r="AI295" s="495">
        <v>41659</v>
      </c>
      <c r="AJ295" s="495">
        <v>41694</v>
      </c>
      <c r="AK295" s="401" t="s">
        <v>96</v>
      </c>
      <c r="AL295" s="494" t="s">
        <v>96</v>
      </c>
      <c r="AM295" s="496" t="s">
        <v>6320</v>
      </c>
      <c r="AN295" s="496" t="s">
        <v>1757</v>
      </c>
      <c r="AO295" s="401">
        <v>796</v>
      </c>
      <c r="AP295" s="401" t="s">
        <v>368</v>
      </c>
      <c r="AQ295" s="401">
        <v>1</v>
      </c>
      <c r="AR295" s="401">
        <v>45</v>
      </c>
      <c r="AS295" s="496" t="s">
        <v>547</v>
      </c>
      <c r="AT295" s="495">
        <v>41714</v>
      </c>
      <c r="AU295" s="495">
        <v>41714</v>
      </c>
      <c r="AV295" s="495">
        <v>42004</v>
      </c>
      <c r="AW295" s="401">
        <v>2014</v>
      </c>
      <c r="AX295" s="496"/>
      <c r="AY295" s="401" t="s">
        <v>186</v>
      </c>
      <c r="AZ295" s="401"/>
      <c r="BA295" s="401">
        <v>2014</v>
      </c>
      <c r="BB295" s="494" t="s">
        <v>6563</v>
      </c>
      <c r="BC295" s="487" t="s">
        <v>6564</v>
      </c>
      <c r="BD295" s="494" t="s">
        <v>1818</v>
      </c>
      <c r="BE295" s="575">
        <v>42004</v>
      </c>
      <c r="BF295" s="498">
        <v>158650.14540859999</v>
      </c>
      <c r="BG295" s="488">
        <v>154441.67921999999</v>
      </c>
      <c r="BH295" s="488">
        <v>4.5</v>
      </c>
      <c r="BI295" s="488">
        <v>26</v>
      </c>
      <c r="BJ295" s="494" t="s">
        <v>5016</v>
      </c>
      <c r="BK295" s="401"/>
    </row>
    <row r="296" spans="1:63" ht="168.75">
      <c r="A296" s="401">
        <v>1</v>
      </c>
      <c r="B296" s="494" t="s">
        <v>6565</v>
      </c>
      <c r="C296" s="401" t="s">
        <v>83</v>
      </c>
      <c r="D296" s="401" t="s">
        <v>242</v>
      </c>
      <c r="E296" s="401" t="s">
        <v>5853</v>
      </c>
      <c r="F296" s="401" t="s">
        <v>1752</v>
      </c>
      <c r="G296" s="401" t="s">
        <v>6141</v>
      </c>
      <c r="H296" s="499">
        <v>8544304</v>
      </c>
      <c r="I296" s="486" t="s">
        <v>6566</v>
      </c>
      <c r="J296" s="487" t="s">
        <v>6319</v>
      </c>
      <c r="K296" s="487" t="s">
        <v>6319</v>
      </c>
      <c r="L296" s="500" t="s">
        <v>2513</v>
      </c>
      <c r="M296" s="500" t="s">
        <v>1755</v>
      </c>
      <c r="N296" s="487" t="s">
        <v>1773</v>
      </c>
      <c r="O296" s="487" t="s">
        <v>2234</v>
      </c>
      <c r="P296" s="578">
        <v>20571.995460488004</v>
      </c>
      <c r="Q296" s="578">
        <v>24274.954643375844</v>
      </c>
      <c r="R296" s="579">
        <v>15699.581600572723</v>
      </c>
      <c r="S296" s="494" t="s">
        <v>1774</v>
      </c>
      <c r="T296" s="490">
        <v>1.087</v>
      </c>
      <c r="U296" s="490">
        <v>1.077</v>
      </c>
      <c r="V296" s="490">
        <v>1.073</v>
      </c>
      <c r="W296" s="490">
        <v>1.071</v>
      </c>
      <c r="X296" s="491">
        <v>0.9</v>
      </c>
      <c r="Y296" s="502">
        <v>18116.787</v>
      </c>
      <c r="Z296" s="578">
        <v>21377.808659999999</v>
      </c>
      <c r="AA296" s="578">
        <v>17763.065232491379</v>
      </c>
      <c r="AB296" s="488">
        <v>20960.416974339827</v>
      </c>
      <c r="AC296" s="492">
        <v>17763.065232491379</v>
      </c>
      <c r="AD296" s="493">
        <v>20960.416974339827</v>
      </c>
      <c r="AE296" s="494" t="s">
        <v>1775</v>
      </c>
      <c r="AF296" s="494" t="s">
        <v>83</v>
      </c>
      <c r="AG296" s="494" t="s">
        <v>211</v>
      </c>
      <c r="AH296" s="401" t="s">
        <v>545</v>
      </c>
      <c r="AI296" s="495">
        <v>41656</v>
      </c>
      <c r="AJ296" s="495">
        <v>41691</v>
      </c>
      <c r="AK296" s="401" t="s">
        <v>96</v>
      </c>
      <c r="AL296" s="494" t="s">
        <v>96</v>
      </c>
      <c r="AM296" s="496" t="s">
        <v>6320</v>
      </c>
      <c r="AN296" s="496" t="s">
        <v>6370</v>
      </c>
      <c r="AO296" s="401">
        <v>796</v>
      </c>
      <c r="AP296" s="401" t="s">
        <v>368</v>
      </c>
      <c r="AQ296" s="401">
        <v>1</v>
      </c>
      <c r="AR296" s="401">
        <v>45</v>
      </c>
      <c r="AS296" s="496" t="s">
        <v>547</v>
      </c>
      <c r="AT296" s="495">
        <v>41711</v>
      </c>
      <c r="AU296" s="495">
        <v>41711</v>
      </c>
      <c r="AV296" s="583">
        <v>41912</v>
      </c>
      <c r="AW296" s="401">
        <v>2014</v>
      </c>
      <c r="AX296" s="496"/>
      <c r="AY296" s="401" t="s">
        <v>186</v>
      </c>
      <c r="AZ296" s="401"/>
      <c r="BA296" s="401">
        <v>2014</v>
      </c>
      <c r="BB296" s="494" t="s">
        <v>6567</v>
      </c>
      <c r="BC296" s="487" t="s">
        <v>6568</v>
      </c>
      <c r="BD296" s="494" t="s">
        <v>1818</v>
      </c>
      <c r="BE296" s="575">
        <v>41912</v>
      </c>
      <c r="BF296" s="498">
        <v>27055.696540199999</v>
      </c>
      <c r="BG296" s="488">
        <v>27057.000003599998</v>
      </c>
      <c r="BH296" s="488">
        <v>2</v>
      </c>
      <c r="BI296" s="488">
        <v>3</v>
      </c>
      <c r="BJ296" s="494" t="s">
        <v>5016</v>
      </c>
      <c r="BK296" s="401"/>
    </row>
    <row r="297" spans="1:63" ht="150">
      <c r="A297" s="401">
        <v>1</v>
      </c>
      <c r="B297" s="494" t="s">
        <v>6569</v>
      </c>
      <c r="C297" s="401" t="s">
        <v>83</v>
      </c>
      <c r="D297" s="401" t="s">
        <v>242</v>
      </c>
      <c r="E297" s="401" t="s">
        <v>5853</v>
      </c>
      <c r="F297" s="401" t="s">
        <v>1752</v>
      </c>
      <c r="G297" s="401" t="s">
        <v>6141</v>
      </c>
      <c r="H297" s="499">
        <v>854447</v>
      </c>
      <c r="I297" s="486" t="s">
        <v>6570</v>
      </c>
      <c r="J297" s="487" t="s">
        <v>6319</v>
      </c>
      <c r="K297" s="487" t="s">
        <v>6319</v>
      </c>
      <c r="L297" s="500" t="s">
        <v>2513</v>
      </c>
      <c r="M297" s="500" t="s">
        <v>1755</v>
      </c>
      <c r="N297" s="487" t="s">
        <v>1773</v>
      </c>
      <c r="O297" s="487" t="s">
        <v>2234</v>
      </c>
      <c r="P297" s="578">
        <v>29659.049349999998</v>
      </c>
      <c r="Q297" s="578">
        <v>34997.678232999999</v>
      </c>
      <c r="R297" s="579">
        <v>21772.55802</v>
      </c>
      <c r="S297" s="494" t="s">
        <v>1774</v>
      </c>
      <c r="T297" s="490">
        <v>1.087</v>
      </c>
      <c r="U297" s="490">
        <v>1.077</v>
      </c>
      <c r="V297" s="490">
        <v>1.073</v>
      </c>
      <c r="W297" s="490">
        <v>1.071</v>
      </c>
      <c r="X297" s="491">
        <v>0.9</v>
      </c>
      <c r="Y297" s="502">
        <v>27222.1</v>
      </c>
      <c r="Z297" s="578">
        <v>32122.077999999998</v>
      </c>
      <c r="AA297" s="578">
        <v>24686.542000000001</v>
      </c>
      <c r="AB297" s="488">
        <v>29130.119559999999</v>
      </c>
      <c r="AC297" s="492">
        <v>24686.542000000001</v>
      </c>
      <c r="AD297" s="493">
        <v>29130.119559999999</v>
      </c>
      <c r="AE297" s="494" t="s">
        <v>1775</v>
      </c>
      <c r="AF297" s="494" t="s">
        <v>83</v>
      </c>
      <c r="AG297" s="494" t="s">
        <v>211</v>
      </c>
      <c r="AH297" s="401" t="s">
        <v>545</v>
      </c>
      <c r="AI297" s="495">
        <v>41656</v>
      </c>
      <c r="AJ297" s="495">
        <v>41691</v>
      </c>
      <c r="AK297" s="401" t="s">
        <v>96</v>
      </c>
      <c r="AL297" s="494" t="s">
        <v>96</v>
      </c>
      <c r="AM297" s="496" t="s">
        <v>6320</v>
      </c>
      <c r="AN297" s="496" t="s">
        <v>6370</v>
      </c>
      <c r="AO297" s="401">
        <v>796</v>
      </c>
      <c r="AP297" s="401" t="s">
        <v>368</v>
      </c>
      <c r="AQ297" s="401">
        <v>1</v>
      </c>
      <c r="AR297" s="401">
        <v>45</v>
      </c>
      <c r="AS297" s="496" t="s">
        <v>547</v>
      </c>
      <c r="AT297" s="495">
        <v>41711</v>
      </c>
      <c r="AU297" s="495">
        <v>41711</v>
      </c>
      <c r="AV297" s="583">
        <v>41912</v>
      </c>
      <c r="AW297" s="401">
        <v>2014</v>
      </c>
      <c r="AX297" s="496"/>
      <c r="AY297" s="401" t="s">
        <v>186</v>
      </c>
      <c r="AZ297" s="401"/>
      <c r="BA297" s="401">
        <v>2014</v>
      </c>
      <c r="BB297" s="494" t="s">
        <v>6571</v>
      </c>
      <c r="BC297" s="487" t="s">
        <v>6572</v>
      </c>
      <c r="BD297" s="494" t="s">
        <v>1818</v>
      </c>
      <c r="BE297" s="575">
        <v>41912</v>
      </c>
      <c r="BF297" s="498">
        <v>36103.893599999996</v>
      </c>
      <c r="BG297" s="488">
        <v>36103.893599999996</v>
      </c>
      <c r="BH297" s="488">
        <v>2.5</v>
      </c>
      <c r="BI297" s="488">
        <v>3</v>
      </c>
      <c r="BJ297" s="494" t="s">
        <v>5016</v>
      </c>
      <c r="BK297" s="401"/>
    </row>
    <row r="298" spans="1:63" ht="187.5">
      <c r="A298" s="401">
        <v>1</v>
      </c>
      <c r="B298" s="494" t="s">
        <v>6573</v>
      </c>
      <c r="C298" s="401" t="s">
        <v>83</v>
      </c>
      <c r="D298" s="401" t="s">
        <v>242</v>
      </c>
      <c r="E298" s="401" t="s">
        <v>5853</v>
      </c>
      <c r="F298" s="401" t="s">
        <v>1752</v>
      </c>
      <c r="G298" s="401" t="s">
        <v>6141</v>
      </c>
      <c r="H298" s="499" t="s">
        <v>6574</v>
      </c>
      <c r="I298" s="486" t="s">
        <v>6575</v>
      </c>
      <c r="J298" s="487" t="s">
        <v>6355</v>
      </c>
      <c r="K298" s="487" t="s">
        <v>6355</v>
      </c>
      <c r="L298" s="500" t="s">
        <v>1825</v>
      </c>
      <c r="M298" s="500" t="s">
        <v>1755</v>
      </c>
      <c r="N298" s="487" t="s">
        <v>1773</v>
      </c>
      <c r="O298" s="487" t="s">
        <v>2234</v>
      </c>
      <c r="P298" s="578">
        <v>20170.407208449997</v>
      </c>
      <c r="Q298" s="578">
        <v>23801.080505970996</v>
      </c>
      <c r="R298" s="579">
        <v>17050.252222222221</v>
      </c>
      <c r="S298" s="494" t="s">
        <v>1774</v>
      </c>
      <c r="T298" s="490">
        <v>1.087</v>
      </c>
      <c r="U298" s="490">
        <v>1.077</v>
      </c>
      <c r="V298" s="490">
        <v>1.073</v>
      </c>
      <c r="W298" s="490">
        <v>1.071</v>
      </c>
      <c r="X298" s="491">
        <v>0.9</v>
      </c>
      <c r="Y298" s="502">
        <v>18418.59</v>
      </c>
      <c r="Z298" s="578">
        <v>21733.9362</v>
      </c>
      <c r="AA298" s="578">
        <v>19623.885999999999</v>
      </c>
      <c r="AB298" s="488">
        <v>23156.185479999996</v>
      </c>
      <c r="AC298" s="492">
        <v>18418.59</v>
      </c>
      <c r="AD298" s="493">
        <v>21733.9362</v>
      </c>
      <c r="AE298" s="494" t="s">
        <v>1775</v>
      </c>
      <c r="AF298" s="494" t="s">
        <v>83</v>
      </c>
      <c r="AG298" s="494" t="s">
        <v>211</v>
      </c>
      <c r="AH298" s="401" t="s">
        <v>545</v>
      </c>
      <c r="AI298" s="495">
        <v>41659</v>
      </c>
      <c r="AJ298" s="495">
        <v>41694</v>
      </c>
      <c r="AK298" s="401" t="s">
        <v>96</v>
      </c>
      <c r="AL298" s="494" t="s">
        <v>96</v>
      </c>
      <c r="AM298" s="496" t="s">
        <v>6356</v>
      </c>
      <c r="AN298" s="496" t="s">
        <v>1757</v>
      </c>
      <c r="AO298" s="401">
        <v>796</v>
      </c>
      <c r="AP298" s="401" t="s">
        <v>368</v>
      </c>
      <c r="AQ298" s="401">
        <v>1</v>
      </c>
      <c r="AR298" s="401">
        <v>45</v>
      </c>
      <c r="AS298" s="496" t="s">
        <v>547</v>
      </c>
      <c r="AT298" s="495">
        <v>41714</v>
      </c>
      <c r="AU298" s="495">
        <v>41714</v>
      </c>
      <c r="AV298" s="583">
        <v>41912</v>
      </c>
      <c r="AW298" s="401">
        <v>2014</v>
      </c>
      <c r="AX298" s="496"/>
      <c r="AY298" s="401" t="s">
        <v>186</v>
      </c>
      <c r="AZ298" s="401"/>
      <c r="BA298" s="401">
        <v>2014</v>
      </c>
      <c r="BB298" s="494" t="s">
        <v>6576</v>
      </c>
      <c r="BC298" s="487" t="s">
        <v>6577</v>
      </c>
      <c r="BD298" s="494" t="s">
        <v>1818</v>
      </c>
      <c r="BE298" s="575">
        <v>41912</v>
      </c>
      <c r="BF298" s="498">
        <v>24940.373799999998</v>
      </c>
      <c r="BG298" s="488">
        <v>24940.373799999998</v>
      </c>
      <c r="BH298" s="488">
        <v>2</v>
      </c>
      <c r="BI298" s="488">
        <v>2</v>
      </c>
      <c r="BJ298" s="494" t="s">
        <v>5016</v>
      </c>
      <c r="BK298" s="401"/>
    </row>
    <row r="299" spans="1:63" ht="168.75">
      <c r="A299" s="401">
        <v>1</v>
      </c>
      <c r="B299" s="494" t="s">
        <v>6578</v>
      </c>
      <c r="C299" s="401" t="s">
        <v>83</v>
      </c>
      <c r="D299" s="401" t="s">
        <v>242</v>
      </c>
      <c r="E299" s="401" t="s">
        <v>5853</v>
      </c>
      <c r="F299" s="401" t="s">
        <v>1752</v>
      </c>
      <c r="G299" s="401" t="s">
        <v>6141</v>
      </c>
      <c r="H299" s="499">
        <v>854448</v>
      </c>
      <c r="I299" s="486" t="s">
        <v>6579</v>
      </c>
      <c r="J299" s="487" t="s">
        <v>6319</v>
      </c>
      <c r="K299" s="487" t="s">
        <v>6319</v>
      </c>
      <c r="L299" s="500" t="s">
        <v>2513</v>
      </c>
      <c r="M299" s="500" t="s">
        <v>1755</v>
      </c>
      <c r="N299" s="487" t="s">
        <v>1773</v>
      </c>
      <c r="O299" s="487" t="s">
        <v>2234</v>
      </c>
      <c r="P299" s="578">
        <v>25114.111599999997</v>
      </c>
      <c r="Q299" s="578">
        <v>29634.651687999994</v>
      </c>
      <c r="R299" s="579">
        <v>19725.222222222223</v>
      </c>
      <c r="S299" s="494" t="s">
        <v>1774</v>
      </c>
      <c r="T299" s="490">
        <v>1.087</v>
      </c>
      <c r="U299" s="490">
        <v>1.077</v>
      </c>
      <c r="V299" s="490">
        <v>1.073</v>
      </c>
      <c r="W299" s="490">
        <v>1.071</v>
      </c>
      <c r="X299" s="491">
        <v>0.9</v>
      </c>
      <c r="Y299" s="502">
        <v>23364.78</v>
      </c>
      <c r="Z299" s="578">
        <v>27570.440399999996</v>
      </c>
      <c r="AA299" s="578">
        <v>22785.040000000001</v>
      </c>
      <c r="AB299" s="488">
        <v>26886.3472</v>
      </c>
      <c r="AC299" s="492">
        <v>22785.040000000001</v>
      </c>
      <c r="AD299" s="493">
        <v>26886.3472</v>
      </c>
      <c r="AE299" s="494" t="s">
        <v>1775</v>
      </c>
      <c r="AF299" s="494" t="s">
        <v>83</v>
      </c>
      <c r="AG299" s="494" t="s">
        <v>211</v>
      </c>
      <c r="AH299" s="401" t="s">
        <v>545</v>
      </c>
      <c r="AI299" s="495">
        <v>41656</v>
      </c>
      <c r="AJ299" s="495">
        <v>41691</v>
      </c>
      <c r="AK299" s="401" t="s">
        <v>96</v>
      </c>
      <c r="AL299" s="494" t="s">
        <v>96</v>
      </c>
      <c r="AM299" s="496" t="s">
        <v>6320</v>
      </c>
      <c r="AN299" s="496" t="s">
        <v>6370</v>
      </c>
      <c r="AO299" s="401">
        <v>796</v>
      </c>
      <c r="AP299" s="401" t="s">
        <v>368</v>
      </c>
      <c r="AQ299" s="401">
        <v>1</v>
      </c>
      <c r="AR299" s="401">
        <v>45</v>
      </c>
      <c r="AS299" s="496" t="s">
        <v>547</v>
      </c>
      <c r="AT299" s="495">
        <v>41711</v>
      </c>
      <c r="AU299" s="495">
        <v>41711</v>
      </c>
      <c r="AV299" s="583">
        <v>41912</v>
      </c>
      <c r="AW299" s="401">
        <v>2014</v>
      </c>
      <c r="AX299" s="496"/>
      <c r="AY299" s="401" t="s">
        <v>186</v>
      </c>
      <c r="AZ299" s="401"/>
      <c r="BA299" s="401">
        <v>2014</v>
      </c>
      <c r="BB299" s="494" t="s">
        <v>6580</v>
      </c>
      <c r="BC299" s="487" t="s">
        <v>6581</v>
      </c>
      <c r="BD299" s="494" t="s">
        <v>1818</v>
      </c>
      <c r="BE299" s="575">
        <v>41912</v>
      </c>
      <c r="BF299" s="498">
        <v>30740.238999999998</v>
      </c>
      <c r="BG299" s="488">
        <v>30740.238999999998</v>
      </c>
      <c r="BH299" s="488">
        <v>0</v>
      </c>
      <c r="BI299" s="488">
        <v>2</v>
      </c>
      <c r="BJ299" s="494" t="s">
        <v>5016</v>
      </c>
      <c r="BK299" s="401"/>
    </row>
    <row r="300" spans="1:63" ht="168.75">
      <c r="A300" s="401">
        <v>1</v>
      </c>
      <c r="B300" s="494" t="s">
        <v>6582</v>
      </c>
      <c r="C300" s="401" t="s">
        <v>83</v>
      </c>
      <c r="D300" s="401" t="s">
        <v>242</v>
      </c>
      <c r="E300" s="401" t="s">
        <v>5853</v>
      </c>
      <c r="F300" s="401" t="s">
        <v>1752</v>
      </c>
      <c r="G300" s="401" t="s">
        <v>6141</v>
      </c>
      <c r="H300" s="499">
        <v>854542</v>
      </c>
      <c r="I300" s="486" t="s">
        <v>6583</v>
      </c>
      <c r="J300" s="487" t="s">
        <v>6319</v>
      </c>
      <c r="K300" s="487" t="s">
        <v>6319</v>
      </c>
      <c r="L300" s="500" t="s">
        <v>2513</v>
      </c>
      <c r="M300" s="500" t="s">
        <v>1755</v>
      </c>
      <c r="N300" s="487" t="s">
        <v>1773</v>
      </c>
      <c r="O300" s="487" t="s">
        <v>2234</v>
      </c>
      <c r="P300" s="578">
        <v>22332.362331868877</v>
      </c>
      <c r="Q300" s="578">
        <v>26352.187551605275</v>
      </c>
      <c r="R300" s="579">
        <v>17396.101856517507</v>
      </c>
      <c r="S300" s="494" t="s">
        <v>1774</v>
      </c>
      <c r="T300" s="490">
        <v>1.087</v>
      </c>
      <c r="U300" s="490">
        <v>1.077</v>
      </c>
      <c r="V300" s="490">
        <v>1.073</v>
      </c>
      <c r="W300" s="490">
        <v>1.071</v>
      </c>
      <c r="X300" s="491">
        <v>0.9</v>
      </c>
      <c r="Y300" s="502">
        <v>19667.059000000001</v>
      </c>
      <c r="Z300" s="578">
        <v>23207.12962</v>
      </c>
      <c r="AA300" s="578">
        <v>20511.444</v>
      </c>
      <c r="AB300" s="488">
        <v>24203.503919999999</v>
      </c>
      <c r="AC300" s="492">
        <v>19667.059000000001</v>
      </c>
      <c r="AD300" s="493">
        <v>23207.12962</v>
      </c>
      <c r="AE300" s="494" t="s">
        <v>1775</v>
      </c>
      <c r="AF300" s="494" t="s">
        <v>83</v>
      </c>
      <c r="AG300" s="494" t="s">
        <v>211</v>
      </c>
      <c r="AH300" s="401" t="s">
        <v>545</v>
      </c>
      <c r="AI300" s="495">
        <v>41656</v>
      </c>
      <c r="AJ300" s="495">
        <v>41691</v>
      </c>
      <c r="AK300" s="401" t="s">
        <v>96</v>
      </c>
      <c r="AL300" s="494" t="s">
        <v>96</v>
      </c>
      <c r="AM300" s="496" t="s">
        <v>6320</v>
      </c>
      <c r="AN300" s="496" t="s">
        <v>6370</v>
      </c>
      <c r="AO300" s="401">
        <v>796</v>
      </c>
      <c r="AP300" s="401" t="s">
        <v>368</v>
      </c>
      <c r="AQ300" s="401">
        <v>1</v>
      </c>
      <c r="AR300" s="401">
        <v>45</v>
      </c>
      <c r="AS300" s="496" t="s">
        <v>547</v>
      </c>
      <c r="AT300" s="495">
        <v>41711</v>
      </c>
      <c r="AU300" s="495">
        <v>41711</v>
      </c>
      <c r="AV300" s="583">
        <v>41912</v>
      </c>
      <c r="AW300" s="401">
        <v>2014</v>
      </c>
      <c r="AX300" s="496"/>
      <c r="AY300" s="401" t="s">
        <v>186</v>
      </c>
      <c r="AZ300" s="401"/>
      <c r="BA300" s="401">
        <v>2014</v>
      </c>
      <c r="BB300" s="494" t="s">
        <v>6584</v>
      </c>
      <c r="BC300" s="487" t="s">
        <v>6585</v>
      </c>
      <c r="BD300" s="494" t="s">
        <v>1818</v>
      </c>
      <c r="BE300" s="575">
        <v>41912</v>
      </c>
      <c r="BF300" s="498">
        <v>29469.150398599999</v>
      </c>
      <c r="BG300" s="488">
        <v>29469.150398599999</v>
      </c>
      <c r="BH300" s="488">
        <v>2</v>
      </c>
      <c r="BI300" s="488">
        <v>1.7</v>
      </c>
      <c r="BJ300" s="494" t="s">
        <v>5016</v>
      </c>
      <c r="BK300" s="401"/>
    </row>
    <row r="301" spans="1:63" ht="187.5">
      <c r="A301" s="401">
        <v>1</v>
      </c>
      <c r="B301" s="494" t="s">
        <v>6586</v>
      </c>
      <c r="C301" s="401" t="s">
        <v>83</v>
      </c>
      <c r="D301" s="401" t="s">
        <v>242</v>
      </c>
      <c r="E301" s="401" t="s">
        <v>5853</v>
      </c>
      <c r="F301" s="401" t="s">
        <v>1752</v>
      </c>
      <c r="G301" s="401" t="s">
        <v>6141</v>
      </c>
      <c r="H301" s="499">
        <v>854603</v>
      </c>
      <c r="I301" s="486" t="s">
        <v>6587</v>
      </c>
      <c r="J301" s="487" t="s">
        <v>6355</v>
      </c>
      <c r="K301" s="487" t="s">
        <v>6355</v>
      </c>
      <c r="L301" s="500" t="s">
        <v>5025</v>
      </c>
      <c r="M301" s="500" t="s">
        <v>1755</v>
      </c>
      <c r="N301" s="487" t="s">
        <v>1773</v>
      </c>
      <c r="O301" s="487" t="s">
        <v>2234</v>
      </c>
      <c r="P301" s="578">
        <v>25022.762699999999</v>
      </c>
      <c r="Q301" s="578">
        <v>29526.859985999996</v>
      </c>
      <c r="R301" s="579">
        <v>20327.08103890864</v>
      </c>
      <c r="S301" s="494" t="s">
        <v>1774</v>
      </c>
      <c r="T301" s="490">
        <v>1.087</v>
      </c>
      <c r="U301" s="490">
        <v>1.077</v>
      </c>
      <c r="V301" s="490">
        <v>1.073</v>
      </c>
      <c r="W301" s="490">
        <v>1.071</v>
      </c>
      <c r="X301" s="491">
        <v>0.9</v>
      </c>
      <c r="Y301" s="502">
        <v>22980.66</v>
      </c>
      <c r="Z301" s="578">
        <v>27117.178799999998</v>
      </c>
      <c r="AA301" s="578">
        <v>24168.993999999999</v>
      </c>
      <c r="AB301" s="488">
        <v>28519.412919999999</v>
      </c>
      <c r="AC301" s="492">
        <v>22980.66</v>
      </c>
      <c r="AD301" s="493">
        <v>27117.178799999998</v>
      </c>
      <c r="AE301" s="494" t="s">
        <v>1775</v>
      </c>
      <c r="AF301" s="494" t="s">
        <v>83</v>
      </c>
      <c r="AG301" s="494" t="s">
        <v>211</v>
      </c>
      <c r="AH301" s="401" t="s">
        <v>545</v>
      </c>
      <c r="AI301" s="495">
        <v>41656</v>
      </c>
      <c r="AJ301" s="495">
        <v>41691</v>
      </c>
      <c r="AK301" s="401" t="s">
        <v>96</v>
      </c>
      <c r="AL301" s="494" t="s">
        <v>96</v>
      </c>
      <c r="AM301" s="496" t="s">
        <v>6356</v>
      </c>
      <c r="AN301" s="496" t="s">
        <v>6370</v>
      </c>
      <c r="AO301" s="401">
        <v>796</v>
      </c>
      <c r="AP301" s="401" t="s">
        <v>368</v>
      </c>
      <c r="AQ301" s="401">
        <v>1</v>
      </c>
      <c r="AR301" s="401">
        <v>45</v>
      </c>
      <c r="AS301" s="496" t="s">
        <v>547</v>
      </c>
      <c r="AT301" s="495">
        <v>41711</v>
      </c>
      <c r="AU301" s="495">
        <v>41711</v>
      </c>
      <c r="AV301" s="495">
        <v>42004</v>
      </c>
      <c r="AW301" s="401">
        <v>2014</v>
      </c>
      <c r="AX301" s="496"/>
      <c r="AY301" s="401" t="s">
        <v>186</v>
      </c>
      <c r="AZ301" s="401"/>
      <c r="BA301" s="401">
        <v>2014</v>
      </c>
      <c r="BB301" s="494" t="s">
        <v>6588</v>
      </c>
      <c r="BC301" s="487" t="s">
        <v>6589</v>
      </c>
      <c r="BD301" s="494" t="s">
        <v>1818</v>
      </c>
      <c r="BE301" s="575">
        <v>41912</v>
      </c>
      <c r="BF301" s="498">
        <v>30837.140599999995</v>
      </c>
      <c r="BG301" s="488">
        <v>30837.140599999995</v>
      </c>
      <c r="BH301" s="488">
        <v>2</v>
      </c>
      <c r="BI301" s="488">
        <v>3.92</v>
      </c>
      <c r="BJ301" s="494" t="s">
        <v>5016</v>
      </c>
      <c r="BK301" s="401"/>
    </row>
    <row r="302" spans="1:63" ht="187.5">
      <c r="A302" s="401">
        <v>1</v>
      </c>
      <c r="B302" s="494" t="s">
        <v>6590</v>
      </c>
      <c r="C302" s="401" t="s">
        <v>83</v>
      </c>
      <c r="D302" s="401" t="s">
        <v>242</v>
      </c>
      <c r="E302" s="401" t="s">
        <v>5853</v>
      </c>
      <c r="F302" s="401" t="s">
        <v>1752</v>
      </c>
      <c r="G302" s="401" t="s">
        <v>6141</v>
      </c>
      <c r="H302" s="499">
        <v>854603</v>
      </c>
      <c r="I302" s="486" t="s">
        <v>6591</v>
      </c>
      <c r="J302" s="487" t="s">
        <v>6355</v>
      </c>
      <c r="K302" s="487" t="s">
        <v>6355</v>
      </c>
      <c r="L302" s="500" t="s">
        <v>1825</v>
      </c>
      <c r="M302" s="500" t="s">
        <v>1755</v>
      </c>
      <c r="N302" s="487" t="s">
        <v>1773</v>
      </c>
      <c r="O302" s="487" t="s">
        <v>2234</v>
      </c>
      <c r="P302" s="578">
        <v>18524.343399999998</v>
      </c>
      <c r="Q302" s="578">
        <v>21858.725211999998</v>
      </c>
      <c r="R302" s="579">
        <v>15024.448084201864</v>
      </c>
      <c r="S302" s="494" t="s">
        <v>1774</v>
      </c>
      <c r="T302" s="490">
        <v>1.087</v>
      </c>
      <c r="U302" s="490">
        <v>1.077</v>
      </c>
      <c r="V302" s="490">
        <v>1.073</v>
      </c>
      <c r="W302" s="490">
        <v>1.071</v>
      </c>
      <c r="X302" s="491">
        <v>0.9</v>
      </c>
      <c r="Y302" s="502">
        <v>16985.8</v>
      </c>
      <c r="Z302" s="578">
        <v>20043.243999999999</v>
      </c>
      <c r="AA302" s="578">
        <v>16807.544000000002</v>
      </c>
      <c r="AB302" s="488">
        <v>19832.90192</v>
      </c>
      <c r="AC302" s="492">
        <v>16807.544000000002</v>
      </c>
      <c r="AD302" s="493">
        <v>19832.90192</v>
      </c>
      <c r="AE302" s="494" t="s">
        <v>1775</v>
      </c>
      <c r="AF302" s="494" t="s">
        <v>83</v>
      </c>
      <c r="AG302" s="494" t="s">
        <v>211</v>
      </c>
      <c r="AH302" s="401" t="s">
        <v>545</v>
      </c>
      <c r="AI302" s="495">
        <v>41656</v>
      </c>
      <c r="AJ302" s="495">
        <v>41691</v>
      </c>
      <c r="AK302" s="401" t="s">
        <v>96</v>
      </c>
      <c r="AL302" s="494" t="s">
        <v>96</v>
      </c>
      <c r="AM302" s="496" t="s">
        <v>6356</v>
      </c>
      <c r="AN302" s="496" t="s">
        <v>6370</v>
      </c>
      <c r="AO302" s="401">
        <v>796</v>
      </c>
      <c r="AP302" s="401" t="s">
        <v>368</v>
      </c>
      <c r="AQ302" s="401">
        <v>1</v>
      </c>
      <c r="AR302" s="401">
        <v>45</v>
      </c>
      <c r="AS302" s="496" t="s">
        <v>547</v>
      </c>
      <c r="AT302" s="495">
        <v>41711</v>
      </c>
      <c r="AU302" s="495">
        <v>41711</v>
      </c>
      <c r="AV302" s="495">
        <v>42004</v>
      </c>
      <c r="AW302" s="401">
        <v>2014</v>
      </c>
      <c r="AX302" s="496"/>
      <c r="AY302" s="401" t="s">
        <v>186</v>
      </c>
      <c r="AZ302" s="401"/>
      <c r="BA302" s="401">
        <v>2014</v>
      </c>
      <c r="BB302" s="494" t="s">
        <v>6592</v>
      </c>
      <c r="BC302" s="487" t="s">
        <v>6593</v>
      </c>
      <c r="BD302" s="494" t="s">
        <v>1818</v>
      </c>
      <c r="BE302" s="575">
        <v>41912</v>
      </c>
      <c r="BF302" s="498">
        <v>22542.967799999999</v>
      </c>
      <c r="BG302" s="488">
        <v>22542.967799999999</v>
      </c>
      <c r="BH302" s="488">
        <v>2</v>
      </c>
      <c r="BI302" s="488">
        <v>1.2000000000000002</v>
      </c>
      <c r="BJ302" s="494" t="s">
        <v>5016</v>
      </c>
      <c r="BK302" s="401"/>
    </row>
    <row r="303" spans="1:63" ht="187.5">
      <c r="A303" s="401">
        <v>1</v>
      </c>
      <c r="B303" s="494" t="s">
        <v>6594</v>
      </c>
      <c r="C303" s="401" t="s">
        <v>83</v>
      </c>
      <c r="D303" s="401" t="s">
        <v>242</v>
      </c>
      <c r="E303" s="401" t="s">
        <v>5853</v>
      </c>
      <c r="F303" s="401" t="s">
        <v>1752</v>
      </c>
      <c r="G303" s="401" t="s">
        <v>6141</v>
      </c>
      <c r="H303" s="499" t="s">
        <v>6595</v>
      </c>
      <c r="I303" s="486" t="s">
        <v>6596</v>
      </c>
      <c r="J303" s="487" t="s">
        <v>6355</v>
      </c>
      <c r="K303" s="487" t="s">
        <v>6355</v>
      </c>
      <c r="L303" s="500" t="s">
        <v>5025</v>
      </c>
      <c r="M303" s="500" t="s">
        <v>1755</v>
      </c>
      <c r="N303" s="487" t="s">
        <v>1773</v>
      </c>
      <c r="O303" s="487" t="s">
        <v>2234</v>
      </c>
      <c r="P303" s="578">
        <v>49580.222440909092</v>
      </c>
      <c r="Q303" s="578">
        <v>58504.662480272724</v>
      </c>
      <c r="R303" s="579">
        <v>39474.688000000002</v>
      </c>
      <c r="S303" s="494" t="s">
        <v>1774</v>
      </c>
      <c r="T303" s="490">
        <v>1.087</v>
      </c>
      <c r="U303" s="490">
        <v>1.077</v>
      </c>
      <c r="V303" s="490">
        <v>1.073</v>
      </c>
      <c r="W303" s="490">
        <v>1.071</v>
      </c>
      <c r="X303" s="491">
        <v>0.9</v>
      </c>
      <c r="Y303" s="502">
        <v>44622.188000000002</v>
      </c>
      <c r="Z303" s="578">
        <v>52654.181839999997</v>
      </c>
      <c r="AA303" s="578">
        <v>45538.707999999999</v>
      </c>
      <c r="AB303" s="488">
        <v>53735.675439999999</v>
      </c>
      <c r="AC303" s="492">
        <v>44622.188000000002</v>
      </c>
      <c r="AD303" s="493">
        <v>52654.181839999997</v>
      </c>
      <c r="AE303" s="494" t="s">
        <v>1775</v>
      </c>
      <c r="AF303" s="494" t="s">
        <v>83</v>
      </c>
      <c r="AG303" s="494" t="s">
        <v>211</v>
      </c>
      <c r="AH303" s="401" t="s">
        <v>545</v>
      </c>
      <c r="AI303" s="495">
        <v>41659</v>
      </c>
      <c r="AJ303" s="495">
        <v>41694</v>
      </c>
      <c r="AK303" s="401" t="s">
        <v>96</v>
      </c>
      <c r="AL303" s="494" t="s">
        <v>96</v>
      </c>
      <c r="AM303" s="496" t="s">
        <v>6356</v>
      </c>
      <c r="AN303" s="496" t="s">
        <v>1757</v>
      </c>
      <c r="AO303" s="401">
        <v>796</v>
      </c>
      <c r="AP303" s="401" t="s">
        <v>368</v>
      </c>
      <c r="AQ303" s="401">
        <v>1</v>
      </c>
      <c r="AR303" s="401">
        <v>45</v>
      </c>
      <c r="AS303" s="496" t="s">
        <v>547</v>
      </c>
      <c r="AT303" s="495">
        <v>41714</v>
      </c>
      <c r="AU303" s="495">
        <v>41714</v>
      </c>
      <c r="AV303" s="583">
        <v>41912</v>
      </c>
      <c r="AW303" s="401">
        <v>2014</v>
      </c>
      <c r="AX303" s="496"/>
      <c r="AY303" s="401" t="s">
        <v>186</v>
      </c>
      <c r="AZ303" s="401"/>
      <c r="BA303" s="401">
        <v>2014</v>
      </c>
      <c r="BB303" s="494" t="s">
        <v>6597</v>
      </c>
      <c r="BC303" s="487" t="s">
        <v>6598</v>
      </c>
      <c r="BD303" s="494" t="s">
        <v>1818</v>
      </c>
      <c r="BE303" s="575">
        <v>41912</v>
      </c>
      <c r="BF303" s="498">
        <v>60753.931892799999</v>
      </c>
      <c r="BG303" s="488">
        <v>60753.931892799999</v>
      </c>
      <c r="BH303" s="488">
        <v>1.26</v>
      </c>
      <c r="BI303" s="488">
        <v>6.6000000000000005</v>
      </c>
      <c r="BJ303" s="494" t="s">
        <v>5016</v>
      </c>
      <c r="BK303" s="401"/>
    </row>
    <row r="304" spans="1:63" ht="187.5">
      <c r="A304" s="401">
        <v>1</v>
      </c>
      <c r="B304" s="494" t="s">
        <v>6599</v>
      </c>
      <c r="C304" s="401" t="s">
        <v>83</v>
      </c>
      <c r="D304" s="401" t="s">
        <v>242</v>
      </c>
      <c r="E304" s="401" t="s">
        <v>5853</v>
      </c>
      <c r="F304" s="401" t="s">
        <v>1752</v>
      </c>
      <c r="G304" s="401" t="s">
        <v>6141</v>
      </c>
      <c r="H304" s="499" t="s">
        <v>6600</v>
      </c>
      <c r="I304" s="486" t="s">
        <v>6601</v>
      </c>
      <c r="J304" s="487" t="s">
        <v>6355</v>
      </c>
      <c r="K304" s="487" t="s">
        <v>6355</v>
      </c>
      <c r="L304" s="500" t="s">
        <v>1825</v>
      </c>
      <c r="M304" s="500" t="s">
        <v>1755</v>
      </c>
      <c r="N304" s="487" t="s">
        <v>1773</v>
      </c>
      <c r="O304" s="487" t="s">
        <v>2234</v>
      </c>
      <c r="P304" s="578">
        <v>163999.04640285001</v>
      </c>
      <c r="Q304" s="578">
        <v>193518.87475536301</v>
      </c>
      <c r="R304" s="579">
        <v>135212.31111111111</v>
      </c>
      <c r="S304" s="494" t="s">
        <v>1774</v>
      </c>
      <c r="T304" s="490">
        <v>1.087</v>
      </c>
      <c r="U304" s="490">
        <v>1.077</v>
      </c>
      <c r="V304" s="490">
        <v>1.073</v>
      </c>
      <c r="W304" s="490">
        <v>1.071</v>
      </c>
      <c r="X304" s="491">
        <v>0.9</v>
      </c>
      <c r="Y304" s="502">
        <v>150430.21</v>
      </c>
      <c r="Z304" s="578">
        <v>177507.64779999998</v>
      </c>
      <c r="AA304" s="578">
        <v>159543.52600000001</v>
      </c>
      <c r="AB304" s="488">
        <v>188261.36068000001</v>
      </c>
      <c r="AC304" s="492">
        <v>150430.21</v>
      </c>
      <c r="AD304" s="493">
        <v>177507.64779999998</v>
      </c>
      <c r="AE304" s="494" t="s">
        <v>1775</v>
      </c>
      <c r="AF304" s="494" t="s">
        <v>83</v>
      </c>
      <c r="AG304" s="494" t="s">
        <v>211</v>
      </c>
      <c r="AH304" s="401" t="s">
        <v>545</v>
      </c>
      <c r="AI304" s="495">
        <v>41659</v>
      </c>
      <c r="AJ304" s="495">
        <v>41694</v>
      </c>
      <c r="AK304" s="401" t="s">
        <v>96</v>
      </c>
      <c r="AL304" s="494" t="s">
        <v>96</v>
      </c>
      <c r="AM304" s="496" t="s">
        <v>6356</v>
      </c>
      <c r="AN304" s="496" t="s">
        <v>1757</v>
      </c>
      <c r="AO304" s="401">
        <v>796</v>
      </c>
      <c r="AP304" s="401" t="s">
        <v>368</v>
      </c>
      <c r="AQ304" s="401">
        <v>1</v>
      </c>
      <c r="AR304" s="401">
        <v>45</v>
      </c>
      <c r="AS304" s="496" t="s">
        <v>547</v>
      </c>
      <c r="AT304" s="495">
        <v>41714</v>
      </c>
      <c r="AU304" s="495">
        <v>41714</v>
      </c>
      <c r="AV304" s="495">
        <v>42004</v>
      </c>
      <c r="AW304" s="401">
        <v>2014</v>
      </c>
      <c r="AX304" s="496"/>
      <c r="AY304" s="401" t="s">
        <v>186</v>
      </c>
      <c r="AZ304" s="401"/>
      <c r="BA304" s="401">
        <v>2014</v>
      </c>
      <c r="BB304" s="494" t="s">
        <v>6602</v>
      </c>
      <c r="BC304" s="487" t="s">
        <v>6603</v>
      </c>
      <c r="BD304" s="494" t="s">
        <v>1818</v>
      </c>
      <c r="BE304" s="575">
        <v>42004</v>
      </c>
      <c r="BF304" s="498">
        <v>202673.53589579999</v>
      </c>
      <c r="BG304" s="488">
        <v>197168.11513999998</v>
      </c>
      <c r="BH304" s="488">
        <v>12</v>
      </c>
      <c r="BI304" s="488">
        <v>13</v>
      </c>
      <c r="BJ304" s="494" t="s">
        <v>5016</v>
      </c>
      <c r="BK304" s="401"/>
    </row>
    <row r="305" spans="1:63" ht="187.5">
      <c r="A305" s="401">
        <v>1</v>
      </c>
      <c r="B305" s="494" t="s">
        <v>6604</v>
      </c>
      <c r="C305" s="401" t="s">
        <v>83</v>
      </c>
      <c r="D305" s="401" t="s">
        <v>242</v>
      </c>
      <c r="E305" s="401" t="s">
        <v>5853</v>
      </c>
      <c r="F305" s="401" t="s">
        <v>1752</v>
      </c>
      <c r="G305" s="401" t="s">
        <v>6141</v>
      </c>
      <c r="H305" s="499" t="s">
        <v>6605</v>
      </c>
      <c r="I305" s="486" t="s">
        <v>6606</v>
      </c>
      <c r="J305" s="487" t="s">
        <v>6355</v>
      </c>
      <c r="K305" s="487" t="s">
        <v>6355</v>
      </c>
      <c r="L305" s="500" t="s">
        <v>2513</v>
      </c>
      <c r="M305" s="500" t="s">
        <v>1755</v>
      </c>
      <c r="N305" s="487" t="s">
        <v>1773</v>
      </c>
      <c r="O305" s="487" t="s">
        <v>2234</v>
      </c>
      <c r="P305" s="578">
        <v>69401.357000000004</v>
      </c>
      <c r="Q305" s="578">
        <v>81893.601259999996</v>
      </c>
      <c r="R305" s="579">
        <v>57253.455555555556</v>
      </c>
      <c r="S305" s="494" t="s">
        <v>1774</v>
      </c>
      <c r="T305" s="490">
        <v>1.087</v>
      </c>
      <c r="U305" s="490">
        <v>1.077</v>
      </c>
      <c r="V305" s="490">
        <v>1.073</v>
      </c>
      <c r="W305" s="490">
        <v>1.071</v>
      </c>
      <c r="X305" s="491">
        <v>0.9</v>
      </c>
      <c r="Y305" s="502">
        <v>63756.639999999999</v>
      </c>
      <c r="Z305" s="578">
        <v>75232.835200000001</v>
      </c>
      <c r="AA305" s="578">
        <v>67033.479000000007</v>
      </c>
      <c r="AB305" s="488">
        <v>79099.505220000006</v>
      </c>
      <c r="AC305" s="492">
        <v>63756.639999999999</v>
      </c>
      <c r="AD305" s="493">
        <v>75232.835200000001</v>
      </c>
      <c r="AE305" s="494" t="s">
        <v>1775</v>
      </c>
      <c r="AF305" s="494" t="s">
        <v>83</v>
      </c>
      <c r="AG305" s="494" t="s">
        <v>211</v>
      </c>
      <c r="AH305" s="401" t="s">
        <v>545</v>
      </c>
      <c r="AI305" s="495">
        <v>41659</v>
      </c>
      <c r="AJ305" s="495">
        <v>41694</v>
      </c>
      <c r="AK305" s="401" t="s">
        <v>96</v>
      </c>
      <c r="AL305" s="494" t="s">
        <v>96</v>
      </c>
      <c r="AM305" s="496" t="s">
        <v>6356</v>
      </c>
      <c r="AN305" s="496" t="s">
        <v>1757</v>
      </c>
      <c r="AO305" s="401">
        <v>796</v>
      </c>
      <c r="AP305" s="401" t="s">
        <v>368</v>
      </c>
      <c r="AQ305" s="401">
        <v>1</v>
      </c>
      <c r="AR305" s="401">
        <v>45</v>
      </c>
      <c r="AS305" s="496" t="s">
        <v>547</v>
      </c>
      <c r="AT305" s="495">
        <v>41714</v>
      </c>
      <c r="AU305" s="495">
        <v>41714</v>
      </c>
      <c r="AV305" s="583">
        <v>41912</v>
      </c>
      <c r="AW305" s="401">
        <v>2014</v>
      </c>
      <c r="AX305" s="496"/>
      <c r="AY305" s="401" t="s">
        <v>186</v>
      </c>
      <c r="AZ305" s="401"/>
      <c r="BA305" s="401">
        <v>2014</v>
      </c>
      <c r="BB305" s="494" t="s">
        <v>6607</v>
      </c>
      <c r="BC305" s="487" t="s">
        <v>6608</v>
      </c>
      <c r="BD305" s="494" t="s">
        <v>1818</v>
      </c>
      <c r="BE305" s="575">
        <v>41912</v>
      </c>
      <c r="BF305" s="498">
        <v>85558.484199999992</v>
      </c>
      <c r="BG305" s="488">
        <v>85558.484199999992</v>
      </c>
      <c r="BH305" s="488">
        <v>7.5</v>
      </c>
      <c r="BI305" s="488">
        <v>6.6</v>
      </c>
      <c r="BJ305" s="494" t="s">
        <v>5016</v>
      </c>
      <c r="BK305" s="401"/>
    </row>
    <row r="306" spans="1:63" ht="187.5">
      <c r="A306" s="401">
        <v>1</v>
      </c>
      <c r="B306" s="494" t="s">
        <v>6609</v>
      </c>
      <c r="C306" s="401" t="s">
        <v>83</v>
      </c>
      <c r="D306" s="401" t="s">
        <v>242</v>
      </c>
      <c r="E306" s="401" t="s">
        <v>5853</v>
      </c>
      <c r="F306" s="401" t="s">
        <v>1752</v>
      </c>
      <c r="G306" s="401" t="s">
        <v>6141</v>
      </c>
      <c r="H306" s="499" t="s">
        <v>6610</v>
      </c>
      <c r="I306" s="486" t="s">
        <v>6611</v>
      </c>
      <c r="J306" s="487" t="s">
        <v>6355</v>
      </c>
      <c r="K306" s="487" t="s">
        <v>6355</v>
      </c>
      <c r="L306" s="500" t="s">
        <v>1825</v>
      </c>
      <c r="M306" s="500" t="s">
        <v>1755</v>
      </c>
      <c r="N306" s="487" t="s">
        <v>1773</v>
      </c>
      <c r="O306" s="487" t="s">
        <v>2234</v>
      </c>
      <c r="P306" s="578">
        <v>81768.030564999994</v>
      </c>
      <c r="Q306" s="578">
        <v>96486.276066699982</v>
      </c>
      <c r="R306" s="579">
        <v>64687.366666666661</v>
      </c>
      <c r="S306" s="494" t="s">
        <v>1774</v>
      </c>
      <c r="T306" s="490">
        <v>1.087</v>
      </c>
      <c r="U306" s="490">
        <v>1.077</v>
      </c>
      <c r="V306" s="490">
        <v>1.073</v>
      </c>
      <c r="W306" s="490">
        <v>1.071</v>
      </c>
      <c r="X306" s="491">
        <v>0.9</v>
      </c>
      <c r="Y306" s="502">
        <v>78818.759999999995</v>
      </c>
      <c r="Z306" s="578">
        <v>93006.136799999993</v>
      </c>
      <c r="AA306" s="578">
        <v>72340.584000000003</v>
      </c>
      <c r="AB306" s="488">
        <v>85361.889119999993</v>
      </c>
      <c r="AC306" s="492">
        <v>72340.584000000003</v>
      </c>
      <c r="AD306" s="493">
        <v>85361.889119999993</v>
      </c>
      <c r="AE306" s="494" t="s">
        <v>1775</v>
      </c>
      <c r="AF306" s="494" t="s">
        <v>83</v>
      </c>
      <c r="AG306" s="494" t="s">
        <v>211</v>
      </c>
      <c r="AH306" s="401" t="s">
        <v>545</v>
      </c>
      <c r="AI306" s="495">
        <v>41659</v>
      </c>
      <c r="AJ306" s="495">
        <v>41694</v>
      </c>
      <c r="AK306" s="401" t="s">
        <v>96</v>
      </c>
      <c r="AL306" s="494" t="s">
        <v>96</v>
      </c>
      <c r="AM306" s="496" t="s">
        <v>6356</v>
      </c>
      <c r="AN306" s="496" t="s">
        <v>1757</v>
      </c>
      <c r="AO306" s="401">
        <v>796</v>
      </c>
      <c r="AP306" s="401" t="s">
        <v>368</v>
      </c>
      <c r="AQ306" s="401">
        <v>1</v>
      </c>
      <c r="AR306" s="401">
        <v>45</v>
      </c>
      <c r="AS306" s="496" t="s">
        <v>547</v>
      </c>
      <c r="AT306" s="495">
        <v>41714</v>
      </c>
      <c r="AU306" s="495">
        <v>41714</v>
      </c>
      <c r="AV306" s="495">
        <v>42004</v>
      </c>
      <c r="AW306" s="401">
        <v>2014</v>
      </c>
      <c r="AX306" s="496"/>
      <c r="AY306" s="401" t="s">
        <v>186</v>
      </c>
      <c r="AZ306" s="401"/>
      <c r="BA306" s="401">
        <v>2014</v>
      </c>
      <c r="BB306" s="494" t="s">
        <v>6612</v>
      </c>
      <c r="BC306" s="487" t="s">
        <v>6613</v>
      </c>
      <c r="BD306" s="494" t="s">
        <v>1818</v>
      </c>
      <c r="BE306" s="575">
        <v>42004</v>
      </c>
      <c r="BF306" s="498">
        <v>100738.25082</v>
      </c>
      <c r="BG306" s="488">
        <v>89171.658360000001</v>
      </c>
      <c r="BH306" s="488">
        <v>7.5</v>
      </c>
      <c r="BI306" s="488">
        <v>4.0999999999999996</v>
      </c>
      <c r="BJ306" s="494" t="s">
        <v>5016</v>
      </c>
      <c r="BK306" s="401"/>
    </row>
    <row r="307" spans="1:63" ht="187.5">
      <c r="A307" s="401">
        <v>1</v>
      </c>
      <c r="B307" s="494" t="s">
        <v>6614</v>
      </c>
      <c r="C307" s="401" t="s">
        <v>83</v>
      </c>
      <c r="D307" s="401" t="s">
        <v>242</v>
      </c>
      <c r="E307" s="401" t="s">
        <v>5853</v>
      </c>
      <c r="F307" s="401" t="s">
        <v>1752</v>
      </c>
      <c r="G307" s="401" t="s">
        <v>6141</v>
      </c>
      <c r="H307" s="499" t="s">
        <v>6615</v>
      </c>
      <c r="I307" s="486" t="s">
        <v>6616</v>
      </c>
      <c r="J307" s="487" t="s">
        <v>6355</v>
      </c>
      <c r="K307" s="487" t="s">
        <v>6355</v>
      </c>
      <c r="L307" s="500" t="s">
        <v>1825</v>
      </c>
      <c r="M307" s="500" t="s">
        <v>1755</v>
      </c>
      <c r="N307" s="487" t="s">
        <v>1773</v>
      </c>
      <c r="O307" s="487" t="s">
        <v>2234</v>
      </c>
      <c r="P307" s="578">
        <v>220310.35760495</v>
      </c>
      <c r="Q307" s="578">
        <v>259966.22197384099</v>
      </c>
      <c r="R307" s="579">
        <v>172235.22222222219</v>
      </c>
      <c r="S307" s="494" t="s">
        <v>1774</v>
      </c>
      <c r="T307" s="490">
        <v>1.087</v>
      </c>
      <c r="U307" s="490">
        <v>1.077</v>
      </c>
      <c r="V307" s="490">
        <v>1.073</v>
      </c>
      <c r="W307" s="490">
        <v>1.071</v>
      </c>
      <c r="X307" s="491">
        <v>0.9</v>
      </c>
      <c r="Y307" s="502">
        <v>203867.51999999999</v>
      </c>
      <c r="Z307" s="578">
        <v>240563.67359999998</v>
      </c>
      <c r="AA307" s="578">
        <v>203968.527</v>
      </c>
      <c r="AB307" s="488">
        <v>240682.86185999998</v>
      </c>
      <c r="AC307" s="492">
        <v>203867.51999999999</v>
      </c>
      <c r="AD307" s="493">
        <v>240563.67359999998</v>
      </c>
      <c r="AE307" s="494" t="s">
        <v>1775</v>
      </c>
      <c r="AF307" s="494" t="s">
        <v>83</v>
      </c>
      <c r="AG307" s="494" t="s">
        <v>211</v>
      </c>
      <c r="AH307" s="401" t="s">
        <v>545</v>
      </c>
      <c r="AI307" s="495">
        <v>41659</v>
      </c>
      <c r="AJ307" s="495">
        <v>41694</v>
      </c>
      <c r="AK307" s="401" t="s">
        <v>96</v>
      </c>
      <c r="AL307" s="494" t="s">
        <v>96</v>
      </c>
      <c r="AM307" s="496" t="s">
        <v>6356</v>
      </c>
      <c r="AN307" s="496" t="s">
        <v>1757</v>
      </c>
      <c r="AO307" s="401">
        <v>796</v>
      </c>
      <c r="AP307" s="401" t="s">
        <v>368</v>
      </c>
      <c r="AQ307" s="401">
        <v>1</v>
      </c>
      <c r="AR307" s="401">
        <v>45</v>
      </c>
      <c r="AS307" s="496" t="s">
        <v>547</v>
      </c>
      <c r="AT307" s="495">
        <v>41714</v>
      </c>
      <c r="AU307" s="495">
        <v>41714</v>
      </c>
      <c r="AV307" s="495">
        <v>42004</v>
      </c>
      <c r="AW307" s="401">
        <v>2014</v>
      </c>
      <c r="AX307" s="496"/>
      <c r="AY307" s="401" t="s">
        <v>186</v>
      </c>
      <c r="AZ307" s="401"/>
      <c r="BA307" s="401">
        <v>2014</v>
      </c>
      <c r="BB307" s="494" t="s">
        <v>6617</v>
      </c>
      <c r="BC307" s="487" t="s">
        <v>6618</v>
      </c>
      <c r="BD307" s="494" t="s">
        <v>1818</v>
      </c>
      <c r="BE307" s="575">
        <v>42004</v>
      </c>
      <c r="BF307" s="498">
        <v>272200.39125059999</v>
      </c>
      <c r="BG307" s="488">
        <v>245879.45913999999</v>
      </c>
      <c r="BH307" s="488">
        <v>32</v>
      </c>
      <c r="BI307" s="488">
        <v>18.5</v>
      </c>
      <c r="BJ307" s="494" t="s">
        <v>5016</v>
      </c>
      <c r="BK307" s="401"/>
    </row>
    <row r="308" spans="1:63" ht="187.5">
      <c r="A308" s="401">
        <v>1</v>
      </c>
      <c r="B308" s="494" t="s">
        <v>6619</v>
      </c>
      <c r="C308" s="401" t="s">
        <v>83</v>
      </c>
      <c r="D308" s="401" t="s">
        <v>242</v>
      </c>
      <c r="E308" s="401" t="s">
        <v>5853</v>
      </c>
      <c r="F308" s="401" t="s">
        <v>1752</v>
      </c>
      <c r="G308" s="401" t="s">
        <v>6141</v>
      </c>
      <c r="H308" s="499" t="s">
        <v>6620</v>
      </c>
      <c r="I308" s="486" t="s">
        <v>6621</v>
      </c>
      <c r="J308" s="487" t="s">
        <v>6355</v>
      </c>
      <c r="K308" s="487" t="s">
        <v>6355</v>
      </c>
      <c r="L308" s="500" t="s">
        <v>1825</v>
      </c>
      <c r="M308" s="500" t="s">
        <v>1755</v>
      </c>
      <c r="N308" s="487" t="s">
        <v>1773</v>
      </c>
      <c r="O308" s="487" t="s">
        <v>2234</v>
      </c>
      <c r="P308" s="578">
        <v>495584.29469524999</v>
      </c>
      <c r="Q308" s="578">
        <v>584789.46774039499</v>
      </c>
      <c r="R308" s="579">
        <v>407455.79999999993</v>
      </c>
      <c r="S308" s="494" t="s">
        <v>1774</v>
      </c>
      <c r="T308" s="490">
        <v>1.087</v>
      </c>
      <c r="U308" s="490">
        <v>1.077</v>
      </c>
      <c r="V308" s="490">
        <v>1.073</v>
      </c>
      <c r="W308" s="490">
        <v>1.071</v>
      </c>
      <c r="X308" s="491">
        <v>0.9</v>
      </c>
      <c r="Y308" s="502">
        <v>453314.16</v>
      </c>
      <c r="Z308" s="578">
        <v>534910.70879999991</v>
      </c>
      <c r="AA308" s="578">
        <v>504986.20500000002</v>
      </c>
      <c r="AB308" s="488">
        <v>595883.7219</v>
      </c>
      <c r="AC308" s="492">
        <v>453314.16</v>
      </c>
      <c r="AD308" s="493">
        <v>534910.70879999991</v>
      </c>
      <c r="AE308" s="494" t="s">
        <v>1775</v>
      </c>
      <c r="AF308" s="494" t="s">
        <v>83</v>
      </c>
      <c r="AG308" s="494" t="s">
        <v>211</v>
      </c>
      <c r="AH308" s="401" t="s">
        <v>545</v>
      </c>
      <c r="AI308" s="495">
        <v>41659</v>
      </c>
      <c r="AJ308" s="495">
        <v>41694</v>
      </c>
      <c r="AK308" s="401" t="s">
        <v>96</v>
      </c>
      <c r="AL308" s="494" t="s">
        <v>96</v>
      </c>
      <c r="AM308" s="496" t="s">
        <v>6356</v>
      </c>
      <c r="AN308" s="496" t="s">
        <v>1757</v>
      </c>
      <c r="AO308" s="401">
        <v>796</v>
      </c>
      <c r="AP308" s="401" t="s">
        <v>368</v>
      </c>
      <c r="AQ308" s="401">
        <v>1</v>
      </c>
      <c r="AR308" s="401">
        <v>45</v>
      </c>
      <c r="AS308" s="496" t="s">
        <v>547</v>
      </c>
      <c r="AT308" s="495">
        <v>41714</v>
      </c>
      <c r="AU308" s="495">
        <v>41714</v>
      </c>
      <c r="AV308" s="495">
        <v>42004</v>
      </c>
      <c r="AW308" s="401">
        <v>2014</v>
      </c>
      <c r="AX308" s="496"/>
      <c r="AY308" s="401" t="s">
        <v>186</v>
      </c>
      <c r="AZ308" s="401"/>
      <c r="BA308" s="401">
        <v>2014</v>
      </c>
      <c r="BB308" s="494" t="s">
        <v>6622</v>
      </c>
      <c r="BC308" s="487" t="s">
        <v>6623</v>
      </c>
      <c r="BD308" s="494" t="s">
        <v>1818</v>
      </c>
      <c r="BE308" s="575">
        <v>42004</v>
      </c>
      <c r="BF308" s="498">
        <v>612316.78970700002</v>
      </c>
      <c r="BG308" s="488">
        <v>504986.20500000002</v>
      </c>
      <c r="BH308" s="488">
        <v>62.5</v>
      </c>
      <c r="BI308" s="488">
        <v>19.779999999999998</v>
      </c>
      <c r="BJ308" s="494" t="s">
        <v>5016</v>
      </c>
      <c r="BK308" s="401"/>
    </row>
    <row r="309" spans="1:63" ht="187.5">
      <c r="A309" s="401">
        <v>1</v>
      </c>
      <c r="B309" s="494" t="s">
        <v>6624</v>
      </c>
      <c r="C309" s="401" t="s">
        <v>83</v>
      </c>
      <c r="D309" s="401" t="s">
        <v>242</v>
      </c>
      <c r="E309" s="401" t="s">
        <v>5853</v>
      </c>
      <c r="F309" s="401" t="s">
        <v>1752</v>
      </c>
      <c r="G309" s="401" t="s">
        <v>6141</v>
      </c>
      <c r="H309" s="499" t="s">
        <v>6625</v>
      </c>
      <c r="I309" s="486" t="s">
        <v>6626</v>
      </c>
      <c r="J309" s="487" t="s">
        <v>6355</v>
      </c>
      <c r="K309" s="487" t="s">
        <v>6355</v>
      </c>
      <c r="L309" s="500" t="s">
        <v>1825</v>
      </c>
      <c r="M309" s="500" t="s">
        <v>1755</v>
      </c>
      <c r="N309" s="487" t="s">
        <v>1773</v>
      </c>
      <c r="O309" s="487" t="s">
        <v>2234</v>
      </c>
      <c r="P309" s="578">
        <v>284649.51778969995</v>
      </c>
      <c r="Q309" s="578">
        <v>335886.4309918459</v>
      </c>
      <c r="R309" s="579">
        <v>229343.38888888891</v>
      </c>
      <c r="S309" s="494" t="s">
        <v>1774</v>
      </c>
      <c r="T309" s="490">
        <v>1.087</v>
      </c>
      <c r="U309" s="490">
        <v>1.077</v>
      </c>
      <c r="V309" s="490">
        <v>1.073</v>
      </c>
      <c r="W309" s="490">
        <v>1.071</v>
      </c>
      <c r="X309" s="491">
        <v>0.9</v>
      </c>
      <c r="Y309" s="502">
        <v>262614.01</v>
      </c>
      <c r="Z309" s="578">
        <v>309884.5318</v>
      </c>
      <c r="AA309" s="578">
        <v>276350.66700000002</v>
      </c>
      <c r="AB309" s="488">
        <v>326093.78706</v>
      </c>
      <c r="AC309" s="492">
        <v>262614.01</v>
      </c>
      <c r="AD309" s="493">
        <v>309884.5318</v>
      </c>
      <c r="AE309" s="494" t="s">
        <v>1775</v>
      </c>
      <c r="AF309" s="494" t="s">
        <v>83</v>
      </c>
      <c r="AG309" s="494" t="s">
        <v>211</v>
      </c>
      <c r="AH309" s="401" t="s">
        <v>545</v>
      </c>
      <c r="AI309" s="495">
        <v>41659</v>
      </c>
      <c r="AJ309" s="495">
        <v>41694</v>
      </c>
      <c r="AK309" s="401" t="s">
        <v>96</v>
      </c>
      <c r="AL309" s="494" t="s">
        <v>96</v>
      </c>
      <c r="AM309" s="496" t="s">
        <v>6356</v>
      </c>
      <c r="AN309" s="496" t="s">
        <v>1757</v>
      </c>
      <c r="AO309" s="401">
        <v>796</v>
      </c>
      <c r="AP309" s="401" t="s">
        <v>368</v>
      </c>
      <c r="AQ309" s="401">
        <v>1</v>
      </c>
      <c r="AR309" s="401">
        <v>45</v>
      </c>
      <c r="AS309" s="496" t="s">
        <v>547</v>
      </c>
      <c r="AT309" s="495">
        <v>41714</v>
      </c>
      <c r="AU309" s="495">
        <v>41714</v>
      </c>
      <c r="AV309" s="495">
        <v>42004</v>
      </c>
      <c r="AW309" s="401">
        <v>2014</v>
      </c>
      <c r="AX309" s="496"/>
      <c r="AY309" s="401" t="s">
        <v>186</v>
      </c>
      <c r="AZ309" s="401"/>
      <c r="BA309" s="401">
        <v>2014</v>
      </c>
      <c r="BB309" s="494" t="s">
        <v>6627</v>
      </c>
      <c r="BC309" s="487" t="s">
        <v>6628</v>
      </c>
      <c r="BD309" s="494" t="s">
        <v>1818</v>
      </c>
      <c r="BE309" s="575">
        <v>42004</v>
      </c>
      <c r="BF309" s="498">
        <v>362390.0388792</v>
      </c>
      <c r="BG309" s="488">
        <v>341850.85569999996</v>
      </c>
      <c r="BH309" s="488">
        <v>0</v>
      </c>
      <c r="BI309" s="488">
        <v>6.05</v>
      </c>
      <c r="BJ309" s="494" t="s">
        <v>5016</v>
      </c>
      <c r="BK309" s="401"/>
    </row>
    <row r="310" spans="1:63" ht="187.5">
      <c r="A310" s="401">
        <v>1</v>
      </c>
      <c r="B310" s="494" t="s">
        <v>6629</v>
      </c>
      <c r="C310" s="401" t="s">
        <v>83</v>
      </c>
      <c r="D310" s="401" t="s">
        <v>242</v>
      </c>
      <c r="E310" s="401" t="s">
        <v>5853</v>
      </c>
      <c r="F310" s="401" t="s">
        <v>1752</v>
      </c>
      <c r="G310" s="401" t="s">
        <v>6141</v>
      </c>
      <c r="H310" s="499" t="s">
        <v>6630</v>
      </c>
      <c r="I310" s="486" t="s">
        <v>6631</v>
      </c>
      <c r="J310" s="487" t="s">
        <v>6355</v>
      </c>
      <c r="K310" s="487" t="s">
        <v>6355</v>
      </c>
      <c r="L310" s="500" t="s">
        <v>1825</v>
      </c>
      <c r="M310" s="500" t="s">
        <v>1755</v>
      </c>
      <c r="N310" s="487" t="s">
        <v>1773</v>
      </c>
      <c r="O310" s="487" t="s">
        <v>2234</v>
      </c>
      <c r="P310" s="578">
        <v>20050.555471799998</v>
      </c>
      <c r="Q310" s="578">
        <v>23659.655456723998</v>
      </c>
      <c r="R310" s="579">
        <v>15959.655555555555</v>
      </c>
      <c r="S310" s="494" t="s">
        <v>1774</v>
      </c>
      <c r="T310" s="490">
        <v>1.087</v>
      </c>
      <c r="U310" s="490">
        <v>1.077</v>
      </c>
      <c r="V310" s="490">
        <v>1.073</v>
      </c>
      <c r="W310" s="490">
        <v>1.071</v>
      </c>
      <c r="X310" s="491">
        <v>0.9</v>
      </c>
      <c r="Y310" s="502">
        <v>19427.5</v>
      </c>
      <c r="Z310" s="578">
        <v>22924.449999999997</v>
      </c>
      <c r="AA310" s="578">
        <v>17875.218000000001</v>
      </c>
      <c r="AB310" s="488">
        <v>21092.757239999999</v>
      </c>
      <c r="AC310" s="492">
        <v>17875.218000000001</v>
      </c>
      <c r="AD310" s="493">
        <v>21092.757239999999</v>
      </c>
      <c r="AE310" s="494" t="s">
        <v>1775</v>
      </c>
      <c r="AF310" s="494" t="s">
        <v>83</v>
      </c>
      <c r="AG310" s="494" t="s">
        <v>211</v>
      </c>
      <c r="AH310" s="401" t="s">
        <v>545</v>
      </c>
      <c r="AI310" s="495">
        <v>41659</v>
      </c>
      <c r="AJ310" s="495">
        <v>41694</v>
      </c>
      <c r="AK310" s="401" t="s">
        <v>96</v>
      </c>
      <c r="AL310" s="494" t="s">
        <v>96</v>
      </c>
      <c r="AM310" s="496" t="s">
        <v>6356</v>
      </c>
      <c r="AN310" s="496" t="s">
        <v>1757</v>
      </c>
      <c r="AO310" s="401">
        <v>796</v>
      </c>
      <c r="AP310" s="401" t="s">
        <v>368</v>
      </c>
      <c r="AQ310" s="401">
        <v>1</v>
      </c>
      <c r="AR310" s="401">
        <v>45</v>
      </c>
      <c r="AS310" s="496" t="s">
        <v>547</v>
      </c>
      <c r="AT310" s="495">
        <v>41714</v>
      </c>
      <c r="AU310" s="495">
        <v>41714</v>
      </c>
      <c r="AV310" s="583">
        <v>41912</v>
      </c>
      <c r="AW310" s="401">
        <v>2014</v>
      </c>
      <c r="AX310" s="496"/>
      <c r="AY310" s="401" t="s">
        <v>186</v>
      </c>
      <c r="AZ310" s="401"/>
      <c r="BA310" s="401">
        <v>2014</v>
      </c>
      <c r="BB310" s="494" t="s">
        <v>6632</v>
      </c>
      <c r="BC310" s="487" t="s">
        <v>6633</v>
      </c>
      <c r="BD310" s="494" t="s">
        <v>1818</v>
      </c>
      <c r="BE310" s="575">
        <v>41912</v>
      </c>
      <c r="BF310" s="498">
        <v>24707.788578399999</v>
      </c>
      <c r="BG310" s="488">
        <v>24707.788578399999</v>
      </c>
      <c r="BH310" s="488">
        <v>2</v>
      </c>
      <c r="BI310" s="488">
        <v>1.4</v>
      </c>
      <c r="BJ310" s="494" t="s">
        <v>5016</v>
      </c>
      <c r="BK310" s="401"/>
    </row>
    <row r="311" spans="1:63" s="603" customFormat="1">
      <c r="A311" s="91" t="s">
        <v>132</v>
      </c>
      <c r="B311" s="7" t="s">
        <v>132</v>
      </c>
      <c r="C311" s="7" t="s">
        <v>132</v>
      </c>
      <c r="D311" s="7" t="s">
        <v>132</v>
      </c>
      <c r="E311" s="7" t="s">
        <v>132</v>
      </c>
      <c r="F311" s="7" t="s">
        <v>132</v>
      </c>
      <c r="G311" s="7" t="s">
        <v>132</v>
      </c>
      <c r="H311" s="7" t="s">
        <v>132</v>
      </c>
      <c r="I311" s="7" t="s">
        <v>132</v>
      </c>
      <c r="J311" s="7" t="s">
        <v>132</v>
      </c>
      <c r="K311" s="7" t="s">
        <v>132</v>
      </c>
      <c r="L311" s="7" t="s">
        <v>132</v>
      </c>
      <c r="M311" s="7" t="s">
        <v>132</v>
      </c>
      <c r="N311" s="7" t="s">
        <v>132</v>
      </c>
      <c r="O311" s="7" t="s">
        <v>132</v>
      </c>
      <c r="P311" s="7" t="s">
        <v>132</v>
      </c>
      <c r="Q311" s="7" t="s">
        <v>132</v>
      </c>
      <c r="R311" s="7" t="s">
        <v>132</v>
      </c>
      <c r="S311" s="7" t="s">
        <v>132</v>
      </c>
      <c r="T311" s="7" t="s">
        <v>132</v>
      </c>
      <c r="U311" s="7" t="s">
        <v>132</v>
      </c>
      <c r="V311" s="7" t="s">
        <v>132</v>
      </c>
      <c r="W311" s="7" t="s">
        <v>132</v>
      </c>
      <c r="X311" s="7" t="s">
        <v>132</v>
      </c>
      <c r="Y311" s="7" t="s">
        <v>132</v>
      </c>
      <c r="Z311" s="7" t="s">
        <v>132</v>
      </c>
      <c r="AA311" s="7" t="s">
        <v>132</v>
      </c>
      <c r="AB311" s="7" t="s">
        <v>132</v>
      </c>
      <c r="AC311" s="7" t="s">
        <v>132</v>
      </c>
      <c r="AD311" s="7" t="s">
        <v>132</v>
      </c>
      <c r="AE311" s="7" t="s">
        <v>132</v>
      </c>
      <c r="AF311" s="7" t="s">
        <v>132</v>
      </c>
      <c r="AG311" s="7" t="s">
        <v>132</v>
      </c>
      <c r="AH311" s="7" t="s">
        <v>132</v>
      </c>
      <c r="AI311" s="7" t="s">
        <v>132</v>
      </c>
      <c r="AJ311" s="7" t="s">
        <v>132</v>
      </c>
      <c r="AK311" s="7" t="s">
        <v>132</v>
      </c>
      <c r="AL311" s="7" t="s">
        <v>132</v>
      </c>
      <c r="AM311" s="7" t="s">
        <v>132</v>
      </c>
      <c r="AN311" s="7" t="s">
        <v>132</v>
      </c>
      <c r="AO311" s="7" t="s">
        <v>132</v>
      </c>
      <c r="AP311" s="7" t="s">
        <v>132</v>
      </c>
      <c r="AQ311" s="7" t="s">
        <v>132</v>
      </c>
      <c r="AR311" s="7" t="s">
        <v>132</v>
      </c>
      <c r="AS311" s="7" t="s">
        <v>132</v>
      </c>
      <c r="AT311" s="7" t="s">
        <v>132</v>
      </c>
      <c r="AU311" s="7" t="s">
        <v>132</v>
      </c>
      <c r="AV311" s="7" t="s">
        <v>132</v>
      </c>
      <c r="AW311" s="7" t="s">
        <v>132</v>
      </c>
      <c r="AX311" s="7" t="s">
        <v>132</v>
      </c>
      <c r="AY311" s="7" t="s">
        <v>132</v>
      </c>
      <c r="AZ311" s="7" t="s">
        <v>132</v>
      </c>
      <c r="BA311" s="7" t="s">
        <v>132</v>
      </c>
      <c r="BB311" s="7" t="s">
        <v>132</v>
      </c>
      <c r="BC311" s="7" t="s">
        <v>132</v>
      </c>
      <c r="BD311" s="7" t="s">
        <v>132</v>
      </c>
      <c r="BE311" s="7" t="s">
        <v>132</v>
      </c>
      <c r="BF311" s="7" t="s">
        <v>132</v>
      </c>
      <c r="BG311" s="488" t="s">
        <v>132</v>
      </c>
      <c r="BH311" s="7" t="s">
        <v>132</v>
      </c>
      <c r="BI311" s="7" t="s">
        <v>132</v>
      </c>
      <c r="BJ311" s="7" t="s">
        <v>132</v>
      </c>
      <c r="BK311" s="7"/>
    </row>
    <row r="312" spans="1:63" s="603" customFormat="1" ht="37.5">
      <c r="A312" s="91" t="s">
        <v>132</v>
      </c>
      <c r="B312" s="7" t="s">
        <v>132</v>
      </c>
      <c r="C312" s="7" t="s">
        <v>132</v>
      </c>
      <c r="D312" s="7" t="s">
        <v>132</v>
      </c>
      <c r="E312" s="7" t="s">
        <v>132</v>
      </c>
      <c r="F312" s="7" t="s">
        <v>132</v>
      </c>
      <c r="G312" s="7" t="s">
        <v>132</v>
      </c>
      <c r="H312" s="7" t="s">
        <v>132</v>
      </c>
      <c r="I312" s="7" t="s">
        <v>2996</v>
      </c>
      <c r="J312" s="7" t="s">
        <v>132</v>
      </c>
      <c r="K312" s="7" t="s">
        <v>132</v>
      </c>
      <c r="L312" s="7" t="s">
        <v>132</v>
      </c>
      <c r="M312" s="7" t="s">
        <v>132</v>
      </c>
      <c r="N312" s="7" t="s">
        <v>132</v>
      </c>
      <c r="O312" s="7" t="s">
        <v>132</v>
      </c>
      <c r="P312" s="102">
        <f>SUMIFS(Сумма_16,Филиал,"=ОАО*",ВД,"=1")</f>
        <v>9297685.2412305847</v>
      </c>
      <c r="Q312" s="102">
        <f>SUMIFS(Сумма_17,Филиал,"=ОАО*",ВД,"=1")</f>
        <v>10971268.584652085</v>
      </c>
      <c r="R312" s="7" t="s">
        <v>132</v>
      </c>
      <c r="S312" s="7" t="s">
        <v>132</v>
      </c>
      <c r="T312" s="7" t="s">
        <v>132</v>
      </c>
      <c r="U312" s="7" t="s">
        <v>132</v>
      </c>
      <c r="V312" s="7" t="s">
        <v>132</v>
      </c>
      <c r="W312" s="7" t="s">
        <v>132</v>
      </c>
      <c r="X312" s="7" t="s">
        <v>132</v>
      </c>
      <c r="Y312" s="102">
        <f>SUMIFS(Сумма_25,Филиал,"=ОАО*",ВД,"=1")</f>
        <v>8551120.747997513</v>
      </c>
      <c r="Z312" s="102">
        <f>SUMIFS(Сумма_26,Филиал,"=ОАО*",ВД,"=1")</f>
        <v>10090322.48263707</v>
      </c>
      <c r="AA312" s="102">
        <f>SUMIFS(Сумма_27,Филиал,"=ОАО*",ВД,"=1")</f>
        <v>8520928.6318835896</v>
      </c>
      <c r="AB312" s="102">
        <f>SUMIFS(Сумма_28,Филиал,"=ОАО*",ВД,"=1")</f>
        <v>10054695.785622636</v>
      </c>
      <c r="AC312" s="102">
        <f>SUMIFS(Сумма_29,Филиал,"=ОАО*",ВД,"=1")</f>
        <v>8261486.5081348987</v>
      </c>
      <c r="AD312" s="102">
        <f>SUMIFS(Сумма,Филиал,"=ОАО*",ВД,"=1")</f>
        <v>9748554.0795991756</v>
      </c>
      <c r="AE312" s="7" t="s">
        <v>132</v>
      </c>
      <c r="AF312" s="7" t="s">
        <v>132</v>
      </c>
      <c r="AG312" s="7" t="s">
        <v>132</v>
      </c>
      <c r="AH312" s="7" t="s">
        <v>132</v>
      </c>
      <c r="AI312" s="7" t="s">
        <v>132</v>
      </c>
      <c r="AJ312" s="7" t="s">
        <v>132</v>
      </c>
      <c r="AK312" s="7" t="s">
        <v>132</v>
      </c>
      <c r="AL312" s="7" t="s">
        <v>132</v>
      </c>
      <c r="AM312" s="7" t="s">
        <v>132</v>
      </c>
      <c r="AN312" s="7" t="s">
        <v>132</v>
      </c>
      <c r="AO312" s="7" t="s">
        <v>132</v>
      </c>
      <c r="AP312" s="7" t="s">
        <v>132</v>
      </c>
      <c r="AQ312" s="7" t="s">
        <v>132</v>
      </c>
      <c r="AR312" s="7" t="s">
        <v>132</v>
      </c>
      <c r="AS312" s="7" t="s">
        <v>132</v>
      </c>
      <c r="AT312" s="7" t="s">
        <v>132</v>
      </c>
      <c r="AU312" s="7" t="s">
        <v>132</v>
      </c>
      <c r="AV312" s="7" t="s">
        <v>132</v>
      </c>
      <c r="AW312" s="7" t="s">
        <v>132</v>
      </c>
      <c r="AX312" s="7" t="s">
        <v>132</v>
      </c>
      <c r="AY312" s="7" t="s">
        <v>132</v>
      </c>
      <c r="AZ312" s="7" t="s">
        <v>132</v>
      </c>
      <c r="BA312" s="7" t="s">
        <v>132</v>
      </c>
      <c r="BB312" s="7" t="s">
        <v>132</v>
      </c>
      <c r="BC312" s="7" t="s">
        <v>132</v>
      </c>
      <c r="BD312" s="7" t="s">
        <v>132</v>
      </c>
      <c r="BE312" s="7" t="s">
        <v>132</v>
      </c>
      <c r="BF312" s="7" t="s">
        <v>132</v>
      </c>
      <c r="BG312" s="488" t="s">
        <v>132</v>
      </c>
      <c r="BH312" s="7" t="s">
        <v>132</v>
      </c>
      <c r="BI312" s="7" t="s">
        <v>132</v>
      </c>
      <c r="BJ312" s="7" t="s">
        <v>132</v>
      </c>
      <c r="BK312" s="7"/>
    </row>
    <row r="313" spans="1:63" s="603" customFormat="1" ht="37.5">
      <c r="A313" s="91" t="s">
        <v>132</v>
      </c>
      <c r="B313" s="7" t="s">
        <v>132</v>
      </c>
      <c r="C313" s="7" t="s">
        <v>132</v>
      </c>
      <c r="D313" s="7" t="s">
        <v>132</v>
      </c>
      <c r="E313" s="7" t="s">
        <v>132</v>
      </c>
      <c r="F313" s="7" t="s">
        <v>132</v>
      </c>
      <c r="G313" s="7" t="s">
        <v>132</v>
      </c>
      <c r="H313" s="7" t="s">
        <v>132</v>
      </c>
      <c r="I313" s="8" t="s">
        <v>2997</v>
      </c>
      <c r="J313" s="7" t="s">
        <v>132</v>
      </c>
      <c r="K313" s="7" t="s">
        <v>132</v>
      </c>
      <c r="L313" s="7" t="s">
        <v>132</v>
      </c>
      <c r="M313" s="7" t="s">
        <v>132</v>
      </c>
      <c r="N313" s="7" t="s">
        <v>132</v>
      </c>
      <c r="O313" s="7" t="s">
        <v>132</v>
      </c>
      <c r="P313" s="7" t="s">
        <v>132</v>
      </c>
      <c r="Q313" s="7" t="s">
        <v>132</v>
      </c>
      <c r="R313" s="7" t="s">
        <v>132</v>
      </c>
      <c r="S313" s="7" t="s">
        <v>132</v>
      </c>
      <c r="T313" s="7" t="s">
        <v>132</v>
      </c>
      <c r="U313" s="7" t="s">
        <v>132</v>
      </c>
      <c r="V313" s="7" t="s">
        <v>132</v>
      </c>
      <c r="W313" s="7" t="s">
        <v>132</v>
      </c>
      <c r="X313" s="7" t="s">
        <v>132</v>
      </c>
      <c r="Y313" s="7" t="s">
        <v>132</v>
      </c>
      <c r="Z313" s="7" t="s">
        <v>132</v>
      </c>
      <c r="AA313" s="7" t="s">
        <v>132</v>
      </c>
      <c r="AB313" s="7" t="s">
        <v>132</v>
      </c>
      <c r="AC313" s="7" t="s">
        <v>132</v>
      </c>
      <c r="AD313" s="7" t="s">
        <v>132</v>
      </c>
      <c r="AE313" s="7" t="s">
        <v>132</v>
      </c>
      <c r="AF313" s="7" t="s">
        <v>132</v>
      </c>
      <c r="AG313" s="7" t="s">
        <v>132</v>
      </c>
      <c r="AH313" s="7" t="s">
        <v>132</v>
      </c>
      <c r="AI313" s="7" t="s">
        <v>132</v>
      </c>
      <c r="AJ313" s="7" t="s">
        <v>132</v>
      </c>
      <c r="AK313" s="7" t="s">
        <v>132</v>
      </c>
      <c r="AL313" s="7" t="s">
        <v>132</v>
      </c>
      <c r="AM313" s="7" t="s">
        <v>132</v>
      </c>
      <c r="AN313" s="7" t="s">
        <v>132</v>
      </c>
      <c r="AO313" s="7" t="s">
        <v>132</v>
      </c>
      <c r="AP313" s="7" t="s">
        <v>132</v>
      </c>
      <c r="AQ313" s="7" t="s">
        <v>132</v>
      </c>
      <c r="AR313" s="7" t="s">
        <v>132</v>
      </c>
      <c r="AS313" s="7" t="s">
        <v>132</v>
      </c>
      <c r="AT313" s="7" t="s">
        <v>132</v>
      </c>
      <c r="AU313" s="7" t="s">
        <v>132</v>
      </c>
      <c r="AV313" s="7" t="s">
        <v>132</v>
      </c>
      <c r="AW313" s="7" t="s">
        <v>132</v>
      </c>
      <c r="AX313" s="7" t="s">
        <v>132</v>
      </c>
      <c r="AY313" s="7" t="s">
        <v>132</v>
      </c>
      <c r="AZ313" s="7" t="s">
        <v>132</v>
      </c>
      <c r="BA313" s="7" t="s">
        <v>132</v>
      </c>
      <c r="BB313" s="7" t="s">
        <v>132</v>
      </c>
      <c r="BC313" s="7" t="s">
        <v>132</v>
      </c>
      <c r="BD313" s="7" t="s">
        <v>132</v>
      </c>
      <c r="BE313" s="7" t="s">
        <v>132</v>
      </c>
      <c r="BF313" s="7" t="s">
        <v>132</v>
      </c>
      <c r="BG313" s="488" t="s">
        <v>132</v>
      </c>
      <c r="BH313" s="7" t="s">
        <v>132</v>
      </c>
      <c r="BI313" s="7" t="s">
        <v>132</v>
      </c>
      <c r="BJ313" s="7" t="s">
        <v>132</v>
      </c>
      <c r="BK313" s="7"/>
    </row>
    <row r="314" spans="1:63" s="603" customFormat="1">
      <c r="A314" s="91" t="s">
        <v>132</v>
      </c>
      <c r="B314" s="7" t="s">
        <v>132</v>
      </c>
      <c r="C314" s="7" t="s">
        <v>132</v>
      </c>
      <c r="D314" s="7" t="s">
        <v>132</v>
      </c>
      <c r="E314" s="7" t="s">
        <v>132</v>
      </c>
      <c r="F314" s="7" t="s">
        <v>132</v>
      </c>
      <c r="G314" s="7" t="s">
        <v>132</v>
      </c>
      <c r="H314" s="7" t="s">
        <v>132</v>
      </c>
      <c r="I314" s="7" t="s">
        <v>132</v>
      </c>
      <c r="J314" s="7" t="s">
        <v>132</v>
      </c>
      <c r="K314" s="7" t="s">
        <v>132</v>
      </c>
      <c r="L314" s="7" t="s">
        <v>132</v>
      </c>
      <c r="M314" s="7" t="s">
        <v>132</v>
      </c>
      <c r="N314" s="7" t="s">
        <v>132</v>
      </c>
      <c r="O314" s="7" t="s">
        <v>132</v>
      </c>
      <c r="P314" s="7" t="s">
        <v>132</v>
      </c>
      <c r="Q314" s="7" t="s">
        <v>132</v>
      </c>
      <c r="R314" s="7" t="s">
        <v>132</v>
      </c>
      <c r="S314" s="7" t="s">
        <v>132</v>
      </c>
      <c r="T314" s="7" t="s">
        <v>132</v>
      </c>
      <c r="U314" s="7" t="s">
        <v>132</v>
      </c>
      <c r="V314" s="7" t="s">
        <v>132</v>
      </c>
      <c r="W314" s="7" t="s">
        <v>132</v>
      </c>
      <c r="X314" s="7" t="s">
        <v>132</v>
      </c>
      <c r="Y314" s="7" t="s">
        <v>132</v>
      </c>
      <c r="Z314" s="7" t="s">
        <v>132</v>
      </c>
      <c r="AA314" s="7" t="s">
        <v>132</v>
      </c>
      <c r="AB314" s="7" t="s">
        <v>132</v>
      </c>
      <c r="AC314" s="7" t="s">
        <v>132</v>
      </c>
      <c r="AD314" s="7" t="s">
        <v>132</v>
      </c>
      <c r="AE314" s="7" t="s">
        <v>132</v>
      </c>
      <c r="AF314" s="7" t="s">
        <v>132</v>
      </c>
      <c r="AG314" s="7" t="s">
        <v>132</v>
      </c>
      <c r="AH314" s="7" t="s">
        <v>132</v>
      </c>
      <c r="AI314" s="7" t="s">
        <v>132</v>
      </c>
      <c r="AJ314" s="7" t="s">
        <v>132</v>
      </c>
      <c r="AK314" s="7" t="s">
        <v>132</v>
      </c>
      <c r="AL314" s="7" t="s">
        <v>132</v>
      </c>
      <c r="AM314" s="7" t="s">
        <v>132</v>
      </c>
      <c r="AN314" s="7" t="s">
        <v>132</v>
      </c>
      <c r="AO314" s="7" t="s">
        <v>132</v>
      </c>
      <c r="AP314" s="7" t="s">
        <v>132</v>
      </c>
      <c r="AQ314" s="7" t="s">
        <v>132</v>
      </c>
      <c r="AR314" s="7" t="s">
        <v>132</v>
      </c>
      <c r="AS314" s="7" t="s">
        <v>132</v>
      </c>
      <c r="AT314" s="7" t="s">
        <v>132</v>
      </c>
      <c r="AU314" s="7" t="s">
        <v>132</v>
      </c>
      <c r="AV314" s="7" t="s">
        <v>132</v>
      </c>
      <c r="AW314" s="7" t="s">
        <v>132</v>
      </c>
      <c r="AX314" s="7" t="s">
        <v>132</v>
      </c>
      <c r="AY314" s="7" t="s">
        <v>132</v>
      </c>
      <c r="AZ314" s="7" t="s">
        <v>132</v>
      </c>
      <c r="BA314" s="7" t="s">
        <v>132</v>
      </c>
      <c r="BB314" s="7" t="s">
        <v>132</v>
      </c>
      <c r="BC314" s="7" t="s">
        <v>132</v>
      </c>
      <c r="BD314" s="7" t="s">
        <v>132</v>
      </c>
      <c r="BE314" s="7" t="s">
        <v>132</v>
      </c>
      <c r="BF314" s="7" t="s">
        <v>132</v>
      </c>
      <c r="BG314" s="488" t="s">
        <v>132</v>
      </c>
      <c r="BH314" s="7" t="s">
        <v>132</v>
      </c>
      <c r="BI314" s="7" t="s">
        <v>132</v>
      </c>
      <c r="BJ314" s="7" t="s">
        <v>132</v>
      </c>
      <c r="BK314" s="7"/>
    </row>
    <row r="315" spans="1:63" ht="112.5">
      <c r="A315" s="401">
        <v>2</v>
      </c>
      <c r="B315" s="494" t="s">
        <v>1767</v>
      </c>
      <c r="C315" s="401" t="s">
        <v>83</v>
      </c>
      <c r="D315" s="401" t="s">
        <v>238</v>
      </c>
      <c r="E315" s="494" t="s">
        <v>5853</v>
      </c>
      <c r="F315" s="401" t="s">
        <v>1768</v>
      </c>
      <c r="G315" s="401" t="s">
        <v>1769</v>
      </c>
      <c r="H315" s="499">
        <v>641352</v>
      </c>
      <c r="I315" s="486" t="s">
        <v>1770</v>
      </c>
      <c r="J315" s="496" t="s">
        <v>1771</v>
      </c>
      <c r="K315" s="496" t="s">
        <v>1771</v>
      </c>
      <c r="L315" s="496" t="s">
        <v>1772</v>
      </c>
      <c r="M315" s="500" t="s">
        <v>1755</v>
      </c>
      <c r="N315" s="496" t="s">
        <v>1773</v>
      </c>
      <c r="O315" s="496" t="s">
        <v>2234</v>
      </c>
      <c r="P315" s="489">
        <v>25581.800999999999</v>
      </c>
      <c r="Q315" s="489">
        <f t="shared" ref="Q315:Q320" si="67">P315*1.18</f>
        <v>30186.525179999997</v>
      </c>
      <c r="R315" s="489">
        <v>19667.478760000002</v>
      </c>
      <c r="S315" s="401" t="s">
        <v>5970</v>
      </c>
      <c r="T315" s="501">
        <v>1.087</v>
      </c>
      <c r="U315" s="501">
        <v>1.0680000000000001</v>
      </c>
      <c r="V315" s="501">
        <v>1.0589999999999999</v>
      </c>
      <c r="W315" s="501">
        <v>1.0580000000000001</v>
      </c>
      <c r="X315" s="596">
        <v>0.9</v>
      </c>
      <c r="Y315" s="502">
        <v>23023.620999999999</v>
      </c>
      <c r="Z315" s="489">
        <f t="shared" ref="Z315:Z320" si="68">Y315*1.18</f>
        <v>27167.872779999998</v>
      </c>
      <c r="AA315" s="489">
        <v>25701.597675421803</v>
      </c>
      <c r="AB315" s="488">
        <f t="shared" ref="AB315:AB320" si="69">AA315*1.18</f>
        <v>30327.885256997724</v>
      </c>
      <c r="AC315" s="492">
        <f t="shared" ref="AC315:AC320" si="70">IF(Y315&lt;AA315,Y315,AA315)</f>
        <v>23023.620999999999</v>
      </c>
      <c r="AD315" s="493">
        <f t="shared" ref="AD315:AD320" si="71">AC315*1.18</f>
        <v>27167.872779999998</v>
      </c>
      <c r="AE315" s="494" t="s">
        <v>1775</v>
      </c>
      <c r="AF315" s="494" t="s">
        <v>83</v>
      </c>
      <c r="AG315" s="494" t="s">
        <v>211</v>
      </c>
      <c r="AH315" s="494" t="s">
        <v>545</v>
      </c>
      <c r="AI315" s="495">
        <v>41663</v>
      </c>
      <c r="AJ315" s="495">
        <v>41698</v>
      </c>
      <c r="AK315" s="494" t="s">
        <v>96</v>
      </c>
      <c r="AL315" s="494" t="s">
        <v>96</v>
      </c>
      <c r="AM315" s="496" t="s">
        <v>1776</v>
      </c>
      <c r="AN315" s="496" t="s">
        <v>1757</v>
      </c>
      <c r="AO315" s="494">
        <v>796</v>
      </c>
      <c r="AP315" s="494" t="s">
        <v>368</v>
      </c>
      <c r="AQ315" s="494">
        <v>1</v>
      </c>
      <c r="AR315" s="494">
        <v>45</v>
      </c>
      <c r="AS315" s="496" t="s">
        <v>547</v>
      </c>
      <c r="AT315" s="495">
        <v>41718</v>
      </c>
      <c r="AU315" s="495">
        <v>41718</v>
      </c>
      <c r="AV315" s="583">
        <v>42003</v>
      </c>
      <c r="AW315" s="494">
        <v>2014</v>
      </c>
      <c r="AX315" s="496"/>
      <c r="AY315" s="494" t="s">
        <v>186</v>
      </c>
      <c r="AZ315" s="494"/>
      <c r="BA315" s="494">
        <v>2014</v>
      </c>
      <c r="BB315" s="494" t="s">
        <v>1777</v>
      </c>
      <c r="BC315" s="496" t="s">
        <v>1778</v>
      </c>
      <c r="BD315" s="496" t="s">
        <v>1779</v>
      </c>
      <c r="BE315" s="497">
        <v>42003</v>
      </c>
      <c r="BF315" s="498">
        <v>29700</v>
      </c>
      <c r="BG315" s="488">
        <v>29700</v>
      </c>
      <c r="BH315" s="488">
        <v>0</v>
      </c>
      <c r="BI315" s="488">
        <v>0</v>
      </c>
      <c r="BJ315" s="494" t="s">
        <v>1465</v>
      </c>
      <c r="BK315" s="401"/>
    </row>
    <row r="316" spans="1:63" ht="112.5">
      <c r="A316" s="401">
        <v>2</v>
      </c>
      <c r="B316" s="494" t="s">
        <v>1787</v>
      </c>
      <c r="C316" s="401" t="s">
        <v>83</v>
      </c>
      <c r="D316" s="401" t="s">
        <v>238</v>
      </c>
      <c r="E316" s="494" t="s">
        <v>5853</v>
      </c>
      <c r="F316" s="401" t="s">
        <v>1768</v>
      </c>
      <c r="G316" s="401" t="s">
        <v>1769</v>
      </c>
      <c r="H316" s="499">
        <v>641356</v>
      </c>
      <c r="I316" s="486" t="s">
        <v>1788</v>
      </c>
      <c r="J316" s="496" t="s">
        <v>1771</v>
      </c>
      <c r="K316" s="496" t="s">
        <v>1771</v>
      </c>
      <c r="L316" s="496" t="s">
        <v>1772</v>
      </c>
      <c r="M316" s="500" t="s">
        <v>1755</v>
      </c>
      <c r="N316" s="496" t="s">
        <v>1773</v>
      </c>
      <c r="O316" s="496" t="s">
        <v>1786</v>
      </c>
      <c r="P316" s="489">
        <v>90827.175900000002</v>
      </c>
      <c r="Q316" s="489">
        <f t="shared" si="67"/>
        <v>107176.067562</v>
      </c>
      <c r="R316" s="489">
        <v>75516.435169999997</v>
      </c>
      <c r="S316" s="401" t="s">
        <v>5970</v>
      </c>
      <c r="T316" s="501">
        <v>1.087</v>
      </c>
      <c r="U316" s="501">
        <v>1.0680000000000001</v>
      </c>
      <c r="V316" s="501">
        <v>1.0589999999999999</v>
      </c>
      <c r="W316" s="501">
        <v>1.0580000000000001</v>
      </c>
      <c r="X316" s="596">
        <v>0.9</v>
      </c>
      <c r="Y316" s="502">
        <v>88402.880149999997</v>
      </c>
      <c r="Z316" s="489">
        <f t="shared" si="68"/>
        <v>104315.39857699999</v>
      </c>
      <c r="AA316" s="489">
        <v>83390.309269271631</v>
      </c>
      <c r="AB316" s="488">
        <f t="shared" si="69"/>
        <v>98400.564937740521</v>
      </c>
      <c r="AC316" s="492">
        <f t="shared" si="70"/>
        <v>83390.309269271631</v>
      </c>
      <c r="AD316" s="493">
        <f t="shared" si="71"/>
        <v>98400.564937740521</v>
      </c>
      <c r="AE316" s="494" t="s">
        <v>218</v>
      </c>
      <c r="AF316" s="494" t="s">
        <v>83</v>
      </c>
      <c r="AG316" s="494" t="s">
        <v>211</v>
      </c>
      <c r="AH316" s="494" t="s">
        <v>545</v>
      </c>
      <c r="AI316" s="495">
        <v>41666</v>
      </c>
      <c r="AJ316" s="495">
        <v>41726</v>
      </c>
      <c r="AK316" s="494" t="s">
        <v>96</v>
      </c>
      <c r="AL316" s="494" t="s">
        <v>96</v>
      </c>
      <c r="AM316" s="496" t="s">
        <v>1776</v>
      </c>
      <c r="AN316" s="496" t="s">
        <v>1757</v>
      </c>
      <c r="AO316" s="494">
        <v>796</v>
      </c>
      <c r="AP316" s="494" t="s">
        <v>368</v>
      </c>
      <c r="AQ316" s="494">
        <v>1</v>
      </c>
      <c r="AR316" s="494">
        <v>45</v>
      </c>
      <c r="AS316" s="496" t="s">
        <v>547</v>
      </c>
      <c r="AT316" s="495">
        <v>41746</v>
      </c>
      <c r="AU316" s="495">
        <v>41746</v>
      </c>
      <c r="AV316" s="495">
        <v>42551</v>
      </c>
      <c r="AW316" s="494" t="s">
        <v>1789</v>
      </c>
      <c r="AX316" s="496"/>
      <c r="AY316" s="494" t="s">
        <v>186</v>
      </c>
      <c r="AZ316" s="494"/>
      <c r="BA316" s="494">
        <v>2014</v>
      </c>
      <c r="BB316" s="494" t="s">
        <v>1790</v>
      </c>
      <c r="BC316" s="496" t="s">
        <v>1791</v>
      </c>
      <c r="BD316" s="496" t="s">
        <v>1792</v>
      </c>
      <c r="BE316" s="497">
        <v>42551</v>
      </c>
      <c r="BF316" s="498">
        <v>105062.40919999999</v>
      </c>
      <c r="BG316" s="488">
        <v>102032.94</v>
      </c>
      <c r="BH316" s="488">
        <v>0</v>
      </c>
      <c r="BI316" s="488">
        <v>0</v>
      </c>
      <c r="BJ316" s="494" t="s">
        <v>186</v>
      </c>
      <c r="BK316" s="401"/>
    </row>
    <row r="317" spans="1:63" ht="112.5">
      <c r="A317" s="401">
        <v>2</v>
      </c>
      <c r="B317" s="494" t="s">
        <v>1797</v>
      </c>
      <c r="C317" s="401" t="s">
        <v>83</v>
      </c>
      <c r="D317" s="401" t="s">
        <v>238</v>
      </c>
      <c r="E317" s="494" t="s">
        <v>5853</v>
      </c>
      <c r="F317" s="401" t="s">
        <v>1768</v>
      </c>
      <c r="G317" s="401" t="s">
        <v>1769</v>
      </c>
      <c r="H317" s="499">
        <v>641362</v>
      </c>
      <c r="I317" s="486" t="s">
        <v>1798</v>
      </c>
      <c r="J317" s="496" t="s">
        <v>1771</v>
      </c>
      <c r="K317" s="496" t="s">
        <v>1771</v>
      </c>
      <c r="L317" s="496" t="s">
        <v>1772</v>
      </c>
      <c r="M317" s="500" t="s">
        <v>1755</v>
      </c>
      <c r="N317" s="496" t="s">
        <v>1773</v>
      </c>
      <c r="O317" s="496" t="s">
        <v>2234</v>
      </c>
      <c r="P317" s="489">
        <v>75448.297000000006</v>
      </c>
      <c r="Q317" s="489">
        <f t="shared" si="67"/>
        <v>89028.990460000001</v>
      </c>
      <c r="R317" s="489">
        <v>58005.213049999998</v>
      </c>
      <c r="S317" s="401" t="s">
        <v>5970</v>
      </c>
      <c r="T317" s="501">
        <v>1.087</v>
      </c>
      <c r="U317" s="501">
        <v>1.0680000000000001</v>
      </c>
      <c r="V317" s="501">
        <v>1.0589999999999999</v>
      </c>
      <c r="W317" s="501">
        <v>1.0580000000000001</v>
      </c>
      <c r="X317" s="596">
        <v>0.9</v>
      </c>
      <c r="Y317" s="502">
        <v>70676.410629999998</v>
      </c>
      <c r="Z317" s="489">
        <f t="shared" si="68"/>
        <v>83398.164543399995</v>
      </c>
      <c r="AA317" s="489">
        <v>65828.414152072801</v>
      </c>
      <c r="AB317" s="488">
        <f t="shared" si="69"/>
        <v>77677.528699445902</v>
      </c>
      <c r="AC317" s="492">
        <f t="shared" si="70"/>
        <v>65828.414152072801</v>
      </c>
      <c r="AD317" s="493">
        <f t="shared" si="71"/>
        <v>77677.528699445902</v>
      </c>
      <c r="AE317" s="494" t="s">
        <v>218</v>
      </c>
      <c r="AF317" s="494" t="s">
        <v>83</v>
      </c>
      <c r="AG317" s="494" t="s">
        <v>211</v>
      </c>
      <c r="AH317" s="494" t="s">
        <v>545</v>
      </c>
      <c r="AI317" s="495">
        <v>41722</v>
      </c>
      <c r="AJ317" s="495">
        <v>41782</v>
      </c>
      <c r="AK317" s="494" t="s">
        <v>96</v>
      </c>
      <c r="AL317" s="494" t="s">
        <v>96</v>
      </c>
      <c r="AM317" s="496" t="s">
        <v>1776</v>
      </c>
      <c r="AN317" s="496" t="s">
        <v>1757</v>
      </c>
      <c r="AO317" s="494">
        <v>796</v>
      </c>
      <c r="AP317" s="494" t="s">
        <v>368</v>
      </c>
      <c r="AQ317" s="494">
        <v>1</v>
      </c>
      <c r="AR317" s="494">
        <v>45</v>
      </c>
      <c r="AS317" s="496" t="s">
        <v>547</v>
      </c>
      <c r="AT317" s="495">
        <v>41802</v>
      </c>
      <c r="AU317" s="495">
        <v>41802</v>
      </c>
      <c r="AV317" s="495">
        <v>42004</v>
      </c>
      <c r="AW317" s="494">
        <v>2014</v>
      </c>
      <c r="AX317" s="496"/>
      <c r="AY317" s="494" t="s">
        <v>186</v>
      </c>
      <c r="AZ317" s="494"/>
      <c r="BA317" s="494">
        <v>2014</v>
      </c>
      <c r="BB317" s="494" t="s">
        <v>1799</v>
      </c>
      <c r="BC317" s="496" t="s">
        <v>1800</v>
      </c>
      <c r="BD317" s="496" t="s">
        <v>1779</v>
      </c>
      <c r="BE317" s="497">
        <v>42004</v>
      </c>
      <c r="BF317" s="498">
        <v>28650.25</v>
      </c>
      <c r="BG317" s="488">
        <v>28650.25</v>
      </c>
      <c r="BH317" s="488">
        <v>0</v>
      </c>
      <c r="BI317" s="488">
        <v>0</v>
      </c>
      <c r="BJ317" s="494" t="s">
        <v>186</v>
      </c>
      <c r="BK317" s="401"/>
    </row>
    <row r="318" spans="1:63" ht="206.25">
      <c r="A318" s="401">
        <v>2</v>
      </c>
      <c r="B318" s="494" t="s">
        <v>1801</v>
      </c>
      <c r="C318" s="401" t="s">
        <v>83</v>
      </c>
      <c r="D318" s="401" t="s">
        <v>238</v>
      </c>
      <c r="E318" s="494" t="s">
        <v>5853</v>
      </c>
      <c r="F318" s="401" t="s">
        <v>1768</v>
      </c>
      <c r="G318" s="401" t="s">
        <v>1769</v>
      </c>
      <c r="H318" s="499">
        <v>641363</v>
      </c>
      <c r="I318" s="486" t="s">
        <v>5577</v>
      </c>
      <c r="J318" s="496" t="s">
        <v>1771</v>
      </c>
      <c r="K318" s="496" t="s">
        <v>1771</v>
      </c>
      <c r="L318" s="496" t="s">
        <v>1772</v>
      </c>
      <c r="M318" s="500" t="s">
        <v>1755</v>
      </c>
      <c r="N318" s="496" t="s">
        <v>1773</v>
      </c>
      <c r="O318" s="496" t="s">
        <v>2234</v>
      </c>
      <c r="P318" s="489">
        <v>10365.67137</v>
      </c>
      <c r="Q318" s="489">
        <f t="shared" si="67"/>
        <v>12231.4922166</v>
      </c>
      <c r="R318" s="489">
        <v>7994.1939300000004</v>
      </c>
      <c r="S318" s="401" t="s">
        <v>5970</v>
      </c>
      <c r="T318" s="501">
        <v>1.087</v>
      </c>
      <c r="U318" s="501">
        <v>1.0680000000000001</v>
      </c>
      <c r="V318" s="501">
        <v>1.0589999999999999</v>
      </c>
      <c r="W318" s="501">
        <v>1.0580000000000001</v>
      </c>
      <c r="X318" s="596">
        <v>0.9</v>
      </c>
      <c r="Y318" s="502">
        <v>9358.3570999999993</v>
      </c>
      <c r="Z318" s="489">
        <f t="shared" si="68"/>
        <v>11042.861377999998</v>
      </c>
      <c r="AA318" s="489">
        <v>9007.4903193849004</v>
      </c>
      <c r="AB318" s="488">
        <f t="shared" si="69"/>
        <v>10628.838576874183</v>
      </c>
      <c r="AC318" s="492">
        <f t="shared" si="70"/>
        <v>9007.4903193849004</v>
      </c>
      <c r="AD318" s="493">
        <f t="shared" si="71"/>
        <v>10628.838576874183</v>
      </c>
      <c r="AE318" s="494" t="s">
        <v>218</v>
      </c>
      <c r="AF318" s="494" t="s">
        <v>83</v>
      </c>
      <c r="AG318" s="494" t="s">
        <v>211</v>
      </c>
      <c r="AH318" s="494" t="s">
        <v>545</v>
      </c>
      <c r="AI318" s="495">
        <v>41784</v>
      </c>
      <c r="AJ318" s="495">
        <v>41844</v>
      </c>
      <c r="AK318" s="494" t="s">
        <v>96</v>
      </c>
      <c r="AL318" s="494" t="s">
        <v>96</v>
      </c>
      <c r="AM318" s="496" t="s">
        <v>1776</v>
      </c>
      <c r="AN318" s="496" t="s">
        <v>1757</v>
      </c>
      <c r="AO318" s="494">
        <v>796</v>
      </c>
      <c r="AP318" s="494" t="s">
        <v>368</v>
      </c>
      <c r="AQ318" s="494">
        <v>1</v>
      </c>
      <c r="AR318" s="494">
        <v>45</v>
      </c>
      <c r="AS318" s="496" t="s">
        <v>547</v>
      </c>
      <c r="AT318" s="495">
        <v>41864</v>
      </c>
      <c r="AU318" s="495">
        <v>41864</v>
      </c>
      <c r="AV318" s="583">
        <v>42003</v>
      </c>
      <c r="AW318" s="494">
        <v>2014</v>
      </c>
      <c r="AX318" s="496"/>
      <c r="AY318" s="494" t="s">
        <v>186</v>
      </c>
      <c r="AZ318" s="494"/>
      <c r="BA318" s="494">
        <v>2014</v>
      </c>
      <c r="BB318" s="494" t="s">
        <v>1802</v>
      </c>
      <c r="BC318" s="496" t="s">
        <v>1803</v>
      </c>
      <c r="BD318" s="496" t="s">
        <v>1779</v>
      </c>
      <c r="BE318" s="497">
        <v>42003</v>
      </c>
      <c r="BF318" s="498">
        <v>12601.6684</v>
      </c>
      <c r="BG318" s="488">
        <v>12601.668399999999</v>
      </c>
      <c r="BH318" s="488">
        <v>0</v>
      </c>
      <c r="BI318" s="488">
        <v>0</v>
      </c>
      <c r="BJ318" s="494" t="s">
        <v>186</v>
      </c>
      <c r="BK318" s="401"/>
    </row>
    <row r="319" spans="1:63" ht="112.5">
      <c r="A319" s="401">
        <v>2</v>
      </c>
      <c r="B319" s="494" t="s">
        <v>1807</v>
      </c>
      <c r="C319" s="401" t="s">
        <v>83</v>
      </c>
      <c r="D319" s="401" t="s">
        <v>238</v>
      </c>
      <c r="E319" s="494" t="s">
        <v>5853</v>
      </c>
      <c r="F319" s="401" t="s">
        <v>1768</v>
      </c>
      <c r="G319" s="401" t="s">
        <v>1769</v>
      </c>
      <c r="H319" s="499">
        <v>641369</v>
      </c>
      <c r="I319" s="486" t="s">
        <v>1808</v>
      </c>
      <c r="J319" s="496" t="s">
        <v>1771</v>
      </c>
      <c r="K319" s="496" t="s">
        <v>1771</v>
      </c>
      <c r="L319" s="496" t="s">
        <v>1772</v>
      </c>
      <c r="M319" s="500" t="s">
        <v>1755</v>
      </c>
      <c r="N319" s="496" t="s">
        <v>1773</v>
      </c>
      <c r="O319" s="496" t="s">
        <v>2234</v>
      </c>
      <c r="P319" s="489">
        <v>34216.774469999997</v>
      </c>
      <c r="Q319" s="489">
        <f t="shared" si="67"/>
        <v>40375.793874599993</v>
      </c>
      <c r="R319" s="489">
        <v>25779.46616</v>
      </c>
      <c r="S319" s="401" t="s">
        <v>5970</v>
      </c>
      <c r="T319" s="501">
        <v>1.087</v>
      </c>
      <c r="U319" s="501">
        <v>1.0680000000000001</v>
      </c>
      <c r="V319" s="501">
        <v>1.0589999999999999</v>
      </c>
      <c r="W319" s="501">
        <v>1.0580000000000001</v>
      </c>
      <c r="X319" s="596">
        <v>0.9</v>
      </c>
      <c r="Y319" s="502">
        <v>30795.097000000002</v>
      </c>
      <c r="Z319" s="489">
        <f t="shared" si="68"/>
        <v>36338.214460000003</v>
      </c>
      <c r="AA319" s="489">
        <v>33868.518712141675</v>
      </c>
      <c r="AB319" s="488">
        <f t="shared" si="69"/>
        <v>39964.852080327175</v>
      </c>
      <c r="AC319" s="492">
        <f t="shared" si="70"/>
        <v>30795.097000000002</v>
      </c>
      <c r="AD319" s="493">
        <f t="shared" si="71"/>
        <v>36338.214460000003</v>
      </c>
      <c r="AE319" s="494" t="s">
        <v>218</v>
      </c>
      <c r="AF319" s="494" t="s">
        <v>83</v>
      </c>
      <c r="AG319" s="494" t="s">
        <v>211</v>
      </c>
      <c r="AH319" s="494" t="s">
        <v>545</v>
      </c>
      <c r="AI319" s="495">
        <v>41785</v>
      </c>
      <c r="AJ319" s="495">
        <v>41845</v>
      </c>
      <c r="AK319" s="494" t="s">
        <v>96</v>
      </c>
      <c r="AL319" s="494" t="s">
        <v>96</v>
      </c>
      <c r="AM319" s="496" t="s">
        <v>1776</v>
      </c>
      <c r="AN319" s="496" t="s">
        <v>1757</v>
      </c>
      <c r="AO319" s="494">
        <v>796</v>
      </c>
      <c r="AP319" s="494" t="s">
        <v>368</v>
      </c>
      <c r="AQ319" s="494">
        <v>1</v>
      </c>
      <c r="AR319" s="494">
        <v>45</v>
      </c>
      <c r="AS319" s="496" t="s">
        <v>547</v>
      </c>
      <c r="AT319" s="495">
        <v>41865</v>
      </c>
      <c r="AU319" s="495">
        <v>41865</v>
      </c>
      <c r="AV319" s="495">
        <v>42368</v>
      </c>
      <c r="AW319" s="494" t="s">
        <v>99</v>
      </c>
      <c r="AX319" s="496"/>
      <c r="AY319" s="494" t="s">
        <v>186</v>
      </c>
      <c r="AZ319" s="494"/>
      <c r="BA319" s="494">
        <v>2014</v>
      </c>
      <c r="BB319" s="494" t="s">
        <v>1809</v>
      </c>
      <c r="BC319" s="496" t="s">
        <v>1810</v>
      </c>
      <c r="BD319" s="496" t="s">
        <v>1779</v>
      </c>
      <c r="BE319" s="497">
        <v>42368</v>
      </c>
      <c r="BF319" s="498">
        <v>63080.484578630116</v>
      </c>
      <c r="BG319" s="488">
        <v>72718.149141600006</v>
      </c>
      <c r="BH319" s="488">
        <v>0</v>
      </c>
      <c r="BI319" s="488">
        <v>0</v>
      </c>
      <c r="BJ319" s="494" t="s">
        <v>186</v>
      </c>
      <c r="BK319" s="401"/>
    </row>
    <row r="320" spans="1:63" ht="112.5">
      <c r="A320" s="401">
        <v>2</v>
      </c>
      <c r="B320" s="494" t="s">
        <v>1811</v>
      </c>
      <c r="C320" s="401" t="s">
        <v>83</v>
      </c>
      <c r="D320" s="401" t="s">
        <v>238</v>
      </c>
      <c r="E320" s="494" t="s">
        <v>5853</v>
      </c>
      <c r="F320" s="401" t="s">
        <v>1768</v>
      </c>
      <c r="G320" s="401" t="s">
        <v>1769</v>
      </c>
      <c r="H320" s="499">
        <v>641375</v>
      </c>
      <c r="I320" s="486" t="s">
        <v>5578</v>
      </c>
      <c r="J320" s="496" t="s">
        <v>1771</v>
      </c>
      <c r="K320" s="496" t="s">
        <v>1771</v>
      </c>
      <c r="L320" s="496" t="s">
        <v>1772</v>
      </c>
      <c r="M320" s="500" t="s">
        <v>1755</v>
      </c>
      <c r="N320" s="496" t="s">
        <v>1773</v>
      </c>
      <c r="O320" s="496" t="s">
        <v>2234</v>
      </c>
      <c r="P320" s="489">
        <v>75184.790999999997</v>
      </c>
      <c r="Q320" s="489">
        <f t="shared" si="67"/>
        <v>88718.053379999998</v>
      </c>
      <c r="R320" s="489">
        <v>57096.726210000001</v>
      </c>
      <c r="S320" s="401" t="s">
        <v>5970</v>
      </c>
      <c r="T320" s="501">
        <v>1.087</v>
      </c>
      <c r="U320" s="501">
        <v>1.0680000000000001</v>
      </c>
      <c r="V320" s="501">
        <v>1.0589999999999999</v>
      </c>
      <c r="W320" s="501">
        <v>1.0580000000000001</v>
      </c>
      <c r="X320" s="596">
        <v>0.9</v>
      </c>
      <c r="Y320" s="502">
        <v>70565.035000000003</v>
      </c>
      <c r="Z320" s="489">
        <f t="shared" si="68"/>
        <v>83266.741299999994</v>
      </c>
      <c r="AA320" s="489">
        <v>77733.944886797108</v>
      </c>
      <c r="AB320" s="488">
        <f t="shared" si="69"/>
        <v>91726.054966420576</v>
      </c>
      <c r="AC320" s="492">
        <f t="shared" si="70"/>
        <v>70565.035000000003</v>
      </c>
      <c r="AD320" s="493">
        <f t="shared" si="71"/>
        <v>83266.741299999994</v>
      </c>
      <c r="AE320" s="494" t="s">
        <v>218</v>
      </c>
      <c r="AF320" s="494" t="s">
        <v>83</v>
      </c>
      <c r="AG320" s="494" t="s">
        <v>211</v>
      </c>
      <c r="AH320" s="494" t="s">
        <v>545</v>
      </c>
      <c r="AI320" s="495">
        <v>41922</v>
      </c>
      <c r="AJ320" s="495">
        <f>AI320+60</f>
        <v>41982</v>
      </c>
      <c r="AK320" s="494" t="s">
        <v>96</v>
      </c>
      <c r="AL320" s="494" t="s">
        <v>96</v>
      </c>
      <c r="AM320" s="496" t="s">
        <v>1776</v>
      </c>
      <c r="AN320" s="496" t="s">
        <v>1757</v>
      </c>
      <c r="AO320" s="494">
        <v>796</v>
      </c>
      <c r="AP320" s="494" t="s">
        <v>368</v>
      </c>
      <c r="AQ320" s="494">
        <v>1</v>
      </c>
      <c r="AR320" s="494">
        <v>45</v>
      </c>
      <c r="AS320" s="496" t="s">
        <v>547</v>
      </c>
      <c r="AT320" s="495">
        <f>AJ320+20</f>
        <v>42002</v>
      </c>
      <c r="AU320" s="495">
        <f>AT320</f>
        <v>42002</v>
      </c>
      <c r="AV320" s="495">
        <v>42307</v>
      </c>
      <c r="AW320" s="494" t="s">
        <v>99</v>
      </c>
      <c r="AX320" s="496"/>
      <c r="AY320" s="494" t="s">
        <v>186</v>
      </c>
      <c r="AZ320" s="494"/>
      <c r="BA320" s="494">
        <v>2014</v>
      </c>
      <c r="BB320" s="494" t="s">
        <v>1812</v>
      </c>
      <c r="BC320" s="496" t="s">
        <v>1813</v>
      </c>
      <c r="BD320" s="496" t="s">
        <v>1779</v>
      </c>
      <c r="BE320" s="497">
        <v>42368</v>
      </c>
      <c r="BF320" s="498">
        <v>278268.46139999997</v>
      </c>
      <c r="BG320" s="488">
        <v>208701.34604999999</v>
      </c>
      <c r="BH320" s="488">
        <v>250</v>
      </c>
      <c r="BI320" s="488">
        <v>0</v>
      </c>
      <c r="BJ320" s="494" t="s">
        <v>186</v>
      </c>
      <c r="BK320" s="401"/>
    </row>
    <row r="321" spans="1:63" s="613" customFormat="1" ht="93.75">
      <c r="A321" s="555">
        <v>2</v>
      </c>
      <c r="B321" s="562" t="s">
        <v>4321</v>
      </c>
      <c r="C321" s="555" t="s">
        <v>83</v>
      </c>
      <c r="D321" s="555" t="s">
        <v>238</v>
      </c>
      <c r="E321" s="562" t="s">
        <v>5853</v>
      </c>
      <c r="F321" s="555" t="s">
        <v>1768</v>
      </c>
      <c r="G321" s="555" t="s">
        <v>1804</v>
      </c>
      <c r="H321" s="556">
        <v>641140</v>
      </c>
      <c r="I321" s="486" t="s">
        <v>4322</v>
      </c>
      <c r="J321" s="486" t="s">
        <v>1805</v>
      </c>
      <c r="K321" s="486" t="s">
        <v>1805</v>
      </c>
      <c r="L321" s="486" t="s">
        <v>1772</v>
      </c>
      <c r="M321" s="576" t="s">
        <v>1755</v>
      </c>
      <c r="N321" s="486" t="s">
        <v>1773</v>
      </c>
      <c r="O321" s="486" t="s">
        <v>1786</v>
      </c>
      <c r="P321" s="492">
        <v>53447.387999999999</v>
      </c>
      <c r="Q321" s="492">
        <v>63067.917839999995</v>
      </c>
      <c r="R321" s="492">
        <v>41712.982120000001</v>
      </c>
      <c r="S321" s="555" t="s">
        <v>6138</v>
      </c>
      <c r="T321" s="630">
        <v>1.087</v>
      </c>
      <c r="U321" s="630">
        <v>1.0680000000000001</v>
      </c>
      <c r="V321" s="630">
        <v>1.0589999999999999</v>
      </c>
      <c r="W321" s="630">
        <v>1.0580000000000001</v>
      </c>
      <c r="X321" s="560">
        <v>0.9</v>
      </c>
      <c r="Y321" s="514">
        <v>48831.062414548142</v>
      </c>
      <c r="Z321" s="492">
        <v>57620.653649166801</v>
      </c>
      <c r="AA321" s="492">
        <v>49438.834999999999</v>
      </c>
      <c r="AB321" s="493">
        <v>58337.825299999997</v>
      </c>
      <c r="AC321" s="492">
        <v>48831.061999999998</v>
      </c>
      <c r="AD321" s="493">
        <v>57620.653159999994</v>
      </c>
      <c r="AE321" s="562" t="s">
        <v>218</v>
      </c>
      <c r="AF321" s="562" t="s">
        <v>83</v>
      </c>
      <c r="AG321" s="562" t="s">
        <v>211</v>
      </c>
      <c r="AH321" s="562" t="s">
        <v>545</v>
      </c>
      <c r="AI321" s="561">
        <v>41713</v>
      </c>
      <c r="AJ321" s="561">
        <f>AI321+60</f>
        <v>41773</v>
      </c>
      <c r="AK321" s="562" t="s">
        <v>96</v>
      </c>
      <c r="AL321" s="562" t="s">
        <v>96</v>
      </c>
      <c r="AM321" s="486" t="s">
        <v>1806</v>
      </c>
      <c r="AN321" s="486" t="s">
        <v>1757</v>
      </c>
      <c r="AO321" s="562">
        <v>796</v>
      </c>
      <c r="AP321" s="562" t="s">
        <v>368</v>
      </c>
      <c r="AQ321" s="562">
        <v>1</v>
      </c>
      <c r="AR321" s="562">
        <v>45</v>
      </c>
      <c r="AS321" s="486" t="s">
        <v>547</v>
      </c>
      <c r="AT321" s="561">
        <f>AJ321+20</f>
        <v>41793</v>
      </c>
      <c r="AU321" s="561">
        <f>AT321</f>
        <v>41793</v>
      </c>
      <c r="AV321" s="714">
        <v>42003</v>
      </c>
      <c r="AW321" s="562">
        <v>2014</v>
      </c>
      <c r="AX321" s="486"/>
      <c r="AY321" s="562" t="s">
        <v>186</v>
      </c>
      <c r="AZ321" s="562"/>
      <c r="BA321" s="562">
        <v>2014</v>
      </c>
      <c r="BB321" s="562" t="s">
        <v>4323</v>
      </c>
      <c r="BC321" s="486" t="s">
        <v>4324</v>
      </c>
      <c r="BD321" s="486" t="s">
        <v>5579</v>
      </c>
      <c r="BE321" s="575">
        <v>42003</v>
      </c>
      <c r="BF321" s="580">
        <v>68061.8</v>
      </c>
      <c r="BG321" s="493">
        <v>119730.7</v>
      </c>
      <c r="BH321" s="493">
        <v>0</v>
      </c>
      <c r="BI321" s="493">
        <v>1.81</v>
      </c>
      <c r="BJ321" s="562" t="s">
        <v>186</v>
      </c>
      <c r="BK321" s="555"/>
    </row>
    <row r="322" spans="1:63" s="613" customFormat="1" ht="112.5">
      <c r="A322" s="555">
        <v>2</v>
      </c>
      <c r="B322" s="562" t="s">
        <v>4325</v>
      </c>
      <c r="C322" s="555" t="s">
        <v>83</v>
      </c>
      <c r="D322" s="555" t="s">
        <v>238</v>
      </c>
      <c r="E322" s="562" t="s">
        <v>5853</v>
      </c>
      <c r="F322" s="555" t="s">
        <v>1768</v>
      </c>
      <c r="G322" s="555" t="s">
        <v>1804</v>
      </c>
      <c r="H322" s="556">
        <v>641143</v>
      </c>
      <c r="I322" s="486" t="s">
        <v>4326</v>
      </c>
      <c r="J322" s="486" t="s">
        <v>1805</v>
      </c>
      <c r="K322" s="486" t="s">
        <v>1805</v>
      </c>
      <c r="L322" s="486" t="s">
        <v>1772</v>
      </c>
      <c r="M322" s="576" t="s">
        <v>1755</v>
      </c>
      <c r="N322" s="486" t="s">
        <v>1773</v>
      </c>
      <c r="O322" s="486" t="s">
        <v>1786</v>
      </c>
      <c r="P322" s="492">
        <v>31482.954000000002</v>
      </c>
      <c r="Q322" s="492">
        <v>37149.885719999998</v>
      </c>
      <c r="R322" s="492">
        <v>24570.852370000001</v>
      </c>
      <c r="S322" s="555" t="s">
        <v>5970</v>
      </c>
      <c r="T322" s="630">
        <v>1.087</v>
      </c>
      <c r="U322" s="630">
        <v>1.0680000000000001</v>
      </c>
      <c r="V322" s="630">
        <v>1.0589999999999999</v>
      </c>
      <c r="W322" s="630">
        <v>1.0580000000000001</v>
      </c>
      <c r="X322" s="560">
        <v>0.9</v>
      </c>
      <c r="Y322" s="514">
        <v>28763.726894578551</v>
      </c>
      <c r="Z322" s="492">
        <v>33941.197735602691</v>
      </c>
      <c r="AA322" s="492">
        <v>29121.727999999999</v>
      </c>
      <c r="AB322" s="493">
        <v>34363.639039999995</v>
      </c>
      <c r="AC322" s="492">
        <v>28763.726999999999</v>
      </c>
      <c r="AD322" s="493">
        <v>33941.19786</v>
      </c>
      <c r="AE322" s="562" t="s">
        <v>218</v>
      </c>
      <c r="AF322" s="562" t="s">
        <v>83</v>
      </c>
      <c r="AG322" s="562" t="s">
        <v>211</v>
      </c>
      <c r="AH322" s="562" t="s">
        <v>545</v>
      </c>
      <c r="AI322" s="561">
        <v>41713</v>
      </c>
      <c r="AJ322" s="561">
        <f>AI322+60</f>
        <v>41773</v>
      </c>
      <c r="AK322" s="562" t="s">
        <v>96</v>
      </c>
      <c r="AL322" s="562" t="s">
        <v>96</v>
      </c>
      <c r="AM322" s="486" t="s">
        <v>1806</v>
      </c>
      <c r="AN322" s="486" t="s">
        <v>1757</v>
      </c>
      <c r="AO322" s="562">
        <v>796</v>
      </c>
      <c r="AP322" s="562" t="s">
        <v>368</v>
      </c>
      <c r="AQ322" s="562">
        <v>1</v>
      </c>
      <c r="AR322" s="562">
        <v>45</v>
      </c>
      <c r="AS322" s="486" t="s">
        <v>547</v>
      </c>
      <c r="AT322" s="561">
        <f>AJ322+20</f>
        <v>41793</v>
      </c>
      <c r="AU322" s="561">
        <f>AT322</f>
        <v>41793</v>
      </c>
      <c r="AV322" s="714">
        <v>42003</v>
      </c>
      <c r="AW322" s="562">
        <v>2014</v>
      </c>
      <c r="AX322" s="486"/>
      <c r="AY322" s="562" t="s">
        <v>186</v>
      </c>
      <c r="AZ322" s="562"/>
      <c r="BA322" s="562">
        <v>2014</v>
      </c>
      <c r="BB322" s="562" t="s">
        <v>4327</v>
      </c>
      <c r="BC322" s="486" t="s">
        <v>4328</v>
      </c>
      <c r="BD322" s="486" t="s">
        <v>5580</v>
      </c>
      <c r="BE322" s="575">
        <v>42003</v>
      </c>
      <c r="BF322" s="580">
        <v>40050.74</v>
      </c>
      <c r="BG322" s="493">
        <v>70573.357400000008</v>
      </c>
      <c r="BH322" s="493">
        <v>0</v>
      </c>
      <c r="BI322" s="493">
        <v>1.56</v>
      </c>
      <c r="BJ322" s="562" t="s">
        <v>186</v>
      </c>
      <c r="BK322" s="555"/>
    </row>
    <row r="323" spans="1:63" ht="112.5">
      <c r="A323" s="401">
        <v>2</v>
      </c>
      <c r="B323" s="494" t="s">
        <v>4329</v>
      </c>
      <c r="C323" s="401" t="s">
        <v>83</v>
      </c>
      <c r="D323" s="401" t="s">
        <v>238</v>
      </c>
      <c r="E323" s="494" t="s">
        <v>5853</v>
      </c>
      <c r="F323" s="401" t="s">
        <v>1768</v>
      </c>
      <c r="G323" s="401" t="s">
        <v>1804</v>
      </c>
      <c r="H323" s="499">
        <v>641155</v>
      </c>
      <c r="I323" s="486" t="s">
        <v>4330</v>
      </c>
      <c r="J323" s="496" t="s">
        <v>1805</v>
      </c>
      <c r="K323" s="496" t="s">
        <v>1805</v>
      </c>
      <c r="L323" s="496" t="s">
        <v>1772</v>
      </c>
      <c r="M323" s="500" t="s">
        <v>1755</v>
      </c>
      <c r="N323" s="496" t="s">
        <v>1773</v>
      </c>
      <c r="O323" s="496" t="s">
        <v>1786</v>
      </c>
      <c r="P323" s="489">
        <v>104708.60784</v>
      </c>
      <c r="Q323" s="489">
        <f>P323*1.18</f>
        <v>123556.15725119998</v>
      </c>
      <c r="R323" s="489">
        <v>79008.573000000004</v>
      </c>
      <c r="S323" s="401" t="s">
        <v>5970</v>
      </c>
      <c r="T323" s="501">
        <v>1.087</v>
      </c>
      <c r="U323" s="501">
        <v>1.0680000000000001</v>
      </c>
      <c r="V323" s="501">
        <v>1.0589999999999999</v>
      </c>
      <c r="W323" s="501">
        <v>1.0580000000000001</v>
      </c>
      <c r="X323" s="596">
        <v>0.9</v>
      </c>
      <c r="Y323" s="502">
        <v>95417.612999999998</v>
      </c>
      <c r="Z323" s="489">
        <f>Y323*1.18</f>
        <v>112592.78333999999</v>
      </c>
      <c r="AA323" s="489">
        <v>91388.911848182179</v>
      </c>
      <c r="AB323" s="488">
        <f>AA323*1.18</f>
        <v>107838.91598085496</v>
      </c>
      <c r="AC323" s="492">
        <f>IF(Y323&lt;AA323,Y323,AA323)</f>
        <v>91388.911848182179</v>
      </c>
      <c r="AD323" s="493">
        <f>AC323*1.18</f>
        <v>107838.91598085496</v>
      </c>
      <c r="AE323" s="494" t="s">
        <v>218</v>
      </c>
      <c r="AF323" s="494" t="s">
        <v>83</v>
      </c>
      <c r="AG323" s="494" t="s">
        <v>211</v>
      </c>
      <c r="AH323" s="494" t="s">
        <v>545</v>
      </c>
      <c r="AI323" s="495">
        <v>41736</v>
      </c>
      <c r="AJ323" s="495">
        <v>41796</v>
      </c>
      <c r="AK323" s="494" t="s">
        <v>96</v>
      </c>
      <c r="AL323" s="494" t="s">
        <v>96</v>
      </c>
      <c r="AM323" s="496" t="s">
        <v>1806</v>
      </c>
      <c r="AN323" s="496" t="s">
        <v>1757</v>
      </c>
      <c r="AO323" s="494">
        <v>796</v>
      </c>
      <c r="AP323" s="494" t="s">
        <v>368</v>
      </c>
      <c r="AQ323" s="494">
        <v>1</v>
      </c>
      <c r="AR323" s="494">
        <v>45</v>
      </c>
      <c r="AS323" s="496" t="s">
        <v>547</v>
      </c>
      <c r="AT323" s="495">
        <v>41816</v>
      </c>
      <c r="AU323" s="495">
        <v>41816</v>
      </c>
      <c r="AV323" s="495">
        <v>42368</v>
      </c>
      <c r="AW323" s="494" t="s">
        <v>99</v>
      </c>
      <c r="AX323" s="496"/>
      <c r="AY323" s="494" t="s">
        <v>186</v>
      </c>
      <c r="AZ323" s="494"/>
      <c r="BA323" s="494">
        <v>2014</v>
      </c>
      <c r="BB323" s="494" t="s">
        <v>4331</v>
      </c>
      <c r="BC323" s="496" t="s">
        <v>4332</v>
      </c>
      <c r="BD323" s="496" t="s">
        <v>5581</v>
      </c>
      <c r="BE323" s="497">
        <v>42368</v>
      </c>
      <c r="BF323" s="498">
        <v>121400.44139999998</v>
      </c>
      <c r="BG323" s="488">
        <v>122785.01</v>
      </c>
      <c r="BH323" s="488">
        <v>0</v>
      </c>
      <c r="BI323" s="488">
        <v>4.3</v>
      </c>
      <c r="BJ323" s="494" t="s">
        <v>186</v>
      </c>
      <c r="BK323" s="401"/>
    </row>
    <row r="324" spans="1:63" ht="112.5">
      <c r="A324" s="401">
        <v>2</v>
      </c>
      <c r="B324" s="494" t="s">
        <v>4333</v>
      </c>
      <c r="C324" s="401" t="s">
        <v>83</v>
      </c>
      <c r="D324" s="401" t="s">
        <v>238</v>
      </c>
      <c r="E324" s="494" t="s">
        <v>5853</v>
      </c>
      <c r="F324" s="401" t="s">
        <v>1795</v>
      </c>
      <c r="G324" s="401" t="s">
        <v>1769</v>
      </c>
      <c r="H324" s="499">
        <v>640759</v>
      </c>
      <c r="I324" s="486" t="s">
        <v>5582</v>
      </c>
      <c r="J324" s="496" t="s">
        <v>2529</v>
      </c>
      <c r="K324" s="496" t="s">
        <v>2529</v>
      </c>
      <c r="L324" s="496" t="s">
        <v>1772</v>
      </c>
      <c r="M324" s="500" t="s">
        <v>1755</v>
      </c>
      <c r="N324" s="496" t="s">
        <v>1773</v>
      </c>
      <c r="O324" s="496" t="s">
        <v>2234</v>
      </c>
      <c r="P324" s="489">
        <v>210804.98800000001</v>
      </c>
      <c r="Q324" s="489">
        <f>P324*1.18</f>
        <v>248749.88584</v>
      </c>
      <c r="R324" s="489">
        <v>159858.96098999999</v>
      </c>
      <c r="S324" s="401" t="s">
        <v>5970</v>
      </c>
      <c r="T324" s="501">
        <v>1.087</v>
      </c>
      <c r="U324" s="501">
        <v>1.0680000000000001</v>
      </c>
      <c r="V324" s="501">
        <v>1.0589999999999999</v>
      </c>
      <c r="W324" s="501">
        <v>1.0580000000000001</v>
      </c>
      <c r="X324" s="596">
        <v>0.9</v>
      </c>
      <c r="Y324" s="502">
        <v>197672.701</v>
      </c>
      <c r="Z324" s="489">
        <f>Y324*1.18</f>
        <v>233253.78717999998</v>
      </c>
      <c r="AA324" s="489">
        <v>173871.84895504056</v>
      </c>
      <c r="AB324" s="488">
        <f>AA324*1.18</f>
        <v>205168.78176694785</v>
      </c>
      <c r="AC324" s="492">
        <f>IF(Y324&lt;AA324,Y324,AA324)</f>
        <v>173871.84895504056</v>
      </c>
      <c r="AD324" s="493">
        <f>AC324*1.18</f>
        <v>205168.78176694785</v>
      </c>
      <c r="AE324" s="494" t="s">
        <v>218</v>
      </c>
      <c r="AF324" s="494" t="s">
        <v>83</v>
      </c>
      <c r="AG324" s="494" t="s">
        <v>211</v>
      </c>
      <c r="AH324" s="494" t="s">
        <v>545</v>
      </c>
      <c r="AI324" s="495">
        <v>41736</v>
      </c>
      <c r="AJ324" s="495">
        <v>41796</v>
      </c>
      <c r="AK324" s="494" t="s">
        <v>96</v>
      </c>
      <c r="AL324" s="494" t="s">
        <v>96</v>
      </c>
      <c r="AM324" s="496" t="s">
        <v>2530</v>
      </c>
      <c r="AN324" s="496" t="s">
        <v>1757</v>
      </c>
      <c r="AO324" s="494">
        <v>796</v>
      </c>
      <c r="AP324" s="494" t="s">
        <v>368</v>
      </c>
      <c r="AQ324" s="494">
        <v>1</v>
      </c>
      <c r="AR324" s="494">
        <v>45</v>
      </c>
      <c r="AS324" s="496" t="s">
        <v>547</v>
      </c>
      <c r="AT324" s="495">
        <v>41816</v>
      </c>
      <c r="AU324" s="495">
        <v>41816</v>
      </c>
      <c r="AV324" s="495">
        <v>42368</v>
      </c>
      <c r="AW324" s="494" t="s">
        <v>99</v>
      </c>
      <c r="AX324" s="496"/>
      <c r="AY324" s="494" t="s">
        <v>186</v>
      </c>
      <c r="AZ324" s="494"/>
      <c r="BA324" s="494">
        <v>2014</v>
      </c>
      <c r="BB324" s="494" t="s">
        <v>4334</v>
      </c>
      <c r="BC324" s="496" t="s">
        <v>4335</v>
      </c>
      <c r="BD324" s="496" t="s">
        <v>1779</v>
      </c>
      <c r="BE324" s="497">
        <v>42368</v>
      </c>
      <c r="BF324" s="498">
        <v>203798.97999999998</v>
      </c>
      <c r="BG324" s="488">
        <v>204506.96</v>
      </c>
      <c r="BH324" s="488">
        <v>0</v>
      </c>
      <c r="BI324" s="488">
        <v>15</v>
      </c>
      <c r="BJ324" s="494" t="s">
        <v>186</v>
      </c>
      <c r="BK324" s="401"/>
    </row>
    <row r="325" spans="1:63" s="613" customFormat="1" ht="112.5">
      <c r="A325" s="681">
        <v>2</v>
      </c>
      <c r="B325" s="682" t="s">
        <v>4336</v>
      </c>
      <c r="C325" s="681" t="s">
        <v>83</v>
      </c>
      <c r="D325" s="681" t="s">
        <v>238</v>
      </c>
      <c r="E325" s="682" t="s">
        <v>5853</v>
      </c>
      <c r="F325" s="681" t="s">
        <v>1768</v>
      </c>
      <c r="G325" s="681" t="s">
        <v>1804</v>
      </c>
      <c r="H325" s="683">
        <v>641001</v>
      </c>
      <c r="I325" s="617" t="s">
        <v>4337</v>
      </c>
      <c r="J325" s="617" t="s">
        <v>1805</v>
      </c>
      <c r="K325" s="617" t="s">
        <v>1805</v>
      </c>
      <c r="L325" s="617" t="s">
        <v>1772</v>
      </c>
      <c r="M325" s="684" t="s">
        <v>1755</v>
      </c>
      <c r="N325" s="617" t="s">
        <v>1773</v>
      </c>
      <c r="O325" s="617" t="s">
        <v>1786</v>
      </c>
      <c r="P325" s="625">
        <v>62340.197</v>
      </c>
      <c r="Q325" s="625">
        <v>73561.432459999996</v>
      </c>
      <c r="R325" s="625">
        <v>48653.369229999997</v>
      </c>
      <c r="S325" s="681" t="s">
        <v>5970</v>
      </c>
      <c r="T325" s="685">
        <v>1.087</v>
      </c>
      <c r="U325" s="685">
        <v>1.0680000000000001</v>
      </c>
      <c r="V325" s="685">
        <v>1.0589999999999999</v>
      </c>
      <c r="W325" s="685">
        <v>1.0580000000000001</v>
      </c>
      <c r="X325" s="686">
        <v>0.9</v>
      </c>
      <c r="Y325" s="687">
        <v>56955.786635285178</v>
      </c>
      <c r="Z325" s="625">
        <v>67207.828229636507</v>
      </c>
      <c r="AA325" s="625">
        <v>57664.680999999997</v>
      </c>
      <c r="AB325" s="626">
        <v>68044.323579999997</v>
      </c>
      <c r="AC325" s="625">
        <v>56955.786999999997</v>
      </c>
      <c r="AD325" s="626">
        <v>67207.828659999999</v>
      </c>
      <c r="AE325" s="682" t="s">
        <v>218</v>
      </c>
      <c r="AF325" s="682" t="s">
        <v>83</v>
      </c>
      <c r="AG325" s="682" t="s">
        <v>211</v>
      </c>
      <c r="AH325" s="682" t="s">
        <v>545</v>
      </c>
      <c r="AI325" s="688">
        <v>41713</v>
      </c>
      <c r="AJ325" s="688">
        <f>AI325+60</f>
        <v>41773</v>
      </c>
      <c r="AK325" s="682" t="s">
        <v>96</v>
      </c>
      <c r="AL325" s="682" t="s">
        <v>96</v>
      </c>
      <c r="AM325" s="617" t="s">
        <v>1806</v>
      </c>
      <c r="AN325" s="617" t="s">
        <v>1757</v>
      </c>
      <c r="AO325" s="682">
        <v>796</v>
      </c>
      <c r="AP325" s="682" t="s">
        <v>368</v>
      </c>
      <c r="AQ325" s="682">
        <v>1</v>
      </c>
      <c r="AR325" s="682">
        <v>45</v>
      </c>
      <c r="AS325" s="617" t="s">
        <v>547</v>
      </c>
      <c r="AT325" s="688">
        <f>AJ325+20</f>
        <v>41793</v>
      </c>
      <c r="AU325" s="688">
        <f>AT325</f>
        <v>41793</v>
      </c>
      <c r="AV325" s="765">
        <v>42003</v>
      </c>
      <c r="AW325" s="682">
        <v>2014</v>
      </c>
      <c r="AX325" s="617"/>
      <c r="AY325" s="682" t="s">
        <v>186</v>
      </c>
      <c r="AZ325" s="682"/>
      <c r="BA325" s="682">
        <v>2014</v>
      </c>
      <c r="BB325" s="682" t="s">
        <v>4338</v>
      </c>
      <c r="BC325" s="617" t="s">
        <v>4339</v>
      </c>
      <c r="BD325" s="617" t="s">
        <v>5583</v>
      </c>
      <c r="BE325" s="689">
        <v>42003</v>
      </c>
      <c r="BF325" s="690">
        <v>73212.75</v>
      </c>
      <c r="BG325" s="626">
        <v>108852.24</v>
      </c>
      <c r="BH325" s="626">
        <v>0</v>
      </c>
      <c r="BI325" s="626">
        <v>1.82</v>
      </c>
      <c r="BJ325" s="682" t="s">
        <v>186</v>
      </c>
      <c r="BK325" s="681"/>
    </row>
    <row r="326" spans="1:63" ht="112.5">
      <c r="A326" s="401">
        <v>2</v>
      </c>
      <c r="B326" s="494" t="s">
        <v>2231</v>
      </c>
      <c r="C326" s="401" t="s">
        <v>83</v>
      </c>
      <c r="D326" s="401" t="s">
        <v>245</v>
      </c>
      <c r="E326" s="494" t="s">
        <v>5853</v>
      </c>
      <c r="F326" s="401" t="s">
        <v>1761</v>
      </c>
      <c r="G326" s="401" t="s">
        <v>1762</v>
      </c>
      <c r="H326" s="499">
        <v>380487</v>
      </c>
      <c r="I326" s="486" t="s">
        <v>2232</v>
      </c>
      <c r="J326" s="496" t="s">
        <v>2233</v>
      </c>
      <c r="K326" s="496" t="s">
        <v>2233</v>
      </c>
      <c r="L326" s="496" t="s">
        <v>1772</v>
      </c>
      <c r="M326" s="500" t="s">
        <v>1755</v>
      </c>
      <c r="N326" s="496" t="s">
        <v>1773</v>
      </c>
      <c r="O326" s="496" t="s">
        <v>2234</v>
      </c>
      <c r="P326" s="489">
        <v>189343.55884101533</v>
      </c>
      <c r="Q326" s="489">
        <f t="shared" ref="Q326:Q331" si="72">P326*1.18</f>
        <v>223425.39943239809</v>
      </c>
      <c r="R326" s="489">
        <v>116806.01294999999</v>
      </c>
      <c r="S326" s="401" t="s">
        <v>1774</v>
      </c>
      <c r="T326" s="501">
        <v>1.087</v>
      </c>
      <c r="U326" s="501">
        <v>1.077</v>
      </c>
      <c r="V326" s="501">
        <v>1.073</v>
      </c>
      <c r="W326" s="501">
        <v>1.071</v>
      </c>
      <c r="X326" s="596">
        <v>0.9</v>
      </c>
      <c r="Y326" s="502">
        <v>141393.67867597498</v>
      </c>
      <c r="Z326" s="489">
        <f t="shared" ref="Z326:Z331" si="73">Y326*1.18</f>
        <v>166844.54083765048</v>
      </c>
      <c r="AA326" s="489">
        <v>141155.62311597689</v>
      </c>
      <c r="AB326" s="488">
        <f t="shared" ref="AB326:AB367" si="74">AA326*1.18</f>
        <v>166563.63527685273</v>
      </c>
      <c r="AC326" s="492">
        <f t="shared" ref="AC326:AC331" si="75">IF(Y326&lt;AA326,Y326,AA326)</f>
        <v>141155.62311597689</v>
      </c>
      <c r="AD326" s="493">
        <f t="shared" ref="AD326:AD331" si="76">AC326*1.18</f>
        <v>166563.63527685273</v>
      </c>
      <c r="AE326" s="494" t="s">
        <v>1775</v>
      </c>
      <c r="AF326" s="494" t="s">
        <v>83</v>
      </c>
      <c r="AG326" s="494" t="s">
        <v>211</v>
      </c>
      <c r="AH326" s="494" t="s">
        <v>545</v>
      </c>
      <c r="AI326" s="495">
        <v>41833</v>
      </c>
      <c r="AJ326" s="495">
        <v>41868</v>
      </c>
      <c r="AK326" s="494" t="s">
        <v>96</v>
      </c>
      <c r="AL326" s="494" t="s">
        <v>96</v>
      </c>
      <c r="AM326" s="496" t="s">
        <v>1793</v>
      </c>
      <c r="AN326" s="496" t="s">
        <v>1757</v>
      </c>
      <c r="AO326" s="494">
        <v>796</v>
      </c>
      <c r="AP326" s="494" t="s">
        <v>368</v>
      </c>
      <c r="AQ326" s="494">
        <v>1</v>
      </c>
      <c r="AR326" s="494">
        <v>45</v>
      </c>
      <c r="AS326" s="496" t="s">
        <v>547</v>
      </c>
      <c r="AT326" s="495">
        <v>41888</v>
      </c>
      <c r="AU326" s="495">
        <v>41888</v>
      </c>
      <c r="AV326" s="495">
        <v>42369</v>
      </c>
      <c r="AW326" s="494" t="s">
        <v>99</v>
      </c>
      <c r="AX326" s="496"/>
      <c r="AY326" s="494" t="s">
        <v>186</v>
      </c>
      <c r="AZ326" s="494"/>
      <c r="BA326" s="494">
        <v>2014</v>
      </c>
      <c r="BB326" s="494" t="s">
        <v>2235</v>
      </c>
      <c r="BC326" s="496" t="s">
        <v>2236</v>
      </c>
      <c r="BD326" s="496" t="s">
        <v>1818</v>
      </c>
      <c r="BE326" s="497">
        <v>43800</v>
      </c>
      <c r="BF326" s="498">
        <v>3881005.8399999994</v>
      </c>
      <c r="BG326" s="488">
        <f>BF326</f>
        <v>3881005.8399999994</v>
      </c>
      <c r="BH326" s="488">
        <v>0</v>
      </c>
      <c r="BI326" s="488">
        <v>21.4</v>
      </c>
      <c r="BJ326" s="494" t="s">
        <v>186</v>
      </c>
      <c r="BK326" s="555"/>
    </row>
    <row r="327" spans="1:63" s="613" customFormat="1" ht="112.5">
      <c r="A327" s="555">
        <v>2</v>
      </c>
      <c r="B327" s="562" t="s">
        <v>2239</v>
      </c>
      <c r="C327" s="555" t="s">
        <v>83</v>
      </c>
      <c r="D327" s="555" t="s">
        <v>245</v>
      </c>
      <c r="E327" s="562" t="s">
        <v>5853</v>
      </c>
      <c r="F327" s="555" t="s">
        <v>1768</v>
      </c>
      <c r="G327" s="555" t="s">
        <v>1769</v>
      </c>
      <c r="H327" s="556">
        <v>380481</v>
      </c>
      <c r="I327" s="486" t="s">
        <v>5584</v>
      </c>
      <c r="J327" s="486" t="s">
        <v>5317</v>
      </c>
      <c r="K327" s="486" t="s">
        <v>5317</v>
      </c>
      <c r="L327" s="486" t="s">
        <v>1772</v>
      </c>
      <c r="M327" s="576" t="s">
        <v>1755</v>
      </c>
      <c r="N327" s="486" t="s">
        <v>1773</v>
      </c>
      <c r="O327" s="486" t="s">
        <v>2234</v>
      </c>
      <c r="P327" s="492">
        <v>342676.09</v>
      </c>
      <c r="Q327" s="492">
        <f t="shared" si="72"/>
        <v>404357.78620000003</v>
      </c>
      <c r="R327" s="492">
        <v>248071.49</v>
      </c>
      <c r="S327" s="555" t="s">
        <v>5970</v>
      </c>
      <c r="T327" s="630">
        <v>1.087</v>
      </c>
      <c r="U327" s="630">
        <v>1.0680000000000001</v>
      </c>
      <c r="V327" s="630">
        <v>1.0589999999999999</v>
      </c>
      <c r="W327" s="630">
        <v>1.0580000000000001</v>
      </c>
      <c r="X327" s="560">
        <v>0.9</v>
      </c>
      <c r="Y327" s="514">
        <v>300137.71000000002</v>
      </c>
      <c r="Z327" s="492">
        <f t="shared" si="73"/>
        <v>354162.49780000001</v>
      </c>
      <c r="AA327" s="492">
        <v>290670.50199999998</v>
      </c>
      <c r="AB327" s="493">
        <f t="shared" si="74"/>
        <v>342991.19235999993</v>
      </c>
      <c r="AC327" s="492">
        <f t="shared" si="75"/>
        <v>290670.50199999998</v>
      </c>
      <c r="AD327" s="493">
        <f t="shared" si="76"/>
        <v>342991.19235999993</v>
      </c>
      <c r="AE327" s="562" t="s">
        <v>218</v>
      </c>
      <c r="AF327" s="562" t="s">
        <v>83</v>
      </c>
      <c r="AG327" s="562" t="s">
        <v>211</v>
      </c>
      <c r="AH327" s="562" t="s">
        <v>545</v>
      </c>
      <c r="AI327" s="561">
        <v>41789</v>
      </c>
      <c r="AJ327" s="561">
        <f>AI327+60</f>
        <v>41849</v>
      </c>
      <c r="AK327" s="562" t="s">
        <v>96</v>
      </c>
      <c r="AL327" s="562" t="s">
        <v>96</v>
      </c>
      <c r="AM327" s="486" t="s">
        <v>1846</v>
      </c>
      <c r="AN327" s="486" t="s">
        <v>1757</v>
      </c>
      <c r="AO327" s="562">
        <v>796</v>
      </c>
      <c r="AP327" s="562" t="s">
        <v>368</v>
      </c>
      <c r="AQ327" s="562">
        <v>1</v>
      </c>
      <c r="AR327" s="562">
        <v>45</v>
      </c>
      <c r="AS327" s="486" t="s">
        <v>547</v>
      </c>
      <c r="AT327" s="561">
        <f>AJ327+20</f>
        <v>41869</v>
      </c>
      <c r="AU327" s="561">
        <f>AT327</f>
        <v>41869</v>
      </c>
      <c r="AV327" s="561">
        <v>43100</v>
      </c>
      <c r="AW327" s="562" t="s">
        <v>99</v>
      </c>
      <c r="AX327" s="486"/>
      <c r="AY327" s="562" t="s">
        <v>186</v>
      </c>
      <c r="AZ327" s="562"/>
      <c r="BA327" s="562">
        <v>2014</v>
      </c>
      <c r="BB327" s="562" t="s">
        <v>2240</v>
      </c>
      <c r="BC327" s="486" t="s">
        <v>2241</v>
      </c>
      <c r="BD327" s="486" t="s">
        <v>1818</v>
      </c>
      <c r="BE327" s="575">
        <v>42339</v>
      </c>
      <c r="BF327" s="580">
        <f>944.1606806*1000</f>
        <v>944160.68059999996</v>
      </c>
      <c r="BG327" s="493">
        <v>660912.47805999999</v>
      </c>
      <c r="BH327" s="493">
        <v>0</v>
      </c>
      <c r="BI327" s="493">
        <v>5.34</v>
      </c>
      <c r="BJ327" s="562" t="s">
        <v>186</v>
      </c>
      <c r="BK327" s="555"/>
    </row>
    <row r="328" spans="1:63" s="613" customFormat="1" ht="112.5">
      <c r="A328" s="555">
        <v>2</v>
      </c>
      <c r="B328" s="562" t="s">
        <v>2245</v>
      </c>
      <c r="C328" s="555" t="s">
        <v>83</v>
      </c>
      <c r="D328" s="555" t="s">
        <v>245</v>
      </c>
      <c r="E328" s="562" t="s">
        <v>5853</v>
      </c>
      <c r="F328" s="555" t="s">
        <v>1768</v>
      </c>
      <c r="G328" s="555" t="s">
        <v>1769</v>
      </c>
      <c r="H328" s="556">
        <v>380484</v>
      </c>
      <c r="I328" s="486" t="s">
        <v>5585</v>
      </c>
      <c r="J328" s="486" t="s">
        <v>5317</v>
      </c>
      <c r="K328" s="486" t="s">
        <v>5317</v>
      </c>
      <c r="L328" s="486" t="s">
        <v>1772</v>
      </c>
      <c r="M328" s="576" t="s">
        <v>1755</v>
      </c>
      <c r="N328" s="486" t="s">
        <v>1773</v>
      </c>
      <c r="O328" s="486" t="s">
        <v>2234</v>
      </c>
      <c r="P328" s="492">
        <v>404818.1018946995</v>
      </c>
      <c r="Q328" s="492">
        <f t="shared" si="72"/>
        <v>477685.36023574538</v>
      </c>
      <c r="R328" s="492">
        <v>275756.5929895126</v>
      </c>
      <c r="S328" s="555" t="s">
        <v>1774</v>
      </c>
      <c r="T328" s="630">
        <v>1.087</v>
      </c>
      <c r="U328" s="630">
        <v>1.077</v>
      </c>
      <c r="V328" s="630">
        <v>1.073</v>
      </c>
      <c r="W328" s="630">
        <v>1.071</v>
      </c>
      <c r="X328" s="560">
        <v>0.9</v>
      </c>
      <c r="Y328" s="514">
        <v>340192.177862646</v>
      </c>
      <c r="Z328" s="492">
        <f t="shared" si="73"/>
        <v>401426.76987792226</v>
      </c>
      <c r="AA328" s="492">
        <v>313734.02896839211</v>
      </c>
      <c r="AB328" s="493">
        <f t="shared" si="74"/>
        <v>370206.15418270265</v>
      </c>
      <c r="AC328" s="492">
        <f t="shared" si="75"/>
        <v>313734.02896839211</v>
      </c>
      <c r="AD328" s="493">
        <f t="shared" si="76"/>
        <v>370206.15418270265</v>
      </c>
      <c r="AE328" s="562" t="s">
        <v>218</v>
      </c>
      <c r="AF328" s="562" t="s">
        <v>83</v>
      </c>
      <c r="AG328" s="562" t="s">
        <v>211</v>
      </c>
      <c r="AH328" s="562" t="s">
        <v>545</v>
      </c>
      <c r="AI328" s="561">
        <v>41922</v>
      </c>
      <c r="AJ328" s="561">
        <v>41982</v>
      </c>
      <c r="AK328" s="562" t="s">
        <v>96</v>
      </c>
      <c r="AL328" s="562" t="s">
        <v>96</v>
      </c>
      <c r="AM328" s="486" t="s">
        <v>1846</v>
      </c>
      <c r="AN328" s="486" t="s">
        <v>1757</v>
      </c>
      <c r="AO328" s="562">
        <v>796</v>
      </c>
      <c r="AP328" s="562" t="s">
        <v>368</v>
      </c>
      <c r="AQ328" s="562">
        <v>1</v>
      </c>
      <c r="AR328" s="562">
        <v>45</v>
      </c>
      <c r="AS328" s="486" t="s">
        <v>547</v>
      </c>
      <c r="AT328" s="561">
        <f>AJ328+20</f>
        <v>42002</v>
      </c>
      <c r="AU328" s="561">
        <f>AT328</f>
        <v>42002</v>
      </c>
      <c r="AV328" s="561">
        <v>42735</v>
      </c>
      <c r="AW328" s="562" t="s">
        <v>1789</v>
      </c>
      <c r="AX328" s="486"/>
      <c r="AY328" s="562" t="s">
        <v>186</v>
      </c>
      <c r="AZ328" s="562"/>
      <c r="BA328" s="562">
        <v>2014</v>
      </c>
      <c r="BB328" s="562" t="s">
        <v>2246</v>
      </c>
      <c r="BC328" s="486" t="s">
        <v>2247</v>
      </c>
      <c r="BD328" s="486" t="s">
        <v>1818</v>
      </c>
      <c r="BE328" s="575">
        <v>42705</v>
      </c>
      <c r="BF328" s="580">
        <v>1089479.8399999999</v>
      </c>
      <c r="BG328" s="493">
        <f>BF328</f>
        <v>1089479.8399999999</v>
      </c>
      <c r="BH328" s="493">
        <v>0</v>
      </c>
      <c r="BI328" s="493">
        <v>3.84</v>
      </c>
      <c r="BJ328" s="562" t="s">
        <v>186</v>
      </c>
      <c r="BK328" s="555"/>
    </row>
    <row r="329" spans="1:63" s="613" customFormat="1" ht="112.5">
      <c r="A329" s="691">
        <v>2</v>
      </c>
      <c r="B329" s="692" t="s">
        <v>2248</v>
      </c>
      <c r="C329" s="691" t="s">
        <v>83</v>
      </c>
      <c r="D329" s="691" t="s">
        <v>245</v>
      </c>
      <c r="E329" s="692" t="s">
        <v>5853</v>
      </c>
      <c r="F329" s="691" t="s">
        <v>1768</v>
      </c>
      <c r="G329" s="691" t="s">
        <v>1769</v>
      </c>
      <c r="H329" s="693">
        <v>380486</v>
      </c>
      <c r="I329" s="634" t="s">
        <v>5586</v>
      </c>
      <c r="J329" s="634" t="s">
        <v>5317</v>
      </c>
      <c r="K329" s="634" t="s">
        <v>5317</v>
      </c>
      <c r="L329" s="634" t="s">
        <v>1772</v>
      </c>
      <c r="M329" s="694" t="s">
        <v>1755</v>
      </c>
      <c r="N329" s="634" t="s">
        <v>1773</v>
      </c>
      <c r="O329" s="634" t="s">
        <v>2234</v>
      </c>
      <c r="P329" s="642">
        <v>374655.11926803592</v>
      </c>
      <c r="Q329" s="642">
        <f t="shared" si="72"/>
        <v>442093.04073628236</v>
      </c>
      <c r="R329" s="642">
        <v>197851.86023389606</v>
      </c>
      <c r="S329" s="691" t="s">
        <v>1774</v>
      </c>
      <c r="T329" s="695">
        <v>1.087</v>
      </c>
      <c r="U329" s="695">
        <v>1.077</v>
      </c>
      <c r="V329" s="695">
        <v>1.073</v>
      </c>
      <c r="W329" s="695">
        <v>1.071</v>
      </c>
      <c r="X329" s="696">
        <v>0.9</v>
      </c>
      <c r="Y329" s="672">
        <v>239561.53520223894</v>
      </c>
      <c r="Z329" s="642">
        <f t="shared" si="73"/>
        <v>282682.61153864191</v>
      </c>
      <c r="AA329" s="642">
        <v>262258.58348762512</v>
      </c>
      <c r="AB329" s="643">
        <f t="shared" si="74"/>
        <v>309465.12851539761</v>
      </c>
      <c r="AC329" s="642">
        <f t="shared" si="75"/>
        <v>239561.53520223894</v>
      </c>
      <c r="AD329" s="643">
        <f t="shared" si="76"/>
        <v>282682.61153864191</v>
      </c>
      <c r="AE329" s="692" t="s">
        <v>218</v>
      </c>
      <c r="AF329" s="692" t="s">
        <v>83</v>
      </c>
      <c r="AG329" s="692" t="s">
        <v>211</v>
      </c>
      <c r="AH329" s="692" t="s">
        <v>545</v>
      </c>
      <c r="AI329" s="697">
        <v>41805</v>
      </c>
      <c r="AJ329" s="697">
        <f>AI329+60</f>
        <v>41865</v>
      </c>
      <c r="AK329" s="692" t="s">
        <v>96</v>
      </c>
      <c r="AL329" s="692" t="s">
        <v>96</v>
      </c>
      <c r="AM329" s="634" t="s">
        <v>1846</v>
      </c>
      <c r="AN329" s="634" t="s">
        <v>1757</v>
      </c>
      <c r="AO329" s="692">
        <v>796</v>
      </c>
      <c r="AP329" s="692" t="s">
        <v>368</v>
      </c>
      <c r="AQ329" s="692">
        <v>1</v>
      </c>
      <c r="AR329" s="692">
        <v>45</v>
      </c>
      <c r="AS329" s="634" t="s">
        <v>547</v>
      </c>
      <c r="AT329" s="697">
        <f>AJ329+20</f>
        <v>41885</v>
      </c>
      <c r="AU329" s="697">
        <f>AT329</f>
        <v>41885</v>
      </c>
      <c r="AV329" s="697">
        <v>44196</v>
      </c>
      <c r="AW329" s="692" t="s">
        <v>5587</v>
      </c>
      <c r="AX329" s="634"/>
      <c r="AY329" s="692" t="s">
        <v>186</v>
      </c>
      <c r="AZ329" s="692"/>
      <c r="BA329" s="692">
        <v>2014</v>
      </c>
      <c r="BB329" s="692" t="s">
        <v>2249</v>
      </c>
      <c r="BC329" s="634" t="s">
        <v>2250</v>
      </c>
      <c r="BD329" s="634" t="s">
        <v>1818</v>
      </c>
      <c r="BE329" s="698">
        <v>44166</v>
      </c>
      <c r="BF329" s="699">
        <v>755694.72679999995</v>
      </c>
      <c r="BG329" s="643">
        <v>1006358.3025973582</v>
      </c>
      <c r="BH329" s="643">
        <v>0</v>
      </c>
      <c r="BI329" s="643">
        <v>2.63</v>
      </c>
      <c r="BJ329" s="692" t="s">
        <v>186</v>
      </c>
      <c r="BK329" s="691"/>
    </row>
    <row r="330" spans="1:63" ht="112.5">
      <c r="A330" s="614">
        <v>2</v>
      </c>
      <c r="B330" s="615" t="s">
        <v>2251</v>
      </c>
      <c r="C330" s="614" t="s">
        <v>83</v>
      </c>
      <c r="D330" s="614" t="s">
        <v>245</v>
      </c>
      <c r="E330" s="615" t="s">
        <v>5853</v>
      </c>
      <c r="F330" s="614" t="s">
        <v>1768</v>
      </c>
      <c r="G330" s="614" t="s">
        <v>1769</v>
      </c>
      <c r="H330" s="616">
        <v>380523</v>
      </c>
      <c r="I330" s="617" t="s">
        <v>5588</v>
      </c>
      <c r="J330" s="618" t="s">
        <v>5317</v>
      </c>
      <c r="K330" s="618" t="s">
        <v>5317</v>
      </c>
      <c r="L330" s="618" t="s">
        <v>1772</v>
      </c>
      <c r="M330" s="619" t="s">
        <v>1755</v>
      </c>
      <c r="N330" s="618" t="s">
        <v>1773</v>
      </c>
      <c r="O330" s="618" t="s">
        <v>2234</v>
      </c>
      <c r="P330" s="620">
        <v>112492.8887276157</v>
      </c>
      <c r="Q330" s="620">
        <f t="shared" si="72"/>
        <v>132741.60869858653</v>
      </c>
      <c r="R330" s="620">
        <v>81476.361634016968</v>
      </c>
      <c r="S330" s="614" t="s">
        <v>1774</v>
      </c>
      <c r="T330" s="621">
        <v>1.087</v>
      </c>
      <c r="U330" s="621">
        <v>1.077</v>
      </c>
      <c r="V330" s="621">
        <v>1.073</v>
      </c>
      <c r="W330" s="621">
        <v>1.071</v>
      </c>
      <c r="X330" s="622">
        <v>0.9</v>
      </c>
      <c r="Y330" s="623">
        <v>101960.40594918726</v>
      </c>
      <c r="Z330" s="620">
        <f t="shared" si="73"/>
        <v>120313.27902004097</v>
      </c>
      <c r="AA330" s="620">
        <v>95618.955418473342</v>
      </c>
      <c r="AB330" s="624">
        <f t="shared" si="74"/>
        <v>112830.36739379854</v>
      </c>
      <c r="AC330" s="625">
        <f t="shared" si="75"/>
        <v>95618.955418473342</v>
      </c>
      <c r="AD330" s="626">
        <f t="shared" si="76"/>
        <v>112830.36739379854</v>
      </c>
      <c r="AE330" s="615" t="s">
        <v>218</v>
      </c>
      <c r="AF330" s="615" t="s">
        <v>83</v>
      </c>
      <c r="AG330" s="615" t="s">
        <v>211</v>
      </c>
      <c r="AH330" s="615" t="s">
        <v>545</v>
      </c>
      <c r="AI330" s="627">
        <v>41913</v>
      </c>
      <c r="AJ330" s="627">
        <v>41973</v>
      </c>
      <c r="AK330" s="615" t="s">
        <v>96</v>
      </c>
      <c r="AL330" s="615" t="s">
        <v>96</v>
      </c>
      <c r="AM330" s="618" t="s">
        <v>1846</v>
      </c>
      <c r="AN330" s="618" t="s">
        <v>1757</v>
      </c>
      <c r="AO330" s="615">
        <v>796</v>
      </c>
      <c r="AP330" s="615" t="s">
        <v>368</v>
      </c>
      <c r="AQ330" s="615">
        <v>1</v>
      </c>
      <c r="AR330" s="615">
        <v>45</v>
      </c>
      <c r="AS330" s="618" t="s">
        <v>547</v>
      </c>
      <c r="AT330" s="627">
        <v>41993</v>
      </c>
      <c r="AU330" s="627">
        <v>41993</v>
      </c>
      <c r="AV330" s="627">
        <v>42369</v>
      </c>
      <c r="AW330" s="615" t="s">
        <v>99</v>
      </c>
      <c r="AX330" s="618"/>
      <c r="AY330" s="615" t="s">
        <v>186</v>
      </c>
      <c r="AZ330" s="615"/>
      <c r="BA330" s="615">
        <v>2014</v>
      </c>
      <c r="BB330" s="615" t="s">
        <v>2252</v>
      </c>
      <c r="BC330" s="618" t="s">
        <v>2253</v>
      </c>
      <c r="BD330" s="618" t="s">
        <v>1818</v>
      </c>
      <c r="BE330" s="628">
        <v>42339</v>
      </c>
      <c r="BF330" s="629">
        <v>344092.71999999991</v>
      </c>
      <c r="BG330" s="624">
        <v>359135.4470667172</v>
      </c>
      <c r="BH330" s="624">
        <v>0</v>
      </c>
      <c r="BI330" s="624">
        <v>1.08</v>
      </c>
      <c r="BJ330" s="615" t="s">
        <v>186</v>
      </c>
      <c r="BK330" s="614"/>
    </row>
    <row r="331" spans="1:63" s="613" customFormat="1" ht="112.5">
      <c r="A331" s="555">
        <v>2</v>
      </c>
      <c r="B331" s="562" t="s">
        <v>2254</v>
      </c>
      <c r="C331" s="555" t="s">
        <v>83</v>
      </c>
      <c r="D331" s="555" t="s">
        <v>245</v>
      </c>
      <c r="E331" s="562" t="s">
        <v>5853</v>
      </c>
      <c r="F331" s="555" t="s">
        <v>1768</v>
      </c>
      <c r="G331" s="555" t="s">
        <v>1769</v>
      </c>
      <c r="H331" s="556">
        <v>380526</v>
      </c>
      <c r="I331" s="486" t="s">
        <v>5589</v>
      </c>
      <c r="J331" s="486" t="s">
        <v>5317</v>
      </c>
      <c r="K331" s="486" t="s">
        <v>5317</v>
      </c>
      <c r="L331" s="486" t="s">
        <v>1772</v>
      </c>
      <c r="M331" s="576" t="s">
        <v>1755</v>
      </c>
      <c r="N331" s="486" t="s">
        <v>1773</v>
      </c>
      <c r="O331" s="486" t="s">
        <v>2234</v>
      </c>
      <c r="P331" s="492">
        <v>671909.7</v>
      </c>
      <c r="Q331" s="492">
        <f t="shared" si="72"/>
        <v>792853.44599999988</v>
      </c>
      <c r="R331" s="492">
        <v>456724.56</v>
      </c>
      <c r="S331" s="555" t="s">
        <v>5970</v>
      </c>
      <c r="T331" s="630">
        <v>1.087</v>
      </c>
      <c r="U331" s="630">
        <v>1.0680000000000001</v>
      </c>
      <c r="V331" s="630">
        <v>1.0589999999999999</v>
      </c>
      <c r="W331" s="630">
        <v>1.0580000000000001</v>
      </c>
      <c r="X331" s="560">
        <v>0.9</v>
      </c>
      <c r="Y331" s="514">
        <v>596401.30000000005</v>
      </c>
      <c r="Z331" s="492">
        <f t="shared" si="73"/>
        <v>703753.53399999999</v>
      </c>
      <c r="AA331" s="492">
        <v>532334.94900000002</v>
      </c>
      <c r="AB331" s="493">
        <f t="shared" si="74"/>
        <v>628155.23982000002</v>
      </c>
      <c r="AC331" s="492">
        <f t="shared" si="75"/>
        <v>532334.94900000002</v>
      </c>
      <c r="AD331" s="493">
        <f t="shared" si="76"/>
        <v>628155.23982000002</v>
      </c>
      <c r="AE331" s="562" t="s">
        <v>218</v>
      </c>
      <c r="AF331" s="562" t="s">
        <v>83</v>
      </c>
      <c r="AG331" s="562" t="s">
        <v>211</v>
      </c>
      <c r="AH331" s="562" t="s">
        <v>545</v>
      </c>
      <c r="AI331" s="561">
        <v>41913</v>
      </c>
      <c r="AJ331" s="561">
        <v>41973</v>
      </c>
      <c r="AK331" s="562" t="s">
        <v>96</v>
      </c>
      <c r="AL331" s="562" t="s">
        <v>96</v>
      </c>
      <c r="AM331" s="486" t="s">
        <v>1846</v>
      </c>
      <c r="AN331" s="486" t="s">
        <v>1757</v>
      </c>
      <c r="AO331" s="562">
        <v>796</v>
      </c>
      <c r="AP331" s="562" t="s">
        <v>368</v>
      </c>
      <c r="AQ331" s="562">
        <v>1</v>
      </c>
      <c r="AR331" s="562">
        <v>45</v>
      </c>
      <c r="AS331" s="486" t="s">
        <v>547</v>
      </c>
      <c r="AT331" s="561">
        <v>41993</v>
      </c>
      <c r="AU331" s="561">
        <v>41993</v>
      </c>
      <c r="AV331" s="561">
        <v>43465</v>
      </c>
      <c r="AW331" s="562" t="s">
        <v>5590</v>
      </c>
      <c r="AX331" s="486"/>
      <c r="AY331" s="562" t="s">
        <v>186</v>
      </c>
      <c r="AZ331" s="562"/>
      <c r="BA331" s="562">
        <v>2014</v>
      </c>
      <c r="BB331" s="562" t="s">
        <v>2255</v>
      </c>
      <c r="BC331" s="486" t="s">
        <v>2256</v>
      </c>
      <c r="BD331" s="486" t="s">
        <v>1818</v>
      </c>
      <c r="BE331" s="575">
        <v>43435</v>
      </c>
      <c r="BF331" s="580">
        <f>1861.033283*1000</f>
        <v>1861033.2830000001</v>
      </c>
      <c r="BG331" s="493">
        <v>1302723.29999</v>
      </c>
      <c r="BH331" s="493">
        <v>0</v>
      </c>
      <c r="BI331" s="493">
        <v>13.94</v>
      </c>
      <c r="BJ331" s="562" t="s">
        <v>186</v>
      </c>
      <c r="BK331" s="555"/>
    </row>
    <row r="332" spans="1:63" s="613" customFormat="1" ht="112.5">
      <c r="A332" s="555">
        <v>2</v>
      </c>
      <c r="B332" s="562" t="s">
        <v>2257</v>
      </c>
      <c r="C332" s="555" t="s">
        <v>83</v>
      </c>
      <c r="D332" s="555" t="s">
        <v>245</v>
      </c>
      <c r="E332" s="562" t="s">
        <v>5853</v>
      </c>
      <c r="F332" s="555" t="s">
        <v>1768</v>
      </c>
      <c r="G332" s="555" t="s">
        <v>1769</v>
      </c>
      <c r="H332" s="556">
        <v>380524</v>
      </c>
      <c r="I332" s="486" t="s">
        <v>5591</v>
      </c>
      <c r="J332" s="486" t="s">
        <v>5317</v>
      </c>
      <c r="K332" s="486" t="s">
        <v>5317</v>
      </c>
      <c r="L332" s="486" t="s">
        <v>1772</v>
      </c>
      <c r="M332" s="576" t="s">
        <v>1755</v>
      </c>
      <c r="N332" s="486" t="s">
        <v>1773</v>
      </c>
      <c r="O332" s="486" t="s">
        <v>1786</v>
      </c>
      <c r="P332" s="492">
        <v>155960.09</v>
      </c>
      <c r="Q332" s="492">
        <v>184032.9062</v>
      </c>
      <c r="R332" s="492">
        <v>117388.2</v>
      </c>
      <c r="S332" s="555" t="s">
        <v>1774</v>
      </c>
      <c r="T332" s="630">
        <v>1.087</v>
      </c>
      <c r="U332" s="630">
        <v>1.077</v>
      </c>
      <c r="V332" s="630">
        <v>1.073</v>
      </c>
      <c r="W332" s="630">
        <v>1.071</v>
      </c>
      <c r="X332" s="560">
        <v>0.9</v>
      </c>
      <c r="Y332" s="514">
        <v>145770.96</v>
      </c>
      <c r="Z332" s="492">
        <v>172009.73279999997</v>
      </c>
      <c r="AA332" s="492">
        <v>136746.85</v>
      </c>
      <c r="AB332" s="493">
        <f t="shared" si="74"/>
        <v>161361.283</v>
      </c>
      <c r="AC332" s="492">
        <v>136746.85</v>
      </c>
      <c r="AD332" s="493">
        <v>161361.283</v>
      </c>
      <c r="AE332" s="562" t="s">
        <v>218</v>
      </c>
      <c r="AF332" s="562" t="s">
        <v>83</v>
      </c>
      <c r="AG332" s="562" t="s">
        <v>211</v>
      </c>
      <c r="AH332" s="562" t="s">
        <v>545</v>
      </c>
      <c r="AI332" s="561">
        <v>41713</v>
      </c>
      <c r="AJ332" s="561">
        <f>AI332+60</f>
        <v>41773</v>
      </c>
      <c r="AK332" s="562" t="s">
        <v>96</v>
      </c>
      <c r="AL332" s="562" t="s">
        <v>96</v>
      </c>
      <c r="AM332" s="486" t="s">
        <v>1846</v>
      </c>
      <c r="AN332" s="486" t="s">
        <v>1757</v>
      </c>
      <c r="AO332" s="562">
        <v>796</v>
      </c>
      <c r="AP332" s="562" t="s">
        <v>368</v>
      </c>
      <c r="AQ332" s="562">
        <v>1</v>
      </c>
      <c r="AR332" s="562">
        <v>45</v>
      </c>
      <c r="AS332" s="486" t="s">
        <v>547</v>
      </c>
      <c r="AT332" s="561">
        <f>AJ332+20</f>
        <v>41793</v>
      </c>
      <c r="AU332" s="561">
        <f>AT332</f>
        <v>41793</v>
      </c>
      <c r="AV332" s="561">
        <v>42369</v>
      </c>
      <c r="AW332" s="562" t="s">
        <v>99</v>
      </c>
      <c r="AX332" s="486"/>
      <c r="AY332" s="562" t="s">
        <v>186</v>
      </c>
      <c r="AZ332" s="562"/>
      <c r="BA332" s="562">
        <v>2014</v>
      </c>
      <c r="BB332" s="562" t="s">
        <v>2258</v>
      </c>
      <c r="BC332" s="486" t="s">
        <v>2259</v>
      </c>
      <c r="BD332" s="486" t="s">
        <v>7285</v>
      </c>
      <c r="BE332" s="575">
        <v>42339</v>
      </c>
      <c r="BF332" s="580">
        <v>659551.1</v>
      </c>
      <c r="BG332" s="493">
        <f>BF332</f>
        <v>659551.1</v>
      </c>
      <c r="BH332" s="493">
        <v>0</v>
      </c>
      <c r="BI332" s="493">
        <v>5.53</v>
      </c>
      <c r="BJ332" s="562" t="s">
        <v>186</v>
      </c>
      <c r="BK332" s="555"/>
    </row>
    <row r="333" spans="1:63" s="613" customFormat="1" ht="112.5">
      <c r="A333" s="555">
        <v>2</v>
      </c>
      <c r="B333" s="562" t="s">
        <v>2260</v>
      </c>
      <c r="C333" s="555" t="s">
        <v>83</v>
      </c>
      <c r="D333" s="555" t="s">
        <v>245</v>
      </c>
      <c r="E333" s="562" t="s">
        <v>5853</v>
      </c>
      <c r="F333" s="555" t="s">
        <v>1768</v>
      </c>
      <c r="G333" s="555" t="s">
        <v>1769</v>
      </c>
      <c r="H333" s="556">
        <v>380527</v>
      </c>
      <c r="I333" s="486" t="s">
        <v>5592</v>
      </c>
      <c r="J333" s="486" t="s">
        <v>5317</v>
      </c>
      <c r="K333" s="486" t="s">
        <v>5317</v>
      </c>
      <c r="L333" s="486" t="s">
        <v>1772</v>
      </c>
      <c r="M333" s="576" t="s">
        <v>1755</v>
      </c>
      <c r="N333" s="486" t="s">
        <v>1773</v>
      </c>
      <c r="O333" s="486" t="s">
        <v>2234</v>
      </c>
      <c r="P333" s="492">
        <v>91083.814227660463</v>
      </c>
      <c r="Q333" s="492">
        <f t="shared" ref="Q333:Q367" si="77">P333*1.18</f>
        <v>107478.90078863934</v>
      </c>
      <c r="R333" s="492">
        <v>68998.604555555605</v>
      </c>
      <c r="S333" s="555" t="s">
        <v>1774</v>
      </c>
      <c r="T333" s="630">
        <v>1.087</v>
      </c>
      <c r="U333" s="630">
        <v>1.077</v>
      </c>
      <c r="V333" s="630">
        <v>1.073</v>
      </c>
      <c r="W333" s="630">
        <v>1.071</v>
      </c>
      <c r="X333" s="560">
        <v>0.9</v>
      </c>
      <c r="Y333" s="514">
        <v>78005.960065322142</v>
      </c>
      <c r="Z333" s="492">
        <f t="shared" ref="Z333:Z367" si="78">Y333*1.18</f>
        <v>92047.032877080128</v>
      </c>
      <c r="AA333" s="492">
        <v>84252.528160585935</v>
      </c>
      <c r="AB333" s="493">
        <f t="shared" si="74"/>
        <v>99417.983229491394</v>
      </c>
      <c r="AC333" s="492">
        <f t="shared" ref="AC333:AC367" si="79">IF(Y333&lt;AA333,Y333,AA333)</f>
        <v>78005.960065322142</v>
      </c>
      <c r="AD333" s="493">
        <f t="shared" ref="AD333:AD367" si="80">AC333*1.18</f>
        <v>92047.032877080128</v>
      </c>
      <c r="AE333" s="562" t="s">
        <v>218</v>
      </c>
      <c r="AF333" s="562" t="s">
        <v>83</v>
      </c>
      <c r="AG333" s="562" t="s">
        <v>211</v>
      </c>
      <c r="AH333" s="562" t="s">
        <v>545</v>
      </c>
      <c r="AI333" s="561">
        <v>41744</v>
      </c>
      <c r="AJ333" s="561">
        <v>41804</v>
      </c>
      <c r="AK333" s="562" t="s">
        <v>96</v>
      </c>
      <c r="AL333" s="562" t="s">
        <v>96</v>
      </c>
      <c r="AM333" s="486" t="s">
        <v>1846</v>
      </c>
      <c r="AN333" s="486" t="s">
        <v>1757</v>
      </c>
      <c r="AO333" s="562">
        <v>796</v>
      </c>
      <c r="AP333" s="562" t="s">
        <v>368</v>
      </c>
      <c r="AQ333" s="562">
        <v>1</v>
      </c>
      <c r="AR333" s="562">
        <v>45</v>
      </c>
      <c r="AS333" s="486" t="s">
        <v>547</v>
      </c>
      <c r="AT333" s="561">
        <v>41824</v>
      </c>
      <c r="AU333" s="561">
        <v>41824</v>
      </c>
      <c r="AV333" s="561">
        <v>42004</v>
      </c>
      <c r="AW333" s="562">
        <v>2014</v>
      </c>
      <c r="AX333" s="486"/>
      <c r="AY333" s="562" t="s">
        <v>186</v>
      </c>
      <c r="AZ333" s="562"/>
      <c r="BA333" s="562">
        <v>2014</v>
      </c>
      <c r="BB333" s="562" t="s">
        <v>2261</v>
      </c>
      <c r="BC333" s="486" t="s">
        <v>5593</v>
      </c>
      <c r="BD333" s="486" t="s">
        <v>1818</v>
      </c>
      <c r="BE333" s="575">
        <v>41974</v>
      </c>
      <c r="BF333" s="580">
        <f>1129.9245052*1000</f>
        <v>1129924.5052</v>
      </c>
      <c r="BG333" s="493">
        <f>1045.18016808*1000</f>
        <v>1045180.16808</v>
      </c>
      <c r="BH333" s="493">
        <v>0</v>
      </c>
      <c r="BI333" s="493">
        <v>5.4</v>
      </c>
      <c r="BJ333" s="562" t="s">
        <v>186</v>
      </c>
      <c r="BK333" s="555"/>
    </row>
    <row r="334" spans="1:63" ht="112.5">
      <c r="A334" s="631">
        <v>2</v>
      </c>
      <c r="B334" s="632" t="s">
        <v>1814</v>
      </c>
      <c r="C334" s="631" t="s">
        <v>83</v>
      </c>
      <c r="D334" s="631" t="s">
        <v>242</v>
      </c>
      <c r="E334" s="632" t="s">
        <v>5853</v>
      </c>
      <c r="F334" s="631" t="s">
        <v>1768</v>
      </c>
      <c r="G334" s="631" t="s">
        <v>1769</v>
      </c>
      <c r="H334" s="633">
        <v>854158</v>
      </c>
      <c r="I334" s="634" t="s">
        <v>1815</v>
      </c>
      <c r="J334" s="635" t="s">
        <v>5317</v>
      </c>
      <c r="K334" s="635" t="s">
        <v>5317</v>
      </c>
      <c r="L334" s="635" t="s">
        <v>1772</v>
      </c>
      <c r="M334" s="636" t="s">
        <v>1755</v>
      </c>
      <c r="N334" s="635" t="s">
        <v>1773</v>
      </c>
      <c r="O334" s="635" t="s">
        <v>2234</v>
      </c>
      <c r="P334" s="637">
        <v>15416.633897999998</v>
      </c>
      <c r="Q334" s="637">
        <f t="shared" si="77"/>
        <v>18191.627999639997</v>
      </c>
      <c r="R334" s="637">
        <v>12308.052861100026</v>
      </c>
      <c r="S334" s="631" t="s">
        <v>1774</v>
      </c>
      <c r="T334" s="638">
        <v>1.087</v>
      </c>
      <c r="U334" s="638">
        <v>1.077</v>
      </c>
      <c r="V334" s="638">
        <v>1.073</v>
      </c>
      <c r="W334" s="638">
        <v>1.071</v>
      </c>
      <c r="X334" s="639">
        <v>0.9</v>
      </c>
      <c r="Y334" s="640">
        <v>14902.7461014</v>
      </c>
      <c r="Z334" s="637">
        <f t="shared" si="78"/>
        <v>17585.240399652001</v>
      </c>
      <c r="AA334" s="637">
        <v>13137.376</v>
      </c>
      <c r="AB334" s="641">
        <f t="shared" si="74"/>
        <v>15502.10368</v>
      </c>
      <c r="AC334" s="642">
        <f t="shared" si="79"/>
        <v>13137.376</v>
      </c>
      <c r="AD334" s="643">
        <f t="shared" si="80"/>
        <v>15502.10368</v>
      </c>
      <c r="AE334" s="632" t="s">
        <v>1775</v>
      </c>
      <c r="AF334" s="632" t="s">
        <v>83</v>
      </c>
      <c r="AG334" s="632" t="s">
        <v>211</v>
      </c>
      <c r="AH334" s="632" t="s">
        <v>545</v>
      </c>
      <c r="AI334" s="644">
        <v>41730</v>
      </c>
      <c r="AJ334" s="644">
        <v>41765</v>
      </c>
      <c r="AK334" s="632" t="s">
        <v>96</v>
      </c>
      <c r="AL334" s="632" t="s">
        <v>96</v>
      </c>
      <c r="AM334" s="635" t="s">
        <v>1846</v>
      </c>
      <c r="AN334" s="635" t="s">
        <v>1757</v>
      </c>
      <c r="AO334" s="632">
        <v>796</v>
      </c>
      <c r="AP334" s="632" t="s">
        <v>368</v>
      </c>
      <c r="AQ334" s="632">
        <v>1</v>
      </c>
      <c r="AR334" s="632">
        <v>45</v>
      </c>
      <c r="AS334" s="635" t="s">
        <v>547</v>
      </c>
      <c r="AT334" s="644">
        <v>41785</v>
      </c>
      <c r="AU334" s="644">
        <v>41785</v>
      </c>
      <c r="AV334" s="644">
        <v>42004</v>
      </c>
      <c r="AW334" s="632">
        <v>2014</v>
      </c>
      <c r="AX334" s="635"/>
      <c r="AY334" s="632" t="s">
        <v>186</v>
      </c>
      <c r="AZ334" s="632"/>
      <c r="BA334" s="632">
        <v>2014</v>
      </c>
      <c r="BB334" s="632" t="s">
        <v>1816</v>
      </c>
      <c r="BC334" s="635" t="s">
        <v>1817</v>
      </c>
      <c r="BD334" s="635" t="s">
        <v>1818</v>
      </c>
      <c r="BE334" s="645">
        <v>42004</v>
      </c>
      <c r="BF334" s="646">
        <v>20212.919999599995</v>
      </c>
      <c r="BG334" s="641">
        <v>20212.919999599995</v>
      </c>
      <c r="BH334" s="641">
        <v>0</v>
      </c>
      <c r="BI334" s="641">
        <v>0.54</v>
      </c>
      <c r="BJ334" s="632" t="s">
        <v>400</v>
      </c>
      <c r="BK334" s="631"/>
    </row>
    <row r="335" spans="1:63" ht="112.5">
      <c r="A335" s="401">
        <v>2</v>
      </c>
      <c r="B335" s="494" t="s">
        <v>1819</v>
      </c>
      <c r="C335" s="401" t="s">
        <v>83</v>
      </c>
      <c r="D335" s="401" t="s">
        <v>242</v>
      </c>
      <c r="E335" s="494" t="s">
        <v>5853</v>
      </c>
      <c r="F335" s="401" t="s">
        <v>1768</v>
      </c>
      <c r="G335" s="401" t="s">
        <v>1769</v>
      </c>
      <c r="H335" s="499">
        <v>854166</v>
      </c>
      <c r="I335" s="486" t="s">
        <v>1820</v>
      </c>
      <c r="J335" s="496" t="s">
        <v>2237</v>
      </c>
      <c r="K335" s="496" t="s">
        <v>2237</v>
      </c>
      <c r="L335" s="496" t="s">
        <v>1772</v>
      </c>
      <c r="M335" s="500" t="s">
        <v>1755</v>
      </c>
      <c r="N335" s="496" t="s">
        <v>1773</v>
      </c>
      <c r="O335" s="496" t="s">
        <v>2234</v>
      </c>
      <c r="P335" s="489">
        <v>30021.105415454545</v>
      </c>
      <c r="Q335" s="489">
        <f t="shared" si="77"/>
        <v>35424.904390236363</v>
      </c>
      <c r="R335" s="489">
        <v>19559.205770283363</v>
      </c>
      <c r="S335" s="401" t="s">
        <v>1774</v>
      </c>
      <c r="T335" s="501">
        <v>1.087</v>
      </c>
      <c r="U335" s="501">
        <v>1.077</v>
      </c>
      <c r="V335" s="501">
        <v>1.073</v>
      </c>
      <c r="W335" s="501">
        <v>1.071</v>
      </c>
      <c r="X335" s="596">
        <v>0.9</v>
      </c>
      <c r="Y335" s="502">
        <v>25245.580999999998</v>
      </c>
      <c r="Z335" s="489">
        <f t="shared" si="78"/>
        <v>29789.785579999996</v>
      </c>
      <c r="AA335" s="489">
        <v>25666.13</v>
      </c>
      <c r="AB335" s="488">
        <f t="shared" si="74"/>
        <v>30286.0334</v>
      </c>
      <c r="AC335" s="492">
        <f t="shared" si="79"/>
        <v>25245.580999999998</v>
      </c>
      <c r="AD335" s="493">
        <f t="shared" si="80"/>
        <v>29789.785579999996</v>
      </c>
      <c r="AE335" s="494" t="s">
        <v>1775</v>
      </c>
      <c r="AF335" s="494" t="s">
        <v>83</v>
      </c>
      <c r="AG335" s="494" t="s">
        <v>211</v>
      </c>
      <c r="AH335" s="494" t="s">
        <v>545</v>
      </c>
      <c r="AI335" s="495">
        <v>41730</v>
      </c>
      <c r="AJ335" s="495">
        <v>41765</v>
      </c>
      <c r="AK335" s="494" t="s">
        <v>96</v>
      </c>
      <c r="AL335" s="494" t="s">
        <v>96</v>
      </c>
      <c r="AM335" s="496" t="s">
        <v>2238</v>
      </c>
      <c r="AN335" s="496" t="s">
        <v>1757</v>
      </c>
      <c r="AO335" s="494">
        <v>796</v>
      </c>
      <c r="AP335" s="494" t="s">
        <v>368</v>
      </c>
      <c r="AQ335" s="494">
        <v>1</v>
      </c>
      <c r="AR335" s="494">
        <v>45</v>
      </c>
      <c r="AS335" s="496" t="s">
        <v>547</v>
      </c>
      <c r="AT335" s="495">
        <v>41785</v>
      </c>
      <c r="AU335" s="495">
        <v>41785</v>
      </c>
      <c r="AV335" s="495">
        <v>42369</v>
      </c>
      <c r="AW335" s="494" t="s">
        <v>99</v>
      </c>
      <c r="AX335" s="496"/>
      <c r="AY335" s="494" t="s">
        <v>186</v>
      </c>
      <c r="AZ335" s="494"/>
      <c r="BA335" s="494">
        <v>2014</v>
      </c>
      <c r="BB335" s="494" t="s">
        <v>1821</v>
      </c>
      <c r="BC335" s="496" t="s">
        <v>1822</v>
      </c>
      <c r="BD335" s="496" t="s">
        <v>1818</v>
      </c>
      <c r="BE335" s="497">
        <v>42369</v>
      </c>
      <c r="BF335" s="498">
        <v>28674.32</v>
      </c>
      <c r="BG335" s="488">
        <v>28674.32</v>
      </c>
      <c r="BH335" s="488">
        <v>0</v>
      </c>
      <c r="BI335" s="488">
        <v>0</v>
      </c>
      <c r="BJ335" s="494" t="s">
        <v>400</v>
      </c>
      <c r="BK335" s="401"/>
    </row>
    <row r="336" spans="1:63" ht="112.5">
      <c r="A336" s="401">
        <v>2</v>
      </c>
      <c r="B336" s="494" t="s">
        <v>1828</v>
      </c>
      <c r="C336" s="401" t="s">
        <v>83</v>
      </c>
      <c r="D336" s="401" t="s">
        <v>242</v>
      </c>
      <c r="E336" s="494" t="s">
        <v>5853</v>
      </c>
      <c r="F336" s="401" t="s">
        <v>1768</v>
      </c>
      <c r="G336" s="401" t="s">
        <v>1769</v>
      </c>
      <c r="H336" s="499">
        <v>854187</v>
      </c>
      <c r="I336" s="486" t="s">
        <v>1829</v>
      </c>
      <c r="J336" s="496" t="s">
        <v>2237</v>
      </c>
      <c r="K336" s="496" t="s">
        <v>2237</v>
      </c>
      <c r="L336" s="496" t="s">
        <v>1772</v>
      </c>
      <c r="M336" s="500" t="s">
        <v>1755</v>
      </c>
      <c r="N336" s="496" t="s">
        <v>1773</v>
      </c>
      <c r="O336" s="496" t="s">
        <v>2234</v>
      </c>
      <c r="P336" s="489">
        <v>185670.91400000002</v>
      </c>
      <c r="Q336" s="489">
        <f t="shared" si="77"/>
        <v>219091.67852000002</v>
      </c>
      <c r="R336" s="489">
        <v>138009.37741814012</v>
      </c>
      <c r="S336" s="401" t="s">
        <v>1774</v>
      </c>
      <c r="T336" s="501">
        <v>1.087</v>
      </c>
      <c r="U336" s="501">
        <v>1.077</v>
      </c>
      <c r="V336" s="501">
        <v>1.073</v>
      </c>
      <c r="W336" s="501">
        <v>1.071</v>
      </c>
      <c r="X336" s="596">
        <v>0.9</v>
      </c>
      <c r="Y336" s="502">
        <v>167103.5</v>
      </c>
      <c r="Z336" s="489">
        <f t="shared" si="78"/>
        <v>197182.12999999998</v>
      </c>
      <c r="AA336" s="489">
        <v>154327.07</v>
      </c>
      <c r="AB336" s="488">
        <f t="shared" si="74"/>
        <v>182105.94260000001</v>
      </c>
      <c r="AC336" s="492">
        <f t="shared" si="79"/>
        <v>154327.07</v>
      </c>
      <c r="AD336" s="493">
        <f t="shared" si="80"/>
        <v>182105.94260000001</v>
      </c>
      <c r="AE336" s="494" t="s">
        <v>218</v>
      </c>
      <c r="AF336" s="494" t="s">
        <v>83</v>
      </c>
      <c r="AG336" s="494" t="s">
        <v>211</v>
      </c>
      <c r="AH336" s="494" t="s">
        <v>545</v>
      </c>
      <c r="AI336" s="495">
        <v>41730</v>
      </c>
      <c r="AJ336" s="495">
        <v>41765</v>
      </c>
      <c r="AK336" s="494" t="s">
        <v>96</v>
      </c>
      <c r="AL336" s="494" t="s">
        <v>96</v>
      </c>
      <c r="AM336" s="496" t="s">
        <v>2238</v>
      </c>
      <c r="AN336" s="496" t="s">
        <v>1757</v>
      </c>
      <c r="AO336" s="494">
        <v>796</v>
      </c>
      <c r="AP336" s="494" t="s">
        <v>368</v>
      </c>
      <c r="AQ336" s="494">
        <v>1</v>
      </c>
      <c r="AR336" s="494">
        <v>45</v>
      </c>
      <c r="AS336" s="496" t="s">
        <v>547</v>
      </c>
      <c r="AT336" s="495">
        <v>41785</v>
      </c>
      <c r="AU336" s="495">
        <v>41785</v>
      </c>
      <c r="AV336" s="495">
        <v>42004</v>
      </c>
      <c r="AW336" s="494">
        <v>2014</v>
      </c>
      <c r="AX336" s="496"/>
      <c r="AY336" s="494" t="s">
        <v>186</v>
      </c>
      <c r="AZ336" s="494"/>
      <c r="BA336" s="494">
        <v>2014</v>
      </c>
      <c r="BB336" s="494" t="s">
        <v>1830</v>
      </c>
      <c r="BC336" s="496" t="s">
        <v>1831</v>
      </c>
      <c r="BD336" s="496" t="s">
        <v>1818</v>
      </c>
      <c r="BE336" s="497">
        <v>42004</v>
      </c>
      <c r="BF336" s="498">
        <v>280840</v>
      </c>
      <c r="BG336" s="488">
        <v>236873.96243812001</v>
      </c>
      <c r="BH336" s="488">
        <v>0</v>
      </c>
      <c r="BI336" s="488">
        <v>0</v>
      </c>
      <c r="BJ336" s="494" t="s">
        <v>400</v>
      </c>
      <c r="BK336" s="401"/>
    </row>
    <row r="337" spans="1:63" ht="112.5">
      <c r="A337" s="401">
        <v>2</v>
      </c>
      <c r="B337" s="494" t="s">
        <v>1832</v>
      </c>
      <c r="C337" s="401" t="s">
        <v>83</v>
      </c>
      <c r="D337" s="401" t="s">
        <v>242</v>
      </c>
      <c r="E337" s="494" t="s">
        <v>5853</v>
      </c>
      <c r="F337" s="401" t="s">
        <v>1768</v>
      </c>
      <c r="G337" s="401" t="s">
        <v>1769</v>
      </c>
      <c r="H337" s="499">
        <v>854165</v>
      </c>
      <c r="I337" s="486" t="s">
        <v>1833</v>
      </c>
      <c r="J337" s="496" t="s">
        <v>2237</v>
      </c>
      <c r="K337" s="496" t="s">
        <v>2237</v>
      </c>
      <c r="L337" s="496" t="s">
        <v>1772</v>
      </c>
      <c r="M337" s="500" t="s">
        <v>1755</v>
      </c>
      <c r="N337" s="496" t="s">
        <v>1773</v>
      </c>
      <c r="O337" s="496" t="s">
        <v>2234</v>
      </c>
      <c r="P337" s="489">
        <v>1195.664</v>
      </c>
      <c r="Q337" s="489">
        <f t="shared" si="77"/>
        <v>1410.8835199999999</v>
      </c>
      <c r="R337" s="489">
        <v>820.84254661316254</v>
      </c>
      <c r="S337" s="401" t="s">
        <v>1774</v>
      </c>
      <c r="T337" s="501">
        <v>1.087</v>
      </c>
      <c r="U337" s="501">
        <v>1.077</v>
      </c>
      <c r="V337" s="501">
        <v>1.073</v>
      </c>
      <c r="W337" s="501">
        <v>1.071</v>
      </c>
      <c r="X337" s="596">
        <v>0.9</v>
      </c>
      <c r="Y337" s="502">
        <v>1059.4830507000001</v>
      </c>
      <c r="Z337" s="489">
        <f t="shared" si="78"/>
        <v>1250.1899998260001</v>
      </c>
      <c r="AA337" s="489">
        <v>1134.6880000000001</v>
      </c>
      <c r="AB337" s="488">
        <f t="shared" si="74"/>
        <v>1338.93184</v>
      </c>
      <c r="AC337" s="492">
        <f t="shared" si="79"/>
        <v>1059.4830507000001</v>
      </c>
      <c r="AD337" s="493">
        <f t="shared" si="80"/>
        <v>1250.1899998260001</v>
      </c>
      <c r="AE337" s="494" t="s">
        <v>1775</v>
      </c>
      <c r="AF337" s="494" t="s">
        <v>83</v>
      </c>
      <c r="AG337" s="494" t="s">
        <v>211</v>
      </c>
      <c r="AH337" s="494" t="s">
        <v>545</v>
      </c>
      <c r="AI337" s="495">
        <v>41730</v>
      </c>
      <c r="AJ337" s="495">
        <v>41765</v>
      </c>
      <c r="AK337" s="494" t="s">
        <v>96</v>
      </c>
      <c r="AL337" s="494" t="s">
        <v>96</v>
      </c>
      <c r="AM337" s="496" t="s">
        <v>2238</v>
      </c>
      <c r="AN337" s="496" t="s">
        <v>1757</v>
      </c>
      <c r="AO337" s="494">
        <v>796</v>
      </c>
      <c r="AP337" s="494" t="s">
        <v>368</v>
      </c>
      <c r="AQ337" s="494">
        <v>1</v>
      </c>
      <c r="AR337" s="494">
        <v>45</v>
      </c>
      <c r="AS337" s="496" t="s">
        <v>547</v>
      </c>
      <c r="AT337" s="495">
        <v>41785</v>
      </c>
      <c r="AU337" s="495">
        <v>41785</v>
      </c>
      <c r="AV337" s="495">
        <v>42369</v>
      </c>
      <c r="AW337" s="494" t="s">
        <v>99</v>
      </c>
      <c r="AX337" s="496"/>
      <c r="AY337" s="494" t="s">
        <v>186</v>
      </c>
      <c r="AZ337" s="494"/>
      <c r="BA337" s="494">
        <v>2014</v>
      </c>
      <c r="BB337" s="494" t="s">
        <v>1834</v>
      </c>
      <c r="BC337" s="496" t="s">
        <v>1835</v>
      </c>
      <c r="BD337" s="496" t="s">
        <v>1818</v>
      </c>
      <c r="BE337" s="497">
        <v>42369</v>
      </c>
      <c r="BF337" s="498">
        <v>1437</v>
      </c>
      <c r="BG337" s="488">
        <v>1437</v>
      </c>
      <c r="BH337" s="488">
        <v>0</v>
      </c>
      <c r="BI337" s="488">
        <v>0.64</v>
      </c>
      <c r="BJ337" s="494" t="s">
        <v>400</v>
      </c>
      <c r="BK337" s="401"/>
    </row>
    <row r="338" spans="1:63" ht="131.25">
      <c r="A338" s="401">
        <v>2</v>
      </c>
      <c r="B338" s="494" t="s">
        <v>1836</v>
      </c>
      <c r="C338" s="401" t="s">
        <v>83</v>
      </c>
      <c r="D338" s="401" t="s">
        <v>242</v>
      </c>
      <c r="E338" s="494" t="s">
        <v>5853</v>
      </c>
      <c r="F338" s="401" t="s">
        <v>1768</v>
      </c>
      <c r="G338" s="401" t="s">
        <v>1769</v>
      </c>
      <c r="H338" s="499">
        <v>854164</v>
      </c>
      <c r="I338" s="486" t="s">
        <v>1837</v>
      </c>
      <c r="J338" s="496" t="s">
        <v>2237</v>
      </c>
      <c r="K338" s="496" t="s">
        <v>2237</v>
      </c>
      <c r="L338" s="496" t="s">
        <v>1772</v>
      </c>
      <c r="M338" s="500" t="s">
        <v>1755</v>
      </c>
      <c r="N338" s="496" t="s">
        <v>1773</v>
      </c>
      <c r="O338" s="496" t="s">
        <v>2234</v>
      </c>
      <c r="P338" s="489">
        <v>5437.0911963636363</v>
      </c>
      <c r="Q338" s="489">
        <f t="shared" si="77"/>
        <v>6415.7676117090905</v>
      </c>
      <c r="R338" s="489">
        <v>3293.278404290425</v>
      </c>
      <c r="S338" s="401" t="s">
        <v>1774</v>
      </c>
      <c r="T338" s="501">
        <v>1.087</v>
      </c>
      <c r="U338" s="501">
        <v>1.077</v>
      </c>
      <c r="V338" s="501">
        <v>1.073</v>
      </c>
      <c r="W338" s="501">
        <v>1.071</v>
      </c>
      <c r="X338" s="596">
        <v>0.9</v>
      </c>
      <c r="Y338" s="502">
        <v>4250.7209999999995</v>
      </c>
      <c r="Z338" s="489">
        <f t="shared" si="78"/>
        <v>5015.8507799999988</v>
      </c>
      <c r="AA338" s="489">
        <v>4442.92</v>
      </c>
      <c r="AB338" s="488">
        <f t="shared" si="74"/>
        <v>5242.6455999999998</v>
      </c>
      <c r="AC338" s="492">
        <f t="shared" si="79"/>
        <v>4250.7209999999995</v>
      </c>
      <c r="AD338" s="493">
        <f t="shared" si="80"/>
        <v>5015.8507799999988</v>
      </c>
      <c r="AE338" s="494" t="s">
        <v>1775</v>
      </c>
      <c r="AF338" s="494" t="s">
        <v>83</v>
      </c>
      <c r="AG338" s="494" t="s">
        <v>211</v>
      </c>
      <c r="AH338" s="494" t="s">
        <v>545</v>
      </c>
      <c r="AI338" s="495">
        <v>41730</v>
      </c>
      <c r="AJ338" s="495">
        <v>41765</v>
      </c>
      <c r="AK338" s="494" t="s">
        <v>96</v>
      </c>
      <c r="AL338" s="494" t="s">
        <v>96</v>
      </c>
      <c r="AM338" s="496" t="s">
        <v>2238</v>
      </c>
      <c r="AN338" s="496" t="s">
        <v>1757</v>
      </c>
      <c r="AO338" s="494">
        <v>796</v>
      </c>
      <c r="AP338" s="494" t="s">
        <v>368</v>
      </c>
      <c r="AQ338" s="494">
        <v>1</v>
      </c>
      <c r="AR338" s="494">
        <v>45</v>
      </c>
      <c r="AS338" s="496" t="s">
        <v>547</v>
      </c>
      <c r="AT338" s="495">
        <v>41785</v>
      </c>
      <c r="AU338" s="495">
        <v>41785</v>
      </c>
      <c r="AV338" s="495">
        <v>42369</v>
      </c>
      <c r="AW338" s="494" t="s">
        <v>99</v>
      </c>
      <c r="AX338" s="496"/>
      <c r="AY338" s="494" t="s">
        <v>186</v>
      </c>
      <c r="AZ338" s="494"/>
      <c r="BA338" s="494">
        <v>2014</v>
      </c>
      <c r="BB338" s="494" t="s">
        <v>1838</v>
      </c>
      <c r="BC338" s="496" t="s">
        <v>1839</v>
      </c>
      <c r="BD338" s="496" t="s">
        <v>1818</v>
      </c>
      <c r="BE338" s="497">
        <v>42369</v>
      </c>
      <c r="BF338" s="498">
        <v>2124</v>
      </c>
      <c r="BG338" s="488">
        <v>2124</v>
      </c>
      <c r="BH338" s="488">
        <v>0</v>
      </c>
      <c r="BI338" s="488">
        <v>0.6</v>
      </c>
      <c r="BJ338" s="494" t="s">
        <v>400</v>
      </c>
      <c r="BK338" s="401"/>
    </row>
    <row r="339" spans="1:63" ht="112.5">
      <c r="A339" s="401">
        <v>2</v>
      </c>
      <c r="B339" s="494" t="s">
        <v>1840</v>
      </c>
      <c r="C339" s="401" t="s">
        <v>83</v>
      </c>
      <c r="D339" s="401" t="s">
        <v>242</v>
      </c>
      <c r="E339" s="494" t="s">
        <v>5853</v>
      </c>
      <c r="F339" s="401" t="s">
        <v>1768</v>
      </c>
      <c r="G339" s="401" t="s">
        <v>1769</v>
      </c>
      <c r="H339" s="499">
        <v>854163</v>
      </c>
      <c r="I339" s="486" t="s">
        <v>1841</v>
      </c>
      <c r="J339" s="496" t="s">
        <v>2237</v>
      </c>
      <c r="K339" s="496" t="s">
        <v>2237</v>
      </c>
      <c r="L339" s="496" t="s">
        <v>1772</v>
      </c>
      <c r="M339" s="500" t="s">
        <v>1755</v>
      </c>
      <c r="N339" s="496" t="s">
        <v>1773</v>
      </c>
      <c r="O339" s="496" t="s">
        <v>2234</v>
      </c>
      <c r="P339" s="489">
        <v>2185.9322033898306</v>
      </c>
      <c r="Q339" s="489">
        <f t="shared" si="77"/>
        <v>2579.4</v>
      </c>
      <c r="R339" s="489">
        <v>1637.1153367576524</v>
      </c>
      <c r="S339" s="401" t="s">
        <v>1774</v>
      </c>
      <c r="T339" s="501">
        <v>1.087</v>
      </c>
      <c r="U339" s="501">
        <v>1.077</v>
      </c>
      <c r="V339" s="501">
        <v>1.073</v>
      </c>
      <c r="W339" s="501">
        <v>1.071</v>
      </c>
      <c r="X339" s="596">
        <v>0.9</v>
      </c>
      <c r="Y339" s="502">
        <v>2113.0677966101698</v>
      </c>
      <c r="Z339" s="489">
        <f t="shared" si="78"/>
        <v>2493.42</v>
      </c>
      <c r="AA339" s="489">
        <v>2032.625</v>
      </c>
      <c r="AB339" s="488">
        <f t="shared" si="74"/>
        <v>2398.4974999999999</v>
      </c>
      <c r="AC339" s="492">
        <f t="shared" si="79"/>
        <v>2032.625</v>
      </c>
      <c r="AD339" s="493">
        <f t="shared" si="80"/>
        <v>2398.4974999999999</v>
      </c>
      <c r="AE339" s="494" t="s">
        <v>1775</v>
      </c>
      <c r="AF339" s="494" t="s">
        <v>83</v>
      </c>
      <c r="AG339" s="494" t="s">
        <v>211</v>
      </c>
      <c r="AH339" s="494" t="s">
        <v>545</v>
      </c>
      <c r="AI339" s="495">
        <v>41730</v>
      </c>
      <c r="AJ339" s="495">
        <v>41765</v>
      </c>
      <c r="AK339" s="494" t="s">
        <v>96</v>
      </c>
      <c r="AL339" s="494" t="s">
        <v>96</v>
      </c>
      <c r="AM339" s="496" t="s">
        <v>2238</v>
      </c>
      <c r="AN339" s="496" t="s">
        <v>1757</v>
      </c>
      <c r="AO339" s="494">
        <v>796</v>
      </c>
      <c r="AP339" s="494" t="s">
        <v>368</v>
      </c>
      <c r="AQ339" s="494">
        <v>1</v>
      </c>
      <c r="AR339" s="494">
        <v>45</v>
      </c>
      <c r="AS339" s="496" t="s">
        <v>547</v>
      </c>
      <c r="AT339" s="495">
        <v>41785</v>
      </c>
      <c r="AU339" s="495">
        <v>41785</v>
      </c>
      <c r="AV339" s="495">
        <v>42369</v>
      </c>
      <c r="AW339" s="494" t="s">
        <v>99</v>
      </c>
      <c r="AX339" s="496"/>
      <c r="AY339" s="494" t="s">
        <v>186</v>
      </c>
      <c r="AZ339" s="494"/>
      <c r="BA339" s="494">
        <v>2014</v>
      </c>
      <c r="BB339" s="494" t="s">
        <v>1842</v>
      </c>
      <c r="BC339" s="496" t="s">
        <v>1843</v>
      </c>
      <c r="BD339" s="496" t="s">
        <v>1818</v>
      </c>
      <c r="BE339" s="497">
        <v>42369</v>
      </c>
      <c r="BF339" s="498">
        <v>2866</v>
      </c>
      <c r="BG339" s="488">
        <v>2866</v>
      </c>
      <c r="BH339" s="488">
        <v>0</v>
      </c>
      <c r="BI339" s="488">
        <v>0.4</v>
      </c>
      <c r="BJ339" s="494" t="s">
        <v>400</v>
      </c>
      <c r="BK339" s="401"/>
    </row>
    <row r="340" spans="1:63" ht="112.5">
      <c r="A340" s="401">
        <v>2</v>
      </c>
      <c r="B340" s="494" t="s">
        <v>1844</v>
      </c>
      <c r="C340" s="401" t="s">
        <v>83</v>
      </c>
      <c r="D340" s="401" t="s">
        <v>242</v>
      </c>
      <c r="E340" s="494" t="s">
        <v>5853</v>
      </c>
      <c r="F340" s="401" t="s">
        <v>1768</v>
      </c>
      <c r="G340" s="401" t="s">
        <v>1769</v>
      </c>
      <c r="H340" s="499">
        <v>854160</v>
      </c>
      <c r="I340" s="486" t="s">
        <v>1845</v>
      </c>
      <c r="J340" s="496" t="s">
        <v>5317</v>
      </c>
      <c r="K340" s="496" t="s">
        <v>5317</v>
      </c>
      <c r="L340" s="496" t="s">
        <v>1772</v>
      </c>
      <c r="M340" s="500" t="s">
        <v>1755</v>
      </c>
      <c r="N340" s="496" t="s">
        <v>1773</v>
      </c>
      <c r="O340" s="496" t="s">
        <v>2234</v>
      </c>
      <c r="P340" s="489">
        <v>19338.707577272726</v>
      </c>
      <c r="Q340" s="489">
        <f t="shared" si="77"/>
        <v>22819.674941181816</v>
      </c>
      <c r="R340" s="489">
        <v>11176.416850313246</v>
      </c>
      <c r="S340" s="401" t="s">
        <v>1774</v>
      </c>
      <c r="T340" s="501">
        <v>1.087</v>
      </c>
      <c r="U340" s="501">
        <v>1.077</v>
      </c>
      <c r="V340" s="501">
        <v>1.073</v>
      </c>
      <c r="W340" s="501">
        <v>1.071</v>
      </c>
      <c r="X340" s="596">
        <v>0.9</v>
      </c>
      <c r="Y340" s="502">
        <v>14425.695</v>
      </c>
      <c r="Z340" s="489">
        <f t="shared" si="78"/>
        <v>17022.320099999997</v>
      </c>
      <c r="AA340" s="489">
        <v>15162.834000000001</v>
      </c>
      <c r="AB340" s="488">
        <f t="shared" si="74"/>
        <v>17892.144120000001</v>
      </c>
      <c r="AC340" s="492">
        <f t="shared" si="79"/>
        <v>14425.695</v>
      </c>
      <c r="AD340" s="493">
        <f t="shared" si="80"/>
        <v>17022.320099999997</v>
      </c>
      <c r="AE340" s="494" t="s">
        <v>1775</v>
      </c>
      <c r="AF340" s="494" t="s">
        <v>83</v>
      </c>
      <c r="AG340" s="494" t="s">
        <v>211</v>
      </c>
      <c r="AH340" s="494" t="s">
        <v>545</v>
      </c>
      <c r="AI340" s="495">
        <v>41730</v>
      </c>
      <c r="AJ340" s="495">
        <v>41765</v>
      </c>
      <c r="AK340" s="494" t="s">
        <v>96</v>
      </c>
      <c r="AL340" s="494" t="s">
        <v>96</v>
      </c>
      <c r="AM340" s="496" t="s">
        <v>1846</v>
      </c>
      <c r="AN340" s="496" t="s">
        <v>1757</v>
      </c>
      <c r="AO340" s="494">
        <v>796</v>
      </c>
      <c r="AP340" s="494" t="s">
        <v>368</v>
      </c>
      <c r="AQ340" s="494">
        <v>1</v>
      </c>
      <c r="AR340" s="494">
        <v>45</v>
      </c>
      <c r="AS340" s="496" t="s">
        <v>547</v>
      </c>
      <c r="AT340" s="495">
        <v>41785</v>
      </c>
      <c r="AU340" s="495">
        <v>41785</v>
      </c>
      <c r="AV340" s="495">
        <v>42369</v>
      </c>
      <c r="AW340" s="494" t="s">
        <v>99</v>
      </c>
      <c r="AX340" s="496"/>
      <c r="AY340" s="494" t="s">
        <v>186</v>
      </c>
      <c r="AZ340" s="494"/>
      <c r="BA340" s="494">
        <v>2014</v>
      </c>
      <c r="BB340" s="494" t="s">
        <v>1847</v>
      </c>
      <c r="BC340" s="496" t="s">
        <v>1848</v>
      </c>
      <c r="BD340" s="496" t="s">
        <v>1818</v>
      </c>
      <c r="BE340" s="497">
        <v>42369</v>
      </c>
      <c r="BF340" s="498">
        <v>10563.714000000002</v>
      </c>
      <c r="BG340" s="488">
        <v>10563.714000000002</v>
      </c>
      <c r="BH340" s="488">
        <v>0</v>
      </c>
      <c r="BI340" s="488">
        <v>1.25</v>
      </c>
      <c r="BJ340" s="494" t="s">
        <v>400</v>
      </c>
      <c r="BK340" s="401"/>
    </row>
    <row r="341" spans="1:63" ht="112.5">
      <c r="A341" s="401">
        <v>2</v>
      </c>
      <c r="B341" s="494" t="s">
        <v>1849</v>
      </c>
      <c r="C341" s="401" t="s">
        <v>83</v>
      </c>
      <c r="D341" s="401" t="s">
        <v>242</v>
      </c>
      <c r="E341" s="494" t="s">
        <v>5853</v>
      </c>
      <c r="F341" s="401" t="s">
        <v>1768</v>
      </c>
      <c r="G341" s="401" t="s">
        <v>1769</v>
      </c>
      <c r="H341" s="499">
        <v>854161</v>
      </c>
      <c r="I341" s="486" t="s">
        <v>1850</v>
      </c>
      <c r="J341" s="496" t="s">
        <v>2237</v>
      </c>
      <c r="K341" s="496" t="s">
        <v>2237</v>
      </c>
      <c r="L341" s="496" t="s">
        <v>1772</v>
      </c>
      <c r="M341" s="500" t="s">
        <v>1755</v>
      </c>
      <c r="N341" s="496" t="s">
        <v>1773</v>
      </c>
      <c r="O341" s="496" t="s">
        <v>2234</v>
      </c>
      <c r="P341" s="489">
        <v>32148.121817272724</v>
      </c>
      <c r="Q341" s="489">
        <f t="shared" si="77"/>
        <v>37934.783744381813</v>
      </c>
      <c r="R341" s="489">
        <v>20683.590558094609</v>
      </c>
      <c r="S341" s="401" t="s">
        <v>1774</v>
      </c>
      <c r="T341" s="501">
        <v>1.087</v>
      </c>
      <c r="U341" s="501">
        <v>1.077</v>
      </c>
      <c r="V341" s="501">
        <v>1.073</v>
      </c>
      <c r="W341" s="501">
        <v>1.071</v>
      </c>
      <c r="X341" s="596">
        <v>0.9</v>
      </c>
      <c r="Y341" s="502">
        <v>26696.853999999999</v>
      </c>
      <c r="Z341" s="489">
        <f t="shared" si="78"/>
        <v>31502.287719999997</v>
      </c>
      <c r="AA341" s="489">
        <v>27644.116000000002</v>
      </c>
      <c r="AB341" s="488">
        <f t="shared" si="74"/>
        <v>32620.05688</v>
      </c>
      <c r="AC341" s="492">
        <f t="shared" si="79"/>
        <v>26696.853999999999</v>
      </c>
      <c r="AD341" s="493">
        <f t="shared" si="80"/>
        <v>31502.287719999997</v>
      </c>
      <c r="AE341" s="494" t="s">
        <v>1775</v>
      </c>
      <c r="AF341" s="494" t="s">
        <v>83</v>
      </c>
      <c r="AG341" s="494" t="s">
        <v>211</v>
      </c>
      <c r="AH341" s="494" t="s">
        <v>545</v>
      </c>
      <c r="AI341" s="495">
        <v>41730</v>
      </c>
      <c r="AJ341" s="495">
        <v>41765</v>
      </c>
      <c r="AK341" s="494" t="s">
        <v>96</v>
      </c>
      <c r="AL341" s="494" t="s">
        <v>96</v>
      </c>
      <c r="AM341" s="496" t="s">
        <v>2238</v>
      </c>
      <c r="AN341" s="496" t="s">
        <v>1757</v>
      </c>
      <c r="AO341" s="494">
        <v>796</v>
      </c>
      <c r="AP341" s="494" t="s">
        <v>368</v>
      </c>
      <c r="AQ341" s="494">
        <v>1</v>
      </c>
      <c r="AR341" s="494">
        <v>45</v>
      </c>
      <c r="AS341" s="496" t="s">
        <v>547</v>
      </c>
      <c r="AT341" s="495">
        <v>41785</v>
      </c>
      <c r="AU341" s="495">
        <v>41785</v>
      </c>
      <c r="AV341" s="495">
        <v>42369</v>
      </c>
      <c r="AW341" s="494" t="s">
        <v>99</v>
      </c>
      <c r="AX341" s="496"/>
      <c r="AY341" s="494" t="s">
        <v>186</v>
      </c>
      <c r="AZ341" s="494"/>
      <c r="BA341" s="494">
        <v>2014</v>
      </c>
      <c r="BB341" s="494" t="s">
        <v>1851</v>
      </c>
      <c r="BC341" s="496" t="s">
        <v>1852</v>
      </c>
      <c r="BD341" s="496" t="s">
        <v>1818</v>
      </c>
      <c r="BE341" s="497">
        <v>42369</v>
      </c>
      <c r="BF341" s="498">
        <v>12045.611140592</v>
      </c>
      <c r="BG341" s="488">
        <v>12045.611140592</v>
      </c>
      <c r="BH341" s="488">
        <v>1.26</v>
      </c>
      <c r="BI341" s="488">
        <v>0</v>
      </c>
      <c r="BJ341" s="494" t="s">
        <v>400</v>
      </c>
      <c r="BK341" s="401"/>
    </row>
    <row r="342" spans="1:63" ht="112.5">
      <c r="A342" s="401">
        <v>2</v>
      </c>
      <c r="B342" s="494" t="s">
        <v>1853</v>
      </c>
      <c r="C342" s="401" t="s">
        <v>83</v>
      </c>
      <c r="D342" s="401" t="s">
        <v>242</v>
      </c>
      <c r="E342" s="494" t="s">
        <v>5853</v>
      </c>
      <c r="F342" s="401" t="s">
        <v>1768</v>
      </c>
      <c r="G342" s="401" t="s">
        <v>1769</v>
      </c>
      <c r="H342" s="499">
        <v>854162</v>
      </c>
      <c r="I342" s="486" t="s">
        <v>1854</v>
      </c>
      <c r="J342" s="496" t="s">
        <v>5317</v>
      </c>
      <c r="K342" s="496" t="s">
        <v>5317</v>
      </c>
      <c r="L342" s="496" t="s">
        <v>1772</v>
      </c>
      <c r="M342" s="500" t="s">
        <v>1755</v>
      </c>
      <c r="N342" s="496" t="s">
        <v>1773</v>
      </c>
      <c r="O342" s="496" t="s">
        <v>2234</v>
      </c>
      <c r="P342" s="489">
        <v>38888.330668181814</v>
      </c>
      <c r="Q342" s="489">
        <f t="shared" si="77"/>
        <v>45888.230188454538</v>
      </c>
      <c r="R342" s="489">
        <v>18702.300503058112</v>
      </c>
      <c r="S342" s="401" t="s">
        <v>1774</v>
      </c>
      <c r="T342" s="501">
        <v>1.087</v>
      </c>
      <c r="U342" s="501">
        <v>1.077</v>
      </c>
      <c r="V342" s="501">
        <v>1.073</v>
      </c>
      <c r="W342" s="501">
        <v>1.071</v>
      </c>
      <c r="X342" s="596">
        <v>0.9</v>
      </c>
      <c r="Y342" s="502">
        <v>24139.550847899998</v>
      </c>
      <c r="Z342" s="489">
        <f t="shared" si="78"/>
        <v>28484.670000521997</v>
      </c>
      <c r="AA342" s="489">
        <v>33680.292999999998</v>
      </c>
      <c r="AB342" s="488">
        <f t="shared" si="74"/>
        <v>39742.745739999998</v>
      </c>
      <c r="AC342" s="492">
        <f t="shared" si="79"/>
        <v>24139.550847899998</v>
      </c>
      <c r="AD342" s="493">
        <f t="shared" si="80"/>
        <v>28484.670000521997</v>
      </c>
      <c r="AE342" s="494" t="s">
        <v>1775</v>
      </c>
      <c r="AF342" s="494" t="s">
        <v>83</v>
      </c>
      <c r="AG342" s="494" t="s">
        <v>211</v>
      </c>
      <c r="AH342" s="494" t="s">
        <v>545</v>
      </c>
      <c r="AI342" s="495">
        <v>41730</v>
      </c>
      <c r="AJ342" s="495">
        <v>41765</v>
      </c>
      <c r="AK342" s="494" t="s">
        <v>96</v>
      </c>
      <c r="AL342" s="494" t="s">
        <v>96</v>
      </c>
      <c r="AM342" s="496" t="s">
        <v>1846</v>
      </c>
      <c r="AN342" s="496" t="s">
        <v>1757</v>
      </c>
      <c r="AO342" s="494">
        <v>796</v>
      </c>
      <c r="AP342" s="494" t="s">
        <v>368</v>
      </c>
      <c r="AQ342" s="494">
        <v>1</v>
      </c>
      <c r="AR342" s="494">
        <v>45</v>
      </c>
      <c r="AS342" s="496" t="s">
        <v>547</v>
      </c>
      <c r="AT342" s="495">
        <v>41785</v>
      </c>
      <c r="AU342" s="495">
        <v>41785</v>
      </c>
      <c r="AV342" s="495">
        <v>42369</v>
      </c>
      <c r="AW342" s="494" t="s">
        <v>99</v>
      </c>
      <c r="AX342" s="496"/>
      <c r="AY342" s="494" t="s">
        <v>186</v>
      </c>
      <c r="AZ342" s="494"/>
      <c r="BA342" s="494">
        <v>2014</v>
      </c>
      <c r="BB342" s="494" t="s">
        <v>1855</v>
      </c>
      <c r="BC342" s="496" t="s">
        <v>1856</v>
      </c>
      <c r="BD342" s="496" t="s">
        <v>1818</v>
      </c>
      <c r="BE342" s="497">
        <v>42369</v>
      </c>
      <c r="BF342" s="498">
        <v>30776.540000563993</v>
      </c>
      <c r="BG342" s="488">
        <v>30776.540000563993</v>
      </c>
      <c r="BH342" s="488">
        <v>0</v>
      </c>
      <c r="BI342" s="488">
        <v>1.1200000000000001</v>
      </c>
      <c r="BJ342" s="494" t="s">
        <v>400</v>
      </c>
      <c r="BK342" s="401"/>
    </row>
    <row r="343" spans="1:63" ht="112.5">
      <c r="A343" s="401">
        <v>2</v>
      </c>
      <c r="B343" s="494" t="s">
        <v>1857</v>
      </c>
      <c r="C343" s="401" t="s">
        <v>83</v>
      </c>
      <c r="D343" s="401" t="s">
        <v>242</v>
      </c>
      <c r="E343" s="494" t="s">
        <v>5853</v>
      </c>
      <c r="F343" s="401" t="s">
        <v>1768</v>
      </c>
      <c r="G343" s="401" t="s">
        <v>1769</v>
      </c>
      <c r="H343" s="499">
        <v>854172</v>
      </c>
      <c r="I343" s="486" t="s">
        <v>1858</v>
      </c>
      <c r="J343" s="496" t="s">
        <v>5594</v>
      </c>
      <c r="K343" s="496" t="s">
        <v>5594</v>
      </c>
      <c r="L343" s="496" t="s">
        <v>1772</v>
      </c>
      <c r="M343" s="500" t="s">
        <v>1755</v>
      </c>
      <c r="N343" s="496" t="s">
        <v>1773</v>
      </c>
      <c r="O343" s="496" t="s">
        <v>2234</v>
      </c>
      <c r="P343" s="489">
        <v>12257.711055</v>
      </c>
      <c r="Q343" s="489">
        <f t="shared" si="77"/>
        <v>14464.099044899998</v>
      </c>
      <c r="R343" s="489">
        <v>9786.0892733920591</v>
      </c>
      <c r="S343" s="401" t="s">
        <v>1774</v>
      </c>
      <c r="T343" s="501">
        <v>1.087</v>
      </c>
      <c r="U343" s="501">
        <v>1.077</v>
      </c>
      <c r="V343" s="501">
        <v>1.073</v>
      </c>
      <c r="W343" s="501">
        <v>1.071</v>
      </c>
      <c r="X343" s="596">
        <v>0.9</v>
      </c>
      <c r="Y343" s="502">
        <v>11849.120686499999</v>
      </c>
      <c r="Z343" s="489">
        <f t="shared" si="78"/>
        <v>13981.962410069998</v>
      </c>
      <c r="AA343" s="489">
        <v>22533.288</v>
      </c>
      <c r="AB343" s="488">
        <f t="shared" si="74"/>
        <v>26589.279839999999</v>
      </c>
      <c r="AC343" s="492">
        <f t="shared" si="79"/>
        <v>11849.120686499999</v>
      </c>
      <c r="AD343" s="493">
        <f t="shared" si="80"/>
        <v>13981.962410069998</v>
      </c>
      <c r="AE343" s="494" t="s">
        <v>218</v>
      </c>
      <c r="AF343" s="494" t="s">
        <v>83</v>
      </c>
      <c r="AG343" s="494" t="s">
        <v>211</v>
      </c>
      <c r="AH343" s="494" t="s">
        <v>545</v>
      </c>
      <c r="AI343" s="495">
        <v>41730</v>
      </c>
      <c r="AJ343" s="495">
        <v>41790</v>
      </c>
      <c r="AK343" s="494" t="s">
        <v>96</v>
      </c>
      <c r="AL343" s="494" t="s">
        <v>96</v>
      </c>
      <c r="AM343" s="496" t="s">
        <v>5595</v>
      </c>
      <c r="AN343" s="496" t="s">
        <v>1757</v>
      </c>
      <c r="AO343" s="494">
        <v>796</v>
      </c>
      <c r="AP343" s="494" t="s">
        <v>368</v>
      </c>
      <c r="AQ343" s="494">
        <v>1</v>
      </c>
      <c r="AR343" s="494">
        <v>45</v>
      </c>
      <c r="AS343" s="496" t="s">
        <v>547</v>
      </c>
      <c r="AT343" s="495">
        <v>41810</v>
      </c>
      <c r="AU343" s="495">
        <v>41810</v>
      </c>
      <c r="AV343" s="495">
        <v>42004</v>
      </c>
      <c r="AW343" s="494">
        <v>2014</v>
      </c>
      <c r="AX343" s="496"/>
      <c r="AY343" s="494" t="s">
        <v>186</v>
      </c>
      <c r="AZ343" s="494"/>
      <c r="BA343" s="494">
        <v>2014</v>
      </c>
      <c r="BB343" s="494" t="s">
        <v>1859</v>
      </c>
      <c r="BC343" s="496" t="s">
        <v>1860</v>
      </c>
      <c r="BD343" s="496" t="s">
        <v>1818</v>
      </c>
      <c r="BE343" s="497">
        <v>42004</v>
      </c>
      <c r="BF343" s="498">
        <v>16071.221157600001</v>
      </c>
      <c r="BG343" s="488">
        <v>16071.221157600001</v>
      </c>
      <c r="BH343" s="488">
        <v>0</v>
      </c>
      <c r="BI343" s="488">
        <v>0</v>
      </c>
      <c r="BJ343" s="494" t="s">
        <v>400</v>
      </c>
      <c r="BK343" s="401"/>
    </row>
    <row r="344" spans="1:63" ht="112.5">
      <c r="A344" s="401">
        <v>2</v>
      </c>
      <c r="B344" s="494" t="s">
        <v>1861</v>
      </c>
      <c r="C344" s="401" t="s">
        <v>83</v>
      </c>
      <c r="D344" s="401" t="s">
        <v>242</v>
      </c>
      <c r="E344" s="494" t="s">
        <v>5853</v>
      </c>
      <c r="F344" s="401" t="s">
        <v>1768</v>
      </c>
      <c r="G344" s="401" t="s">
        <v>1769</v>
      </c>
      <c r="H344" s="499">
        <v>854174</v>
      </c>
      <c r="I344" s="486" t="s">
        <v>1862</v>
      </c>
      <c r="J344" s="496" t="s">
        <v>5594</v>
      </c>
      <c r="K344" s="496" t="s">
        <v>5594</v>
      </c>
      <c r="L344" s="496" t="s">
        <v>1772</v>
      </c>
      <c r="M344" s="500" t="s">
        <v>1755</v>
      </c>
      <c r="N344" s="496" t="s">
        <v>1773</v>
      </c>
      <c r="O344" s="496" t="s">
        <v>2234</v>
      </c>
      <c r="P344" s="489">
        <v>9774.0272069999992</v>
      </c>
      <c r="Q344" s="489">
        <f t="shared" si="77"/>
        <v>11533.352104259999</v>
      </c>
      <c r="R344" s="489">
        <v>7320.0851415484949</v>
      </c>
      <c r="S344" s="401" t="s">
        <v>1774</v>
      </c>
      <c r="T344" s="501">
        <v>1.087</v>
      </c>
      <c r="U344" s="501">
        <v>1.077</v>
      </c>
      <c r="V344" s="501">
        <v>1.073</v>
      </c>
      <c r="W344" s="501">
        <v>1.071</v>
      </c>
      <c r="X344" s="596">
        <v>0.9</v>
      </c>
      <c r="Y344" s="502">
        <v>9448.2263000999992</v>
      </c>
      <c r="Z344" s="489">
        <f t="shared" si="78"/>
        <v>11148.907034117998</v>
      </c>
      <c r="AA344" s="489">
        <v>9007.3649999999998</v>
      </c>
      <c r="AB344" s="488">
        <f t="shared" si="74"/>
        <v>10628.690699999999</v>
      </c>
      <c r="AC344" s="492">
        <f t="shared" si="79"/>
        <v>9007.3649999999998</v>
      </c>
      <c r="AD344" s="493">
        <f t="shared" si="80"/>
        <v>10628.690699999999</v>
      </c>
      <c r="AE344" s="494" t="s">
        <v>218</v>
      </c>
      <c r="AF344" s="494" t="s">
        <v>83</v>
      </c>
      <c r="AG344" s="494" t="s">
        <v>211</v>
      </c>
      <c r="AH344" s="494" t="s">
        <v>545</v>
      </c>
      <c r="AI344" s="495">
        <v>41913</v>
      </c>
      <c r="AJ344" s="495">
        <v>41973</v>
      </c>
      <c r="AK344" s="494" t="s">
        <v>96</v>
      </c>
      <c r="AL344" s="494" t="s">
        <v>96</v>
      </c>
      <c r="AM344" s="496" t="s">
        <v>5595</v>
      </c>
      <c r="AN344" s="496" t="s">
        <v>1757</v>
      </c>
      <c r="AO344" s="494">
        <v>796</v>
      </c>
      <c r="AP344" s="494" t="s">
        <v>368</v>
      </c>
      <c r="AQ344" s="494">
        <v>1</v>
      </c>
      <c r="AR344" s="494">
        <v>45</v>
      </c>
      <c r="AS344" s="496" t="s">
        <v>547</v>
      </c>
      <c r="AT344" s="495">
        <v>41993</v>
      </c>
      <c r="AU344" s="495">
        <v>41993</v>
      </c>
      <c r="AV344" s="495">
        <v>42369</v>
      </c>
      <c r="AW344" s="494" t="s">
        <v>99</v>
      </c>
      <c r="AX344" s="496"/>
      <c r="AY344" s="494" t="s">
        <v>186</v>
      </c>
      <c r="AZ344" s="494"/>
      <c r="BA344" s="494">
        <v>2014</v>
      </c>
      <c r="BB344" s="494" t="s">
        <v>1863</v>
      </c>
      <c r="BC344" s="496" t="s">
        <v>1864</v>
      </c>
      <c r="BD344" s="496" t="s">
        <v>1818</v>
      </c>
      <c r="BE344" s="497">
        <v>42369</v>
      </c>
      <c r="BF344" s="498">
        <v>12814.835668</v>
      </c>
      <c r="BG344" s="488">
        <v>12814.835668</v>
      </c>
      <c r="BH344" s="488">
        <v>0</v>
      </c>
      <c r="BI344" s="488">
        <v>0</v>
      </c>
      <c r="BJ344" s="494" t="s">
        <v>400</v>
      </c>
      <c r="BK344" s="401"/>
    </row>
    <row r="345" spans="1:63" ht="112.5">
      <c r="A345" s="401">
        <v>2</v>
      </c>
      <c r="B345" s="494" t="s">
        <v>1865</v>
      </c>
      <c r="C345" s="401" t="s">
        <v>83</v>
      </c>
      <c r="D345" s="401" t="s">
        <v>242</v>
      </c>
      <c r="E345" s="494" t="s">
        <v>5853</v>
      </c>
      <c r="F345" s="401" t="s">
        <v>1768</v>
      </c>
      <c r="G345" s="401" t="s">
        <v>1769</v>
      </c>
      <c r="H345" s="499">
        <v>854167</v>
      </c>
      <c r="I345" s="486" t="s">
        <v>1866</v>
      </c>
      <c r="J345" s="496" t="s">
        <v>5317</v>
      </c>
      <c r="K345" s="496" t="s">
        <v>5317</v>
      </c>
      <c r="L345" s="496" t="s">
        <v>1772</v>
      </c>
      <c r="M345" s="500" t="s">
        <v>1755</v>
      </c>
      <c r="N345" s="496" t="s">
        <v>1773</v>
      </c>
      <c r="O345" s="496" t="s">
        <v>2234</v>
      </c>
      <c r="P345" s="489">
        <v>945.00000000000011</v>
      </c>
      <c r="Q345" s="489">
        <f t="shared" si="77"/>
        <v>1115.1000000000001</v>
      </c>
      <c r="R345" s="489">
        <v>707.7410684726907</v>
      </c>
      <c r="S345" s="401" t="s">
        <v>1774</v>
      </c>
      <c r="T345" s="501">
        <v>1.087</v>
      </c>
      <c r="U345" s="501">
        <v>1.077</v>
      </c>
      <c r="V345" s="501">
        <v>1.073</v>
      </c>
      <c r="W345" s="501">
        <v>1.071</v>
      </c>
      <c r="X345" s="596">
        <v>0.9</v>
      </c>
      <c r="Y345" s="502">
        <v>913.50000000000011</v>
      </c>
      <c r="Z345" s="489">
        <f t="shared" si="78"/>
        <v>1077.93</v>
      </c>
      <c r="AA345" s="489">
        <v>905.01099999999997</v>
      </c>
      <c r="AB345" s="488">
        <f t="shared" si="74"/>
        <v>1067.9129799999998</v>
      </c>
      <c r="AC345" s="492">
        <f t="shared" si="79"/>
        <v>905.01099999999997</v>
      </c>
      <c r="AD345" s="493">
        <f t="shared" si="80"/>
        <v>1067.9129799999998</v>
      </c>
      <c r="AE345" s="494" t="s">
        <v>1775</v>
      </c>
      <c r="AF345" s="494" t="s">
        <v>83</v>
      </c>
      <c r="AG345" s="494" t="s">
        <v>211</v>
      </c>
      <c r="AH345" s="494" t="s">
        <v>545</v>
      </c>
      <c r="AI345" s="495">
        <v>41730</v>
      </c>
      <c r="AJ345" s="495">
        <v>41765</v>
      </c>
      <c r="AK345" s="494" t="s">
        <v>96</v>
      </c>
      <c r="AL345" s="494" t="s">
        <v>96</v>
      </c>
      <c r="AM345" s="496" t="s">
        <v>1846</v>
      </c>
      <c r="AN345" s="496" t="s">
        <v>1757</v>
      </c>
      <c r="AO345" s="494">
        <v>796</v>
      </c>
      <c r="AP345" s="494" t="s">
        <v>368</v>
      </c>
      <c r="AQ345" s="494">
        <v>1</v>
      </c>
      <c r="AR345" s="494">
        <v>45</v>
      </c>
      <c r="AS345" s="496" t="s">
        <v>547</v>
      </c>
      <c r="AT345" s="495">
        <v>41785</v>
      </c>
      <c r="AU345" s="495">
        <v>41785</v>
      </c>
      <c r="AV345" s="495">
        <v>42369</v>
      </c>
      <c r="AW345" s="494" t="s">
        <v>99</v>
      </c>
      <c r="AX345" s="496"/>
      <c r="AY345" s="494" t="s">
        <v>186</v>
      </c>
      <c r="AZ345" s="494"/>
      <c r="BA345" s="494">
        <v>2014</v>
      </c>
      <c r="BB345" s="494" t="s">
        <v>1867</v>
      </c>
      <c r="BC345" s="496" t="s">
        <v>1868</v>
      </c>
      <c r="BD345" s="496" t="s">
        <v>1818</v>
      </c>
      <c r="BE345" s="497">
        <v>42369</v>
      </c>
      <c r="BF345" s="498">
        <v>1239</v>
      </c>
      <c r="BG345" s="488">
        <v>1239</v>
      </c>
      <c r="BH345" s="488">
        <v>0</v>
      </c>
      <c r="BI345" s="488">
        <v>0.3</v>
      </c>
      <c r="BJ345" s="494" t="s">
        <v>400</v>
      </c>
      <c r="BK345" s="401"/>
    </row>
    <row r="346" spans="1:63" ht="112.5">
      <c r="A346" s="401">
        <v>2</v>
      </c>
      <c r="B346" s="494" t="s">
        <v>1869</v>
      </c>
      <c r="C346" s="401" t="s">
        <v>83</v>
      </c>
      <c r="D346" s="401" t="s">
        <v>242</v>
      </c>
      <c r="E346" s="494" t="s">
        <v>5853</v>
      </c>
      <c r="F346" s="401" t="s">
        <v>1768</v>
      </c>
      <c r="G346" s="401" t="s">
        <v>1769</v>
      </c>
      <c r="H346" s="499">
        <v>854168</v>
      </c>
      <c r="I346" s="486" t="s">
        <v>1870</v>
      </c>
      <c r="J346" s="496" t="s">
        <v>5317</v>
      </c>
      <c r="K346" s="496" t="s">
        <v>5317</v>
      </c>
      <c r="L346" s="496" t="s">
        <v>1772</v>
      </c>
      <c r="M346" s="500" t="s">
        <v>1755</v>
      </c>
      <c r="N346" s="496" t="s">
        <v>1773</v>
      </c>
      <c r="O346" s="496" t="s">
        <v>2234</v>
      </c>
      <c r="P346" s="489">
        <v>4006.5000000000005</v>
      </c>
      <c r="Q346" s="489">
        <f t="shared" si="77"/>
        <v>4727.67</v>
      </c>
      <c r="R346" s="489">
        <v>950.50939198113258</v>
      </c>
      <c r="S346" s="401" t="s">
        <v>1774</v>
      </c>
      <c r="T346" s="501">
        <v>1.087</v>
      </c>
      <c r="U346" s="501">
        <v>1.077</v>
      </c>
      <c r="V346" s="501">
        <v>1.073</v>
      </c>
      <c r="W346" s="501">
        <v>1.071</v>
      </c>
      <c r="X346" s="596">
        <v>0.9</v>
      </c>
      <c r="Y346" s="502">
        <v>1226.8474563</v>
      </c>
      <c r="Z346" s="489">
        <f t="shared" si="78"/>
        <v>1447.6799984339998</v>
      </c>
      <c r="AA346" s="489">
        <v>3355.0909999999999</v>
      </c>
      <c r="AB346" s="488">
        <f t="shared" si="74"/>
        <v>3959.0073799999996</v>
      </c>
      <c r="AC346" s="492">
        <f t="shared" si="79"/>
        <v>1226.8474563</v>
      </c>
      <c r="AD346" s="493">
        <f t="shared" si="80"/>
        <v>1447.6799984339998</v>
      </c>
      <c r="AE346" s="494" t="s">
        <v>1775</v>
      </c>
      <c r="AF346" s="494" t="s">
        <v>83</v>
      </c>
      <c r="AG346" s="494" t="s">
        <v>211</v>
      </c>
      <c r="AH346" s="494" t="s">
        <v>545</v>
      </c>
      <c r="AI346" s="495">
        <v>41730</v>
      </c>
      <c r="AJ346" s="495">
        <v>41765</v>
      </c>
      <c r="AK346" s="494" t="s">
        <v>96</v>
      </c>
      <c r="AL346" s="494" t="s">
        <v>96</v>
      </c>
      <c r="AM346" s="496" t="s">
        <v>1846</v>
      </c>
      <c r="AN346" s="496" t="s">
        <v>1757</v>
      </c>
      <c r="AO346" s="494">
        <v>796</v>
      </c>
      <c r="AP346" s="494" t="s">
        <v>368</v>
      </c>
      <c r="AQ346" s="494">
        <v>1</v>
      </c>
      <c r="AR346" s="494">
        <v>45</v>
      </c>
      <c r="AS346" s="496" t="s">
        <v>547</v>
      </c>
      <c r="AT346" s="495">
        <v>41785</v>
      </c>
      <c r="AU346" s="495">
        <v>41785</v>
      </c>
      <c r="AV346" s="495">
        <v>42369</v>
      </c>
      <c r="AW346" s="494" t="s">
        <v>99</v>
      </c>
      <c r="AX346" s="496"/>
      <c r="AY346" s="494" t="s">
        <v>186</v>
      </c>
      <c r="AZ346" s="494"/>
      <c r="BA346" s="494">
        <v>2014</v>
      </c>
      <c r="BB346" s="494" t="s">
        <v>1871</v>
      </c>
      <c r="BC346" s="496" t="s">
        <v>1872</v>
      </c>
      <c r="BD346" s="496" t="s">
        <v>1818</v>
      </c>
      <c r="BE346" s="497">
        <v>42369</v>
      </c>
      <c r="BF346" s="498">
        <v>1564.1599983079998</v>
      </c>
      <c r="BG346" s="488">
        <v>1564.1599983079998</v>
      </c>
      <c r="BH346" s="488">
        <v>0</v>
      </c>
      <c r="BI346" s="488">
        <v>0.12</v>
      </c>
      <c r="BJ346" s="494" t="s">
        <v>400</v>
      </c>
      <c r="BK346" s="401"/>
    </row>
    <row r="347" spans="1:63" ht="112.5">
      <c r="A347" s="401">
        <v>2</v>
      </c>
      <c r="B347" s="494" t="s">
        <v>1873</v>
      </c>
      <c r="C347" s="401" t="s">
        <v>83</v>
      </c>
      <c r="D347" s="401" t="s">
        <v>242</v>
      </c>
      <c r="E347" s="494" t="s">
        <v>5853</v>
      </c>
      <c r="F347" s="401" t="s">
        <v>1768</v>
      </c>
      <c r="G347" s="401" t="s">
        <v>1769</v>
      </c>
      <c r="H347" s="499">
        <v>854170</v>
      </c>
      <c r="I347" s="486" t="s">
        <v>1874</v>
      </c>
      <c r="J347" s="496" t="s">
        <v>5317</v>
      </c>
      <c r="K347" s="496" t="s">
        <v>5317</v>
      </c>
      <c r="L347" s="496" t="s">
        <v>1772</v>
      </c>
      <c r="M347" s="500" t="s">
        <v>1755</v>
      </c>
      <c r="N347" s="496" t="s">
        <v>1773</v>
      </c>
      <c r="O347" s="496" t="s">
        <v>2234</v>
      </c>
      <c r="P347" s="489">
        <v>9323.67</v>
      </c>
      <c r="Q347" s="489">
        <f t="shared" si="77"/>
        <v>11001.9306</v>
      </c>
      <c r="R347" s="489">
        <v>2208.9061407479721</v>
      </c>
      <c r="S347" s="401" t="s">
        <v>1774</v>
      </c>
      <c r="T347" s="501">
        <v>1.087</v>
      </c>
      <c r="U347" s="501">
        <v>1.077</v>
      </c>
      <c r="V347" s="501">
        <v>1.073</v>
      </c>
      <c r="W347" s="501">
        <v>1.071</v>
      </c>
      <c r="X347" s="596">
        <v>0.9</v>
      </c>
      <c r="Y347" s="502">
        <v>2851.0932167999999</v>
      </c>
      <c r="Z347" s="489">
        <f t="shared" si="78"/>
        <v>3364.2899958239996</v>
      </c>
      <c r="AA347" s="489">
        <v>7807.7190000000001</v>
      </c>
      <c r="AB347" s="488">
        <f t="shared" si="74"/>
        <v>9213.1084200000005</v>
      </c>
      <c r="AC347" s="492">
        <f t="shared" si="79"/>
        <v>2851.0932167999999</v>
      </c>
      <c r="AD347" s="493">
        <f t="shared" si="80"/>
        <v>3364.2899958239996</v>
      </c>
      <c r="AE347" s="494" t="s">
        <v>1775</v>
      </c>
      <c r="AF347" s="494" t="s">
        <v>83</v>
      </c>
      <c r="AG347" s="494" t="s">
        <v>211</v>
      </c>
      <c r="AH347" s="494" t="s">
        <v>545</v>
      </c>
      <c r="AI347" s="495">
        <v>41730</v>
      </c>
      <c r="AJ347" s="495">
        <v>41765</v>
      </c>
      <c r="AK347" s="494" t="s">
        <v>96</v>
      </c>
      <c r="AL347" s="494" t="s">
        <v>96</v>
      </c>
      <c r="AM347" s="496" t="s">
        <v>1846</v>
      </c>
      <c r="AN347" s="496" t="s">
        <v>1757</v>
      </c>
      <c r="AO347" s="494">
        <v>796</v>
      </c>
      <c r="AP347" s="494" t="s">
        <v>368</v>
      </c>
      <c r="AQ347" s="494">
        <v>1</v>
      </c>
      <c r="AR347" s="494">
        <v>45</v>
      </c>
      <c r="AS347" s="496" t="s">
        <v>547</v>
      </c>
      <c r="AT347" s="495">
        <v>41785</v>
      </c>
      <c r="AU347" s="495">
        <v>41785</v>
      </c>
      <c r="AV347" s="495">
        <v>42369</v>
      </c>
      <c r="AW347" s="494" t="s">
        <v>99</v>
      </c>
      <c r="AX347" s="496"/>
      <c r="AY347" s="494" t="s">
        <v>186</v>
      </c>
      <c r="AZ347" s="494"/>
      <c r="BA347" s="494">
        <v>2014</v>
      </c>
      <c r="BB347" s="494" t="s">
        <v>1875</v>
      </c>
      <c r="BC347" s="496" t="s">
        <v>1876</v>
      </c>
      <c r="BD347" s="496" t="s">
        <v>1818</v>
      </c>
      <c r="BE347" s="497">
        <v>42369</v>
      </c>
      <c r="BF347" s="498">
        <v>3634.9799954879995</v>
      </c>
      <c r="BG347" s="488">
        <v>3634.9799954879995</v>
      </c>
      <c r="BH347" s="488">
        <v>0</v>
      </c>
      <c r="BI347" s="488">
        <v>0.34</v>
      </c>
      <c r="BJ347" s="494" t="s">
        <v>400</v>
      </c>
      <c r="BK347" s="401"/>
    </row>
    <row r="348" spans="1:63" ht="112.5">
      <c r="A348" s="401">
        <v>2</v>
      </c>
      <c r="B348" s="494" t="s">
        <v>1877</v>
      </c>
      <c r="C348" s="401" t="s">
        <v>83</v>
      </c>
      <c r="D348" s="401" t="s">
        <v>242</v>
      </c>
      <c r="E348" s="494" t="s">
        <v>5853</v>
      </c>
      <c r="F348" s="401" t="s">
        <v>1768</v>
      </c>
      <c r="G348" s="401" t="s">
        <v>1769</v>
      </c>
      <c r="H348" s="499">
        <v>854171</v>
      </c>
      <c r="I348" s="486" t="s">
        <v>1878</v>
      </c>
      <c r="J348" s="496" t="s">
        <v>5317</v>
      </c>
      <c r="K348" s="496" t="s">
        <v>5317</v>
      </c>
      <c r="L348" s="496" t="s">
        <v>1772</v>
      </c>
      <c r="M348" s="500" t="s">
        <v>1755</v>
      </c>
      <c r="N348" s="496" t="s">
        <v>1773</v>
      </c>
      <c r="O348" s="496" t="s">
        <v>2234</v>
      </c>
      <c r="P348" s="489">
        <v>5281.4025499999998</v>
      </c>
      <c r="Q348" s="489">
        <f t="shared" si="77"/>
        <v>6232.0550089999997</v>
      </c>
      <c r="R348" s="489">
        <v>1615.9802139754331</v>
      </c>
      <c r="S348" s="401" t="s">
        <v>1774</v>
      </c>
      <c r="T348" s="501">
        <v>1.087</v>
      </c>
      <c r="U348" s="501">
        <v>1.077</v>
      </c>
      <c r="V348" s="501">
        <v>1.073</v>
      </c>
      <c r="W348" s="501">
        <v>1.071</v>
      </c>
      <c r="X348" s="596">
        <v>0.9</v>
      </c>
      <c r="Y348" s="502">
        <v>2085.7881381000002</v>
      </c>
      <c r="Z348" s="489">
        <f t="shared" si="78"/>
        <v>2461.2300029580001</v>
      </c>
      <c r="AA348" s="489">
        <v>4490.0919999999996</v>
      </c>
      <c r="AB348" s="488">
        <f t="shared" si="74"/>
        <v>5298.3085599999995</v>
      </c>
      <c r="AC348" s="492">
        <f t="shared" si="79"/>
        <v>2085.7881381000002</v>
      </c>
      <c r="AD348" s="493">
        <f t="shared" si="80"/>
        <v>2461.2300029580001</v>
      </c>
      <c r="AE348" s="494" t="s">
        <v>1775</v>
      </c>
      <c r="AF348" s="494" t="s">
        <v>83</v>
      </c>
      <c r="AG348" s="494" t="s">
        <v>211</v>
      </c>
      <c r="AH348" s="494" t="s">
        <v>545</v>
      </c>
      <c r="AI348" s="495">
        <v>41730</v>
      </c>
      <c r="AJ348" s="495">
        <v>41765</v>
      </c>
      <c r="AK348" s="494" t="s">
        <v>96</v>
      </c>
      <c r="AL348" s="494" t="s">
        <v>96</v>
      </c>
      <c r="AM348" s="496" t="s">
        <v>1846</v>
      </c>
      <c r="AN348" s="496" t="s">
        <v>1757</v>
      </c>
      <c r="AO348" s="494">
        <v>796</v>
      </c>
      <c r="AP348" s="494" t="s">
        <v>368</v>
      </c>
      <c r="AQ348" s="494">
        <v>1</v>
      </c>
      <c r="AR348" s="494">
        <v>45</v>
      </c>
      <c r="AS348" s="496" t="s">
        <v>547</v>
      </c>
      <c r="AT348" s="495">
        <v>41785</v>
      </c>
      <c r="AU348" s="495">
        <v>41785</v>
      </c>
      <c r="AV348" s="495">
        <v>42369</v>
      </c>
      <c r="AW348" s="494" t="s">
        <v>99</v>
      </c>
      <c r="AX348" s="496"/>
      <c r="AY348" s="494" t="s">
        <v>186</v>
      </c>
      <c r="AZ348" s="494"/>
      <c r="BA348" s="494">
        <v>2014</v>
      </c>
      <c r="BB348" s="494" t="s">
        <v>1879</v>
      </c>
      <c r="BC348" s="496" t="s">
        <v>1880</v>
      </c>
      <c r="BD348" s="496" t="s">
        <v>1818</v>
      </c>
      <c r="BE348" s="497">
        <v>42369</v>
      </c>
      <c r="BF348" s="498">
        <v>2829</v>
      </c>
      <c r="BG348" s="488">
        <v>2829</v>
      </c>
      <c r="BH348" s="488">
        <v>0</v>
      </c>
      <c r="BI348" s="488">
        <v>0.4</v>
      </c>
      <c r="BJ348" s="494" t="s">
        <v>400</v>
      </c>
      <c r="BK348" s="401"/>
    </row>
    <row r="349" spans="1:63" ht="112.5">
      <c r="A349" s="401">
        <v>2</v>
      </c>
      <c r="B349" s="494" t="s">
        <v>1881</v>
      </c>
      <c r="C349" s="401" t="s">
        <v>83</v>
      </c>
      <c r="D349" s="401" t="s">
        <v>242</v>
      </c>
      <c r="E349" s="494" t="s">
        <v>5853</v>
      </c>
      <c r="F349" s="401" t="s">
        <v>1768</v>
      </c>
      <c r="G349" s="401" t="s">
        <v>1769</v>
      </c>
      <c r="H349" s="499">
        <v>854176</v>
      </c>
      <c r="I349" s="486" t="s">
        <v>1882</v>
      </c>
      <c r="J349" s="496" t="s">
        <v>2237</v>
      </c>
      <c r="K349" s="496" t="s">
        <v>2237</v>
      </c>
      <c r="L349" s="496" t="s">
        <v>1772</v>
      </c>
      <c r="M349" s="500" t="s">
        <v>1755</v>
      </c>
      <c r="N349" s="496" t="s">
        <v>1773</v>
      </c>
      <c r="O349" s="496" t="s">
        <v>2234</v>
      </c>
      <c r="P349" s="489">
        <v>15670.305899999999</v>
      </c>
      <c r="Q349" s="489">
        <f t="shared" si="77"/>
        <v>18490.960961999997</v>
      </c>
      <c r="R349" s="489">
        <v>8708.334308680769</v>
      </c>
      <c r="S349" s="401" t="s">
        <v>1774</v>
      </c>
      <c r="T349" s="501">
        <v>1.087</v>
      </c>
      <c r="U349" s="501">
        <v>1.077</v>
      </c>
      <c r="V349" s="501">
        <v>1.073</v>
      </c>
      <c r="W349" s="501">
        <v>1.071</v>
      </c>
      <c r="X349" s="596">
        <v>0.9</v>
      </c>
      <c r="Y349" s="502">
        <v>10544.1613416</v>
      </c>
      <c r="Z349" s="489">
        <f t="shared" si="78"/>
        <v>12442.110383088</v>
      </c>
      <c r="AA349" s="489">
        <v>13742.651</v>
      </c>
      <c r="AB349" s="488">
        <f t="shared" si="74"/>
        <v>16216.328179999999</v>
      </c>
      <c r="AC349" s="492">
        <f t="shared" si="79"/>
        <v>10544.1613416</v>
      </c>
      <c r="AD349" s="493">
        <f t="shared" si="80"/>
        <v>12442.110383088</v>
      </c>
      <c r="AE349" s="494" t="s">
        <v>1775</v>
      </c>
      <c r="AF349" s="494" t="s">
        <v>83</v>
      </c>
      <c r="AG349" s="494" t="s">
        <v>211</v>
      </c>
      <c r="AH349" s="494" t="s">
        <v>545</v>
      </c>
      <c r="AI349" s="495">
        <v>41730</v>
      </c>
      <c r="AJ349" s="495">
        <v>41765</v>
      </c>
      <c r="AK349" s="494" t="s">
        <v>96</v>
      </c>
      <c r="AL349" s="494" t="s">
        <v>96</v>
      </c>
      <c r="AM349" s="496" t="s">
        <v>2238</v>
      </c>
      <c r="AN349" s="496" t="s">
        <v>1757</v>
      </c>
      <c r="AO349" s="494">
        <v>796</v>
      </c>
      <c r="AP349" s="494" t="s">
        <v>368</v>
      </c>
      <c r="AQ349" s="494">
        <v>1</v>
      </c>
      <c r="AR349" s="494">
        <v>45</v>
      </c>
      <c r="AS349" s="496" t="s">
        <v>547</v>
      </c>
      <c r="AT349" s="495">
        <v>41785</v>
      </c>
      <c r="AU349" s="495">
        <v>41785</v>
      </c>
      <c r="AV349" s="495">
        <v>42004</v>
      </c>
      <c r="AW349" s="494">
        <v>2014</v>
      </c>
      <c r="AX349" s="496"/>
      <c r="AY349" s="494" t="s">
        <v>186</v>
      </c>
      <c r="AZ349" s="494"/>
      <c r="BA349" s="494">
        <v>2014</v>
      </c>
      <c r="BB349" s="494" t="s">
        <v>1883</v>
      </c>
      <c r="BC349" s="496" t="s">
        <v>1884</v>
      </c>
      <c r="BD349" s="496" t="s">
        <v>1818</v>
      </c>
      <c r="BE349" s="497">
        <v>42004</v>
      </c>
      <c r="BF349" s="498">
        <v>14301.276302399998</v>
      </c>
      <c r="BG349" s="488">
        <v>14301.276302399998</v>
      </c>
      <c r="BH349" s="488">
        <v>2.5</v>
      </c>
      <c r="BI349" s="488">
        <v>0</v>
      </c>
      <c r="BJ349" s="494" t="s">
        <v>400</v>
      </c>
      <c r="BK349" s="401"/>
    </row>
    <row r="350" spans="1:63" ht="131.25">
      <c r="A350" s="401">
        <v>2</v>
      </c>
      <c r="B350" s="494" t="s">
        <v>1885</v>
      </c>
      <c r="C350" s="401" t="s">
        <v>83</v>
      </c>
      <c r="D350" s="401" t="s">
        <v>242</v>
      </c>
      <c r="E350" s="494" t="s">
        <v>5853</v>
      </c>
      <c r="F350" s="401" t="s">
        <v>1768</v>
      </c>
      <c r="G350" s="401" t="s">
        <v>1769</v>
      </c>
      <c r="H350" s="499">
        <v>854177</v>
      </c>
      <c r="I350" s="486" t="s">
        <v>1886</v>
      </c>
      <c r="J350" s="496" t="s">
        <v>5317</v>
      </c>
      <c r="K350" s="496" t="s">
        <v>5317</v>
      </c>
      <c r="L350" s="496" t="s">
        <v>1772</v>
      </c>
      <c r="M350" s="500" t="s">
        <v>1755</v>
      </c>
      <c r="N350" s="496" t="s">
        <v>1773</v>
      </c>
      <c r="O350" s="496" t="s">
        <v>2234</v>
      </c>
      <c r="P350" s="489">
        <v>9773.7558840000002</v>
      </c>
      <c r="Q350" s="489">
        <f t="shared" si="77"/>
        <v>11533.031943119999</v>
      </c>
      <c r="R350" s="489">
        <v>7319.8819389771497</v>
      </c>
      <c r="S350" s="401" t="s">
        <v>1774</v>
      </c>
      <c r="T350" s="501">
        <v>1.087</v>
      </c>
      <c r="U350" s="501">
        <v>1.077</v>
      </c>
      <c r="V350" s="501">
        <v>1.073</v>
      </c>
      <c r="W350" s="501">
        <v>1.071</v>
      </c>
      <c r="X350" s="596">
        <v>0.9</v>
      </c>
      <c r="Y350" s="502">
        <v>9447.9640212000013</v>
      </c>
      <c r="Z350" s="489">
        <f t="shared" si="78"/>
        <v>11148.597545016</v>
      </c>
      <c r="AA350" s="489">
        <v>8339.2610000000004</v>
      </c>
      <c r="AB350" s="488">
        <f t="shared" si="74"/>
        <v>9840.32798</v>
      </c>
      <c r="AC350" s="492">
        <f t="shared" si="79"/>
        <v>8339.2610000000004</v>
      </c>
      <c r="AD350" s="493">
        <f t="shared" si="80"/>
        <v>9840.32798</v>
      </c>
      <c r="AE350" s="494" t="s">
        <v>1775</v>
      </c>
      <c r="AF350" s="494" t="s">
        <v>83</v>
      </c>
      <c r="AG350" s="494" t="s">
        <v>211</v>
      </c>
      <c r="AH350" s="494" t="s">
        <v>545</v>
      </c>
      <c r="AI350" s="495">
        <v>41730</v>
      </c>
      <c r="AJ350" s="495">
        <v>41765</v>
      </c>
      <c r="AK350" s="494" t="s">
        <v>96</v>
      </c>
      <c r="AL350" s="494" t="s">
        <v>96</v>
      </c>
      <c r="AM350" s="496" t="s">
        <v>1846</v>
      </c>
      <c r="AN350" s="496" t="s">
        <v>1757</v>
      </c>
      <c r="AO350" s="494">
        <v>796</v>
      </c>
      <c r="AP350" s="494" t="s">
        <v>368</v>
      </c>
      <c r="AQ350" s="494">
        <v>1</v>
      </c>
      <c r="AR350" s="494">
        <v>45</v>
      </c>
      <c r="AS350" s="496" t="s">
        <v>547</v>
      </c>
      <c r="AT350" s="495">
        <v>41785</v>
      </c>
      <c r="AU350" s="495">
        <v>41785</v>
      </c>
      <c r="AV350" s="495">
        <v>42369</v>
      </c>
      <c r="AW350" s="494" t="s">
        <v>99</v>
      </c>
      <c r="AX350" s="496"/>
      <c r="AY350" s="494" t="s">
        <v>186</v>
      </c>
      <c r="AZ350" s="494"/>
      <c r="BA350" s="494">
        <v>2014</v>
      </c>
      <c r="BB350" s="494" t="s">
        <v>1887</v>
      </c>
      <c r="BC350" s="496" t="s">
        <v>1888</v>
      </c>
      <c r="BD350" s="496" t="s">
        <v>1818</v>
      </c>
      <c r="BE350" s="497">
        <v>42369</v>
      </c>
      <c r="BF350" s="498">
        <v>12045.611140592</v>
      </c>
      <c r="BG350" s="488">
        <v>12045.611140592</v>
      </c>
      <c r="BH350" s="488">
        <v>2</v>
      </c>
      <c r="BI350" s="488">
        <v>0</v>
      </c>
      <c r="BJ350" s="494" t="s">
        <v>400</v>
      </c>
      <c r="BK350" s="401"/>
    </row>
    <row r="351" spans="1:63" ht="112.5">
      <c r="A351" s="401">
        <v>2</v>
      </c>
      <c r="B351" s="494" t="s">
        <v>1889</v>
      </c>
      <c r="C351" s="401" t="s">
        <v>83</v>
      </c>
      <c r="D351" s="401" t="s">
        <v>242</v>
      </c>
      <c r="E351" s="494" t="s">
        <v>5853</v>
      </c>
      <c r="F351" s="401" t="s">
        <v>1768</v>
      </c>
      <c r="G351" s="401" t="s">
        <v>1769</v>
      </c>
      <c r="H351" s="499">
        <v>854178</v>
      </c>
      <c r="I351" s="486" t="s">
        <v>1890</v>
      </c>
      <c r="J351" s="496" t="s">
        <v>2237</v>
      </c>
      <c r="K351" s="496" t="s">
        <v>2237</v>
      </c>
      <c r="L351" s="496" t="s">
        <v>1772</v>
      </c>
      <c r="M351" s="500" t="s">
        <v>1755</v>
      </c>
      <c r="N351" s="496" t="s">
        <v>1773</v>
      </c>
      <c r="O351" s="496" t="s">
        <v>2234</v>
      </c>
      <c r="P351" s="489">
        <v>16213.970000000001</v>
      </c>
      <c r="Q351" s="489">
        <f t="shared" si="77"/>
        <v>19132.4846</v>
      </c>
      <c r="R351" s="489">
        <v>696.07417339287747</v>
      </c>
      <c r="S351" s="401" t="s">
        <v>1774</v>
      </c>
      <c r="T351" s="501">
        <v>1.087</v>
      </c>
      <c r="U351" s="501">
        <v>1.077</v>
      </c>
      <c r="V351" s="501">
        <v>1.073</v>
      </c>
      <c r="W351" s="501">
        <v>1.071</v>
      </c>
      <c r="X351" s="596">
        <v>0.9</v>
      </c>
      <c r="Y351" s="502">
        <v>842.81541449999997</v>
      </c>
      <c r="Z351" s="489">
        <f t="shared" si="78"/>
        <v>994.52218910999989</v>
      </c>
      <c r="AA351" s="489">
        <v>14073.111000000001</v>
      </c>
      <c r="AB351" s="488">
        <f t="shared" si="74"/>
        <v>16606.270980000001</v>
      </c>
      <c r="AC351" s="492">
        <f t="shared" si="79"/>
        <v>842.81541449999997</v>
      </c>
      <c r="AD351" s="493">
        <f t="shared" si="80"/>
        <v>994.52218910999989</v>
      </c>
      <c r="AE351" s="494" t="s">
        <v>1775</v>
      </c>
      <c r="AF351" s="494" t="s">
        <v>83</v>
      </c>
      <c r="AG351" s="494" t="s">
        <v>211</v>
      </c>
      <c r="AH351" s="494" t="s">
        <v>545</v>
      </c>
      <c r="AI351" s="495">
        <v>41730</v>
      </c>
      <c r="AJ351" s="495">
        <v>41765</v>
      </c>
      <c r="AK351" s="494" t="s">
        <v>96</v>
      </c>
      <c r="AL351" s="494" t="s">
        <v>96</v>
      </c>
      <c r="AM351" s="496" t="s">
        <v>2238</v>
      </c>
      <c r="AN351" s="496" t="s">
        <v>1757</v>
      </c>
      <c r="AO351" s="494">
        <v>796</v>
      </c>
      <c r="AP351" s="494" t="s">
        <v>368</v>
      </c>
      <c r="AQ351" s="494">
        <v>1</v>
      </c>
      <c r="AR351" s="494">
        <v>45</v>
      </c>
      <c r="AS351" s="496" t="s">
        <v>547</v>
      </c>
      <c r="AT351" s="495">
        <v>41785</v>
      </c>
      <c r="AU351" s="495">
        <v>41785</v>
      </c>
      <c r="AV351" s="495">
        <v>42004</v>
      </c>
      <c r="AW351" s="494">
        <v>2014</v>
      </c>
      <c r="AX351" s="496"/>
      <c r="AY351" s="494" t="s">
        <v>186</v>
      </c>
      <c r="AZ351" s="494"/>
      <c r="BA351" s="494">
        <v>2014</v>
      </c>
      <c r="BB351" s="494" t="s">
        <v>1891</v>
      </c>
      <c r="BC351" s="496" t="s">
        <v>5596</v>
      </c>
      <c r="BD351" s="496" t="s">
        <v>1818</v>
      </c>
      <c r="BE351" s="497">
        <v>42004</v>
      </c>
      <c r="BF351" s="498">
        <v>1143.1289529999999</v>
      </c>
      <c r="BG351" s="488">
        <v>1143.1289530000001</v>
      </c>
      <c r="BH351" s="488">
        <v>0</v>
      </c>
      <c r="BI351" s="488">
        <v>0</v>
      </c>
      <c r="BJ351" s="494" t="s">
        <v>1465</v>
      </c>
      <c r="BK351" s="401"/>
    </row>
    <row r="352" spans="1:63" ht="131.25">
      <c r="A352" s="401">
        <v>2</v>
      </c>
      <c r="B352" s="494" t="s">
        <v>1892</v>
      </c>
      <c r="C352" s="401" t="s">
        <v>83</v>
      </c>
      <c r="D352" s="401" t="s">
        <v>242</v>
      </c>
      <c r="E352" s="494" t="s">
        <v>5853</v>
      </c>
      <c r="F352" s="401" t="s">
        <v>1768</v>
      </c>
      <c r="G352" s="401" t="s">
        <v>1769</v>
      </c>
      <c r="H352" s="499">
        <v>854181</v>
      </c>
      <c r="I352" s="486" t="s">
        <v>1893</v>
      </c>
      <c r="J352" s="496" t="s">
        <v>2237</v>
      </c>
      <c r="K352" s="496" t="s">
        <v>2237</v>
      </c>
      <c r="L352" s="496" t="s">
        <v>1772</v>
      </c>
      <c r="M352" s="500" t="s">
        <v>1755</v>
      </c>
      <c r="N352" s="496" t="s">
        <v>1773</v>
      </c>
      <c r="O352" s="496" t="s">
        <v>2234</v>
      </c>
      <c r="P352" s="489">
        <v>19823.36</v>
      </c>
      <c r="Q352" s="489">
        <f t="shared" si="77"/>
        <v>23391.5648</v>
      </c>
      <c r="R352" s="489">
        <v>15127.924663829712</v>
      </c>
      <c r="S352" s="401" t="s">
        <v>1774</v>
      </c>
      <c r="T352" s="501">
        <v>1.087</v>
      </c>
      <c r="U352" s="501">
        <v>1.077</v>
      </c>
      <c r="V352" s="501">
        <v>1.073</v>
      </c>
      <c r="W352" s="501">
        <v>1.071</v>
      </c>
      <c r="X352" s="596">
        <v>0.9</v>
      </c>
      <c r="Y352" s="502">
        <v>19526.009999999998</v>
      </c>
      <c r="Z352" s="489">
        <f t="shared" si="78"/>
        <v>23040.691799999997</v>
      </c>
      <c r="AA352" s="489">
        <v>18248.609</v>
      </c>
      <c r="AB352" s="488">
        <f t="shared" si="74"/>
        <v>21533.358619999999</v>
      </c>
      <c r="AC352" s="492">
        <f t="shared" si="79"/>
        <v>18248.609</v>
      </c>
      <c r="AD352" s="493">
        <f t="shared" si="80"/>
        <v>21533.358619999999</v>
      </c>
      <c r="AE352" s="494" t="s">
        <v>1775</v>
      </c>
      <c r="AF352" s="494" t="s">
        <v>83</v>
      </c>
      <c r="AG352" s="494" t="s">
        <v>211</v>
      </c>
      <c r="AH352" s="494" t="s">
        <v>545</v>
      </c>
      <c r="AI352" s="495">
        <v>41730</v>
      </c>
      <c r="AJ352" s="495">
        <v>41765</v>
      </c>
      <c r="AK352" s="494" t="s">
        <v>96</v>
      </c>
      <c r="AL352" s="494" t="s">
        <v>96</v>
      </c>
      <c r="AM352" s="496" t="s">
        <v>2238</v>
      </c>
      <c r="AN352" s="496" t="s">
        <v>1757</v>
      </c>
      <c r="AO352" s="494">
        <v>796</v>
      </c>
      <c r="AP352" s="494" t="s">
        <v>368</v>
      </c>
      <c r="AQ352" s="494">
        <v>1</v>
      </c>
      <c r="AR352" s="494">
        <v>45</v>
      </c>
      <c r="AS352" s="496" t="s">
        <v>547</v>
      </c>
      <c r="AT352" s="495">
        <v>41785</v>
      </c>
      <c r="AU352" s="495">
        <v>41785</v>
      </c>
      <c r="AV352" s="495">
        <v>42369</v>
      </c>
      <c r="AW352" s="494" t="s">
        <v>99</v>
      </c>
      <c r="AX352" s="496"/>
      <c r="AY352" s="494" t="s">
        <v>186</v>
      </c>
      <c r="AZ352" s="494"/>
      <c r="BA352" s="494">
        <v>2014</v>
      </c>
      <c r="BB352" s="494" t="s">
        <v>1894</v>
      </c>
      <c r="BC352" s="496" t="s">
        <v>1895</v>
      </c>
      <c r="BD352" s="496" t="s">
        <v>1818</v>
      </c>
      <c r="BE352" s="497">
        <v>42369</v>
      </c>
      <c r="BF352" s="498">
        <v>12134.433214511997</v>
      </c>
      <c r="BG352" s="488">
        <v>12134.433214511997</v>
      </c>
      <c r="BH352" s="488">
        <v>2</v>
      </c>
      <c r="BI352" s="488">
        <v>0</v>
      </c>
      <c r="BJ352" s="494" t="s">
        <v>400</v>
      </c>
      <c r="BK352" s="401"/>
    </row>
    <row r="353" spans="1:63" ht="112.5">
      <c r="A353" s="401">
        <v>2</v>
      </c>
      <c r="B353" s="494" t="s">
        <v>1896</v>
      </c>
      <c r="C353" s="401" t="s">
        <v>83</v>
      </c>
      <c r="D353" s="401" t="s">
        <v>242</v>
      </c>
      <c r="E353" s="494" t="s">
        <v>5853</v>
      </c>
      <c r="F353" s="401" t="s">
        <v>1768</v>
      </c>
      <c r="G353" s="401" t="s">
        <v>1769</v>
      </c>
      <c r="H353" s="499">
        <v>854182</v>
      </c>
      <c r="I353" s="486" t="s">
        <v>1897</v>
      </c>
      <c r="J353" s="496" t="s">
        <v>2237</v>
      </c>
      <c r="K353" s="496" t="s">
        <v>2237</v>
      </c>
      <c r="L353" s="496" t="s">
        <v>1772</v>
      </c>
      <c r="M353" s="500" t="s">
        <v>1755</v>
      </c>
      <c r="N353" s="496" t="s">
        <v>1773</v>
      </c>
      <c r="O353" s="496" t="s">
        <v>2234</v>
      </c>
      <c r="P353" s="489">
        <v>18691.59</v>
      </c>
      <c r="Q353" s="489">
        <f t="shared" si="77"/>
        <v>22056.0762</v>
      </c>
      <c r="R353" s="489">
        <v>14264.232637860723</v>
      </c>
      <c r="S353" s="401" t="s">
        <v>1774</v>
      </c>
      <c r="T353" s="501">
        <v>1.087</v>
      </c>
      <c r="U353" s="501">
        <v>1.077</v>
      </c>
      <c r="V353" s="501">
        <v>1.073</v>
      </c>
      <c r="W353" s="501">
        <v>1.071</v>
      </c>
      <c r="X353" s="596">
        <v>0.9</v>
      </c>
      <c r="Y353" s="502">
        <v>18411.22</v>
      </c>
      <c r="Z353" s="489">
        <f t="shared" si="78"/>
        <v>21725.239600000001</v>
      </c>
      <c r="AA353" s="489">
        <v>17278.601999999999</v>
      </c>
      <c r="AB353" s="488">
        <f t="shared" si="74"/>
        <v>20388.750359999998</v>
      </c>
      <c r="AC353" s="492">
        <f t="shared" si="79"/>
        <v>17278.601999999999</v>
      </c>
      <c r="AD353" s="493">
        <f t="shared" si="80"/>
        <v>20388.750359999998</v>
      </c>
      <c r="AE353" s="494" t="s">
        <v>1775</v>
      </c>
      <c r="AF353" s="494" t="s">
        <v>83</v>
      </c>
      <c r="AG353" s="494" t="s">
        <v>211</v>
      </c>
      <c r="AH353" s="494" t="s">
        <v>545</v>
      </c>
      <c r="AI353" s="495">
        <v>41730</v>
      </c>
      <c r="AJ353" s="495">
        <v>41765</v>
      </c>
      <c r="AK353" s="494" t="s">
        <v>96</v>
      </c>
      <c r="AL353" s="494" t="s">
        <v>96</v>
      </c>
      <c r="AM353" s="496" t="s">
        <v>2238</v>
      </c>
      <c r="AN353" s="496" t="s">
        <v>1757</v>
      </c>
      <c r="AO353" s="494">
        <v>796</v>
      </c>
      <c r="AP353" s="494" t="s">
        <v>368</v>
      </c>
      <c r="AQ353" s="494">
        <v>1</v>
      </c>
      <c r="AR353" s="494">
        <v>45</v>
      </c>
      <c r="AS353" s="496" t="s">
        <v>547</v>
      </c>
      <c r="AT353" s="495">
        <v>41785</v>
      </c>
      <c r="AU353" s="495">
        <v>41785</v>
      </c>
      <c r="AV353" s="495">
        <v>42369</v>
      </c>
      <c r="AW353" s="494" t="s">
        <v>99</v>
      </c>
      <c r="AX353" s="496"/>
      <c r="AY353" s="494" t="s">
        <v>186</v>
      </c>
      <c r="AZ353" s="494"/>
      <c r="BA353" s="494">
        <v>2014</v>
      </c>
      <c r="BB353" s="494" t="s">
        <v>1898</v>
      </c>
      <c r="BC353" s="496" t="s">
        <v>1899</v>
      </c>
      <c r="BD353" s="496" t="s">
        <v>1818</v>
      </c>
      <c r="BE353" s="497">
        <v>42369</v>
      </c>
      <c r="BF353" s="498">
        <v>12878.352391147997</v>
      </c>
      <c r="BG353" s="488">
        <v>12878.352391147997</v>
      </c>
      <c r="BH353" s="488">
        <v>2</v>
      </c>
      <c r="BI353" s="488">
        <v>0</v>
      </c>
      <c r="BJ353" s="494" t="s">
        <v>400</v>
      </c>
      <c r="BK353" s="401"/>
    </row>
    <row r="354" spans="1:63" ht="112.5">
      <c r="A354" s="401">
        <v>2</v>
      </c>
      <c r="B354" s="494" t="s">
        <v>1900</v>
      </c>
      <c r="C354" s="401" t="s">
        <v>83</v>
      </c>
      <c r="D354" s="401" t="s">
        <v>242</v>
      </c>
      <c r="E354" s="494" t="s">
        <v>5853</v>
      </c>
      <c r="F354" s="401" t="s">
        <v>1768</v>
      </c>
      <c r="G354" s="401" t="s">
        <v>1769</v>
      </c>
      <c r="H354" s="499">
        <v>854183</v>
      </c>
      <c r="I354" s="486" t="s">
        <v>1901</v>
      </c>
      <c r="J354" s="496" t="s">
        <v>2237</v>
      </c>
      <c r="K354" s="496" t="s">
        <v>2237</v>
      </c>
      <c r="L354" s="496" t="s">
        <v>1772</v>
      </c>
      <c r="M354" s="500" t="s">
        <v>1755</v>
      </c>
      <c r="N354" s="496" t="s">
        <v>1773</v>
      </c>
      <c r="O354" s="496" t="s">
        <v>2234</v>
      </c>
      <c r="P354" s="489">
        <v>18494.300899999998</v>
      </c>
      <c r="Q354" s="489">
        <f t="shared" si="77"/>
        <v>21823.275061999997</v>
      </c>
      <c r="R354" s="489">
        <v>11810.513335027126</v>
      </c>
      <c r="S354" s="401" t="s">
        <v>1774</v>
      </c>
      <c r="T354" s="501">
        <v>1.087</v>
      </c>
      <c r="U354" s="501">
        <v>1.077</v>
      </c>
      <c r="V354" s="501">
        <v>1.073</v>
      </c>
      <c r="W354" s="501">
        <v>1.071</v>
      </c>
      <c r="X354" s="596">
        <v>0.9</v>
      </c>
      <c r="Y354" s="502">
        <v>15244.14</v>
      </c>
      <c r="Z354" s="489">
        <f t="shared" si="78"/>
        <v>17988.085199999998</v>
      </c>
      <c r="AA354" s="489">
        <v>15904.246999999999</v>
      </c>
      <c r="AB354" s="488">
        <f t="shared" si="74"/>
        <v>18767.011459999998</v>
      </c>
      <c r="AC354" s="492">
        <f t="shared" si="79"/>
        <v>15244.14</v>
      </c>
      <c r="AD354" s="493">
        <f t="shared" si="80"/>
        <v>17988.085199999998</v>
      </c>
      <c r="AE354" s="494" t="s">
        <v>1775</v>
      </c>
      <c r="AF354" s="494" t="s">
        <v>83</v>
      </c>
      <c r="AG354" s="494" t="s">
        <v>211</v>
      </c>
      <c r="AH354" s="494" t="s">
        <v>545</v>
      </c>
      <c r="AI354" s="495">
        <v>41730</v>
      </c>
      <c r="AJ354" s="495">
        <v>41765</v>
      </c>
      <c r="AK354" s="494" t="s">
        <v>96</v>
      </c>
      <c r="AL354" s="494" t="s">
        <v>96</v>
      </c>
      <c r="AM354" s="496" t="s">
        <v>2238</v>
      </c>
      <c r="AN354" s="496" t="s">
        <v>1757</v>
      </c>
      <c r="AO354" s="494">
        <v>796</v>
      </c>
      <c r="AP354" s="494" t="s">
        <v>368</v>
      </c>
      <c r="AQ354" s="494">
        <v>1</v>
      </c>
      <c r="AR354" s="494">
        <v>45</v>
      </c>
      <c r="AS354" s="496" t="s">
        <v>547</v>
      </c>
      <c r="AT354" s="495">
        <v>41785</v>
      </c>
      <c r="AU354" s="495">
        <v>41785</v>
      </c>
      <c r="AV354" s="495">
        <v>42369</v>
      </c>
      <c r="AW354" s="494" t="s">
        <v>99</v>
      </c>
      <c r="AX354" s="496"/>
      <c r="AY354" s="494" t="s">
        <v>186</v>
      </c>
      <c r="AZ354" s="494"/>
      <c r="BA354" s="494">
        <v>2014</v>
      </c>
      <c r="BB354" s="494" t="s">
        <v>1902</v>
      </c>
      <c r="BC354" s="496" t="s">
        <v>1903</v>
      </c>
      <c r="BD354" s="496" t="s">
        <v>1818</v>
      </c>
      <c r="BE354" s="497">
        <v>42369</v>
      </c>
      <c r="BF354" s="498">
        <v>12134.433214511997</v>
      </c>
      <c r="BG354" s="488">
        <v>12134.433214511997</v>
      </c>
      <c r="BH354" s="488">
        <v>2</v>
      </c>
      <c r="BI354" s="488">
        <v>0</v>
      </c>
      <c r="BJ354" s="494" t="s">
        <v>400</v>
      </c>
      <c r="BK354" s="401"/>
    </row>
    <row r="355" spans="1:63" ht="112.5">
      <c r="A355" s="401">
        <v>2</v>
      </c>
      <c r="B355" s="494" t="s">
        <v>1904</v>
      </c>
      <c r="C355" s="401" t="s">
        <v>83</v>
      </c>
      <c r="D355" s="401" t="s">
        <v>242</v>
      </c>
      <c r="E355" s="494" t="s">
        <v>5853</v>
      </c>
      <c r="F355" s="401" t="s">
        <v>1768</v>
      </c>
      <c r="G355" s="401" t="s">
        <v>1769</v>
      </c>
      <c r="H355" s="499">
        <v>854186</v>
      </c>
      <c r="I355" s="486" t="s">
        <v>1905</v>
      </c>
      <c r="J355" s="496" t="s">
        <v>2237</v>
      </c>
      <c r="K355" s="496" t="s">
        <v>2237</v>
      </c>
      <c r="L355" s="496" t="s">
        <v>1772</v>
      </c>
      <c r="M355" s="500" t="s">
        <v>1755</v>
      </c>
      <c r="N355" s="496" t="s">
        <v>1773</v>
      </c>
      <c r="O355" s="496" t="s">
        <v>2234</v>
      </c>
      <c r="P355" s="489">
        <v>39634.410300000003</v>
      </c>
      <c r="Q355" s="489">
        <f t="shared" si="77"/>
        <v>46768.604154000001</v>
      </c>
      <c r="R355" s="489">
        <v>26443.460862758497</v>
      </c>
      <c r="S355" s="401" t="s">
        <v>1774</v>
      </c>
      <c r="T355" s="501">
        <v>1.087</v>
      </c>
      <c r="U355" s="501">
        <v>1.077</v>
      </c>
      <c r="V355" s="501">
        <v>1.073</v>
      </c>
      <c r="W355" s="501">
        <v>1.071</v>
      </c>
      <c r="X355" s="596">
        <v>0.9</v>
      </c>
      <c r="Y355" s="502">
        <v>34131.269999999997</v>
      </c>
      <c r="Z355" s="489">
        <f t="shared" si="78"/>
        <v>40274.898599999993</v>
      </c>
      <c r="AA355" s="489">
        <v>33640.358999999997</v>
      </c>
      <c r="AB355" s="488">
        <f t="shared" si="74"/>
        <v>39695.623619999991</v>
      </c>
      <c r="AC355" s="492">
        <f t="shared" si="79"/>
        <v>33640.358999999997</v>
      </c>
      <c r="AD355" s="493">
        <f t="shared" si="80"/>
        <v>39695.623619999991</v>
      </c>
      <c r="AE355" s="494" t="s">
        <v>1775</v>
      </c>
      <c r="AF355" s="494" t="s">
        <v>83</v>
      </c>
      <c r="AG355" s="494" t="s">
        <v>211</v>
      </c>
      <c r="AH355" s="494" t="s">
        <v>545</v>
      </c>
      <c r="AI355" s="495">
        <v>41932</v>
      </c>
      <c r="AJ355" s="495">
        <v>41967</v>
      </c>
      <c r="AK355" s="494" t="s">
        <v>96</v>
      </c>
      <c r="AL355" s="494" t="s">
        <v>96</v>
      </c>
      <c r="AM355" s="496" t="s">
        <v>2238</v>
      </c>
      <c r="AN355" s="496" t="s">
        <v>1757</v>
      </c>
      <c r="AO355" s="494">
        <v>796</v>
      </c>
      <c r="AP355" s="494" t="s">
        <v>368</v>
      </c>
      <c r="AQ355" s="494">
        <v>1</v>
      </c>
      <c r="AR355" s="494">
        <v>45</v>
      </c>
      <c r="AS355" s="496" t="s">
        <v>547</v>
      </c>
      <c r="AT355" s="495">
        <v>41987</v>
      </c>
      <c r="AU355" s="495">
        <v>41987</v>
      </c>
      <c r="AV355" s="495">
        <v>42369</v>
      </c>
      <c r="AW355" s="494" t="s">
        <v>99</v>
      </c>
      <c r="AX355" s="496"/>
      <c r="AY355" s="494" t="s">
        <v>186</v>
      </c>
      <c r="AZ355" s="494"/>
      <c r="BA355" s="494">
        <v>2014</v>
      </c>
      <c r="BB355" s="494" t="s">
        <v>1906</v>
      </c>
      <c r="BC355" s="496" t="s">
        <v>1907</v>
      </c>
      <c r="BD355" s="496" t="s">
        <v>1818</v>
      </c>
      <c r="BE355" s="497">
        <v>42369</v>
      </c>
      <c r="BF355" s="498">
        <v>2950</v>
      </c>
      <c r="BG355" s="488">
        <v>2950</v>
      </c>
      <c r="BH355" s="488">
        <v>0</v>
      </c>
      <c r="BI355" s="488">
        <v>0</v>
      </c>
      <c r="BJ355" s="494" t="s">
        <v>400</v>
      </c>
      <c r="BK355" s="401"/>
    </row>
    <row r="356" spans="1:63" ht="112.5">
      <c r="A356" s="401">
        <v>2</v>
      </c>
      <c r="B356" s="494" t="s">
        <v>1908</v>
      </c>
      <c r="C356" s="401" t="s">
        <v>83</v>
      </c>
      <c r="D356" s="401" t="s">
        <v>242</v>
      </c>
      <c r="E356" s="494" t="s">
        <v>5853</v>
      </c>
      <c r="F356" s="401" t="s">
        <v>1768</v>
      </c>
      <c r="G356" s="401" t="s">
        <v>1769</v>
      </c>
      <c r="H356" s="499">
        <v>854188</v>
      </c>
      <c r="I356" s="486" t="s">
        <v>1909</v>
      </c>
      <c r="J356" s="496" t="s">
        <v>2237</v>
      </c>
      <c r="K356" s="496" t="s">
        <v>2237</v>
      </c>
      <c r="L356" s="496" t="s">
        <v>1772</v>
      </c>
      <c r="M356" s="500" t="s">
        <v>1755</v>
      </c>
      <c r="N356" s="496" t="s">
        <v>1773</v>
      </c>
      <c r="O356" s="496" t="s">
        <v>2234</v>
      </c>
      <c r="P356" s="489">
        <v>39634.410300000003</v>
      </c>
      <c r="Q356" s="489">
        <f t="shared" si="77"/>
        <v>46768.604154000001</v>
      </c>
      <c r="R356" s="489">
        <v>26443.460862758497</v>
      </c>
      <c r="S356" s="401" t="s">
        <v>1774</v>
      </c>
      <c r="T356" s="501">
        <v>1.087</v>
      </c>
      <c r="U356" s="501">
        <v>1.077</v>
      </c>
      <c r="V356" s="501">
        <v>1.073</v>
      </c>
      <c r="W356" s="501">
        <v>1.071</v>
      </c>
      <c r="X356" s="596">
        <v>0.9</v>
      </c>
      <c r="Y356" s="502">
        <v>34131.269999999997</v>
      </c>
      <c r="Z356" s="489">
        <f t="shared" si="78"/>
        <v>40274.898599999993</v>
      </c>
      <c r="AA356" s="489">
        <v>33640.358999999997</v>
      </c>
      <c r="AB356" s="488">
        <f t="shared" si="74"/>
        <v>39695.623619999991</v>
      </c>
      <c r="AC356" s="492">
        <f t="shared" si="79"/>
        <v>33640.358999999997</v>
      </c>
      <c r="AD356" s="493">
        <f t="shared" si="80"/>
        <v>39695.623619999991</v>
      </c>
      <c r="AE356" s="494" t="s">
        <v>1775</v>
      </c>
      <c r="AF356" s="494" t="s">
        <v>83</v>
      </c>
      <c r="AG356" s="494" t="s">
        <v>211</v>
      </c>
      <c r="AH356" s="494" t="s">
        <v>545</v>
      </c>
      <c r="AI356" s="495">
        <v>41932</v>
      </c>
      <c r="AJ356" s="495">
        <v>41967</v>
      </c>
      <c r="AK356" s="494" t="s">
        <v>96</v>
      </c>
      <c r="AL356" s="494" t="s">
        <v>96</v>
      </c>
      <c r="AM356" s="496" t="s">
        <v>2238</v>
      </c>
      <c r="AN356" s="496" t="s">
        <v>1757</v>
      </c>
      <c r="AO356" s="494">
        <v>796</v>
      </c>
      <c r="AP356" s="494" t="s">
        <v>368</v>
      </c>
      <c r="AQ356" s="494">
        <v>1</v>
      </c>
      <c r="AR356" s="494">
        <v>45</v>
      </c>
      <c r="AS356" s="496" t="s">
        <v>547</v>
      </c>
      <c r="AT356" s="495">
        <v>41987</v>
      </c>
      <c r="AU356" s="495">
        <v>41987</v>
      </c>
      <c r="AV356" s="495">
        <v>42369</v>
      </c>
      <c r="AW356" s="494" t="s">
        <v>99</v>
      </c>
      <c r="AX356" s="496"/>
      <c r="AY356" s="494" t="s">
        <v>186</v>
      </c>
      <c r="AZ356" s="494"/>
      <c r="BA356" s="494">
        <v>2014</v>
      </c>
      <c r="BB356" s="494" t="s">
        <v>1910</v>
      </c>
      <c r="BC356" s="496" t="s">
        <v>1911</v>
      </c>
      <c r="BD356" s="496" t="s">
        <v>1818</v>
      </c>
      <c r="BE356" s="497">
        <v>42369</v>
      </c>
      <c r="BF356" s="498">
        <v>2950</v>
      </c>
      <c r="BG356" s="488">
        <v>2950</v>
      </c>
      <c r="BH356" s="488">
        <v>0</v>
      </c>
      <c r="BI356" s="488">
        <v>0</v>
      </c>
      <c r="BJ356" s="494" t="s">
        <v>400</v>
      </c>
      <c r="BK356" s="401"/>
    </row>
    <row r="357" spans="1:63" ht="112.5">
      <c r="A357" s="401">
        <v>2</v>
      </c>
      <c r="B357" s="494" t="s">
        <v>1916</v>
      </c>
      <c r="C357" s="401" t="s">
        <v>83</v>
      </c>
      <c r="D357" s="401" t="s">
        <v>242</v>
      </c>
      <c r="E357" s="494" t="s">
        <v>5853</v>
      </c>
      <c r="F357" s="401" t="s">
        <v>1768</v>
      </c>
      <c r="G357" s="401" t="s">
        <v>1769</v>
      </c>
      <c r="H357" s="499">
        <v>854191</v>
      </c>
      <c r="I357" s="486" t="s">
        <v>1917</v>
      </c>
      <c r="J357" s="496" t="s">
        <v>5317</v>
      </c>
      <c r="K357" s="496" t="s">
        <v>5317</v>
      </c>
      <c r="L357" s="496" t="s">
        <v>1772</v>
      </c>
      <c r="M357" s="500" t="s">
        <v>1755</v>
      </c>
      <c r="N357" s="496" t="s">
        <v>1773</v>
      </c>
      <c r="O357" s="496" t="s">
        <v>2234</v>
      </c>
      <c r="P357" s="489">
        <v>11803.937760000001</v>
      </c>
      <c r="Q357" s="489">
        <f t="shared" si="77"/>
        <v>13928.6465568</v>
      </c>
      <c r="R357" s="489">
        <v>7417.4239045125632</v>
      </c>
      <c r="S357" s="401" t="s">
        <v>1774</v>
      </c>
      <c r="T357" s="501">
        <v>1.087</v>
      </c>
      <c r="U357" s="501">
        <v>1.077</v>
      </c>
      <c r="V357" s="501">
        <v>1.073</v>
      </c>
      <c r="W357" s="501">
        <v>1.071</v>
      </c>
      <c r="X357" s="596">
        <v>0.9</v>
      </c>
      <c r="Y357" s="502">
        <v>9573.8639999999996</v>
      </c>
      <c r="Z357" s="489">
        <f t="shared" si="78"/>
        <v>11297.159519999999</v>
      </c>
      <c r="AA357" s="489">
        <v>9146.2790000000005</v>
      </c>
      <c r="AB357" s="488">
        <f t="shared" si="74"/>
        <v>10792.60922</v>
      </c>
      <c r="AC357" s="492">
        <f t="shared" si="79"/>
        <v>9146.2790000000005</v>
      </c>
      <c r="AD357" s="493">
        <f t="shared" si="80"/>
        <v>10792.60922</v>
      </c>
      <c r="AE357" s="494" t="s">
        <v>1775</v>
      </c>
      <c r="AF357" s="494" t="s">
        <v>83</v>
      </c>
      <c r="AG357" s="494" t="s">
        <v>211</v>
      </c>
      <c r="AH357" s="494" t="s">
        <v>545</v>
      </c>
      <c r="AI357" s="495">
        <v>41730</v>
      </c>
      <c r="AJ357" s="495">
        <v>41765</v>
      </c>
      <c r="AK357" s="494" t="s">
        <v>96</v>
      </c>
      <c r="AL357" s="494" t="s">
        <v>96</v>
      </c>
      <c r="AM357" s="496" t="s">
        <v>1846</v>
      </c>
      <c r="AN357" s="496" t="s">
        <v>1757</v>
      </c>
      <c r="AO357" s="494">
        <v>796</v>
      </c>
      <c r="AP357" s="494" t="s">
        <v>368</v>
      </c>
      <c r="AQ357" s="494">
        <v>1</v>
      </c>
      <c r="AR357" s="494">
        <v>45</v>
      </c>
      <c r="AS357" s="496" t="s">
        <v>547</v>
      </c>
      <c r="AT357" s="495">
        <v>41785</v>
      </c>
      <c r="AU357" s="495">
        <v>41785</v>
      </c>
      <c r="AV357" s="495">
        <v>42369</v>
      </c>
      <c r="AW357" s="494" t="s">
        <v>99</v>
      </c>
      <c r="AX357" s="496"/>
      <c r="AY357" s="494" t="s">
        <v>186</v>
      </c>
      <c r="AZ357" s="494"/>
      <c r="BA357" s="494">
        <v>2014</v>
      </c>
      <c r="BB357" s="494" t="s">
        <v>1918</v>
      </c>
      <c r="BC357" s="496" t="s">
        <v>1919</v>
      </c>
      <c r="BD357" s="496" t="s">
        <v>1818</v>
      </c>
      <c r="BE357" s="497">
        <v>42369</v>
      </c>
      <c r="BF357" s="498">
        <v>4008.9999999999995</v>
      </c>
      <c r="BG357" s="488">
        <v>4008.9999999999995</v>
      </c>
      <c r="BH357" s="488">
        <v>0</v>
      </c>
      <c r="BI357" s="488">
        <v>0.4</v>
      </c>
      <c r="BJ357" s="494" t="s">
        <v>400</v>
      </c>
      <c r="BK357" s="401"/>
    </row>
    <row r="358" spans="1:63" ht="112.5">
      <c r="A358" s="401">
        <v>2</v>
      </c>
      <c r="B358" s="494" t="s">
        <v>1920</v>
      </c>
      <c r="C358" s="401" t="s">
        <v>83</v>
      </c>
      <c r="D358" s="401" t="s">
        <v>242</v>
      </c>
      <c r="E358" s="494" t="s">
        <v>5853</v>
      </c>
      <c r="F358" s="401" t="s">
        <v>1768</v>
      </c>
      <c r="G358" s="401" t="s">
        <v>1769</v>
      </c>
      <c r="H358" s="499">
        <v>854192</v>
      </c>
      <c r="I358" s="486" t="s">
        <v>1921</v>
      </c>
      <c r="J358" s="496" t="s">
        <v>5317</v>
      </c>
      <c r="K358" s="496" t="s">
        <v>5317</v>
      </c>
      <c r="L358" s="496" t="s">
        <v>1772</v>
      </c>
      <c r="M358" s="500" t="s">
        <v>1755</v>
      </c>
      <c r="N358" s="496" t="s">
        <v>1773</v>
      </c>
      <c r="O358" s="496" t="s">
        <v>2234</v>
      </c>
      <c r="P358" s="489">
        <v>25766.633897999993</v>
      </c>
      <c r="Q358" s="489">
        <f t="shared" si="77"/>
        <v>30404.62799963999</v>
      </c>
      <c r="R358" s="489">
        <v>19297.465614725039</v>
      </c>
      <c r="S358" s="401" t="s">
        <v>1774</v>
      </c>
      <c r="T358" s="501">
        <v>1.087</v>
      </c>
      <c r="U358" s="501">
        <v>1.077</v>
      </c>
      <c r="V358" s="501">
        <v>1.073</v>
      </c>
      <c r="W358" s="501">
        <v>1.071</v>
      </c>
      <c r="X358" s="596">
        <v>0.9</v>
      </c>
      <c r="Y358" s="502">
        <v>24907.746101399989</v>
      </c>
      <c r="Z358" s="489">
        <f t="shared" si="78"/>
        <v>29391.140399651984</v>
      </c>
      <c r="AA358" s="489">
        <v>23956.353999999999</v>
      </c>
      <c r="AB358" s="488">
        <f t="shared" si="74"/>
        <v>28268.497719999999</v>
      </c>
      <c r="AC358" s="492">
        <f t="shared" si="79"/>
        <v>23956.353999999999</v>
      </c>
      <c r="AD358" s="493">
        <f t="shared" si="80"/>
        <v>28268.497719999999</v>
      </c>
      <c r="AE358" s="494" t="s">
        <v>1775</v>
      </c>
      <c r="AF358" s="494" t="s">
        <v>83</v>
      </c>
      <c r="AG358" s="494" t="s">
        <v>211</v>
      </c>
      <c r="AH358" s="494" t="s">
        <v>545</v>
      </c>
      <c r="AI358" s="495">
        <v>41730</v>
      </c>
      <c r="AJ358" s="495">
        <v>41765</v>
      </c>
      <c r="AK358" s="494" t="s">
        <v>96</v>
      </c>
      <c r="AL358" s="494" t="s">
        <v>96</v>
      </c>
      <c r="AM358" s="496" t="s">
        <v>1846</v>
      </c>
      <c r="AN358" s="496" t="s">
        <v>1757</v>
      </c>
      <c r="AO358" s="494">
        <v>796</v>
      </c>
      <c r="AP358" s="494" t="s">
        <v>368</v>
      </c>
      <c r="AQ358" s="494">
        <v>1</v>
      </c>
      <c r="AR358" s="494">
        <v>45</v>
      </c>
      <c r="AS358" s="496" t="s">
        <v>547</v>
      </c>
      <c r="AT358" s="495">
        <v>41785</v>
      </c>
      <c r="AU358" s="495">
        <v>41785</v>
      </c>
      <c r="AV358" s="495">
        <v>42369</v>
      </c>
      <c r="AW358" s="494" t="s">
        <v>99</v>
      </c>
      <c r="AX358" s="496"/>
      <c r="AY358" s="494" t="s">
        <v>186</v>
      </c>
      <c r="AZ358" s="494"/>
      <c r="BA358" s="494">
        <v>2014</v>
      </c>
      <c r="BB358" s="494" t="s">
        <v>1922</v>
      </c>
      <c r="BC358" s="496" t="s">
        <v>1923</v>
      </c>
      <c r="BD358" s="496" t="s">
        <v>1818</v>
      </c>
      <c r="BE358" s="497">
        <v>42369</v>
      </c>
      <c r="BF358" s="498">
        <v>31755.944799623991</v>
      </c>
      <c r="BG358" s="488">
        <v>31755.944799623991</v>
      </c>
      <c r="BH358" s="488">
        <v>0</v>
      </c>
      <c r="BI358" s="488">
        <v>5.7</v>
      </c>
      <c r="BJ358" s="494" t="s">
        <v>400</v>
      </c>
      <c r="BK358" s="401"/>
    </row>
    <row r="359" spans="1:63" ht="112.5">
      <c r="A359" s="401">
        <v>2</v>
      </c>
      <c r="B359" s="494" t="s">
        <v>1924</v>
      </c>
      <c r="C359" s="401" t="s">
        <v>83</v>
      </c>
      <c r="D359" s="401" t="s">
        <v>242</v>
      </c>
      <c r="E359" s="494" t="s">
        <v>5853</v>
      </c>
      <c r="F359" s="401" t="s">
        <v>1768</v>
      </c>
      <c r="G359" s="401" t="s">
        <v>1769</v>
      </c>
      <c r="H359" s="499">
        <v>854196</v>
      </c>
      <c r="I359" s="486" t="s">
        <v>1925</v>
      </c>
      <c r="J359" s="496" t="s">
        <v>5317</v>
      </c>
      <c r="K359" s="496" t="s">
        <v>5317</v>
      </c>
      <c r="L359" s="496" t="s">
        <v>1772</v>
      </c>
      <c r="M359" s="500" t="s">
        <v>1755</v>
      </c>
      <c r="N359" s="496" t="s">
        <v>1773</v>
      </c>
      <c r="O359" s="496" t="s">
        <v>2234</v>
      </c>
      <c r="P359" s="489">
        <v>44619.406776000003</v>
      </c>
      <c r="Q359" s="489">
        <f t="shared" si="77"/>
        <v>52650.899995680003</v>
      </c>
      <c r="R359" s="489">
        <v>33416.917064829475</v>
      </c>
      <c r="S359" s="401" t="s">
        <v>1774</v>
      </c>
      <c r="T359" s="501">
        <v>1.087</v>
      </c>
      <c r="U359" s="501">
        <v>1.077</v>
      </c>
      <c r="V359" s="501">
        <v>1.073</v>
      </c>
      <c r="W359" s="501">
        <v>1.071</v>
      </c>
      <c r="X359" s="596">
        <v>0.9</v>
      </c>
      <c r="Y359" s="502">
        <v>43132.093216800007</v>
      </c>
      <c r="Z359" s="489">
        <f t="shared" si="78"/>
        <v>50895.869995824003</v>
      </c>
      <c r="AA359" s="489">
        <v>40345.462</v>
      </c>
      <c r="AB359" s="488">
        <f t="shared" si="74"/>
        <v>47607.64516</v>
      </c>
      <c r="AC359" s="492">
        <f t="shared" si="79"/>
        <v>40345.462</v>
      </c>
      <c r="AD359" s="493">
        <f t="shared" si="80"/>
        <v>47607.64516</v>
      </c>
      <c r="AE359" s="494" t="s">
        <v>1775</v>
      </c>
      <c r="AF359" s="494" t="s">
        <v>83</v>
      </c>
      <c r="AG359" s="494" t="s">
        <v>211</v>
      </c>
      <c r="AH359" s="494" t="s">
        <v>545</v>
      </c>
      <c r="AI359" s="495">
        <v>41730</v>
      </c>
      <c r="AJ359" s="495">
        <v>41765</v>
      </c>
      <c r="AK359" s="494" t="s">
        <v>96</v>
      </c>
      <c r="AL359" s="494" t="s">
        <v>96</v>
      </c>
      <c r="AM359" s="496" t="s">
        <v>1846</v>
      </c>
      <c r="AN359" s="496" t="s">
        <v>1757</v>
      </c>
      <c r="AO359" s="494">
        <v>796</v>
      </c>
      <c r="AP359" s="494" t="s">
        <v>368</v>
      </c>
      <c r="AQ359" s="494">
        <v>1</v>
      </c>
      <c r="AR359" s="494">
        <v>45</v>
      </c>
      <c r="AS359" s="496" t="s">
        <v>547</v>
      </c>
      <c r="AT359" s="495">
        <v>41785</v>
      </c>
      <c r="AU359" s="495">
        <v>41785</v>
      </c>
      <c r="AV359" s="495">
        <v>42369</v>
      </c>
      <c r="AW359" s="494" t="s">
        <v>99</v>
      </c>
      <c r="AX359" s="496"/>
      <c r="AY359" s="494" t="s">
        <v>186</v>
      </c>
      <c r="AZ359" s="494"/>
      <c r="BA359" s="494">
        <v>2014</v>
      </c>
      <c r="BB359" s="494" t="s">
        <v>1926</v>
      </c>
      <c r="BC359" s="496" t="s">
        <v>1927</v>
      </c>
      <c r="BD359" s="496" t="s">
        <v>1818</v>
      </c>
      <c r="BE359" s="497">
        <v>42369</v>
      </c>
      <c r="BF359" s="498">
        <v>54990.939995487992</v>
      </c>
      <c r="BG359" s="488">
        <v>54990.939995487992</v>
      </c>
      <c r="BH359" s="488">
        <v>0</v>
      </c>
      <c r="BI359" s="488">
        <v>3.76</v>
      </c>
      <c r="BJ359" s="494" t="s">
        <v>400</v>
      </c>
      <c r="BK359" s="401"/>
    </row>
    <row r="360" spans="1:63" ht="112.5">
      <c r="A360" s="401">
        <v>2</v>
      </c>
      <c r="B360" s="494" t="s">
        <v>1928</v>
      </c>
      <c r="C360" s="401" t="s">
        <v>83</v>
      </c>
      <c r="D360" s="401" t="s">
        <v>242</v>
      </c>
      <c r="E360" s="494" t="s">
        <v>5853</v>
      </c>
      <c r="F360" s="401" t="s">
        <v>1768</v>
      </c>
      <c r="G360" s="401" t="s">
        <v>1769</v>
      </c>
      <c r="H360" s="499">
        <v>854198</v>
      </c>
      <c r="I360" s="486" t="s">
        <v>1929</v>
      </c>
      <c r="J360" s="496" t="s">
        <v>5317</v>
      </c>
      <c r="K360" s="496" t="s">
        <v>5317</v>
      </c>
      <c r="L360" s="496" t="s">
        <v>1772</v>
      </c>
      <c r="M360" s="500" t="s">
        <v>1755</v>
      </c>
      <c r="N360" s="496" t="s">
        <v>1773</v>
      </c>
      <c r="O360" s="496" t="s">
        <v>2234</v>
      </c>
      <c r="P360" s="489">
        <v>33664.821679090906</v>
      </c>
      <c r="Q360" s="489">
        <f t="shared" si="77"/>
        <v>39724.489581327267</v>
      </c>
      <c r="R360" s="489">
        <v>21108.273162300669</v>
      </c>
      <c r="S360" s="401" t="s">
        <v>1774</v>
      </c>
      <c r="T360" s="501">
        <v>1.087</v>
      </c>
      <c r="U360" s="501">
        <v>1.077</v>
      </c>
      <c r="V360" s="501">
        <v>1.073</v>
      </c>
      <c r="W360" s="501">
        <v>1.071</v>
      </c>
      <c r="X360" s="596">
        <v>0.9</v>
      </c>
      <c r="Y360" s="502">
        <v>27245.003000000001</v>
      </c>
      <c r="Z360" s="489">
        <f t="shared" si="78"/>
        <v>32149.10354</v>
      </c>
      <c r="AA360" s="489">
        <v>28002.082999999999</v>
      </c>
      <c r="AB360" s="488">
        <f t="shared" si="74"/>
        <v>33042.45794</v>
      </c>
      <c r="AC360" s="492">
        <f t="shared" si="79"/>
        <v>27245.003000000001</v>
      </c>
      <c r="AD360" s="493">
        <f t="shared" si="80"/>
        <v>32149.10354</v>
      </c>
      <c r="AE360" s="494" t="s">
        <v>1775</v>
      </c>
      <c r="AF360" s="494" t="s">
        <v>83</v>
      </c>
      <c r="AG360" s="494" t="s">
        <v>211</v>
      </c>
      <c r="AH360" s="494" t="s">
        <v>545</v>
      </c>
      <c r="AI360" s="495">
        <v>41730</v>
      </c>
      <c r="AJ360" s="495">
        <v>41765</v>
      </c>
      <c r="AK360" s="494" t="s">
        <v>96</v>
      </c>
      <c r="AL360" s="494" t="s">
        <v>96</v>
      </c>
      <c r="AM360" s="496" t="s">
        <v>1846</v>
      </c>
      <c r="AN360" s="496" t="s">
        <v>1757</v>
      </c>
      <c r="AO360" s="494">
        <v>796</v>
      </c>
      <c r="AP360" s="494" t="s">
        <v>368</v>
      </c>
      <c r="AQ360" s="494">
        <v>1</v>
      </c>
      <c r="AR360" s="494">
        <v>45</v>
      </c>
      <c r="AS360" s="496" t="s">
        <v>547</v>
      </c>
      <c r="AT360" s="495">
        <v>41785</v>
      </c>
      <c r="AU360" s="495">
        <v>41785</v>
      </c>
      <c r="AV360" s="495">
        <v>42369</v>
      </c>
      <c r="AW360" s="494" t="s">
        <v>99</v>
      </c>
      <c r="AX360" s="496"/>
      <c r="AY360" s="494" t="s">
        <v>186</v>
      </c>
      <c r="AZ360" s="494"/>
      <c r="BA360" s="494">
        <v>2014</v>
      </c>
      <c r="BB360" s="494" t="s">
        <v>1930</v>
      </c>
      <c r="BC360" s="496" t="s">
        <v>1931</v>
      </c>
      <c r="BD360" s="496" t="s">
        <v>1818</v>
      </c>
      <c r="BE360" s="497">
        <v>42369</v>
      </c>
      <c r="BF360" s="498">
        <v>13381.199999999997</v>
      </c>
      <c r="BG360" s="488">
        <v>13381.199999999997</v>
      </c>
      <c r="BH360" s="488">
        <v>0</v>
      </c>
      <c r="BI360" s="488">
        <v>1.8</v>
      </c>
      <c r="BJ360" s="494" t="s">
        <v>400</v>
      </c>
      <c r="BK360" s="401"/>
    </row>
    <row r="361" spans="1:63" ht="131.25">
      <c r="A361" s="401">
        <v>2</v>
      </c>
      <c r="B361" s="494" t="s">
        <v>1932</v>
      </c>
      <c r="C361" s="401" t="s">
        <v>83</v>
      </c>
      <c r="D361" s="401" t="s">
        <v>242</v>
      </c>
      <c r="E361" s="494" t="s">
        <v>5853</v>
      </c>
      <c r="F361" s="401" t="s">
        <v>1768</v>
      </c>
      <c r="G361" s="401" t="s">
        <v>1769</v>
      </c>
      <c r="H361" s="499">
        <v>854199</v>
      </c>
      <c r="I361" s="486" t="s">
        <v>1933</v>
      </c>
      <c r="J361" s="496" t="s">
        <v>5317</v>
      </c>
      <c r="K361" s="496" t="s">
        <v>5317</v>
      </c>
      <c r="L361" s="496" t="s">
        <v>1772</v>
      </c>
      <c r="M361" s="500" t="s">
        <v>1755</v>
      </c>
      <c r="N361" s="496" t="s">
        <v>1773</v>
      </c>
      <c r="O361" s="496" t="s">
        <v>2234</v>
      </c>
      <c r="P361" s="489">
        <v>23688.030509999997</v>
      </c>
      <c r="Q361" s="489">
        <f t="shared" si="77"/>
        <v>27951.876001799996</v>
      </c>
      <c r="R361" s="489">
        <v>17740.732299641368</v>
      </c>
      <c r="S361" s="401" t="s">
        <v>1774</v>
      </c>
      <c r="T361" s="501">
        <v>1.087</v>
      </c>
      <c r="U361" s="501">
        <v>1.077</v>
      </c>
      <c r="V361" s="501">
        <v>1.073</v>
      </c>
      <c r="W361" s="501">
        <v>1.071</v>
      </c>
      <c r="X361" s="596">
        <v>0.9</v>
      </c>
      <c r="Y361" s="502">
        <v>22898.429493</v>
      </c>
      <c r="Z361" s="489">
        <f t="shared" si="78"/>
        <v>27020.146801739997</v>
      </c>
      <c r="AA361" s="489">
        <v>21311.632000000001</v>
      </c>
      <c r="AB361" s="488">
        <f t="shared" si="74"/>
        <v>25147.725760000001</v>
      </c>
      <c r="AC361" s="492">
        <f t="shared" si="79"/>
        <v>21311.632000000001</v>
      </c>
      <c r="AD361" s="493">
        <f t="shared" si="80"/>
        <v>25147.725760000001</v>
      </c>
      <c r="AE361" s="494" t="s">
        <v>1775</v>
      </c>
      <c r="AF361" s="494" t="s">
        <v>83</v>
      </c>
      <c r="AG361" s="494" t="s">
        <v>211</v>
      </c>
      <c r="AH361" s="494" t="s">
        <v>545</v>
      </c>
      <c r="AI361" s="495">
        <v>41730</v>
      </c>
      <c r="AJ361" s="495">
        <v>41765</v>
      </c>
      <c r="AK361" s="494" t="s">
        <v>96</v>
      </c>
      <c r="AL361" s="494" t="s">
        <v>96</v>
      </c>
      <c r="AM361" s="496" t="s">
        <v>1846</v>
      </c>
      <c r="AN361" s="496" t="s">
        <v>1757</v>
      </c>
      <c r="AO361" s="494">
        <v>796</v>
      </c>
      <c r="AP361" s="494" t="s">
        <v>368</v>
      </c>
      <c r="AQ361" s="494">
        <v>1</v>
      </c>
      <c r="AR361" s="494">
        <v>45</v>
      </c>
      <c r="AS361" s="496" t="s">
        <v>547</v>
      </c>
      <c r="AT361" s="495">
        <v>41785</v>
      </c>
      <c r="AU361" s="495">
        <v>41785</v>
      </c>
      <c r="AV361" s="495">
        <v>42369</v>
      </c>
      <c r="AW361" s="494" t="s">
        <v>99</v>
      </c>
      <c r="AX361" s="496"/>
      <c r="AY361" s="494" t="s">
        <v>186</v>
      </c>
      <c r="AZ361" s="494"/>
      <c r="BA361" s="494">
        <v>2014</v>
      </c>
      <c r="BB361" s="494" t="s">
        <v>1934</v>
      </c>
      <c r="BC361" s="496" t="s">
        <v>1935</v>
      </c>
      <c r="BD361" s="496" t="s">
        <v>1818</v>
      </c>
      <c r="BE361" s="497">
        <v>42369</v>
      </c>
      <c r="BF361" s="498">
        <v>29194.181601879995</v>
      </c>
      <c r="BG361" s="488">
        <v>29194.181601879995</v>
      </c>
      <c r="BH361" s="488">
        <v>0</v>
      </c>
      <c r="BI361" s="488">
        <v>2.25</v>
      </c>
      <c r="BJ361" s="494" t="s">
        <v>400</v>
      </c>
      <c r="BK361" s="401"/>
    </row>
    <row r="362" spans="1:63" ht="112.5">
      <c r="A362" s="401">
        <v>2</v>
      </c>
      <c r="B362" s="494" t="s">
        <v>1936</v>
      </c>
      <c r="C362" s="401" t="s">
        <v>83</v>
      </c>
      <c r="D362" s="401" t="s">
        <v>242</v>
      </c>
      <c r="E362" s="494" t="s">
        <v>5853</v>
      </c>
      <c r="F362" s="401" t="s">
        <v>1768</v>
      </c>
      <c r="G362" s="401" t="s">
        <v>1769</v>
      </c>
      <c r="H362" s="499">
        <v>854201</v>
      </c>
      <c r="I362" s="486" t="s">
        <v>1937</v>
      </c>
      <c r="J362" s="496" t="s">
        <v>5317</v>
      </c>
      <c r="K362" s="496" t="s">
        <v>5317</v>
      </c>
      <c r="L362" s="496" t="s">
        <v>1772</v>
      </c>
      <c r="M362" s="500" t="s">
        <v>1755</v>
      </c>
      <c r="N362" s="496" t="s">
        <v>1773</v>
      </c>
      <c r="O362" s="496" t="s">
        <v>2234</v>
      </c>
      <c r="P362" s="489">
        <v>31114.427108181819</v>
      </c>
      <c r="Q362" s="489">
        <f t="shared" si="77"/>
        <v>36715.023987654546</v>
      </c>
      <c r="R362" s="489">
        <v>5660.2148909622347</v>
      </c>
      <c r="S362" s="401" t="s">
        <v>1774</v>
      </c>
      <c r="T362" s="501">
        <v>1.087</v>
      </c>
      <c r="U362" s="501">
        <v>1.077</v>
      </c>
      <c r="V362" s="501">
        <v>1.073</v>
      </c>
      <c r="W362" s="501">
        <v>1.071</v>
      </c>
      <c r="X362" s="596">
        <v>0.9</v>
      </c>
      <c r="Y362" s="502">
        <v>7305.7881380999988</v>
      </c>
      <c r="Z362" s="489">
        <f t="shared" si="78"/>
        <v>8620.8300029579987</v>
      </c>
      <c r="AA362" s="489">
        <v>25894.565999999999</v>
      </c>
      <c r="AB362" s="488">
        <f t="shared" si="74"/>
        <v>30555.587879999995</v>
      </c>
      <c r="AC362" s="492">
        <f t="shared" si="79"/>
        <v>7305.7881380999988</v>
      </c>
      <c r="AD362" s="493">
        <f t="shared" si="80"/>
        <v>8620.8300029579987</v>
      </c>
      <c r="AE362" s="494" t="s">
        <v>1775</v>
      </c>
      <c r="AF362" s="494" t="s">
        <v>83</v>
      </c>
      <c r="AG362" s="494" t="s">
        <v>211</v>
      </c>
      <c r="AH362" s="494" t="s">
        <v>545</v>
      </c>
      <c r="AI362" s="495">
        <v>41730</v>
      </c>
      <c r="AJ362" s="495">
        <v>41765</v>
      </c>
      <c r="AK362" s="494" t="s">
        <v>96</v>
      </c>
      <c r="AL362" s="494" t="s">
        <v>96</v>
      </c>
      <c r="AM362" s="496" t="s">
        <v>1846</v>
      </c>
      <c r="AN362" s="496" t="s">
        <v>1757</v>
      </c>
      <c r="AO362" s="494">
        <v>796</v>
      </c>
      <c r="AP362" s="494" t="s">
        <v>368</v>
      </c>
      <c r="AQ362" s="494">
        <v>1</v>
      </c>
      <c r="AR362" s="494">
        <v>45</v>
      </c>
      <c r="AS362" s="496" t="s">
        <v>547</v>
      </c>
      <c r="AT362" s="495">
        <v>41785</v>
      </c>
      <c r="AU362" s="495">
        <v>41785</v>
      </c>
      <c r="AV362" s="495">
        <v>42369</v>
      </c>
      <c r="AW362" s="494" t="s">
        <v>99</v>
      </c>
      <c r="AX362" s="496"/>
      <c r="AY362" s="494" t="s">
        <v>186</v>
      </c>
      <c r="AZ362" s="494"/>
      <c r="BA362" s="494">
        <v>2014</v>
      </c>
      <c r="BB362" s="494" t="s">
        <v>1938</v>
      </c>
      <c r="BC362" s="496" t="s">
        <v>1939</v>
      </c>
      <c r="BD362" s="496" t="s">
        <v>1818</v>
      </c>
      <c r="BE362" s="497">
        <v>42369</v>
      </c>
      <c r="BF362" s="498">
        <v>8917.6139999999996</v>
      </c>
      <c r="BG362" s="488">
        <v>8917.6139999999996</v>
      </c>
      <c r="BH362" s="488">
        <v>0</v>
      </c>
      <c r="BI362" s="488">
        <v>1.2</v>
      </c>
      <c r="BJ362" s="494" t="s">
        <v>400</v>
      </c>
      <c r="BK362" s="401"/>
    </row>
    <row r="363" spans="1:63" ht="112.5">
      <c r="A363" s="401">
        <v>2</v>
      </c>
      <c r="B363" s="494" t="s">
        <v>1940</v>
      </c>
      <c r="C363" s="401" t="s">
        <v>83</v>
      </c>
      <c r="D363" s="401" t="s">
        <v>242</v>
      </c>
      <c r="E363" s="494" t="s">
        <v>5853</v>
      </c>
      <c r="F363" s="401" t="s">
        <v>1768</v>
      </c>
      <c r="G363" s="401" t="s">
        <v>1769</v>
      </c>
      <c r="H363" s="499">
        <v>854202</v>
      </c>
      <c r="I363" s="486" t="s">
        <v>1941</v>
      </c>
      <c r="J363" s="496" t="s">
        <v>5317</v>
      </c>
      <c r="K363" s="496" t="s">
        <v>5317</v>
      </c>
      <c r="L363" s="496" t="s">
        <v>1772</v>
      </c>
      <c r="M363" s="500" t="s">
        <v>1755</v>
      </c>
      <c r="N363" s="496" t="s">
        <v>1773</v>
      </c>
      <c r="O363" s="496" t="s">
        <v>2234</v>
      </c>
      <c r="P363" s="489">
        <v>40796.694918000008</v>
      </c>
      <c r="Q363" s="489">
        <f t="shared" si="77"/>
        <v>48140.100003240004</v>
      </c>
      <c r="R363" s="489">
        <v>30553.964498856829</v>
      </c>
      <c r="S363" s="401" t="s">
        <v>1774</v>
      </c>
      <c r="T363" s="501">
        <v>1.087</v>
      </c>
      <c r="U363" s="501">
        <v>1.077</v>
      </c>
      <c r="V363" s="501">
        <v>1.073</v>
      </c>
      <c r="W363" s="501">
        <v>1.071</v>
      </c>
      <c r="X363" s="596">
        <v>0.9</v>
      </c>
      <c r="Y363" s="502">
        <v>39436.805087400004</v>
      </c>
      <c r="Z363" s="489">
        <f t="shared" si="78"/>
        <v>46535.430003132002</v>
      </c>
      <c r="AA363" s="489">
        <v>36685.544999999998</v>
      </c>
      <c r="AB363" s="488">
        <f t="shared" si="74"/>
        <v>43288.943099999997</v>
      </c>
      <c r="AC363" s="492">
        <f t="shared" si="79"/>
        <v>36685.544999999998</v>
      </c>
      <c r="AD363" s="493">
        <f t="shared" si="80"/>
        <v>43288.943099999997</v>
      </c>
      <c r="AE363" s="494" t="s">
        <v>1775</v>
      </c>
      <c r="AF363" s="494" t="s">
        <v>83</v>
      </c>
      <c r="AG363" s="494" t="s">
        <v>211</v>
      </c>
      <c r="AH363" s="494" t="s">
        <v>545</v>
      </c>
      <c r="AI363" s="495">
        <v>41730</v>
      </c>
      <c r="AJ363" s="495">
        <v>41765</v>
      </c>
      <c r="AK363" s="494" t="s">
        <v>96</v>
      </c>
      <c r="AL363" s="494" t="s">
        <v>96</v>
      </c>
      <c r="AM363" s="496" t="s">
        <v>1846</v>
      </c>
      <c r="AN363" s="496" t="s">
        <v>1757</v>
      </c>
      <c r="AO363" s="494">
        <v>796</v>
      </c>
      <c r="AP363" s="494" t="s">
        <v>368</v>
      </c>
      <c r="AQ363" s="494">
        <v>1</v>
      </c>
      <c r="AR363" s="494">
        <v>45</v>
      </c>
      <c r="AS363" s="496" t="s">
        <v>547</v>
      </c>
      <c r="AT363" s="495">
        <v>41785</v>
      </c>
      <c r="AU363" s="495">
        <v>41785</v>
      </c>
      <c r="AV363" s="495">
        <v>42369</v>
      </c>
      <c r="AW363" s="494" t="s">
        <v>99</v>
      </c>
      <c r="AX363" s="496"/>
      <c r="AY363" s="494" t="s">
        <v>186</v>
      </c>
      <c r="AZ363" s="494"/>
      <c r="BA363" s="494">
        <v>2014</v>
      </c>
      <c r="BB363" s="494" t="s">
        <v>1942</v>
      </c>
      <c r="BC363" s="496" t="s">
        <v>1943</v>
      </c>
      <c r="BD363" s="496" t="s">
        <v>1818</v>
      </c>
      <c r="BE363" s="497">
        <v>42369</v>
      </c>
      <c r="BF363" s="498">
        <v>50279.660003384</v>
      </c>
      <c r="BG363" s="488">
        <v>50279.660003384</v>
      </c>
      <c r="BH363" s="488">
        <v>0</v>
      </c>
      <c r="BI363" s="488">
        <v>2.5</v>
      </c>
      <c r="BJ363" s="494" t="s">
        <v>400</v>
      </c>
      <c r="BK363" s="401"/>
    </row>
    <row r="364" spans="1:63" ht="112.5">
      <c r="A364" s="401">
        <v>2</v>
      </c>
      <c r="B364" s="494" t="s">
        <v>1944</v>
      </c>
      <c r="C364" s="401" t="s">
        <v>83</v>
      </c>
      <c r="D364" s="401" t="s">
        <v>242</v>
      </c>
      <c r="E364" s="494" t="s">
        <v>5853</v>
      </c>
      <c r="F364" s="401" t="s">
        <v>1768</v>
      </c>
      <c r="G364" s="401" t="s">
        <v>1769</v>
      </c>
      <c r="H364" s="499">
        <v>854203</v>
      </c>
      <c r="I364" s="486" t="s">
        <v>1945</v>
      </c>
      <c r="J364" s="496" t="s">
        <v>5317</v>
      </c>
      <c r="K364" s="496" t="s">
        <v>5317</v>
      </c>
      <c r="L364" s="496" t="s">
        <v>1772</v>
      </c>
      <c r="M364" s="500" t="s">
        <v>1755</v>
      </c>
      <c r="N364" s="496" t="s">
        <v>1773</v>
      </c>
      <c r="O364" s="496" t="s">
        <v>2234</v>
      </c>
      <c r="P364" s="489">
        <v>43224.406776000003</v>
      </c>
      <c r="Q364" s="489">
        <f t="shared" si="77"/>
        <v>51004.799995680005</v>
      </c>
      <c r="R364" s="489">
        <v>32372.15643994122</v>
      </c>
      <c r="S364" s="401" t="s">
        <v>1774</v>
      </c>
      <c r="T364" s="501">
        <v>1.087</v>
      </c>
      <c r="U364" s="501">
        <v>1.077</v>
      </c>
      <c r="V364" s="501">
        <v>1.073</v>
      </c>
      <c r="W364" s="501">
        <v>1.071</v>
      </c>
      <c r="X364" s="596">
        <v>0.9</v>
      </c>
      <c r="Y364" s="502">
        <v>41783.593216800007</v>
      </c>
      <c r="Z364" s="489">
        <f t="shared" si="78"/>
        <v>49304.639995824007</v>
      </c>
      <c r="AA364" s="489">
        <v>36207.095999999998</v>
      </c>
      <c r="AB364" s="488">
        <f t="shared" si="74"/>
        <v>42724.373279999993</v>
      </c>
      <c r="AC364" s="492">
        <f t="shared" si="79"/>
        <v>36207.095999999998</v>
      </c>
      <c r="AD364" s="493">
        <f t="shared" si="80"/>
        <v>42724.373279999993</v>
      </c>
      <c r="AE364" s="494" t="s">
        <v>1775</v>
      </c>
      <c r="AF364" s="494" t="s">
        <v>83</v>
      </c>
      <c r="AG364" s="494" t="s">
        <v>211</v>
      </c>
      <c r="AH364" s="494" t="s">
        <v>545</v>
      </c>
      <c r="AI364" s="495">
        <v>41730</v>
      </c>
      <c r="AJ364" s="495">
        <v>41765</v>
      </c>
      <c r="AK364" s="494" t="s">
        <v>96</v>
      </c>
      <c r="AL364" s="494" t="s">
        <v>96</v>
      </c>
      <c r="AM364" s="496" t="s">
        <v>1846</v>
      </c>
      <c r="AN364" s="496" t="s">
        <v>1757</v>
      </c>
      <c r="AO364" s="494">
        <v>796</v>
      </c>
      <c r="AP364" s="494" t="s">
        <v>368</v>
      </c>
      <c r="AQ364" s="494">
        <v>1</v>
      </c>
      <c r="AR364" s="494">
        <v>45</v>
      </c>
      <c r="AS364" s="496" t="s">
        <v>547</v>
      </c>
      <c r="AT364" s="495">
        <v>41785</v>
      </c>
      <c r="AU364" s="495">
        <v>41785</v>
      </c>
      <c r="AV364" s="495">
        <v>42369</v>
      </c>
      <c r="AW364" s="494" t="s">
        <v>99</v>
      </c>
      <c r="AX364" s="496"/>
      <c r="AY364" s="494" t="s">
        <v>186</v>
      </c>
      <c r="AZ364" s="494"/>
      <c r="BA364" s="494">
        <v>2014</v>
      </c>
      <c r="BB364" s="494" t="s">
        <v>1946</v>
      </c>
      <c r="BC364" s="496" t="s">
        <v>1947</v>
      </c>
      <c r="BD364" s="496" t="s">
        <v>1818</v>
      </c>
      <c r="BE364" s="497">
        <v>42369</v>
      </c>
      <c r="BF364" s="498">
        <v>53271.679995487997</v>
      </c>
      <c r="BG364" s="488">
        <v>53271.679995487997</v>
      </c>
      <c r="BH364" s="488">
        <v>0</v>
      </c>
      <c r="BI364" s="488">
        <v>5.74</v>
      </c>
      <c r="BJ364" s="494" t="s">
        <v>400</v>
      </c>
      <c r="BK364" s="401"/>
    </row>
    <row r="365" spans="1:63" ht="112.5">
      <c r="A365" s="401">
        <v>2</v>
      </c>
      <c r="B365" s="494" t="s">
        <v>1948</v>
      </c>
      <c r="C365" s="401" t="s">
        <v>83</v>
      </c>
      <c r="D365" s="401" t="s">
        <v>242</v>
      </c>
      <c r="E365" s="494" t="s">
        <v>5853</v>
      </c>
      <c r="F365" s="401" t="s">
        <v>1768</v>
      </c>
      <c r="G365" s="401" t="s">
        <v>1769</v>
      </c>
      <c r="H365" s="499">
        <v>854204</v>
      </c>
      <c r="I365" s="486" t="s">
        <v>1949</v>
      </c>
      <c r="J365" s="496" t="s">
        <v>2237</v>
      </c>
      <c r="K365" s="496" t="s">
        <v>2237</v>
      </c>
      <c r="L365" s="496" t="s">
        <v>1772</v>
      </c>
      <c r="M365" s="500" t="s">
        <v>1755</v>
      </c>
      <c r="N365" s="496" t="s">
        <v>1773</v>
      </c>
      <c r="O365" s="496" t="s">
        <v>2234</v>
      </c>
      <c r="P365" s="489">
        <v>19032.293509090909</v>
      </c>
      <c r="Q365" s="489">
        <f t="shared" si="77"/>
        <v>22458.10634072727</v>
      </c>
      <c r="R365" s="489">
        <v>12904.871617255742</v>
      </c>
      <c r="S365" s="401" t="s">
        <v>1774</v>
      </c>
      <c r="T365" s="501">
        <v>1.087</v>
      </c>
      <c r="U365" s="501">
        <v>1.077</v>
      </c>
      <c r="V365" s="501">
        <v>1.073</v>
      </c>
      <c r="W365" s="501">
        <v>1.071</v>
      </c>
      <c r="X365" s="596">
        <v>0.9</v>
      </c>
      <c r="Y365" s="502">
        <v>16656.656999999999</v>
      </c>
      <c r="Z365" s="489">
        <f t="shared" si="78"/>
        <v>19654.855259999997</v>
      </c>
      <c r="AA365" s="489">
        <v>17221.056</v>
      </c>
      <c r="AB365" s="488">
        <f t="shared" si="74"/>
        <v>20320.846079999999</v>
      </c>
      <c r="AC365" s="492">
        <f t="shared" si="79"/>
        <v>16656.656999999999</v>
      </c>
      <c r="AD365" s="493">
        <f t="shared" si="80"/>
        <v>19654.855259999997</v>
      </c>
      <c r="AE365" s="494" t="s">
        <v>1775</v>
      </c>
      <c r="AF365" s="494" t="s">
        <v>83</v>
      </c>
      <c r="AG365" s="494" t="s">
        <v>211</v>
      </c>
      <c r="AH365" s="494" t="s">
        <v>545</v>
      </c>
      <c r="AI365" s="495">
        <v>41730</v>
      </c>
      <c r="AJ365" s="495">
        <v>41765</v>
      </c>
      <c r="AK365" s="494" t="s">
        <v>96</v>
      </c>
      <c r="AL365" s="494" t="s">
        <v>96</v>
      </c>
      <c r="AM365" s="496" t="s">
        <v>2238</v>
      </c>
      <c r="AN365" s="496" t="s">
        <v>1757</v>
      </c>
      <c r="AO365" s="494">
        <v>796</v>
      </c>
      <c r="AP365" s="494" t="s">
        <v>368</v>
      </c>
      <c r="AQ365" s="494">
        <v>1</v>
      </c>
      <c r="AR365" s="494">
        <v>45</v>
      </c>
      <c r="AS365" s="496" t="s">
        <v>547</v>
      </c>
      <c r="AT365" s="495">
        <v>41785</v>
      </c>
      <c r="AU365" s="495">
        <v>41785</v>
      </c>
      <c r="AV365" s="495">
        <v>42369</v>
      </c>
      <c r="AW365" s="494" t="s">
        <v>99</v>
      </c>
      <c r="AX365" s="496"/>
      <c r="AY365" s="494" t="s">
        <v>186</v>
      </c>
      <c r="AZ365" s="494"/>
      <c r="BA365" s="494">
        <v>2014</v>
      </c>
      <c r="BB365" s="494" t="s">
        <v>1950</v>
      </c>
      <c r="BC365" s="496" t="s">
        <v>1951</v>
      </c>
      <c r="BD365" s="496" t="s">
        <v>1818</v>
      </c>
      <c r="BE365" s="497">
        <v>42369</v>
      </c>
      <c r="BF365" s="498">
        <v>12045.611140592</v>
      </c>
      <c r="BG365" s="488">
        <v>12045.611140592</v>
      </c>
      <c r="BH365" s="488">
        <v>2</v>
      </c>
      <c r="BI365" s="488">
        <v>0</v>
      </c>
      <c r="BJ365" s="494" t="s">
        <v>400</v>
      </c>
      <c r="BK365" s="401"/>
    </row>
    <row r="366" spans="1:63" ht="112.5">
      <c r="A366" s="401">
        <v>2</v>
      </c>
      <c r="B366" s="494" t="s">
        <v>1952</v>
      </c>
      <c r="C366" s="401" t="s">
        <v>83</v>
      </c>
      <c r="D366" s="401" t="s">
        <v>242</v>
      </c>
      <c r="E366" s="494" t="s">
        <v>5853</v>
      </c>
      <c r="F366" s="401" t="s">
        <v>1768</v>
      </c>
      <c r="G366" s="401" t="s">
        <v>1769</v>
      </c>
      <c r="H366" s="499">
        <v>854206</v>
      </c>
      <c r="I366" s="486" t="s">
        <v>1953</v>
      </c>
      <c r="J366" s="496" t="s">
        <v>5317</v>
      </c>
      <c r="K366" s="496" t="s">
        <v>5317</v>
      </c>
      <c r="L366" s="496" t="s">
        <v>1772</v>
      </c>
      <c r="M366" s="500" t="s">
        <v>1755</v>
      </c>
      <c r="N366" s="496" t="s">
        <v>1773</v>
      </c>
      <c r="O366" s="496" t="s">
        <v>2234</v>
      </c>
      <c r="P366" s="489">
        <v>8251.4050045454551</v>
      </c>
      <c r="Q366" s="489">
        <f t="shared" si="77"/>
        <v>9736.657905363636</v>
      </c>
      <c r="R366" s="489">
        <v>5187.2221695545804</v>
      </c>
      <c r="S366" s="401" t="s">
        <v>1774</v>
      </c>
      <c r="T366" s="501">
        <v>1.087</v>
      </c>
      <c r="U366" s="501">
        <v>1.077</v>
      </c>
      <c r="V366" s="501">
        <v>1.073</v>
      </c>
      <c r="W366" s="501">
        <v>1.071</v>
      </c>
      <c r="X366" s="596">
        <v>0.9</v>
      </c>
      <c r="Y366" s="502">
        <v>6695.2839999999997</v>
      </c>
      <c r="Z366" s="489">
        <f t="shared" si="78"/>
        <v>7900.4351199999992</v>
      </c>
      <c r="AA366" s="489">
        <v>6396.3069999999998</v>
      </c>
      <c r="AB366" s="488">
        <f t="shared" si="74"/>
        <v>7547.6422599999996</v>
      </c>
      <c r="AC366" s="492">
        <f t="shared" si="79"/>
        <v>6396.3069999999998</v>
      </c>
      <c r="AD366" s="493">
        <f t="shared" si="80"/>
        <v>7547.6422599999996</v>
      </c>
      <c r="AE366" s="494" t="s">
        <v>1775</v>
      </c>
      <c r="AF366" s="494" t="s">
        <v>83</v>
      </c>
      <c r="AG366" s="494" t="s">
        <v>211</v>
      </c>
      <c r="AH366" s="494" t="s">
        <v>545</v>
      </c>
      <c r="AI366" s="495">
        <v>41730</v>
      </c>
      <c r="AJ366" s="495">
        <v>41765</v>
      </c>
      <c r="AK366" s="494" t="s">
        <v>96</v>
      </c>
      <c r="AL366" s="494" t="s">
        <v>96</v>
      </c>
      <c r="AM366" s="496" t="s">
        <v>1846</v>
      </c>
      <c r="AN366" s="496" t="s">
        <v>1757</v>
      </c>
      <c r="AO366" s="494">
        <v>796</v>
      </c>
      <c r="AP366" s="494" t="s">
        <v>368</v>
      </c>
      <c r="AQ366" s="494">
        <v>1</v>
      </c>
      <c r="AR366" s="494">
        <v>45</v>
      </c>
      <c r="AS366" s="496" t="s">
        <v>547</v>
      </c>
      <c r="AT366" s="495">
        <v>41785</v>
      </c>
      <c r="AU366" s="495">
        <v>41785</v>
      </c>
      <c r="AV366" s="495">
        <v>42369</v>
      </c>
      <c r="AW366" s="494" t="s">
        <v>99</v>
      </c>
      <c r="AX366" s="496"/>
      <c r="AY366" s="494" t="s">
        <v>186</v>
      </c>
      <c r="AZ366" s="494"/>
      <c r="BA366" s="494">
        <v>2014</v>
      </c>
      <c r="BB366" s="494" t="s">
        <v>1954</v>
      </c>
      <c r="BC366" s="496" t="s">
        <v>1955</v>
      </c>
      <c r="BD366" s="496" t="s">
        <v>1818</v>
      </c>
      <c r="BE366" s="497">
        <v>42369</v>
      </c>
      <c r="BF366" s="498">
        <v>5469.1419999999998</v>
      </c>
      <c r="BG366" s="488">
        <v>5469.1419999999998</v>
      </c>
      <c r="BH366" s="488">
        <v>0</v>
      </c>
      <c r="BI366" s="488">
        <v>0.9</v>
      </c>
      <c r="BJ366" s="494" t="s">
        <v>400</v>
      </c>
      <c r="BK366" s="401"/>
    </row>
    <row r="367" spans="1:63" ht="112.5">
      <c r="A367" s="401">
        <v>2</v>
      </c>
      <c r="B367" s="494" t="s">
        <v>1956</v>
      </c>
      <c r="C367" s="401" t="s">
        <v>83</v>
      </c>
      <c r="D367" s="401" t="s">
        <v>242</v>
      </c>
      <c r="E367" s="494" t="s">
        <v>5853</v>
      </c>
      <c r="F367" s="401" t="s">
        <v>1768</v>
      </c>
      <c r="G367" s="401" t="s">
        <v>1769</v>
      </c>
      <c r="H367" s="499">
        <v>854207</v>
      </c>
      <c r="I367" s="486" t="s">
        <v>1957</v>
      </c>
      <c r="J367" s="496" t="s">
        <v>5317</v>
      </c>
      <c r="K367" s="496" t="s">
        <v>5317</v>
      </c>
      <c r="L367" s="496" t="s">
        <v>1772</v>
      </c>
      <c r="M367" s="500" t="s">
        <v>1755</v>
      </c>
      <c r="N367" s="496" t="s">
        <v>1773</v>
      </c>
      <c r="O367" s="496" t="s">
        <v>2234</v>
      </c>
      <c r="P367" s="489">
        <v>39480.254234999993</v>
      </c>
      <c r="Q367" s="489">
        <f t="shared" si="77"/>
        <v>46586.699997299991</v>
      </c>
      <c r="R367" s="489">
        <v>29568.039487674454</v>
      </c>
      <c r="S367" s="401" t="s">
        <v>1774</v>
      </c>
      <c r="T367" s="501">
        <v>1.087</v>
      </c>
      <c r="U367" s="501">
        <v>1.077</v>
      </c>
      <c r="V367" s="501">
        <v>1.073</v>
      </c>
      <c r="W367" s="501">
        <v>1.071</v>
      </c>
      <c r="X367" s="596">
        <v>0.9</v>
      </c>
      <c r="Y367" s="502">
        <v>38164.245760499995</v>
      </c>
      <c r="Z367" s="489">
        <f t="shared" si="78"/>
        <v>45033.809997389988</v>
      </c>
      <c r="AA367" s="489">
        <v>35725.525000000001</v>
      </c>
      <c r="AB367" s="488">
        <f t="shared" si="74"/>
        <v>42156.119500000001</v>
      </c>
      <c r="AC367" s="492">
        <f t="shared" si="79"/>
        <v>35725.525000000001</v>
      </c>
      <c r="AD367" s="493">
        <f t="shared" si="80"/>
        <v>42156.119500000001</v>
      </c>
      <c r="AE367" s="494" t="s">
        <v>1775</v>
      </c>
      <c r="AF367" s="494" t="s">
        <v>83</v>
      </c>
      <c r="AG367" s="494" t="s">
        <v>211</v>
      </c>
      <c r="AH367" s="494" t="s">
        <v>545</v>
      </c>
      <c r="AI367" s="495">
        <v>41730</v>
      </c>
      <c r="AJ367" s="495">
        <v>41765</v>
      </c>
      <c r="AK367" s="494" t="s">
        <v>96</v>
      </c>
      <c r="AL367" s="494" t="s">
        <v>96</v>
      </c>
      <c r="AM367" s="496" t="s">
        <v>1846</v>
      </c>
      <c r="AN367" s="496" t="s">
        <v>1757</v>
      </c>
      <c r="AO367" s="494">
        <v>796</v>
      </c>
      <c r="AP367" s="494" t="s">
        <v>368</v>
      </c>
      <c r="AQ367" s="494">
        <v>1</v>
      </c>
      <c r="AR367" s="494">
        <v>45</v>
      </c>
      <c r="AS367" s="496" t="s">
        <v>547</v>
      </c>
      <c r="AT367" s="495">
        <v>41785</v>
      </c>
      <c r="AU367" s="495">
        <v>41785</v>
      </c>
      <c r="AV367" s="495">
        <v>42369</v>
      </c>
      <c r="AW367" s="494" t="s">
        <v>99</v>
      </c>
      <c r="AX367" s="496"/>
      <c r="AY367" s="494" t="s">
        <v>186</v>
      </c>
      <c r="AZ367" s="494"/>
      <c r="BA367" s="494">
        <v>2014</v>
      </c>
      <c r="BB367" s="494" t="s">
        <v>1958</v>
      </c>
      <c r="BC367" s="496" t="s">
        <v>1959</v>
      </c>
      <c r="BD367" s="496" t="s">
        <v>1818</v>
      </c>
      <c r="BE367" s="497">
        <v>42369</v>
      </c>
      <c r="BF367" s="498">
        <v>48657.219997179993</v>
      </c>
      <c r="BG367" s="488">
        <v>48657.219997179993</v>
      </c>
      <c r="BH367" s="488">
        <v>0</v>
      </c>
      <c r="BI367" s="488">
        <v>3.96</v>
      </c>
      <c r="BJ367" s="494" t="s">
        <v>400</v>
      </c>
      <c r="BK367" s="401"/>
    </row>
    <row r="368" spans="1:63" ht="150">
      <c r="A368" s="401">
        <v>2</v>
      </c>
      <c r="B368" s="494" t="s">
        <v>1960</v>
      </c>
      <c r="C368" s="401" t="s">
        <v>83</v>
      </c>
      <c r="D368" s="401" t="s">
        <v>242</v>
      </c>
      <c r="E368" s="494" t="s">
        <v>5853</v>
      </c>
      <c r="F368" s="401" t="s">
        <v>1752</v>
      </c>
      <c r="G368" s="401" t="s">
        <v>2344</v>
      </c>
      <c r="H368" s="499">
        <v>854209</v>
      </c>
      <c r="I368" s="486" t="s">
        <v>7255</v>
      </c>
      <c r="J368" s="496" t="s">
        <v>2237</v>
      </c>
      <c r="K368" s="496" t="s">
        <v>2237</v>
      </c>
      <c r="L368" s="496" t="s">
        <v>1772</v>
      </c>
      <c r="M368" s="500" t="s">
        <v>1755</v>
      </c>
      <c r="N368" s="496" t="s">
        <v>1773</v>
      </c>
      <c r="O368" s="496" t="s">
        <v>2234</v>
      </c>
      <c r="P368" s="489">
        <v>158249.54460948496</v>
      </c>
      <c r="Q368" s="489">
        <v>186734.46263919224</v>
      </c>
      <c r="R368" s="489">
        <v>117561.99682193926</v>
      </c>
      <c r="S368" s="401" t="s">
        <v>1774</v>
      </c>
      <c r="T368" s="501">
        <v>1.087</v>
      </c>
      <c r="U368" s="501">
        <v>1.077</v>
      </c>
      <c r="V368" s="501">
        <v>1.073</v>
      </c>
      <c r="W368" s="501">
        <v>1.071</v>
      </c>
      <c r="X368" s="596">
        <v>0.9</v>
      </c>
      <c r="Y368" s="502">
        <v>151740.35940657789</v>
      </c>
      <c r="Z368" s="489">
        <v>179053.62409976189</v>
      </c>
      <c r="AA368" s="489">
        <v>149043.64217357372</v>
      </c>
      <c r="AB368" s="488">
        <v>175871.49776481697</v>
      </c>
      <c r="AC368" s="492">
        <v>149043.64217357372</v>
      </c>
      <c r="AD368" s="493">
        <v>175871.49776481697</v>
      </c>
      <c r="AE368" s="494" t="s">
        <v>1775</v>
      </c>
      <c r="AF368" s="494" t="s">
        <v>83</v>
      </c>
      <c r="AG368" s="494" t="s">
        <v>211</v>
      </c>
      <c r="AH368" s="494" t="s">
        <v>545</v>
      </c>
      <c r="AI368" s="495">
        <v>41932</v>
      </c>
      <c r="AJ368" s="495">
        <v>41967</v>
      </c>
      <c r="AK368" s="494" t="s">
        <v>96</v>
      </c>
      <c r="AL368" s="494" t="s">
        <v>96</v>
      </c>
      <c r="AM368" s="496" t="s">
        <v>5565</v>
      </c>
      <c r="AN368" s="496" t="s">
        <v>1757</v>
      </c>
      <c r="AO368" s="494">
        <v>796</v>
      </c>
      <c r="AP368" s="494" t="s">
        <v>368</v>
      </c>
      <c r="AQ368" s="494">
        <v>1</v>
      </c>
      <c r="AR368" s="494">
        <v>45</v>
      </c>
      <c r="AS368" s="496" t="s">
        <v>547</v>
      </c>
      <c r="AT368" s="495">
        <v>41987</v>
      </c>
      <c r="AU368" s="495">
        <v>41987</v>
      </c>
      <c r="AV368" s="495">
        <v>43100</v>
      </c>
      <c r="AW368" s="494" t="s">
        <v>1113</v>
      </c>
      <c r="AX368" s="496"/>
      <c r="AY368" s="494" t="s">
        <v>186</v>
      </c>
      <c r="AZ368" s="494"/>
      <c r="BA368" s="494">
        <v>2014</v>
      </c>
      <c r="BB368" s="494" t="s">
        <v>1961</v>
      </c>
      <c r="BC368" s="496" t="s">
        <v>1962</v>
      </c>
      <c r="BD368" s="496" t="s">
        <v>1818</v>
      </c>
      <c r="BE368" s="497">
        <v>43100</v>
      </c>
      <c r="BF368" s="498">
        <v>295000</v>
      </c>
      <c r="BG368" s="488">
        <v>242801.52</v>
      </c>
      <c r="BH368" s="488">
        <v>73.34</v>
      </c>
      <c r="BI368" s="488">
        <v>22.83</v>
      </c>
      <c r="BJ368" s="494" t="s">
        <v>400</v>
      </c>
      <c r="BK368" s="401"/>
    </row>
    <row r="369" spans="1:63" ht="187.5">
      <c r="A369" s="401">
        <v>2</v>
      </c>
      <c r="B369" s="494" t="s">
        <v>1963</v>
      </c>
      <c r="C369" s="401" t="s">
        <v>83</v>
      </c>
      <c r="D369" s="401" t="s">
        <v>242</v>
      </c>
      <c r="E369" s="494" t="s">
        <v>5853</v>
      </c>
      <c r="F369" s="401" t="s">
        <v>1768</v>
      </c>
      <c r="G369" s="401" t="s">
        <v>1769</v>
      </c>
      <c r="H369" s="499">
        <v>854214</v>
      </c>
      <c r="I369" s="486" t="s">
        <v>1964</v>
      </c>
      <c r="J369" s="496" t="s">
        <v>2237</v>
      </c>
      <c r="K369" s="496" t="s">
        <v>2237</v>
      </c>
      <c r="L369" s="496" t="s">
        <v>1772</v>
      </c>
      <c r="M369" s="500" t="s">
        <v>1755</v>
      </c>
      <c r="N369" s="496" t="s">
        <v>1773</v>
      </c>
      <c r="O369" s="496" t="s">
        <v>2234</v>
      </c>
      <c r="P369" s="489">
        <v>329456.70762300002</v>
      </c>
      <c r="Q369" s="489">
        <f t="shared" ref="Q369:Q432" si="81">P369*1.18</f>
        <v>388758.91499513999</v>
      </c>
      <c r="R369" s="489">
        <v>263025.6773103961</v>
      </c>
      <c r="S369" s="401" t="s">
        <v>1774</v>
      </c>
      <c r="T369" s="501">
        <v>1.087</v>
      </c>
      <c r="U369" s="501">
        <v>1.077</v>
      </c>
      <c r="V369" s="501">
        <v>1.073</v>
      </c>
      <c r="W369" s="501">
        <v>1.071</v>
      </c>
      <c r="X369" s="596">
        <v>0.9</v>
      </c>
      <c r="Y369" s="502">
        <v>318474.81736890005</v>
      </c>
      <c r="Z369" s="489">
        <f t="shared" ref="Z369:Z432" si="82">Y369*1.18</f>
        <v>375800.28449530207</v>
      </c>
      <c r="AA369" s="489">
        <v>284942.88699999999</v>
      </c>
      <c r="AB369" s="488">
        <f t="shared" ref="AB369:AB432" si="83">AA369*1.18</f>
        <v>336232.60665999999</v>
      </c>
      <c r="AC369" s="492">
        <f t="shared" ref="AC369:AC432" si="84">IF(Y369&lt;AA369,Y369,AA369)</f>
        <v>284942.88699999999</v>
      </c>
      <c r="AD369" s="493">
        <f t="shared" ref="AD369:AD432" si="85">AC369*1.18</f>
        <v>336232.60665999999</v>
      </c>
      <c r="AE369" s="494" t="s">
        <v>1775</v>
      </c>
      <c r="AF369" s="494" t="s">
        <v>83</v>
      </c>
      <c r="AG369" s="494" t="s">
        <v>211</v>
      </c>
      <c r="AH369" s="494" t="s">
        <v>545</v>
      </c>
      <c r="AI369" s="495">
        <v>41805</v>
      </c>
      <c r="AJ369" s="495">
        <v>41840</v>
      </c>
      <c r="AK369" s="494" t="s">
        <v>96</v>
      </c>
      <c r="AL369" s="494" t="s">
        <v>96</v>
      </c>
      <c r="AM369" s="496" t="s">
        <v>2238</v>
      </c>
      <c r="AN369" s="496" t="s">
        <v>1757</v>
      </c>
      <c r="AO369" s="494">
        <v>796</v>
      </c>
      <c r="AP369" s="494" t="s">
        <v>368</v>
      </c>
      <c r="AQ369" s="494">
        <v>1</v>
      </c>
      <c r="AR369" s="494">
        <v>45</v>
      </c>
      <c r="AS369" s="496" t="s">
        <v>547</v>
      </c>
      <c r="AT369" s="495">
        <v>41860</v>
      </c>
      <c r="AU369" s="495">
        <v>41860</v>
      </c>
      <c r="AV369" s="495">
        <v>42004</v>
      </c>
      <c r="AW369" s="494">
        <v>2014</v>
      </c>
      <c r="AX369" s="496"/>
      <c r="AY369" s="494" t="s">
        <v>186</v>
      </c>
      <c r="AZ369" s="494"/>
      <c r="BA369" s="494">
        <v>2014</v>
      </c>
      <c r="BB369" s="494" t="s">
        <v>1965</v>
      </c>
      <c r="BC369" s="496" t="s">
        <v>1966</v>
      </c>
      <c r="BD369" s="496" t="s">
        <v>1818</v>
      </c>
      <c r="BE369" s="497">
        <v>42004</v>
      </c>
      <c r="BF369" s="498">
        <v>431954.34999459999</v>
      </c>
      <c r="BG369" s="488">
        <v>355522.82657999999</v>
      </c>
      <c r="BH369" s="488">
        <v>9.9200000000000017</v>
      </c>
      <c r="BI369" s="488">
        <v>17.600000000000001</v>
      </c>
      <c r="BJ369" s="494" t="s">
        <v>400</v>
      </c>
      <c r="BK369" s="401"/>
    </row>
    <row r="370" spans="1:63" ht="112.5">
      <c r="A370" s="401">
        <v>2</v>
      </c>
      <c r="B370" s="494" t="s">
        <v>1967</v>
      </c>
      <c r="C370" s="401" t="s">
        <v>83</v>
      </c>
      <c r="D370" s="401" t="s">
        <v>242</v>
      </c>
      <c r="E370" s="494" t="s">
        <v>5853</v>
      </c>
      <c r="F370" s="401" t="s">
        <v>1768</v>
      </c>
      <c r="G370" s="401" t="s">
        <v>1769</v>
      </c>
      <c r="H370" s="499">
        <v>854213</v>
      </c>
      <c r="I370" s="486" t="s">
        <v>1968</v>
      </c>
      <c r="J370" s="496" t="s">
        <v>5317</v>
      </c>
      <c r="K370" s="496" t="s">
        <v>5317</v>
      </c>
      <c r="L370" s="496" t="s">
        <v>1772</v>
      </c>
      <c r="M370" s="500" t="s">
        <v>1755</v>
      </c>
      <c r="N370" s="496" t="s">
        <v>1773</v>
      </c>
      <c r="O370" s="496" t="s">
        <v>2234</v>
      </c>
      <c r="P370" s="489">
        <v>20497.325460000004</v>
      </c>
      <c r="Q370" s="489">
        <f t="shared" si="81"/>
        <v>24186.844042800003</v>
      </c>
      <c r="R370" s="489">
        <v>11839.806919919251</v>
      </c>
      <c r="S370" s="401" t="s">
        <v>1774</v>
      </c>
      <c r="T370" s="501">
        <v>1.087</v>
      </c>
      <c r="U370" s="501">
        <v>1.077</v>
      </c>
      <c r="V370" s="501">
        <v>1.073</v>
      </c>
      <c r="W370" s="501">
        <v>1.071</v>
      </c>
      <c r="X370" s="596">
        <v>0.9</v>
      </c>
      <c r="Y370" s="502">
        <v>15281.95</v>
      </c>
      <c r="Z370" s="489">
        <f t="shared" si="82"/>
        <v>18032.701000000001</v>
      </c>
      <c r="AA370" s="489">
        <v>16063.715</v>
      </c>
      <c r="AB370" s="488">
        <f t="shared" si="83"/>
        <v>18955.183699999998</v>
      </c>
      <c r="AC370" s="492">
        <f t="shared" si="84"/>
        <v>15281.95</v>
      </c>
      <c r="AD370" s="493">
        <f t="shared" si="85"/>
        <v>18032.701000000001</v>
      </c>
      <c r="AE370" s="494" t="s">
        <v>1775</v>
      </c>
      <c r="AF370" s="494" t="s">
        <v>83</v>
      </c>
      <c r="AG370" s="494" t="s">
        <v>211</v>
      </c>
      <c r="AH370" s="494" t="s">
        <v>545</v>
      </c>
      <c r="AI370" s="495">
        <v>41932</v>
      </c>
      <c r="AJ370" s="495">
        <v>41967</v>
      </c>
      <c r="AK370" s="494" t="s">
        <v>96</v>
      </c>
      <c r="AL370" s="494" t="s">
        <v>96</v>
      </c>
      <c r="AM370" s="496" t="s">
        <v>1846</v>
      </c>
      <c r="AN370" s="496" t="s">
        <v>1757</v>
      </c>
      <c r="AO370" s="494">
        <v>796</v>
      </c>
      <c r="AP370" s="494" t="s">
        <v>368</v>
      </c>
      <c r="AQ370" s="494">
        <v>1</v>
      </c>
      <c r="AR370" s="494">
        <v>45</v>
      </c>
      <c r="AS370" s="496" t="s">
        <v>547</v>
      </c>
      <c r="AT370" s="495">
        <v>41987</v>
      </c>
      <c r="AU370" s="495">
        <v>41987</v>
      </c>
      <c r="AV370" s="495">
        <v>42369</v>
      </c>
      <c r="AW370" s="494" t="s">
        <v>99</v>
      </c>
      <c r="AX370" s="496"/>
      <c r="AY370" s="494" t="s">
        <v>186</v>
      </c>
      <c r="AZ370" s="494"/>
      <c r="BA370" s="494">
        <v>2014</v>
      </c>
      <c r="BB370" s="494" t="s">
        <v>1969</v>
      </c>
      <c r="BC370" s="496" t="s">
        <v>1970</v>
      </c>
      <c r="BD370" s="496" t="s">
        <v>1818</v>
      </c>
      <c r="BE370" s="497">
        <v>42369</v>
      </c>
      <c r="BF370" s="498">
        <v>5947.2</v>
      </c>
      <c r="BG370" s="488">
        <v>5947.2</v>
      </c>
      <c r="BH370" s="488">
        <v>0</v>
      </c>
      <c r="BI370" s="488">
        <v>0.8</v>
      </c>
      <c r="BJ370" s="494" t="s">
        <v>186</v>
      </c>
      <c r="BK370" s="401"/>
    </row>
    <row r="371" spans="1:63" ht="112.5">
      <c r="A371" s="401">
        <v>2</v>
      </c>
      <c r="B371" s="494" t="s">
        <v>1971</v>
      </c>
      <c r="C371" s="401" t="s">
        <v>83</v>
      </c>
      <c r="D371" s="401" t="s">
        <v>242</v>
      </c>
      <c r="E371" s="494" t="s">
        <v>5853</v>
      </c>
      <c r="F371" s="401" t="s">
        <v>1768</v>
      </c>
      <c r="G371" s="401" t="s">
        <v>1769</v>
      </c>
      <c r="H371" s="499">
        <v>854215</v>
      </c>
      <c r="I371" s="486" t="s">
        <v>1972</v>
      </c>
      <c r="J371" s="496" t="s">
        <v>2237</v>
      </c>
      <c r="K371" s="496" t="s">
        <v>2237</v>
      </c>
      <c r="L371" s="496" t="s">
        <v>1772</v>
      </c>
      <c r="M371" s="500" t="s">
        <v>1755</v>
      </c>
      <c r="N371" s="496" t="s">
        <v>1773</v>
      </c>
      <c r="O371" s="496" t="s">
        <v>2234</v>
      </c>
      <c r="P371" s="489">
        <v>1470.7172880000001</v>
      </c>
      <c r="Q371" s="489">
        <f t="shared" si="81"/>
        <v>1735.4463998399999</v>
      </c>
      <c r="R371" s="489">
        <v>1101.4677511432569</v>
      </c>
      <c r="S371" s="401" t="s">
        <v>1774</v>
      </c>
      <c r="T371" s="501">
        <v>1.087</v>
      </c>
      <c r="U371" s="501">
        <v>1.077</v>
      </c>
      <c r="V371" s="501">
        <v>1.073</v>
      </c>
      <c r="W371" s="501">
        <v>1.071</v>
      </c>
      <c r="X371" s="596">
        <v>0.9</v>
      </c>
      <c r="Y371" s="502">
        <v>1421.6933784</v>
      </c>
      <c r="Z371" s="489">
        <f t="shared" si="82"/>
        <v>1677.598186512</v>
      </c>
      <c r="AA371" s="489">
        <v>1328.377</v>
      </c>
      <c r="AB371" s="488">
        <f t="shared" si="83"/>
        <v>1567.4848599999998</v>
      </c>
      <c r="AC371" s="492">
        <f t="shared" si="84"/>
        <v>1328.377</v>
      </c>
      <c r="AD371" s="493">
        <f t="shared" si="85"/>
        <v>1567.4848599999998</v>
      </c>
      <c r="AE371" s="494" t="s">
        <v>1775</v>
      </c>
      <c r="AF371" s="494" t="s">
        <v>83</v>
      </c>
      <c r="AG371" s="494" t="s">
        <v>211</v>
      </c>
      <c r="AH371" s="494" t="s">
        <v>545</v>
      </c>
      <c r="AI371" s="495">
        <v>41932</v>
      </c>
      <c r="AJ371" s="495">
        <v>41967</v>
      </c>
      <c r="AK371" s="494" t="s">
        <v>96</v>
      </c>
      <c r="AL371" s="494" t="s">
        <v>96</v>
      </c>
      <c r="AM371" s="496" t="s">
        <v>2238</v>
      </c>
      <c r="AN371" s="496" t="s">
        <v>1757</v>
      </c>
      <c r="AO371" s="494">
        <v>796</v>
      </c>
      <c r="AP371" s="494" t="s">
        <v>368</v>
      </c>
      <c r="AQ371" s="494">
        <v>1</v>
      </c>
      <c r="AR371" s="494">
        <v>45</v>
      </c>
      <c r="AS371" s="496" t="s">
        <v>547</v>
      </c>
      <c r="AT371" s="495">
        <v>41987</v>
      </c>
      <c r="AU371" s="495">
        <v>41987</v>
      </c>
      <c r="AV371" s="495">
        <v>42369</v>
      </c>
      <c r="AW371" s="494" t="s">
        <v>99</v>
      </c>
      <c r="AX371" s="496"/>
      <c r="AY371" s="494" t="s">
        <v>186</v>
      </c>
      <c r="AZ371" s="494"/>
      <c r="BA371" s="494">
        <v>2014</v>
      </c>
      <c r="BB371" s="494" t="s">
        <v>5597</v>
      </c>
      <c r="BC371" s="496" t="s">
        <v>1973</v>
      </c>
      <c r="BD371" s="496" t="s">
        <v>1818</v>
      </c>
      <c r="BE371" s="497">
        <v>42369</v>
      </c>
      <c r="BF371" s="498">
        <v>1635.7522141999998</v>
      </c>
      <c r="BG371" s="488">
        <v>1635.7522141999998</v>
      </c>
      <c r="BH371" s="488">
        <v>1.26</v>
      </c>
      <c r="BI371" s="488">
        <v>0.1</v>
      </c>
      <c r="BJ371" s="494" t="s">
        <v>1465</v>
      </c>
      <c r="BK371" s="401"/>
    </row>
    <row r="372" spans="1:63" ht="112.5">
      <c r="A372" s="401">
        <v>2</v>
      </c>
      <c r="B372" s="494" t="s">
        <v>1974</v>
      </c>
      <c r="C372" s="401" t="s">
        <v>83</v>
      </c>
      <c r="D372" s="401" t="s">
        <v>242</v>
      </c>
      <c r="E372" s="494" t="s">
        <v>5853</v>
      </c>
      <c r="F372" s="401" t="s">
        <v>1768</v>
      </c>
      <c r="G372" s="401" t="s">
        <v>1769</v>
      </c>
      <c r="H372" s="499">
        <v>854216</v>
      </c>
      <c r="I372" s="486" t="s">
        <v>1975</v>
      </c>
      <c r="J372" s="496" t="s">
        <v>2237</v>
      </c>
      <c r="K372" s="496" t="s">
        <v>2237</v>
      </c>
      <c r="L372" s="496" t="s">
        <v>1772</v>
      </c>
      <c r="M372" s="500" t="s">
        <v>1755</v>
      </c>
      <c r="N372" s="496" t="s">
        <v>1773</v>
      </c>
      <c r="O372" s="496" t="s">
        <v>2234</v>
      </c>
      <c r="P372" s="489">
        <v>1032</v>
      </c>
      <c r="Q372" s="489">
        <f t="shared" si="81"/>
        <v>1217.76</v>
      </c>
      <c r="R372" s="489">
        <v>839.53533189363361</v>
      </c>
      <c r="S372" s="401" t="s">
        <v>1774</v>
      </c>
      <c r="T372" s="501">
        <v>1.087</v>
      </c>
      <c r="U372" s="501">
        <v>1.077</v>
      </c>
      <c r="V372" s="501">
        <v>1.073</v>
      </c>
      <c r="W372" s="501">
        <v>1.071</v>
      </c>
      <c r="X372" s="596">
        <v>0.9</v>
      </c>
      <c r="Y372" s="502">
        <v>1016.52</v>
      </c>
      <c r="Z372" s="489">
        <f t="shared" si="82"/>
        <v>1199.4936</v>
      </c>
      <c r="AA372" s="489">
        <v>1036.4570000000001</v>
      </c>
      <c r="AB372" s="488">
        <f t="shared" si="83"/>
        <v>1223.01926</v>
      </c>
      <c r="AC372" s="492">
        <f t="shared" si="84"/>
        <v>1016.52</v>
      </c>
      <c r="AD372" s="493">
        <f t="shared" si="85"/>
        <v>1199.4936</v>
      </c>
      <c r="AE372" s="494" t="s">
        <v>1775</v>
      </c>
      <c r="AF372" s="494" t="s">
        <v>83</v>
      </c>
      <c r="AG372" s="494" t="s">
        <v>211</v>
      </c>
      <c r="AH372" s="494" t="s">
        <v>545</v>
      </c>
      <c r="AI372" s="495">
        <v>41730</v>
      </c>
      <c r="AJ372" s="495">
        <v>41765</v>
      </c>
      <c r="AK372" s="494" t="s">
        <v>96</v>
      </c>
      <c r="AL372" s="494" t="s">
        <v>96</v>
      </c>
      <c r="AM372" s="496" t="s">
        <v>2238</v>
      </c>
      <c r="AN372" s="496" t="s">
        <v>1757</v>
      </c>
      <c r="AO372" s="494">
        <v>796</v>
      </c>
      <c r="AP372" s="494" t="s">
        <v>368</v>
      </c>
      <c r="AQ372" s="494">
        <v>1</v>
      </c>
      <c r="AR372" s="494">
        <v>45</v>
      </c>
      <c r="AS372" s="496" t="s">
        <v>547</v>
      </c>
      <c r="AT372" s="495">
        <v>41785</v>
      </c>
      <c r="AU372" s="495">
        <v>41785</v>
      </c>
      <c r="AV372" s="495">
        <v>42004</v>
      </c>
      <c r="AW372" s="494">
        <v>2014</v>
      </c>
      <c r="AX372" s="496"/>
      <c r="AY372" s="494" t="s">
        <v>186</v>
      </c>
      <c r="AZ372" s="494"/>
      <c r="BA372" s="494">
        <v>2014</v>
      </c>
      <c r="BB372" s="494" t="s">
        <v>1976</v>
      </c>
      <c r="BC372" s="496" t="s">
        <v>1977</v>
      </c>
      <c r="BD372" s="496" t="s">
        <v>1818</v>
      </c>
      <c r="BE372" s="497">
        <v>42004</v>
      </c>
      <c r="BF372" s="498">
        <v>1300.0012799999997</v>
      </c>
      <c r="BG372" s="488">
        <v>1300.0012799999997</v>
      </c>
      <c r="BH372" s="488">
        <v>0</v>
      </c>
      <c r="BI372" s="488">
        <v>0</v>
      </c>
      <c r="BJ372" s="494" t="s">
        <v>1465</v>
      </c>
      <c r="BK372" s="401"/>
    </row>
    <row r="373" spans="1:63" ht="112.5">
      <c r="A373" s="401">
        <v>2</v>
      </c>
      <c r="B373" s="494" t="s">
        <v>1991</v>
      </c>
      <c r="C373" s="401" t="s">
        <v>83</v>
      </c>
      <c r="D373" s="401" t="s">
        <v>242</v>
      </c>
      <c r="E373" s="494" t="s">
        <v>5853</v>
      </c>
      <c r="F373" s="401" t="s">
        <v>1768</v>
      </c>
      <c r="G373" s="401" t="s">
        <v>1769</v>
      </c>
      <c r="H373" s="499">
        <v>854221</v>
      </c>
      <c r="I373" s="486" t="s">
        <v>1992</v>
      </c>
      <c r="J373" s="496" t="s">
        <v>5317</v>
      </c>
      <c r="K373" s="496" t="s">
        <v>5317</v>
      </c>
      <c r="L373" s="496" t="s">
        <v>1772</v>
      </c>
      <c r="M373" s="500" t="s">
        <v>1755</v>
      </c>
      <c r="N373" s="496" t="s">
        <v>1773</v>
      </c>
      <c r="O373" s="496" t="s">
        <v>2234</v>
      </c>
      <c r="P373" s="489">
        <v>1152.4274009999999</v>
      </c>
      <c r="Q373" s="489">
        <f t="shared" si="81"/>
        <v>1359.8643331799999</v>
      </c>
      <c r="R373" s="489">
        <v>863.09015885814392</v>
      </c>
      <c r="S373" s="401" t="s">
        <v>1774</v>
      </c>
      <c r="T373" s="501">
        <v>1.087</v>
      </c>
      <c r="U373" s="501">
        <v>1.077</v>
      </c>
      <c r="V373" s="501">
        <v>1.073</v>
      </c>
      <c r="W373" s="501">
        <v>1.071</v>
      </c>
      <c r="X373" s="596">
        <v>0.9</v>
      </c>
      <c r="Y373" s="502">
        <v>1114.0131543</v>
      </c>
      <c r="Z373" s="489">
        <f t="shared" si="82"/>
        <v>1314.535522074</v>
      </c>
      <c r="AA373" s="489">
        <v>1078.2120370390815</v>
      </c>
      <c r="AB373" s="488">
        <f t="shared" si="83"/>
        <v>1272.290203706116</v>
      </c>
      <c r="AC373" s="492">
        <f t="shared" si="84"/>
        <v>1078.2120370390815</v>
      </c>
      <c r="AD373" s="493">
        <f t="shared" si="85"/>
        <v>1272.290203706116</v>
      </c>
      <c r="AE373" s="494" t="s">
        <v>1775</v>
      </c>
      <c r="AF373" s="494" t="s">
        <v>83</v>
      </c>
      <c r="AG373" s="494" t="s">
        <v>211</v>
      </c>
      <c r="AH373" s="494" t="s">
        <v>545</v>
      </c>
      <c r="AI373" s="495">
        <v>41730</v>
      </c>
      <c r="AJ373" s="495">
        <v>41765</v>
      </c>
      <c r="AK373" s="494" t="s">
        <v>96</v>
      </c>
      <c r="AL373" s="494" t="s">
        <v>96</v>
      </c>
      <c r="AM373" s="496" t="s">
        <v>1846</v>
      </c>
      <c r="AN373" s="496" t="s">
        <v>1757</v>
      </c>
      <c r="AO373" s="494">
        <v>796</v>
      </c>
      <c r="AP373" s="494" t="s">
        <v>368</v>
      </c>
      <c r="AQ373" s="494">
        <v>1</v>
      </c>
      <c r="AR373" s="494">
        <v>45</v>
      </c>
      <c r="AS373" s="496" t="s">
        <v>547</v>
      </c>
      <c r="AT373" s="495">
        <v>41785</v>
      </c>
      <c r="AU373" s="495">
        <v>41785</v>
      </c>
      <c r="AV373" s="495">
        <v>42369</v>
      </c>
      <c r="AW373" s="494" t="s">
        <v>99</v>
      </c>
      <c r="AX373" s="496"/>
      <c r="AY373" s="494" t="s">
        <v>186</v>
      </c>
      <c r="AZ373" s="494"/>
      <c r="BA373" s="494">
        <v>2014</v>
      </c>
      <c r="BB373" s="494" t="s">
        <v>1993</v>
      </c>
      <c r="BC373" s="496" t="s">
        <v>1994</v>
      </c>
      <c r="BD373" s="496" t="s">
        <v>1818</v>
      </c>
      <c r="BE373" s="497">
        <v>42369</v>
      </c>
      <c r="BF373" s="498">
        <v>1420.3027479879997</v>
      </c>
      <c r="BG373" s="488">
        <v>1420.3027479879997</v>
      </c>
      <c r="BH373" s="488">
        <v>0</v>
      </c>
      <c r="BI373" s="488">
        <v>0.22</v>
      </c>
      <c r="BJ373" s="494" t="s">
        <v>186</v>
      </c>
      <c r="BK373" s="401"/>
    </row>
    <row r="374" spans="1:63" ht="112.5">
      <c r="A374" s="401">
        <v>2</v>
      </c>
      <c r="B374" s="494" t="s">
        <v>1995</v>
      </c>
      <c r="C374" s="401" t="s">
        <v>83</v>
      </c>
      <c r="D374" s="401" t="s">
        <v>242</v>
      </c>
      <c r="E374" s="494" t="s">
        <v>5853</v>
      </c>
      <c r="F374" s="401" t="s">
        <v>1768</v>
      </c>
      <c r="G374" s="401" t="s">
        <v>1769</v>
      </c>
      <c r="H374" s="499">
        <v>854222</v>
      </c>
      <c r="I374" s="486" t="s">
        <v>1996</v>
      </c>
      <c r="J374" s="496" t="s">
        <v>5317</v>
      </c>
      <c r="K374" s="496" t="s">
        <v>5317</v>
      </c>
      <c r="L374" s="496" t="s">
        <v>1772</v>
      </c>
      <c r="M374" s="500" t="s">
        <v>1755</v>
      </c>
      <c r="N374" s="496" t="s">
        <v>1773</v>
      </c>
      <c r="O374" s="496" t="s">
        <v>2234</v>
      </c>
      <c r="P374" s="489">
        <v>598.9459589999999</v>
      </c>
      <c r="Q374" s="489">
        <f t="shared" si="81"/>
        <v>706.75623161999988</v>
      </c>
      <c r="R374" s="489">
        <v>448.57000315350302</v>
      </c>
      <c r="S374" s="401" t="s">
        <v>1774</v>
      </c>
      <c r="T374" s="501">
        <v>1.087</v>
      </c>
      <c r="U374" s="501">
        <v>1.077</v>
      </c>
      <c r="V374" s="501">
        <v>1.073</v>
      </c>
      <c r="W374" s="501">
        <v>1.071</v>
      </c>
      <c r="X374" s="596">
        <v>0.9</v>
      </c>
      <c r="Y374" s="502">
        <v>578.98109369999997</v>
      </c>
      <c r="Z374" s="489">
        <f t="shared" si="82"/>
        <v>683.19769056599989</v>
      </c>
      <c r="AA374" s="489">
        <v>568.9986610499999</v>
      </c>
      <c r="AB374" s="488">
        <f t="shared" si="83"/>
        <v>671.4184200389999</v>
      </c>
      <c r="AC374" s="492">
        <f t="shared" si="84"/>
        <v>568.9986610499999</v>
      </c>
      <c r="AD374" s="493">
        <f t="shared" si="85"/>
        <v>671.4184200389999</v>
      </c>
      <c r="AE374" s="494" t="s">
        <v>1775</v>
      </c>
      <c r="AF374" s="494" t="s">
        <v>83</v>
      </c>
      <c r="AG374" s="494" t="s">
        <v>211</v>
      </c>
      <c r="AH374" s="494" t="s">
        <v>545</v>
      </c>
      <c r="AI374" s="495">
        <v>41932</v>
      </c>
      <c r="AJ374" s="495">
        <v>41967</v>
      </c>
      <c r="AK374" s="494" t="s">
        <v>96</v>
      </c>
      <c r="AL374" s="494" t="s">
        <v>96</v>
      </c>
      <c r="AM374" s="496" t="s">
        <v>1846</v>
      </c>
      <c r="AN374" s="496" t="s">
        <v>1757</v>
      </c>
      <c r="AO374" s="494">
        <v>796</v>
      </c>
      <c r="AP374" s="494" t="s">
        <v>368</v>
      </c>
      <c r="AQ374" s="494">
        <v>1</v>
      </c>
      <c r="AR374" s="494">
        <v>45</v>
      </c>
      <c r="AS374" s="496" t="s">
        <v>547</v>
      </c>
      <c r="AT374" s="495">
        <v>41987</v>
      </c>
      <c r="AU374" s="495">
        <v>41987</v>
      </c>
      <c r="AV374" s="495">
        <v>42369</v>
      </c>
      <c r="AW374" s="494" t="s">
        <v>99</v>
      </c>
      <c r="AX374" s="496"/>
      <c r="AY374" s="494" t="s">
        <v>186</v>
      </c>
      <c r="AZ374" s="494"/>
      <c r="BA374" s="494">
        <v>2014</v>
      </c>
      <c r="BB374" s="494" t="s">
        <v>1997</v>
      </c>
      <c r="BC374" s="496" t="s">
        <v>1998</v>
      </c>
      <c r="BD374" s="496" t="s">
        <v>1818</v>
      </c>
      <c r="BE374" s="497">
        <v>42369</v>
      </c>
      <c r="BF374" s="498">
        <v>785.28470179999988</v>
      </c>
      <c r="BG374" s="488">
        <v>785.28470179999988</v>
      </c>
      <c r="BH374" s="488">
        <v>0</v>
      </c>
      <c r="BI374" s="488">
        <v>0.1</v>
      </c>
      <c r="BJ374" s="494" t="s">
        <v>186</v>
      </c>
      <c r="BK374" s="401"/>
    </row>
    <row r="375" spans="1:63" ht="112.5">
      <c r="A375" s="401">
        <v>2</v>
      </c>
      <c r="B375" s="494" t="s">
        <v>1999</v>
      </c>
      <c r="C375" s="401" t="s">
        <v>83</v>
      </c>
      <c r="D375" s="401" t="s">
        <v>242</v>
      </c>
      <c r="E375" s="494" t="s">
        <v>5853</v>
      </c>
      <c r="F375" s="401" t="s">
        <v>1768</v>
      </c>
      <c r="G375" s="401" t="s">
        <v>1769</v>
      </c>
      <c r="H375" s="499">
        <v>854223</v>
      </c>
      <c r="I375" s="486" t="s">
        <v>2000</v>
      </c>
      <c r="J375" s="496" t="s">
        <v>5317</v>
      </c>
      <c r="K375" s="496" t="s">
        <v>5317</v>
      </c>
      <c r="L375" s="496" t="s">
        <v>1772</v>
      </c>
      <c r="M375" s="500" t="s">
        <v>1755</v>
      </c>
      <c r="N375" s="496" t="s">
        <v>1773</v>
      </c>
      <c r="O375" s="496" t="s">
        <v>2234</v>
      </c>
      <c r="P375" s="489">
        <v>477.00300599999991</v>
      </c>
      <c r="Q375" s="489">
        <f t="shared" si="81"/>
        <v>562.86354707999988</v>
      </c>
      <c r="R375" s="489">
        <v>357.24298109113772</v>
      </c>
      <c r="S375" s="401" t="s">
        <v>1774</v>
      </c>
      <c r="T375" s="501">
        <v>1.087</v>
      </c>
      <c r="U375" s="501">
        <v>1.077</v>
      </c>
      <c r="V375" s="501">
        <v>1.073</v>
      </c>
      <c r="W375" s="501">
        <v>1.071</v>
      </c>
      <c r="X375" s="596">
        <v>0.9</v>
      </c>
      <c r="Y375" s="502">
        <v>461.10290579999992</v>
      </c>
      <c r="Z375" s="489">
        <f t="shared" si="82"/>
        <v>544.10142884399988</v>
      </c>
      <c r="AA375" s="489">
        <v>442.64699999999999</v>
      </c>
      <c r="AB375" s="488">
        <f t="shared" si="83"/>
        <v>522.32345999999995</v>
      </c>
      <c r="AC375" s="492">
        <f t="shared" si="84"/>
        <v>442.64699999999999</v>
      </c>
      <c r="AD375" s="493">
        <f t="shared" si="85"/>
        <v>522.32345999999995</v>
      </c>
      <c r="AE375" s="494" t="s">
        <v>1775</v>
      </c>
      <c r="AF375" s="494" t="s">
        <v>83</v>
      </c>
      <c r="AG375" s="494" t="s">
        <v>211</v>
      </c>
      <c r="AH375" s="494" t="s">
        <v>545</v>
      </c>
      <c r="AI375" s="495">
        <v>41730</v>
      </c>
      <c r="AJ375" s="495">
        <v>41765</v>
      </c>
      <c r="AK375" s="494" t="s">
        <v>96</v>
      </c>
      <c r="AL375" s="494" t="s">
        <v>96</v>
      </c>
      <c r="AM375" s="496" t="s">
        <v>1846</v>
      </c>
      <c r="AN375" s="496" t="s">
        <v>1757</v>
      </c>
      <c r="AO375" s="494">
        <v>796</v>
      </c>
      <c r="AP375" s="494" t="s">
        <v>368</v>
      </c>
      <c r="AQ375" s="494">
        <v>1</v>
      </c>
      <c r="AR375" s="494">
        <v>45</v>
      </c>
      <c r="AS375" s="496" t="s">
        <v>547</v>
      </c>
      <c r="AT375" s="495">
        <v>41785</v>
      </c>
      <c r="AU375" s="495">
        <v>41785</v>
      </c>
      <c r="AV375" s="495">
        <v>42369</v>
      </c>
      <c r="AW375" s="494" t="s">
        <v>99</v>
      </c>
      <c r="AX375" s="496"/>
      <c r="AY375" s="494" t="s">
        <v>186</v>
      </c>
      <c r="AZ375" s="494"/>
      <c r="BA375" s="494">
        <v>2014</v>
      </c>
      <c r="BB375" s="494" t="s">
        <v>2001</v>
      </c>
      <c r="BC375" s="496" t="s">
        <v>2002</v>
      </c>
      <c r="BD375" s="496" t="s">
        <v>1818</v>
      </c>
      <c r="BE375" s="497">
        <v>42369</v>
      </c>
      <c r="BF375" s="498">
        <v>625.40394679999986</v>
      </c>
      <c r="BG375" s="488">
        <v>625.40394679999986</v>
      </c>
      <c r="BH375" s="488">
        <v>0</v>
      </c>
      <c r="BI375" s="488">
        <v>0.14000000000000001</v>
      </c>
      <c r="BJ375" s="494" t="s">
        <v>186</v>
      </c>
      <c r="BK375" s="401"/>
    </row>
    <row r="376" spans="1:63" ht="112.5">
      <c r="A376" s="401">
        <v>2</v>
      </c>
      <c r="B376" s="494" t="s">
        <v>2003</v>
      </c>
      <c r="C376" s="401" t="s">
        <v>83</v>
      </c>
      <c r="D376" s="401" t="s">
        <v>242</v>
      </c>
      <c r="E376" s="494" t="s">
        <v>5853</v>
      </c>
      <c r="F376" s="401" t="s">
        <v>1768</v>
      </c>
      <c r="G376" s="401" t="s">
        <v>1769</v>
      </c>
      <c r="H376" s="499">
        <v>854224</v>
      </c>
      <c r="I376" s="486" t="s">
        <v>2004</v>
      </c>
      <c r="J376" s="496" t="s">
        <v>2237</v>
      </c>
      <c r="K376" s="496" t="s">
        <v>2237</v>
      </c>
      <c r="L376" s="496" t="s">
        <v>1772</v>
      </c>
      <c r="M376" s="500" t="s">
        <v>1755</v>
      </c>
      <c r="N376" s="496" t="s">
        <v>1773</v>
      </c>
      <c r="O376" s="496" t="s">
        <v>2234</v>
      </c>
      <c r="P376" s="489">
        <v>10449.438470999999</v>
      </c>
      <c r="Q376" s="489">
        <f t="shared" si="81"/>
        <v>12330.337395779999</v>
      </c>
      <c r="R376" s="489">
        <v>7825.9224850848441</v>
      </c>
      <c r="S376" s="401" t="s">
        <v>1774</v>
      </c>
      <c r="T376" s="501">
        <v>1.087</v>
      </c>
      <c r="U376" s="501">
        <v>1.077</v>
      </c>
      <c r="V376" s="501">
        <v>1.073</v>
      </c>
      <c r="W376" s="501">
        <v>1.071</v>
      </c>
      <c r="X376" s="596">
        <v>0.9</v>
      </c>
      <c r="Y376" s="502">
        <v>10101.1238553</v>
      </c>
      <c r="Z376" s="489">
        <f t="shared" si="82"/>
        <v>11919.326149254</v>
      </c>
      <c r="AA376" s="489">
        <v>9776.5033441195083</v>
      </c>
      <c r="AB376" s="488">
        <f t="shared" si="83"/>
        <v>11536.273946061019</v>
      </c>
      <c r="AC376" s="492">
        <f t="shared" si="84"/>
        <v>9776.5033441195083</v>
      </c>
      <c r="AD376" s="493">
        <f t="shared" si="85"/>
        <v>11536.273946061019</v>
      </c>
      <c r="AE376" s="494" t="s">
        <v>1775</v>
      </c>
      <c r="AF376" s="494" t="s">
        <v>83</v>
      </c>
      <c r="AG376" s="494" t="s">
        <v>211</v>
      </c>
      <c r="AH376" s="494" t="s">
        <v>545</v>
      </c>
      <c r="AI376" s="495">
        <v>41932</v>
      </c>
      <c r="AJ376" s="495">
        <v>41967</v>
      </c>
      <c r="AK376" s="494" t="s">
        <v>96</v>
      </c>
      <c r="AL376" s="494" t="s">
        <v>96</v>
      </c>
      <c r="AM376" s="496" t="s">
        <v>2238</v>
      </c>
      <c r="AN376" s="496" t="s">
        <v>1757</v>
      </c>
      <c r="AO376" s="494">
        <v>796</v>
      </c>
      <c r="AP376" s="494" t="s">
        <v>368</v>
      </c>
      <c r="AQ376" s="494">
        <v>1</v>
      </c>
      <c r="AR376" s="494">
        <v>45</v>
      </c>
      <c r="AS376" s="496" t="s">
        <v>547</v>
      </c>
      <c r="AT376" s="495">
        <v>41987</v>
      </c>
      <c r="AU376" s="495">
        <v>41987</v>
      </c>
      <c r="AV376" s="495">
        <v>42369</v>
      </c>
      <c r="AW376" s="494" t="s">
        <v>99</v>
      </c>
      <c r="AX376" s="496"/>
      <c r="AY376" s="494" t="s">
        <v>186</v>
      </c>
      <c r="AZ376" s="494"/>
      <c r="BA376" s="494">
        <v>2014</v>
      </c>
      <c r="BB376" s="494" t="s">
        <v>2005</v>
      </c>
      <c r="BC376" s="496" t="s">
        <v>2006</v>
      </c>
      <c r="BD376" s="496" t="s">
        <v>1818</v>
      </c>
      <c r="BE376" s="497">
        <v>42369</v>
      </c>
      <c r="BF376" s="498">
        <v>12878.352391147997</v>
      </c>
      <c r="BG376" s="488">
        <v>12878.352391147997</v>
      </c>
      <c r="BH376" s="488">
        <v>2</v>
      </c>
      <c r="BI376" s="488">
        <v>0</v>
      </c>
      <c r="BJ376" s="494" t="s">
        <v>186</v>
      </c>
      <c r="BK376" s="401"/>
    </row>
    <row r="377" spans="1:63" ht="112.5">
      <c r="A377" s="401">
        <v>2</v>
      </c>
      <c r="B377" s="494" t="s">
        <v>2007</v>
      </c>
      <c r="C377" s="401" t="s">
        <v>83</v>
      </c>
      <c r="D377" s="401" t="s">
        <v>242</v>
      </c>
      <c r="E377" s="494" t="s">
        <v>5853</v>
      </c>
      <c r="F377" s="401" t="s">
        <v>1768</v>
      </c>
      <c r="G377" s="401" t="s">
        <v>1769</v>
      </c>
      <c r="H377" s="499">
        <v>854225</v>
      </c>
      <c r="I377" s="486" t="s">
        <v>2008</v>
      </c>
      <c r="J377" s="496" t="s">
        <v>2237</v>
      </c>
      <c r="K377" s="496" t="s">
        <v>2237</v>
      </c>
      <c r="L377" s="496" t="s">
        <v>1772</v>
      </c>
      <c r="M377" s="500" t="s">
        <v>1755</v>
      </c>
      <c r="N377" s="496" t="s">
        <v>1773</v>
      </c>
      <c r="O377" s="496" t="s">
        <v>2234</v>
      </c>
      <c r="P377" s="489">
        <v>10449.438470999999</v>
      </c>
      <c r="Q377" s="489">
        <f t="shared" si="81"/>
        <v>12330.337395779999</v>
      </c>
      <c r="R377" s="489">
        <v>7825.9224850848441</v>
      </c>
      <c r="S377" s="401" t="s">
        <v>1774</v>
      </c>
      <c r="T377" s="501">
        <v>1.087</v>
      </c>
      <c r="U377" s="501">
        <v>1.077</v>
      </c>
      <c r="V377" s="501">
        <v>1.073</v>
      </c>
      <c r="W377" s="501">
        <v>1.071</v>
      </c>
      <c r="X377" s="596">
        <v>0.9</v>
      </c>
      <c r="Y377" s="502">
        <v>10101.1238553</v>
      </c>
      <c r="Z377" s="489">
        <f t="shared" si="82"/>
        <v>11919.326149254</v>
      </c>
      <c r="AA377" s="489">
        <v>9776.5033441195083</v>
      </c>
      <c r="AB377" s="488">
        <f t="shared" si="83"/>
        <v>11536.273946061019</v>
      </c>
      <c r="AC377" s="492">
        <f t="shared" si="84"/>
        <v>9776.5033441195083</v>
      </c>
      <c r="AD377" s="493">
        <f t="shared" si="85"/>
        <v>11536.273946061019</v>
      </c>
      <c r="AE377" s="494" t="s">
        <v>1775</v>
      </c>
      <c r="AF377" s="494" t="s">
        <v>83</v>
      </c>
      <c r="AG377" s="494" t="s">
        <v>211</v>
      </c>
      <c r="AH377" s="494" t="s">
        <v>545</v>
      </c>
      <c r="AI377" s="495">
        <v>41760</v>
      </c>
      <c r="AJ377" s="495">
        <v>41795</v>
      </c>
      <c r="AK377" s="494" t="s">
        <v>96</v>
      </c>
      <c r="AL377" s="494" t="s">
        <v>96</v>
      </c>
      <c r="AM377" s="496" t="s">
        <v>2238</v>
      </c>
      <c r="AN377" s="496" t="s">
        <v>1757</v>
      </c>
      <c r="AO377" s="494">
        <v>796</v>
      </c>
      <c r="AP377" s="494" t="s">
        <v>368</v>
      </c>
      <c r="AQ377" s="494">
        <v>1</v>
      </c>
      <c r="AR377" s="494">
        <v>45</v>
      </c>
      <c r="AS377" s="496" t="s">
        <v>547</v>
      </c>
      <c r="AT377" s="495">
        <v>41815</v>
      </c>
      <c r="AU377" s="495">
        <v>41815</v>
      </c>
      <c r="AV377" s="495">
        <v>42369</v>
      </c>
      <c r="AW377" s="494" t="s">
        <v>99</v>
      </c>
      <c r="AX377" s="496"/>
      <c r="AY377" s="494" t="s">
        <v>186</v>
      </c>
      <c r="AZ377" s="494"/>
      <c r="BA377" s="494">
        <v>2014</v>
      </c>
      <c r="BB377" s="494" t="s">
        <v>2009</v>
      </c>
      <c r="BC377" s="496" t="s">
        <v>2010</v>
      </c>
      <c r="BD377" s="496" t="s">
        <v>1818</v>
      </c>
      <c r="BE377" s="497">
        <v>42369</v>
      </c>
      <c r="BF377" s="498">
        <v>12878.352391147997</v>
      </c>
      <c r="BG377" s="488">
        <v>12878.352391147997</v>
      </c>
      <c r="BH377" s="488">
        <v>2</v>
      </c>
      <c r="BI377" s="488">
        <v>0</v>
      </c>
      <c r="BJ377" s="494" t="s">
        <v>186</v>
      </c>
      <c r="BK377" s="401"/>
    </row>
    <row r="378" spans="1:63" ht="112.5">
      <c r="A378" s="401">
        <v>2</v>
      </c>
      <c r="B378" s="494" t="s">
        <v>2011</v>
      </c>
      <c r="C378" s="401" t="s">
        <v>83</v>
      </c>
      <c r="D378" s="401" t="s">
        <v>242</v>
      </c>
      <c r="E378" s="494" t="s">
        <v>5853</v>
      </c>
      <c r="F378" s="401" t="s">
        <v>1768</v>
      </c>
      <c r="G378" s="401" t="s">
        <v>1769</v>
      </c>
      <c r="H378" s="499">
        <v>854226</v>
      </c>
      <c r="I378" s="486" t="s">
        <v>2012</v>
      </c>
      <c r="J378" s="496" t="s">
        <v>5594</v>
      </c>
      <c r="K378" s="496" t="s">
        <v>5594</v>
      </c>
      <c r="L378" s="496" t="s">
        <v>1772</v>
      </c>
      <c r="M378" s="500" t="s">
        <v>1755</v>
      </c>
      <c r="N378" s="496" t="s">
        <v>1773</v>
      </c>
      <c r="O378" s="496" t="s">
        <v>2234</v>
      </c>
      <c r="P378" s="489">
        <v>12204.152541000001</v>
      </c>
      <c r="Q378" s="489">
        <f t="shared" si="81"/>
        <v>14400.89999838</v>
      </c>
      <c r="R378" s="489">
        <v>9140.0846128794092</v>
      </c>
      <c r="S378" s="401" t="s">
        <v>1774</v>
      </c>
      <c r="T378" s="501">
        <v>1.087</v>
      </c>
      <c r="U378" s="501">
        <v>1.077</v>
      </c>
      <c r="V378" s="501">
        <v>1.073</v>
      </c>
      <c r="W378" s="501">
        <v>1.071</v>
      </c>
      <c r="X378" s="596">
        <v>0.9</v>
      </c>
      <c r="Y378" s="502">
        <v>11797.3474563</v>
      </c>
      <c r="Z378" s="489">
        <f t="shared" si="82"/>
        <v>13920.869998434</v>
      </c>
      <c r="AA378" s="489">
        <v>8926.4410000000007</v>
      </c>
      <c r="AB378" s="488">
        <f t="shared" si="83"/>
        <v>10533.20038</v>
      </c>
      <c r="AC378" s="492">
        <f t="shared" si="84"/>
        <v>8926.4410000000007</v>
      </c>
      <c r="AD378" s="493">
        <f t="shared" si="85"/>
        <v>10533.20038</v>
      </c>
      <c r="AE378" s="494" t="s">
        <v>218</v>
      </c>
      <c r="AF378" s="494" t="s">
        <v>83</v>
      </c>
      <c r="AG378" s="494" t="s">
        <v>211</v>
      </c>
      <c r="AH378" s="494" t="s">
        <v>545</v>
      </c>
      <c r="AI378" s="495">
        <v>41913</v>
      </c>
      <c r="AJ378" s="495">
        <v>41973</v>
      </c>
      <c r="AK378" s="494" t="s">
        <v>96</v>
      </c>
      <c r="AL378" s="494" t="s">
        <v>96</v>
      </c>
      <c r="AM378" s="496" t="s">
        <v>5595</v>
      </c>
      <c r="AN378" s="496" t="s">
        <v>1757</v>
      </c>
      <c r="AO378" s="494">
        <v>796</v>
      </c>
      <c r="AP378" s="494" t="s">
        <v>368</v>
      </c>
      <c r="AQ378" s="494">
        <v>1</v>
      </c>
      <c r="AR378" s="494">
        <v>45</v>
      </c>
      <c r="AS378" s="496" t="s">
        <v>547</v>
      </c>
      <c r="AT378" s="495">
        <v>41993</v>
      </c>
      <c r="AU378" s="495">
        <v>41993</v>
      </c>
      <c r="AV378" s="495">
        <v>42369</v>
      </c>
      <c r="AW378" s="494" t="s">
        <v>99</v>
      </c>
      <c r="AX378" s="496"/>
      <c r="AY378" s="494" t="s">
        <v>186</v>
      </c>
      <c r="AZ378" s="494"/>
      <c r="BA378" s="494">
        <v>2014</v>
      </c>
      <c r="BB378" s="494" t="s">
        <v>2013</v>
      </c>
      <c r="BC378" s="496" t="s">
        <v>2014</v>
      </c>
      <c r="BD378" s="496" t="s">
        <v>1818</v>
      </c>
      <c r="BE378" s="497">
        <v>42369</v>
      </c>
      <c r="BF378" s="498">
        <v>15462.720000000001</v>
      </c>
      <c r="BG378" s="488">
        <v>15462.720000000001</v>
      </c>
      <c r="BH378" s="488">
        <v>0</v>
      </c>
      <c r="BI378" s="488">
        <v>0</v>
      </c>
      <c r="BJ378" s="494" t="s">
        <v>186</v>
      </c>
      <c r="BK378" s="401"/>
    </row>
    <row r="379" spans="1:63" ht="112.5">
      <c r="A379" s="401">
        <v>2</v>
      </c>
      <c r="B379" s="494" t="s">
        <v>2015</v>
      </c>
      <c r="C379" s="401" t="s">
        <v>83</v>
      </c>
      <c r="D379" s="401" t="s">
        <v>242</v>
      </c>
      <c r="E379" s="494" t="s">
        <v>5853</v>
      </c>
      <c r="F379" s="401" t="s">
        <v>1768</v>
      </c>
      <c r="G379" s="401" t="s">
        <v>1769</v>
      </c>
      <c r="H379" s="499">
        <v>854227</v>
      </c>
      <c r="I379" s="486" t="s">
        <v>2016</v>
      </c>
      <c r="J379" s="496" t="s">
        <v>2237</v>
      </c>
      <c r="K379" s="496" t="s">
        <v>2237</v>
      </c>
      <c r="L379" s="496" t="s">
        <v>1772</v>
      </c>
      <c r="M379" s="500" t="s">
        <v>1755</v>
      </c>
      <c r="N379" s="496" t="s">
        <v>1773</v>
      </c>
      <c r="O379" s="496" t="s">
        <v>2234</v>
      </c>
      <c r="P379" s="489">
        <v>14643.305082000001</v>
      </c>
      <c r="Q379" s="489">
        <f t="shared" si="81"/>
        <v>17279.09999676</v>
      </c>
      <c r="R379" s="489">
        <v>10966.844851541015</v>
      </c>
      <c r="S379" s="401" t="s">
        <v>1774</v>
      </c>
      <c r="T379" s="501">
        <v>1.087</v>
      </c>
      <c r="U379" s="501">
        <v>1.077</v>
      </c>
      <c r="V379" s="501">
        <v>1.073</v>
      </c>
      <c r="W379" s="501">
        <v>1.071</v>
      </c>
      <c r="X379" s="596">
        <v>0.9</v>
      </c>
      <c r="Y379" s="502">
        <v>14155.1949126</v>
      </c>
      <c r="Z379" s="489">
        <f t="shared" si="82"/>
        <v>16703.129996868</v>
      </c>
      <c r="AA379" s="489">
        <v>13764.70677708</v>
      </c>
      <c r="AB379" s="488">
        <f t="shared" si="83"/>
        <v>16242.3539969544</v>
      </c>
      <c r="AC379" s="492">
        <f t="shared" si="84"/>
        <v>13764.70677708</v>
      </c>
      <c r="AD379" s="493">
        <f t="shared" si="85"/>
        <v>16242.3539969544</v>
      </c>
      <c r="AE379" s="494" t="s">
        <v>1775</v>
      </c>
      <c r="AF379" s="494" t="s">
        <v>83</v>
      </c>
      <c r="AG379" s="494" t="s">
        <v>211</v>
      </c>
      <c r="AH379" s="494" t="s">
        <v>545</v>
      </c>
      <c r="AI379" s="495">
        <v>41760</v>
      </c>
      <c r="AJ379" s="495">
        <v>41795</v>
      </c>
      <c r="AK379" s="494" t="s">
        <v>96</v>
      </c>
      <c r="AL379" s="494" t="s">
        <v>96</v>
      </c>
      <c r="AM379" s="496" t="s">
        <v>2238</v>
      </c>
      <c r="AN379" s="496" t="s">
        <v>1757</v>
      </c>
      <c r="AO379" s="494">
        <v>796</v>
      </c>
      <c r="AP379" s="494" t="s">
        <v>368</v>
      </c>
      <c r="AQ379" s="494">
        <v>1</v>
      </c>
      <c r="AR379" s="494">
        <v>45</v>
      </c>
      <c r="AS379" s="496" t="s">
        <v>547</v>
      </c>
      <c r="AT379" s="495">
        <v>41815</v>
      </c>
      <c r="AU379" s="495">
        <v>41815</v>
      </c>
      <c r="AV379" s="495">
        <v>42369</v>
      </c>
      <c r="AW379" s="494" t="s">
        <v>99</v>
      </c>
      <c r="AX379" s="496"/>
      <c r="AY379" s="494" t="s">
        <v>186</v>
      </c>
      <c r="AZ379" s="494"/>
      <c r="BA379" s="494">
        <v>2014</v>
      </c>
      <c r="BB379" s="494" t="s">
        <v>2017</v>
      </c>
      <c r="BC379" s="496" t="s">
        <v>2018</v>
      </c>
      <c r="BD379" s="496" t="s">
        <v>1818</v>
      </c>
      <c r="BE379" s="497">
        <v>42369</v>
      </c>
      <c r="BF379" s="498">
        <v>19198.999999999996</v>
      </c>
      <c r="BG379" s="488">
        <v>19198.999999999996</v>
      </c>
      <c r="BH379" s="488">
        <v>2</v>
      </c>
      <c r="BI379" s="488">
        <v>0</v>
      </c>
      <c r="BJ379" s="494" t="s">
        <v>186</v>
      </c>
      <c r="BK379" s="401"/>
    </row>
    <row r="380" spans="1:63" ht="112.5">
      <c r="A380" s="401">
        <v>2</v>
      </c>
      <c r="B380" s="494" t="s">
        <v>2019</v>
      </c>
      <c r="C380" s="401" t="s">
        <v>83</v>
      </c>
      <c r="D380" s="401" t="s">
        <v>242</v>
      </c>
      <c r="E380" s="494" t="s">
        <v>5853</v>
      </c>
      <c r="F380" s="401" t="s">
        <v>1768</v>
      </c>
      <c r="G380" s="401" t="s">
        <v>1769</v>
      </c>
      <c r="H380" s="499">
        <v>854228</v>
      </c>
      <c r="I380" s="486" t="s">
        <v>2020</v>
      </c>
      <c r="J380" s="496" t="s">
        <v>5317</v>
      </c>
      <c r="K380" s="496" t="s">
        <v>5317</v>
      </c>
      <c r="L380" s="496" t="s">
        <v>1772</v>
      </c>
      <c r="M380" s="500" t="s">
        <v>1755</v>
      </c>
      <c r="N380" s="496" t="s">
        <v>1773</v>
      </c>
      <c r="O380" s="496" t="s">
        <v>2234</v>
      </c>
      <c r="P380" s="489">
        <v>1503.3050820000001</v>
      </c>
      <c r="Q380" s="489">
        <f t="shared" si="81"/>
        <v>1773.89999676</v>
      </c>
      <c r="R380" s="489">
        <v>922.84476880192756</v>
      </c>
      <c r="S380" s="401" t="s">
        <v>1774</v>
      </c>
      <c r="T380" s="501">
        <v>1.087</v>
      </c>
      <c r="U380" s="501">
        <v>1.077</v>
      </c>
      <c r="V380" s="501">
        <v>1.073</v>
      </c>
      <c r="W380" s="501">
        <v>1.071</v>
      </c>
      <c r="X380" s="596">
        <v>0.9</v>
      </c>
      <c r="Y380" s="502">
        <v>1191.1400000000001</v>
      </c>
      <c r="Z380" s="489">
        <f t="shared" si="82"/>
        <v>1405.5452</v>
      </c>
      <c r="AA380" s="489">
        <v>1246.75</v>
      </c>
      <c r="AB380" s="488">
        <f t="shared" si="83"/>
        <v>1471.165</v>
      </c>
      <c r="AC380" s="492">
        <f t="shared" si="84"/>
        <v>1191.1400000000001</v>
      </c>
      <c r="AD380" s="493">
        <f t="shared" si="85"/>
        <v>1405.5452</v>
      </c>
      <c r="AE380" s="494" t="s">
        <v>1775</v>
      </c>
      <c r="AF380" s="494" t="s">
        <v>83</v>
      </c>
      <c r="AG380" s="494" t="s">
        <v>211</v>
      </c>
      <c r="AH380" s="494" t="s">
        <v>545</v>
      </c>
      <c r="AI380" s="495">
        <v>41760</v>
      </c>
      <c r="AJ380" s="495">
        <v>41795</v>
      </c>
      <c r="AK380" s="494" t="s">
        <v>96</v>
      </c>
      <c r="AL380" s="494" t="s">
        <v>96</v>
      </c>
      <c r="AM380" s="496" t="s">
        <v>1846</v>
      </c>
      <c r="AN380" s="496" t="s">
        <v>1757</v>
      </c>
      <c r="AO380" s="494">
        <v>796</v>
      </c>
      <c r="AP380" s="494" t="s">
        <v>368</v>
      </c>
      <c r="AQ380" s="494">
        <v>1</v>
      </c>
      <c r="AR380" s="494">
        <v>45</v>
      </c>
      <c r="AS380" s="496" t="s">
        <v>547</v>
      </c>
      <c r="AT380" s="495">
        <v>41815</v>
      </c>
      <c r="AU380" s="495">
        <v>41815</v>
      </c>
      <c r="AV380" s="495">
        <v>42369</v>
      </c>
      <c r="AW380" s="494" t="s">
        <v>99</v>
      </c>
      <c r="AX380" s="496"/>
      <c r="AY380" s="494" t="s">
        <v>186</v>
      </c>
      <c r="AZ380" s="494"/>
      <c r="BA380" s="494">
        <v>2014</v>
      </c>
      <c r="BB380" s="494" t="s">
        <v>2021</v>
      </c>
      <c r="BC380" s="496" t="s">
        <v>2022</v>
      </c>
      <c r="BD380" s="496" t="s">
        <v>1818</v>
      </c>
      <c r="BE380" s="497">
        <v>42369</v>
      </c>
      <c r="BF380" s="498">
        <v>1852.7399966159996</v>
      </c>
      <c r="BG380" s="488">
        <v>1852.7399966159996</v>
      </c>
      <c r="BH380" s="488">
        <v>0</v>
      </c>
      <c r="BI380" s="488">
        <v>0.24</v>
      </c>
      <c r="BJ380" s="494" t="s">
        <v>186</v>
      </c>
      <c r="BK380" s="401"/>
    </row>
    <row r="381" spans="1:63" ht="112.5">
      <c r="A381" s="401">
        <v>2</v>
      </c>
      <c r="B381" s="494" t="s">
        <v>2023</v>
      </c>
      <c r="C381" s="401" t="s">
        <v>83</v>
      </c>
      <c r="D381" s="401" t="s">
        <v>242</v>
      </c>
      <c r="E381" s="494" t="s">
        <v>5853</v>
      </c>
      <c r="F381" s="401" t="s">
        <v>1768</v>
      </c>
      <c r="G381" s="401" t="s">
        <v>1769</v>
      </c>
      <c r="H381" s="499">
        <v>854230</v>
      </c>
      <c r="I381" s="486" t="s">
        <v>2024</v>
      </c>
      <c r="J381" s="496" t="s">
        <v>5317</v>
      </c>
      <c r="K381" s="496" t="s">
        <v>5317</v>
      </c>
      <c r="L381" s="496" t="s">
        <v>1772</v>
      </c>
      <c r="M381" s="500" t="s">
        <v>1755</v>
      </c>
      <c r="N381" s="496" t="s">
        <v>1773</v>
      </c>
      <c r="O381" s="496" t="s">
        <v>2234</v>
      </c>
      <c r="P381" s="489">
        <v>1456.779663</v>
      </c>
      <c r="Q381" s="489">
        <f t="shared" si="81"/>
        <v>1719.00000234</v>
      </c>
      <c r="R381" s="489">
        <v>1091.029412932176</v>
      </c>
      <c r="S381" s="401" t="s">
        <v>1774</v>
      </c>
      <c r="T381" s="501">
        <v>1.087</v>
      </c>
      <c r="U381" s="501">
        <v>1.077</v>
      </c>
      <c r="V381" s="501">
        <v>1.073</v>
      </c>
      <c r="W381" s="501">
        <v>1.071</v>
      </c>
      <c r="X381" s="596">
        <v>0.9</v>
      </c>
      <c r="Y381" s="502">
        <v>1408.2203409000001</v>
      </c>
      <c r="Z381" s="489">
        <f t="shared" si="82"/>
        <v>1661.700002262</v>
      </c>
      <c r="AA381" s="489">
        <v>1362.9642670743272</v>
      </c>
      <c r="AB381" s="488">
        <f t="shared" si="83"/>
        <v>1608.2978351477059</v>
      </c>
      <c r="AC381" s="492">
        <f t="shared" si="84"/>
        <v>1362.9642670743272</v>
      </c>
      <c r="AD381" s="493">
        <f t="shared" si="85"/>
        <v>1608.2978351477059</v>
      </c>
      <c r="AE381" s="494" t="s">
        <v>1775</v>
      </c>
      <c r="AF381" s="494" t="s">
        <v>83</v>
      </c>
      <c r="AG381" s="494" t="s">
        <v>211</v>
      </c>
      <c r="AH381" s="494" t="s">
        <v>545</v>
      </c>
      <c r="AI381" s="495">
        <v>41932</v>
      </c>
      <c r="AJ381" s="495">
        <v>41967</v>
      </c>
      <c r="AK381" s="494" t="s">
        <v>96</v>
      </c>
      <c r="AL381" s="494" t="s">
        <v>96</v>
      </c>
      <c r="AM381" s="496" t="s">
        <v>1846</v>
      </c>
      <c r="AN381" s="496" t="s">
        <v>1757</v>
      </c>
      <c r="AO381" s="494">
        <v>796</v>
      </c>
      <c r="AP381" s="494" t="s">
        <v>368</v>
      </c>
      <c r="AQ381" s="494">
        <v>1</v>
      </c>
      <c r="AR381" s="494">
        <v>45</v>
      </c>
      <c r="AS381" s="496" t="s">
        <v>547</v>
      </c>
      <c r="AT381" s="495">
        <v>41987</v>
      </c>
      <c r="AU381" s="495">
        <v>41987</v>
      </c>
      <c r="AV381" s="495">
        <v>42369</v>
      </c>
      <c r="AW381" s="494" t="s">
        <v>99</v>
      </c>
      <c r="AX381" s="496"/>
      <c r="AY381" s="494" t="s">
        <v>186</v>
      </c>
      <c r="AZ381" s="494"/>
      <c r="BA381" s="494">
        <v>2014</v>
      </c>
      <c r="BB381" s="494" t="s">
        <v>2025</v>
      </c>
      <c r="BC381" s="496" t="s">
        <v>2026</v>
      </c>
      <c r="BD381" s="496" t="s">
        <v>1818</v>
      </c>
      <c r="BE381" s="497">
        <v>42369</v>
      </c>
      <c r="BF381" s="498">
        <v>1795.4000024439997</v>
      </c>
      <c r="BG381" s="488">
        <v>1795.4000024439997</v>
      </c>
      <c r="BH381" s="488">
        <v>0</v>
      </c>
      <c r="BI381" s="488">
        <v>0.26</v>
      </c>
      <c r="BJ381" s="494" t="s">
        <v>186</v>
      </c>
      <c r="BK381" s="401"/>
    </row>
    <row r="382" spans="1:63" ht="112.5">
      <c r="A382" s="401">
        <v>2</v>
      </c>
      <c r="B382" s="494" t="s">
        <v>2027</v>
      </c>
      <c r="C382" s="401" t="s">
        <v>83</v>
      </c>
      <c r="D382" s="401" t="s">
        <v>242</v>
      </c>
      <c r="E382" s="494" t="s">
        <v>5853</v>
      </c>
      <c r="F382" s="401" t="s">
        <v>1768</v>
      </c>
      <c r="G382" s="401" t="s">
        <v>1769</v>
      </c>
      <c r="H382" s="499">
        <v>854231</v>
      </c>
      <c r="I382" s="486" t="s">
        <v>2028</v>
      </c>
      <c r="J382" s="496" t="s">
        <v>5317</v>
      </c>
      <c r="K382" s="496" t="s">
        <v>5317</v>
      </c>
      <c r="L382" s="496" t="s">
        <v>1772</v>
      </c>
      <c r="M382" s="500" t="s">
        <v>1755</v>
      </c>
      <c r="N382" s="496" t="s">
        <v>1773</v>
      </c>
      <c r="O382" s="496" t="s">
        <v>2234</v>
      </c>
      <c r="P382" s="489">
        <v>521.69491800000003</v>
      </c>
      <c r="Q382" s="489">
        <f t="shared" si="81"/>
        <v>615.60000323999998</v>
      </c>
      <c r="R382" s="489">
        <v>390.71419966359002</v>
      </c>
      <c r="S382" s="401" t="s">
        <v>1774</v>
      </c>
      <c r="T382" s="501">
        <v>1.087</v>
      </c>
      <c r="U382" s="501">
        <v>1.077</v>
      </c>
      <c r="V382" s="501">
        <v>1.073</v>
      </c>
      <c r="W382" s="501">
        <v>1.071</v>
      </c>
      <c r="X382" s="596">
        <v>0.9</v>
      </c>
      <c r="Y382" s="502">
        <v>504.30508739999993</v>
      </c>
      <c r="Z382" s="489">
        <f t="shared" si="82"/>
        <v>595.08000313199989</v>
      </c>
      <c r="AA382" s="489">
        <v>488.09820016568369</v>
      </c>
      <c r="AB382" s="488">
        <f t="shared" si="83"/>
        <v>575.95587619550668</v>
      </c>
      <c r="AC382" s="492">
        <f t="shared" si="84"/>
        <v>488.09820016568369</v>
      </c>
      <c r="AD382" s="493">
        <f t="shared" si="85"/>
        <v>575.95587619550668</v>
      </c>
      <c r="AE382" s="494" t="s">
        <v>1775</v>
      </c>
      <c r="AF382" s="494" t="s">
        <v>83</v>
      </c>
      <c r="AG382" s="494" t="s">
        <v>211</v>
      </c>
      <c r="AH382" s="494" t="s">
        <v>545</v>
      </c>
      <c r="AI382" s="495">
        <v>41760</v>
      </c>
      <c r="AJ382" s="495">
        <v>41795</v>
      </c>
      <c r="AK382" s="494" t="s">
        <v>96</v>
      </c>
      <c r="AL382" s="494" t="s">
        <v>96</v>
      </c>
      <c r="AM382" s="496" t="s">
        <v>1846</v>
      </c>
      <c r="AN382" s="496" t="s">
        <v>1757</v>
      </c>
      <c r="AO382" s="494">
        <v>796</v>
      </c>
      <c r="AP382" s="494" t="s">
        <v>368</v>
      </c>
      <c r="AQ382" s="494">
        <v>1</v>
      </c>
      <c r="AR382" s="494">
        <v>45</v>
      </c>
      <c r="AS382" s="496" t="s">
        <v>547</v>
      </c>
      <c r="AT382" s="495">
        <v>41815</v>
      </c>
      <c r="AU382" s="495">
        <v>41815</v>
      </c>
      <c r="AV382" s="495">
        <v>42369</v>
      </c>
      <c r="AW382" s="494" t="s">
        <v>99</v>
      </c>
      <c r="AX382" s="496"/>
      <c r="AY382" s="494" t="s">
        <v>186</v>
      </c>
      <c r="AZ382" s="494"/>
      <c r="BA382" s="494">
        <v>2014</v>
      </c>
      <c r="BB382" s="494" t="s">
        <v>2029</v>
      </c>
      <c r="BC382" s="496" t="s">
        <v>2030</v>
      </c>
      <c r="BD382" s="496" t="s">
        <v>1818</v>
      </c>
      <c r="BE382" s="497">
        <v>42369</v>
      </c>
      <c r="BF382" s="498">
        <v>684</v>
      </c>
      <c r="BG382" s="488">
        <v>684</v>
      </c>
      <c r="BH382" s="488">
        <v>0</v>
      </c>
      <c r="BI382" s="488">
        <v>0.08</v>
      </c>
      <c r="BJ382" s="494" t="s">
        <v>186</v>
      </c>
      <c r="BK382" s="401"/>
    </row>
    <row r="383" spans="1:63" ht="112.5">
      <c r="A383" s="401">
        <v>2</v>
      </c>
      <c r="B383" s="494" t="s">
        <v>2031</v>
      </c>
      <c r="C383" s="401" t="s">
        <v>83</v>
      </c>
      <c r="D383" s="401" t="s">
        <v>242</v>
      </c>
      <c r="E383" s="494" t="s">
        <v>5853</v>
      </c>
      <c r="F383" s="401" t="s">
        <v>1768</v>
      </c>
      <c r="G383" s="401" t="s">
        <v>1769</v>
      </c>
      <c r="H383" s="499">
        <v>854232</v>
      </c>
      <c r="I383" s="486" t="s">
        <v>2032</v>
      </c>
      <c r="J383" s="496" t="s">
        <v>5317</v>
      </c>
      <c r="K383" s="496" t="s">
        <v>5317</v>
      </c>
      <c r="L383" s="496" t="s">
        <v>1772</v>
      </c>
      <c r="M383" s="500" t="s">
        <v>1755</v>
      </c>
      <c r="N383" s="496" t="s">
        <v>1773</v>
      </c>
      <c r="O383" s="496" t="s">
        <v>2234</v>
      </c>
      <c r="P383" s="489">
        <v>772.46100000000001</v>
      </c>
      <c r="Q383" s="489">
        <f t="shared" si="81"/>
        <v>911.50397999999996</v>
      </c>
      <c r="R383" s="489">
        <v>616.70341814185497</v>
      </c>
      <c r="S383" s="401" t="s">
        <v>1774</v>
      </c>
      <c r="T383" s="501">
        <v>1.087</v>
      </c>
      <c r="U383" s="501">
        <v>1.077</v>
      </c>
      <c r="V383" s="501">
        <v>1.073</v>
      </c>
      <c r="W383" s="501">
        <v>1.071</v>
      </c>
      <c r="X383" s="596">
        <v>0.9</v>
      </c>
      <c r="Y383" s="502">
        <v>746.71229999999991</v>
      </c>
      <c r="Z383" s="489">
        <f t="shared" si="82"/>
        <v>881.12051399999984</v>
      </c>
      <c r="AA383" s="489">
        <v>719.279</v>
      </c>
      <c r="AB383" s="488">
        <f t="shared" si="83"/>
        <v>848.74921999999992</v>
      </c>
      <c r="AC383" s="492">
        <f t="shared" si="84"/>
        <v>719.279</v>
      </c>
      <c r="AD383" s="493">
        <f t="shared" si="85"/>
        <v>848.74921999999992</v>
      </c>
      <c r="AE383" s="494" t="s">
        <v>1775</v>
      </c>
      <c r="AF383" s="494" t="s">
        <v>83</v>
      </c>
      <c r="AG383" s="494" t="s">
        <v>211</v>
      </c>
      <c r="AH383" s="494" t="s">
        <v>545</v>
      </c>
      <c r="AI383" s="495">
        <v>41760</v>
      </c>
      <c r="AJ383" s="495">
        <v>41795</v>
      </c>
      <c r="AK383" s="494" t="s">
        <v>96</v>
      </c>
      <c r="AL383" s="494" t="s">
        <v>96</v>
      </c>
      <c r="AM383" s="496" t="s">
        <v>1846</v>
      </c>
      <c r="AN383" s="496" t="s">
        <v>1757</v>
      </c>
      <c r="AO383" s="494">
        <v>796</v>
      </c>
      <c r="AP383" s="494" t="s">
        <v>368</v>
      </c>
      <c r="AQ383" s="494">
        <v>1</v>
      </c>
      <c r="AR383" s="494">
        <v>45</v>
      </c>
      <c r="AS383" s="496" t="s">
        <v>547</v>
      </c>
      <c r="AT383" s="495">
        <v>41815</v>
      </c>
      <c r="AU383" s="495">
        <v>41815</v>
      </c>
      <c r="AV383" s="495">
        <v>42004</v>
      </c>
      <c r="AW383" s="494">
        <v>2014</v>
      </c>
      <c r="AX383" s="496"/>
      <c r="AY383" s="494" t="s">
        <v>186</v>
      </c>
      <c r="AZ383" s="494"/>
      <c r="BA383" s="494">
        <v>2014</v>
      </c>
      <c r="BB383" s="494" t="s">
        <v>2033</v>
      </c>
      <c r="BC383" s="496" t="s">
        <v>2034</v>
      </c>
      <c r="BD383" s="496" t="s">
        <v>1818</v>
      </c>
      <c r="BE383" s="497">
        <v>42004</v>
      </c>
      <c r="BF383" s="498">
        <v>1012.7822</v>
      </c>
      <c r="BG383" s="488">
        <v>1012.7822</v>
      </c>
      <c r="BH383" s="488">
        <v>0</v>
      </c>
      <c r="BI383" s="488">
        <v>0.1</v>
      </c>
      <c r="BJ383" s="494" t="s">
        <v>1465</v>
      </c>
      <c r="BK383" s="401"/>
    </row>
    <row r="384" spans="1:63" ht="112.5">
      <c r="A384" s="401">
        <v>2</v>
      </c>
      <c r="B384" s="494" t="s">
        <v>2035</v>
      </c>
      <c r="C384" s="401" t="s">
        <v>83</v>
      </c>
      <c r="D384" s="401" t="s">
        <v>242</v>
      </c>
      <c r="E384" s="494" t="s">
        <v>5853</v>
      </c>
      <c r="F384" s="401" t="s">
        <v>1768</v>
      </c>
      <c r="G384" s="401" t="s">
        <v>1769</v>
      </c>
      <c r="H384" s="499">
        <v>854234</v>
      </c>
      <c r="I384" s="486" t="s">
        <v>2036</v>
      </c>
      <c r="J384" s="496" t="s">
        <v>2237</v>
      </c>
      <c r="K384" s="496" t="s">
        <v>2237</v>
      </c>
      <c r="L384" s="496" t="s">
        <v>1772</v>
      </c>
      <c r="M384" s="500" t="s">
        <v>1755</v>
      </c>
      <c r="N384" s="496" t="s">
        <v>1773</v>
      </c>
      <c r="O384" s="496" t="s">
        <v>2234</v>
      </c>
      <c r="P384" s="489">
        <v>3168.3050820000003</v>
      </c>
      <c r="Q384" s="489">
        <f t="shared" si="81"/>
        <v>3738.5999967600001</v>
      </c>
      <c r="R384" s="489">
        <v>2372.846162944059</v>
      </c>
      <c r="S384" s="401" t="s">
        <v>1774</v>
      </c>
      <c r="T384" s="501">
        <v>1.087</v>
      </c>
      <c r="U384" s="501">
        <v>1.077</v>
      </c>
      <c r="V384" s="501">
        <v>1.073</v>
      </c>
      <c r="W384" s="501">
        <v>1.071</v>
      </c>
      <c r="X384" s="596">
        <v>0.9</v>
      </c>
      <c r="Y384" s="502">
        <v>3062.6949126</v>
      </c>
      <c r="Z384" s="489">
        <f t="shared" si="82"/>
        <v>3613.9799968679999</v>
      </c>
      <c r="AA384" s="489">
        <v>2968.7018618340003</v>
      </c>
      <c r="AB384" s="488">
        <f t="shared" si="83"/>
        <v>3503.06819696412</v>
      </c>
      <c r="AC384" s="492">
        <f t="shared" si="84"/>
        <v>2968.7018618340003</v>
      </c>
      <c r="AD384" s="493">
        <f t="shared" si="85"/>
        <v>3503.06819696412</v>
      </c>
      <c r="AE384" s="494" t="s">
        <v>1775</v>
      </c>
      <c r="AF384" s="494" t="s">
        <v>83</v>
      </c>
      <c r="AG384" s="494" t="s">
        <v>211</v>
      </c>
      <c r="AH384" s="494" t="s">
        <v>545</v>
      </c>
      <c r="AI384" s="495">
        <v>41932</v>
      </c>
      <c r="AJ384" s="495">
        <v>41967</v>
      </c>
      <c r="AK384" s="494" t="s">
        <v>96</v>
      </c>
      <c r="AL384" s="494" t="s">
        <v>96</v>
      </c>
      <c r="AM384" s="496" t="s">
        <v>2238</v>
      </c>
      <c r="AN384" s="496" t="s">
        <v>1757</v>
      </c>
      <c r="AO384" s="494">
        <v>796</v>
      </c>
      <c r="AP384" s="494" t="s">
        <v>368</v>
      </c>
      <c r="AQ384" s="494">
        <v>1</v>
      </c>
      <c r="AR384" s="494">
        <v>45</v>
      </c>
      <c r="AS384" s="496" t="s">
        <v>547</v>
      </c>
      <c r="AT384" s="495">
        <v>41987</v>
      </c>
      <c r="AU384" s="495">
        <v>41987</v>
      </c>
      <c r="AV384" s="495">
        <v>42369</v>
      </c>
      <c r="AW384" s="494" t="s">
        <v>99</v>
      </c>
      <c r="AX384" s="496"/>
      <c r="AY384" s="494" t="s">
        <v>186</v>
      </c>
      <c r="AZ384" s="494"/>
      <c r="BA384" s="494">
        <v>2014</v>
      </c>
      <c r="BB384" s="494" t="s">
        <v>2037</v>
      </c>
      <c r="BC384" s="496" t="s">
        <v>2038</v>
      </c>
      <c r="BD384" s="496" t="s">
        <v>1818</v>
      </c>
      <c r="BE384" s="497">
        <v>42369</v>
      </c>
      <c r="BF384" s="498">
        <v>3904.7599966159992</v>
      </c>
      <c r="BG384" s="488">
        <v>3904.7599966159992</v>
      </c>
      <c r="BH384" s="488">
        <v>0.25</v>
      </c>
      <c r="BI384" s="488">
        <v>0</v>
      </c>
      <c r="BJ384" s="494" t="s">
        <v>186</v>
      </c>
      <c r="BK384" s="401"/>
    </row>
    <row r="385" spans="1:63" ht="112.5">
      <c r="A385" s="401">
        <v>2</v>
      </c>
      <c r="B385" s="494" t="s">
        <v>2039</v>
      </c>
      <c r="C385" s="401" t="s">
        <v>83</v>
      </c>
      <c r="D385" s="401" t="s">
        <v>242</v>
      </c>
      <c r="E385" s="494" t="s">
        <v>5853</v>
      </c>
      <c r="F385" s="401" t="s">
        <v>1768</v>
      </c>
      <c r="G385" s="401" t="s">
        <v>1769</v>
      </c>
      <c r="H385" s="499">
        <v>854235</v>
      </c>
      <c r="I385" s="486" t="s">
        <v>2040</v>
      </c>
      <c r="J385" s="496" t="s">
        <v>2237</v>
      </c>
      <c r="K385" s="496" t="s">
        <v>2237</v>
      </c>
      <c r="L385" s="496" t="s">
        <v>1772</v>
      </c>
      <c r="M385" s="500" t="s">
        <v>1755</v>
      </c>
      <c r="N385" s="496" t="s">
        <v>1773</v>
      </c>
      <c r="O385" s="496" t="s">
        <v>2234</v>
      </c>
      <c r="P385" s="489">
        <v>2060.6491530000003</v>
      </c>
      <c r="Q385" s="489">
        <f t="shared" si="81"/>
        <v>2431.56600054</v>
      </c>
      <c r="R385" s="489">
        <v>1543.2868077159417</v>
      </c>
      <c r="S385" s="401" t="s">
        <v>1774</v>
      </c>
      <c r="T385" s="501">
        <v>1.087</v>
      </c>
      <c r="U385" s="501">
        <v>1.077</v>
      </c>
      <c r="V385" s="501">
        <v>1.073</v>
      </c>
      <c r="W385" s="501">
        <v>1.071</v>
      </c>
      <c r="X385" s="596">
        <v>0.9</v>
      </c>
      <c r="Y385" s="502">
        <v>1991.9608479000001</v>
      </c>
      <c r="Z385" s="489">
        <f t="shared" si="82"/>
        <v>2350.5138005220001</v>
      </c>
      <c r="AA385" s="489">
        <v>1934.9495546670003</v>
      </c>
      <c r="AB385" s="488">
        <f t="shared" si="83"/>
        <v>2283.2404745070603</v>
      </c>
      <c r="AC385" s="492">
        <f t="shared" si="84"/>
        <v>1934.9495546670003</v>
      </c>
      <c r="AD385" s="493">
        <f t="shared" si="85"/>
        <v>2283.2404745070603</v>
      </c>
      <c r="AE385" s="494" t="s">
        <v>1775</v>
      </c>
      <c r="AF385" s="494" t="s">
        <v>83</v>
      </c>
      <c r="AG385" s="494" t="s">
        <v>211</v>
      </c>
      <c r="AH385" s="494" t="s">
        <v>545</v>
      </c>
      <c r="AI385" s="495">
        <v>41932</v>
      </c>
      <c r="AJ385" s="495">
        <v>41967</v>
      </c>
      <c r="AK385" s="494" t="s">
        <v>96</v>
      </c>
      <c r="AL385" s="494" t="s">
        <v>96</v>
      </c>
      <c r="AM385" s="496" t="s">
        <v>2238</v>
      </c>
      <c r="AN385" s="496" t="s">
        <v>1757</v>
      </c>
      <c r="AO385" s="494">
        <v>796</v>
      </c>
      <c r="AP385" s="494" t="s">
        <v>368</v>
      </c>
      <c r="AQ385" s="494">
        <v>1</v>
      </c>
      <c r="AR385" s="494">
        <v>45</v>
      </c>
      <c r="AS385" s="496" t="s">
        <v>547</v>
      </c>
      <c r="AT385" s="495">
        <v>41987</v>
      </c>
      <c r="AU385" s="495">
        <v>41987</v>
      </c>
      <c r="AV385" s="495">
        <v>42369</v>
      </c>
      <c r="AW385" s="494" t="s">
        <v>99</v>
      </c>
      <c r="AX385" s="496"/>
      <c r="AY385" s="494" t="s">
        <v>186</v>
      </c>
      <c r="AZ385" s="494"/>
      <c r="BA385" s="494">
        <v>2014</v>
      </c>
      <c r="BB385" s="494" t="s">
        <v>2041</v>
      </c>
      <c r="BC385" s="496" t="s">
        <v>2042</v>
      </c>
      <c r="BD385" s="496" t="s">
        <v>1818</v>
      </c>
      <c r="BE385" s="497">
        <v>42369</v>
      </c>
      <c r="BF385" s="498">
        <v>2701.7400000000002</v>
      </c>
      <c r="BG385" s="488">
        <v>2701.7400000000002</v>
      </c>
      <c r="BH385" s="488">
        <v>0</v>
      </c>
      <c r="BI385" s="488">
        <v>0</v>
      </c>
      <c r="BJ385" s="494" t="s">
        <v>186</v>
      </c>
      <c r="BK385" s="401"/>
    </row>
    <row r="386" spans="1:63" ht="112.5">
      <c r="A386" s="401">
        <v>2</v>
      </c>
      <c r="B386" s="494" t="s">
        <v>2043</v>
      </c>
      <c r="C386" s="401" t="s">
        <v>83</v>
      </c>
      <c r="D386" s="401" t="s">
        <v>242</v>
      </c>
      <c r="E386" s="494" t="s">
        <v>5853</v>
      </c>
      <c r="F386" s="401" t="s">
        <v>1768</v>
      </c>
      <c r="G386" s="401" t="s">
        <v>1769</v>
      </c>
      <c r="H386" s="499">
        <v>854236</v>
      </c>
      <c r="I386" s="486" t="s">
        <v>2044</v>
      </c>
      <c r="J386" s="496" t="s">
        <v>2237</v>
      </c>
      <c r="K386" s="496" t="s">
        <v>2237</v>
      </c>
      <c r="L386" s="496" t="s">
        <v>1772</v>
      </c>
      <c r="M386" s="500" t="s">
        <v>1755</v>
      </c>
      <c r="N386" s="496" t="s">
        <v>1773</v>
      </c>
      <c r="O386" s="496" t="s">
        <v>2234</v>
      </c>
      <c r="P386" s="489">
        <v>2285.8474590000001</v>
      </c>
      <c r="Q386" s="489">
        <f t="shared" si="81"/>
        <v>2697.3000016199999</v>
      </c>
      <c r="R386" s="489">
        <v>1711.9451037018464</v>
      </c>
      <c r="S386" s="401" t="s">
        <v>1774</v>
      </c>
      <c r="T386" s="501">
        <v>1.087</v>
      </c>
      <c r="U386" s="501">
        <v>1.077</v>
      </c>
      <c r="V386" s="501">
        <v>1.073</v>
      </c>
      <c r="W386" s="501">
        <v>1.071</v>
      </c>
      <c r="X386" s="596">
        <v>0.9</v>
      </c>
      <c r="Y386" s="502">
        <v>2209.6525437</v>
      </c>
      <c r="Z386" s="489">
        <f t="shared" si="82"/>
        <v>2607.3900015659997</v>
      </c>
      <c r="AA386" s="489">
        <v>2153.268306378</v>
      </c>
      <c r="AB386" s="488">
        <f t="shared" si="83"/>
        <v>2540.8566015260399</v>
      </c>
      <c r="AC386" s="492">
        <f t="shared" si="84"/>
        <v>2153.268306378</v>
      </c>
      <c r="AD386" s="493">
        <f t="shared" si="85"/>
        <v>2540.8566015260399</v>
      </c>
      <c r="AE386" s="494" t="s">
        <v>1775</v>
      </c>
      <c r="AF386" s="494" t="s">
        <v>83</v>
      </c>
      <c r="AG386" s="494" t="s">
        <v>211</v>
      </c>
      <c r="AH386" s="494" t="s">
        <v>545</v>
      </c>
      <c r="AI386" s="495">
        <v>41932</v>
      </c>
      <c r="AJ386" s="495">
        <v>41967</v>
      </c>
      <c r="AK386" s="494" t="s">
        <v>96</v>
      </c>
      <c r="AL386" s="494" t="s">
        <v>96</v>
      </c>
      <c r="AM386" s="496" t="s">
        <v>2238</v>
      </c>
      <c r="AN386" s="496" t="s">
        <v>1757</v>
      </c>
      <c r="AO386" s="494">
        <v>796</v>
      </c>
      <c r="AP386" s="494" t="s">
        <v>368</v>
      </c>
      <c r="AQ386" s="494">
        <v>1</v>
      </c>
      <c r="AR386" s="494">
        <v>45</v>
      </c>
      <c r="AS386" s="496" t="s">
        <v>547</v>
      </c>
      <c r="AT386" s="495">
        <v>41987</v>
      </c>
      <c r="AU386" s="495">
        <v>41987</v>
      </c>
      <c r="AV386" s="495">
        <v>42369</v>
      </c>
      <c r="AW386" s="494" t="s">
        <v>99</v>
      </c>
      <c r="AX386" s="496"/>
      <c r="AY386" s="494" t="s">
        <v>186</v>
      </c>
      <c r="AZ386" s="494"/>
      <c r="BA386" s="494">
        <v>2014</v>
      </c>
      <c r="BB386" s="494" t="s">
        <v>2045</v>
      </c>
      <c r="BC386" s="496" t="s">
        <v>2046</v>
      </c>
      <c r="BD386" s="496" t="s">
        <v>1818</v>
      </c>
      <c r="BE386" s="497">
        <v>42369</v>
      </c>
      <c r="BF386" s="498">
        <v>2997</v>
      </c>
      <c r="BG386" s="488">
        <v>2997</v>
      </c>
      <c r="BH386" s="488">
        <v>0</v>
      </c>
      <c r="BI386" s="488">
        <v>0</v>
      </c>
      <c r="BJ386" s="494" t="s">
        <v>186</v>
      </c>
      <c r="BK386" s="401"/>
    </row>
    <row r="387" spans="1:63" ht="112.5">
      <c r="A387" s="401">
        <v>2</v>
      </c>
      <c r="B387" s="494" t="s">
        <v>2047</v>
      </c>
      <c r="C387" s="401" t="s">
        <v>83</v>
      </c>
      <c r="D387" s="401" t="s">
        <v>242</v>
      </c>
      <c r="E387" s="494" t="s">
        <v>5853</v>
      </c>
      <c r="F387" s="401" t="s">
        <v>1768</v>
      </c>
      <c r="G387" s="401" t="s">
        <v>1769</v>
      </c>
      <c r="H387" s="499">
        <v>854237</v>
      </c>
      <c r="I387" s="486" t="s">
        <v>2048</v>
      </c>
      <c r="J387" s="496" t="s">
        <v>5317</v>
      </c>
      <c r="K387" s="496" t="s">
        <v>5317</v>
      </c>
      <c r="L387" s="496" t="s">
        <v>1772</v>
      </c>
      <c r="M387" s="500" t="s">
        <v>1755</v>
      </c>
      <c r="N387" s="496" t="s">
        <v>1773</v>
      </c>
      <c r="O387" s="496" t="s">
        <v>2234</v>
      </c>
      <c r="P387" s="489">
        <v>4338.3050820000008</v>
      </c>
      <c r="Q387" s="489">
        <f t="shared" si="81"/>
        <v>5119.1999967600004</v>
      </c>
      <c r="R387" s="489">
        <v>3249.0970096245333</v>
      </c>
      <c r="S387" s="401" t="s">
        <v>1774</v>
      </c>
      <c r="T387" s="501">
        <v>1.087</v>
      </c>
      <c r="U387" s="501">
        <v>1.077</v>
      </c>
      <c r="V387" s="501">
        <v>1.073</v>
      </c>
      <c r="W387" s="501">
        <v>1.071</v>
      </c>
      <c r="X387" s="596">
        <v>0.9</v>
      </c>
      <c r="Y387" s="502">
        <v>4193.6949126</v>
      </c>
      <c r="Z387" s="489">
        <f t="shared" si="82"/>
        <v>4948.5599968679999</v>
      </c>
      <c r="AA387" s="489">
        <v>4099.6983024900001</v>
      </c>
      <c r="AB387" s="488">
        <f t="shared" si="83"/>
        <v>4837.6439969382</v>
      </c>
      <c r="AC387" s="492">
        <f t="shared" si="84"/>
        <v>4099.6983024900001</v>
      </c>
      <c r="AD387" s="493">
        <f t="shared" si="85"/>
        <v>4837.6439969382</v>
      </c>
      <c r="AE387" s="494" t="s">
        <v>1775</v>
      </c>
      <c r="AF387" s="494" t="s">
        <v>83</v>
      </c>
      <c r="AG387" s="494" t="s">
        <v>211</v>
      </c>
      <c r="AH387" s="494" t="s">
        <v>545</v>
      </c>
      <c r="AI387" s="495">
        <v>41760</v>
      </c>
      <c r="AJ387" s="495">
        <v>41795</v>
      </c>
      <c r="AK387" s="494" t="s">
        <v>96</v>
      </c>
      <c r="AL387" s="494" t="s">
        <v>96</v>
      </c>
      <c r="AM387" s="496" t="s">
        <v>1846</v>
      </c>
      <c r="AN387" s="496" t="s">
        <v>1757</v>
      </c>
      <c r="AO387" s="494">
        <v>796</v>
      </c>
      <c r="AP387" s="494" t="s">
        <v>368</v>
      </c>
      <c r="AQ387" s="494">
        <v>1</v>
      </c>
      <c r="AR387" s="494">
        <v>45</v>
      </c>
      <c r="AS387" s="496" t="s">
        <v>547</v>
      </c>
      <c r="AT387" s="495">
        <v>41815</v>
      </c>
      <c r="AU387" s="495">
        <v>41815</v>
      </c>
      <c r="AV387" s="495">
        <v>42369</v>
      </c>
      <c r="AW387" s="494" t="s">
        <v>99</v>
      </c>
      <c r="AX387" s="496"/>
      <c r="AY387" s="494" t="s">
        <v>186</v>
      </c>
      <c r="AZ387" s="494"/>
      <c r="BA387" s="494">
        <v>2014</v>
      </c>
      <c r="BB387" s="494" t="s">
        <v>2049</v>
      </c>
      <c r="BC387" s="496" t="s">
        <v>2050</v>
      </c>
      <c r="BD387" s="496" t="s">
        <v>1818</v>
      </c>
      <c r="BE387" s="497">
        <v>42369</v>
      </c>
      <c r="BF387" s="498">
        <v>5118.8399999999992</v>
      </c>
      <c r="BG387" s="488">
        <v>5118.8399999999992</v>
      </c>
      <c r="BH387" s="488">
        <v>0</v>
      </c>
      <c r="BI387" s="488">
        <v>1.61</v>
      </c>
      <c r="BJ387" s="494" t="s">
        <v>186</v>
      </c>
      <c r="BK387" s="401"/>
    </row>
    <row r="388" spans="1:63" ht="131.25">
      <c r="A388" s="401">
        <v>2</v>
      </c>
      <c r="B388" s="494" t="s">
        <v>2051</v>
      </c>
      <c r="C388" s="401" t="s">
        <v>83</v>
      </c>
      <c r="D388" s="401" t="s">
        <v>242</v>
      </c>
      <c r="E388" s="494" t="s">
        <v>5853</v>
      </c>
      <c r="F388" s="401" t="s">
        <v>1768</v>
      </c>
      <c r="G388" s="401" t="s">
        <v>1769</v>
      </c>
      <c r="H388" s="499">
        <v>854238</v>
      </c>
      <c r="I388" s="486" t="s">
        <v>2052</v>
      </c>
      <c r="J388" s="496" t="s">
        <v>5317</v>
      </c>
      <c r="K388" s="496" t="s">
        <v>5317</v>
      </c>
      <c r="L388" s="496" t="s">
        <v>1772</v>
      </c>
      <c r="M388" s="500" t="s">
        <v>1755</v>
      </c>
      <c r="N388" s="496" t="s">
        <v>1773</v>
      </c>
      <c r="O388" s="496" t="s">
        <v>2234</v>
      </c>
      <c r="P388" s="489">
        <v>1728</v>
      </c>
      <c r="Q388" s="489">
        <f t="shared" si="81"/>
        <v>2039.04</v>
      </c>
      <c r="R388" s="489">
        <v>1294.155096635777</v>
      </c>
      <c r="S388" s="401" t="s">
        <v>1774</v>
      </c>
      <c r="T388" s="501">
        <v>1.087</v>
      </c>
      <c r="U388" s="501">
        <v>1.077</v>
      </c>
      <c r="V388" s="501">
        <v>1.073</v>
      </c>
      <c r="W388" s="501">
        <v>1.071</v>
      </c>
      <c r="X388" s="596">
        <v>0.9</v>
      </c>
      <c r="Y388" s="502">
        <v>1670.4</v>
      </c>
      <c r="Z388" s="489">
        <f t="shared" si="82"/>
        <v>1971.0720000000001</v>
      </c>
      <c r="AA388" s="489">
        <v>1607.0400000000002</v>
      </c>
      <c r="AB388" s="488">
        <f t="shared" si="83"/>
        <v>1896.3072000000002</v>
      </c>
      <c r="AC388" s="492">
        <f t="shared" si="84"/>
        <v>1607.0400000000002</v>
      </c>
      <c r="AD388" s="493">
        <f t="shared" si="85"/>
        <v>1896.3072000000002</v>
      </c>
      <c r="AE388" s="494" t="s">
        <v>1775</v>
      </c>
      <c r="AF388" s="494" t="s">
        <v>83</v>
      </c>
      <c r="AG388" s="494" t="s">
        <v>211</v>
      </c>
      <c r="AH388" s="494" t="s">
        <v>545</v>
      </c>
      <c r="AI388" s="495">
        <v>41932</v>
      </c>
      <c r="AJ388" s="495">
        <v>41967</v>
      </c>
      <c r="AK388" s="494" t="s">
        <v>96</v>
      </c>
      <c r="AL388" s="494" t="s">
        <v>96</v>
      </c>
      <c r="AM388" s="496" t="s">
        <v>1846</v>
      </c>
      <c r="AN388" s="496" t="s">
        <v>1757</v>
      </c>
      <c r="AO388" s="494">
        <v>796</v>
      </c>
      <c r="AP388" s="494" t="s">
        <v>368</v>
      </c>
      <c r="AQ388" s="494">
        <v>1</v>
      </c>
      <c r="AR388" s="494">
        <v>45</v>
      </c>
      <c r="AS388" s="496" t="s">
        <v>547</v>
      </c>
      <c r="AT388" s="495">
        <v>41987</v>
      </c>
      <c r="AU388" s="495">
        <v>41987</v>
      </c>
      <c r="AV388" s="495">
        <v>42369</v>
      </c>
      <c r="AW388" s="494" t="s">
        <v>99</v>
      </c>
      <c r="AX388" s="496"/>
      <c r="AY388" s="494" t="s">
        <v>186</v>
      </c>
      <c r="AZ388" s="494"/>
      <c r="BA388" s="494">
        <v>2014</v>
      </c>
      <c r="BB388" s="494" t="s">
        <v>2053</v>
      </c>
      <c r="BC388" s="496" t="s">
        <v>2054</v>
      </c>
      <c r="BD388" s="496" t="s">
        <v>1818</v>
      </c>
      <c r="BE388" s="497">
        <v>42369</v>
      </c>
      <c r="BF388" s="498">
        <v>2265.6</v>
      </c>
      <c r="BG388" s="488">
        <v>2265.6</v>
      </c>
      <c r="BH388" s="488">
        <v>0</v>
      </c>
      <c r="BI388" s="488">
        <v>0.64</v>
      </c>
      <c r="BJ388" s="494" t="s">
        <v>186</v>
      </c>
      <c r="BK388" s="401"/>
    </row>
    <row r="389" spans="1:63" ht="112.5">
      <c r="A389" s="401">
        <v>2</v>
      </c>
      <c r="B389" s="494" t="s">
        <v>2055</v>
      </c>
      <c r="C389" s="401" t="s">
        <v>83</v>
      </c>
      <c r="D389" s="401" t="s">
        <v>242</v>
      </c>
      <c r="E389" s="494" t="s">
        <v>5853</v>
      </c>
      <c r="F389" s="401" t="s">
        <v>1768</v>
      </c>
      <c r="G389" s="401" t="s">
        <v>1769</v>
      </c>
      <c r="H389" s="499">
        <v>854239</v>
      </c>
      <c r="I389" s="486" t="s">
        <v>2056</v>
      </c>
      <c r="J389" s="496" t="s">
        <v>5317</v>
      </c>
      <c r="K389" s="496" t="s">
        <v>5317</v>
      </c>
      <c r="L389" s="496" t="s">
        <v>1772</v>
      </c>
      <c r="M389" s="500" t="s">
        <v>1755</v>
      </c>
      <c r="N389" s="496" t="s">
        <v>1773</v>
      </c>
      <c r="O389" s="496" t="s">
        <v>2234</v>
      </c>
      <c r="P389" s="489">
        <v>26591.841600000003</v>
      </c>
      <c r="Q389" s="489">
        <f t="shared" si="81"/>
        <v>31378.373088000004</v>
      </c>
      <c r="R389" s="489">
        <v>16974.910370899965</v>
      </c>
      <c r="S389" s="401" t="s">
        <v>1774</v>
      </c>
      <c r="T389" s="501">
        <v>1.087</v>
      </c>
      <c r="U389" s="501">
        <v>1.077</v>
      </c>
      <c r="V389" s="501">
        <v>1.073</v>
      </c>
      <c r="W389" s="501">
        <v>1.071</v>
      </c>
      <c r="X389" s="596">
        <v>0.9</v>
      </c>
      <c r="Y389" s="502">
        <v>21909.963</v>
      </c>
      <c r="Z389" s="489">
        <f t="shared" si="82"/>
        <v>25853.75634</v>
      </c>
      <c r="AA389" s="489">
        <v>23030.488000000001</v>
      </c>
      <c r="AB389" s="488">
        <f t="shared" si="83"/>
        <v>27175.975839999999</v>
      </c>
      <c r="AC389" s="492">
        <f t="shared" si="84"/>
        <v>21909.963</v>
      </c>
      <c r="AD389" s="493">
        <f t="shared" si="85"/>
        <v>25853.75634</v>
      </c>
      <c r="AE389" s="494" t="s">
        <v>1775</v>
      </c>
      <c r="AF389" s="494" t="s">
        <v>83</v>
      </c>
      <c r="AG389" s="494" t="s">
        <v>211</v>
      </c>
      <c r="AH389" s="494" t="s">
        <v>545</v>
      </c>
      <c r="AI389" s="495">
        <v>41760</v>
      </c>
      <c r="AJ389" s="495">
        <v>41795</v>
      </c>
      <c r="AK389" s="494" t="s">
        <v>96</v>
      </c>
      <c r="AL389" s="494" t="s">
        <v>96</v>
      </c>
      <c r="AM389" s="496" t="s">
        <v>1846</v>
      </c>
      <c r="AN389" s="496" t="s">
        <v>1757</v>
      </c>
      <c r="AO389" s="494">
        <v>796</v>
      </c>
      <c r="AP389" s="494" t="s">
        <v>368</v>
      </c>
      <c r="AQ389" s="494">
        <v>1</v>
      </c>
      <c r="AR389" s="494">
        <v>45</v>
      </c>
      <c r="AS389" s="496" t="s">
        <v>547</v>
      </c>
      <c r="AT389" s="495">
        <v>41815</v>
      </c>
      <c r="AU389" s="495">
        <v>41815</v>
      </c>
      <c r="AV389" s="495">
        <v>42369</v>
      </c>
      <c r="AW389" s="494" t="s">
        <v>99</v>
      </c>
      <c r="AX389" s="496"/>
      <c r="AY389" s="494" t="s">
        <v>186</v>
      </c>
      <c r="AZ389" s="494"/>
      <c r="BA389" s="494">
        <v>2014</v>
      </c>
      <c r="BB389" s="494" t="s">
        <v>2057</v>
      </c>
      <c r="BC389" s="496" t="s">
        <v>2058</v>
      </c>
      <c r="BD389" s="496" t="s">
        <v>1818</v>
      </c>
      <c r="BE389" s="497">
        <v>42369</v>
      </c>
      <c r="BF389" s="498">
        <v>6211.1816052639997</v>
      </c>
      <c r="BG389" s="488">
        <v>6211.1816052639997</v>
      </c>
      <c r="BH389" s="488">
        <v>0</v>
      </c>
      <c r="BI389" s="488">
        <v>0.56000000000000005</v>
      </c>
      <c r="BJ389" s="494" t="s">
        <v>186</v>
      </c>
      <c r="BK389" s="401"/>
    </row>
    <row r="390" spans="1:63" ht="112.5">
      <c r="A390" s="401">
        <v>2</v>
      </c>
      <c r="B390" s="494" t="s">
        <v>2059</v>
      </c>
      <c r="C390" s="401" t="s">
        <v>83</v>
      </c>
      <c r="D390" s="401" t="s">
        <v>242</v>
      </c>
      <c r="E390" s="494" t="s">
        <v>5853</v>
      </c>
      <c r="F390" s="401" t="s">
        <v>1768</v>
      </c>
      <c r="G390" s="401" t="s">
        <v>1769</v>
      </c>
      <c r="H390" s="499">
        <v>854241</v>
      </c>
      <c r="I390" s="486" t="s">
        <v>2060</v>
      </c>
      <c r="J390" s="496" t="s">
        <v>5317</v>
      </c>
      <c r="K390" s="496" t="s">
        <v>5317</v>
      </c>
      <c r="L390" s="496" t="s">
        <v>1772</v>
      </c>
      <c r="M390" s="500" t="s">
        <v>1755</v>
      </c>
      <c r="N390" s="496" t="s">
        <v>1773</v>
      </c>
      <c r="O390" s="496" t="s">
        <v>2234</v>
      </c>
      <c r="P390" s="489">
        <v>64369.338707272727</v>
      </c>
      <c r="Q390" s="489">
        <f t="shared" si="81"/>
        <v>75955.819674581813</v>
      </c>
      <c r="R390" s="489">
        <v>39244.793874222567</v>
      </c>
      <c r="S390" s="401" t="s">
        <v>1774</v>
      </c>
      <c r="T390" s="501">
        <v>1.087</v>
      </c>
      <c r="U390" s="501">
        <v>1.077</v>
      </c>
      <c r="V390" s="501">
        <v>1.073</v>
      </c>
      <c r="W390" s="501">
        <v>1.071</v>
      </c>
      <c r="X390" s="596">
        <v>0.9</v>
      </c>
      <c r="Y390" s="502">
        <v>50654.286999999997</v>
      </c>
      <c r="Z390" s="489">
        <f t="shared" si="82"/>
        <v>59772.058659999995</v>
      </c>
      <c r="AA390" s="489">
        <v>53337.209000000003</v>
      </c>
      <c r="AB390" s="488">
        <f t="shared" si="83"/>
        <v>62937.906620000002</v>
      </c>
      <c r="AC390" s="492">
        <f t="shared" si="84"/>
        <v>50654.286999999997</v>
      </c>
      <c r="AD390" s="493">
        <f t="shared" si="85"/>
        <v>59772.058659999995</v>
      </c>
      <c r="AE390" s="494" t="s">
        <v>1775</v>
      </c>
      <c r="AF390" s="494" t="s">
        <v>83</v>
      </c>
      <c r="AG390" s="494" t="s">
        <v>211</v>
      </c>
      <c r="AH390" s="494" t="s">
        <v>545</v>
      </c>
      <c r="AI390" s="495">
        <v>41932</v>
      </c>
      <c r="AJ390" s="495">
        <v>41967</v>
      </c>
      <c r="AK390" s="494" t="s">
        <v>96</v>
      </c>
      <c r="AL390" s="494" t="s">
        <v>96</v>
      </c>
      <c r="AM390" s="496" t="s">
        <v>1846</v>
      </c>
      <c r="AN390" s="496" t="s">
        <v>1757</v>
      </c>
      <c r="AO390" s="494">
        <v>796</v>
      </c>
      <c r="AP390" s="494" t="s">
        <v>368</v>
      </c>
      <c r="AQ390" s="494">
        <v>1</v>
      </c>
      <c r="AR390" s="494">
        <v>45</v>
      </c>
      <c r="AS390" s="496" t="s">
        <v>547</v>
      </c>
      <c r="AT390" s="495">
        <v>41987</v>
      </c>
      <c r="AU390" s="495">
        <v>41987</v>
      </c>
      <c r="AV390" s="495">
        <v>42369</v>
      </c>
      <c r="AW390" s="494" t="s">
        <v>99</v>
      </c>
      <c r="AX390" s="496"/>
      <c r="AY390" s="494" t="s">
        <v>186</v>
      </c>
      <c r="AZ390" s="494"/>
      <c r="BA390" s="494">
        <v>2014</v>
      </c>
      <c r="BB390" s="494" t="s">
        <v>2061</v>
      </c>
      <c r="BC390" s="496" t="s">
        <v>2062</v>
      </c>
      <c r="BD390" s="496" t="s">
        <v>1818</v>
      </c>
      <c r="BE390" s="497">
        <v>42369</v>
      </c>
      <c r="BF390" s="498">
        <v>18581.814000000002</v>
      </c>
      <c r="BG390" s="488">
        <v>18581.814000000002</v>
      </c>
      <c r="BH390" s="488">
        <v>0</v>
      </c>
      <c r="BI390" s="488">
        <v>2.5</v>
      </c>
      <c r="BJ390" s="494" t="s">
        <v>186</v>
      </c>
      <c r="BK390" s="401"/>
    </row>
    <row r="391" spans="1:63" ht="112.5">
      <c r="A391" s="401">
        <v>2</v>
      </c>
      <c r="B391" s="494" t="s">
        <v>2063</v>
      </c>
      <c r="C391" s="401" t="s">
        <v>83</v>
      </c>
      <c r="D391" s="401" t="s">
        <v>242</v>
      </c>
      <c r="E391" s="494" t="s">
        <v>5853</v>
      </c>
      <c r="F391" s="401" t="s">
        <v>1768</v>
      </c>
      <c r="G391" s="401" t="s">
        <v>1769</v>
      </c>
      <c r="H391" s="499">
        <v>854242</v>
      </c>
      <c r="I391" s="486" t="s">
        <v>2064</v>
      </c>
      <c r="J391" s="496" t="s">
        <v>5317</v>
      </c>
      <c r="K391" s="496" t="s">
        <v>5317</v>
      </c>
      <c r="L391" s="496" t="s">
        <v>1772</v>
      </c>
      <c r="M391" s="500" t="s">
        <v>1755</v>
      </c>
      <c r="N391" s="496" t="s">
        <v>1773</v>
      </c>
      <c r="O391" s="496" t="s">
        <v>2234</v>
      </c>
      <c r="P391" s="489">
        <v>918.30508199999986</v>
      </c>
      <c r="Q391" s="489">
        <f t="shared" si="81"/>
        <v>1083.5999967599998</v>
      </c>
      <c r="R391" s="489">
        <v>687.74838086622401</v>
      </c>
      <c r="S391" s="401" t="s">
        <v>1774</v>
      </c>
      <c r="T391" s="501">
        <v>1.087</v>
      </c>
      <c r="U391" s="501">
        <v>1.077</v>
      </c>
      <c r="V391" s="501">
        <v>1.073</v>
      </c>
      <c r="W391" s="501">
        <v>1.071</v>
      </c>
      <c r="X391" s="596">
        <v>0.9</v>
      </c>
      <c r="Y391" s="502">
        <v>887.69491259999995</v>
      </c>
      <c r="Z391" s="489">
        <f t="shared" si="82"/>
        <v>1047.4799968679999</v>
      </c>
      <c r="AA391" s="489">
        <v>860.45186183399994</v>
      </c>
      <c r="AB391" s="488">
        <f t="shared" si="83"/>
        <v>1015.3331969641199</v>
      </c>
      <c r="AC391" s="492">
        <f t="shared" si="84"/>
        <v>860.45186183399994</v>
      </c>
      <c r="AD391" s="493">
        <f t="shared" si="85"/>
        <v>1015.3331969641199</v>
      </c>
      <c r="AE391" s="494" t="s">
        <v>1775</v>
      </c>
      <c r="AF391" s="494" t="s">
        <v>83</v>
      </c>
      <c r="AG391" s="494" t="s">
        <v>211</v>
      </c>
      <c r="AH391" s="494" t="s">
        <v>545</v>
      </c>
      <c r="AI391" s="495">
        <v>41932</v>
      </c>
      <c r="AJ391" s="495">
        <v>41967</v>
      </c>
      <c r="AK391" s="494" t="s">
        <v>96</v>
      </c>
      <c r="AL391" s="494" t="s">
        <v>96</v>
      </c>
      <c r="AM391" s="496" t="s">
        <v>1846</v>
      </c>
      <c r="AN391" s="496" t="s">
        <v>1757</v>
      </c>
      <c r="AO391" s="494">
        <v>796</v>
      </c>
      <c r="AP391" s="494" t="s">
        <v>368</v>
      </c>
      <c r="AQ391" s="494">
        <v>1</v>
      </c>
      <c r="AR391" s="494">
        <v>45</v>
      </c>
      <c r="AS391" s="496" t="s">
        <v>547</v>
      </c>
      <c r="AT391" s="495">
        <v>41987</v>
      </c>
      <c r="AU391" s="495">
        <v>41987</v>
      </c>
      <c r="AV391" s="495">
        <v>42369</v>
      </c>
      <c r="AW391" s="494" t="s">
        <v>99</v>
      </c>
      <c r="AX391" s="496"/>
      <c r="AY391" s="494" t="s">
        <v>186</v>
      </c>
      <c r="AZ391" s="494"/>
      <c r="BA391" s="494">
        <v>2014</v>
      </c>
      <c r="BB391" s="494" t="s">
        <v>2065</v>
      </c>
      <c r="BC391" s="496" t="s">
        <v>2066</v>
      </c>
      <c r="BD391" s="496" t="s">
        <v>1818</v>
      </c>
      <c r="BE391" s="497">
        <v>42369</v>
      </c>
      <c r="BF391" s="498">
        <v>1203.9999999999998</v>
      </c>
      <c r="BG391" s="488">
        <v>1203.9999999999998</v>
      </c>
      <c r="BH391" s="488">
        <v>0</v>
      </c>
      <c r="BI391" s="488">
        <v>0.34</v>
      </c>
      <c r="BJ391" s="494" t="s">
        <v>186</v>
      </c>
      <c r="BK391" s="401"/>
    </row>
    <row r="392" spans="1:63" ht="112.5">
      <c r="A392" s="401">
        <v>2</v>
      </c>
      <c r="B392" s="494" t="s">
        <v>2067</v>
      </c>
      <c r="C392" s="401" t="s">
        <v>83</v>
      </c>
      <c r="D392" s="401" t="s">
        <v>242</v>
      </c>
      <c r="E392" s="494" t="s">
        <v>5853</v>
      </c>
      <c r="F392" s="401" t="s">
        <v>1768</v>
      </c>
      <c r="G392" s="401" t="s">
        <v>1769</v>
      </c>
      <c r="H392" s="499">
        <v>854243</v>
      </c>
      <c r="I392" s="486" t="s">
        <v>2068</v>
      </c>
      <c r="J392" s="496" t="s">
        <v>5317</v>
      </c>
      <c r="K392" s="496" t="s">
        <v>5317</v>
      </c>
      <c r="L392" s="496" t="s">
        <v>1772</v>
      </c>
      <c r="M392" s="500" t="s">
        <v>1755</v>
      </c>
      <c r="N392" s="496" t="s">
        <v>1773</v>
      </c>
      <c r="O392" s="496" t="s">
        <v>2234</v>
      </c>
      <c r="P392" s="489">
        <v>6125.5057958500001</v>
      </c>
      <c r="Q392" s="489">
        <f t="shared" si="81"/>
        <v>7228.0968391030001</v>
      </c>
      <c r="R392" s="489">
        <v>4025.787698508057</v>
      </c>
      <c r="S392" s="401" t="s">
        <v>1774</v>
      </c>
      <c r="T392" s="501">
        <v>1.087</v>
      </c>
      <c r="U392" s="501">
        <v>1.077</v>
      </c>
      <c r="V392" s="501">
        <v>1.073</v>
      </c>
      <c r="W392" s="501">
        <v>1.071</v>
      </c>
      <c r="X392" s="596">
        <v>0.9</v>
      </c>
      <c r="Y392" s="502">
        <v>5196.1899999999996</v>
      </c>
      <c r="Z392" s="489">
        <f t="shared" si="82"/>
        <v>6131.5041999999994</v>
      </c>
      <c r="AA392" s="489">
        <v>5469.38</v>
      </c>
      <c r="AB392" s="488">
        <f t="shared" si="83"/>
        <v>6453.8683999999994</v>
      </c>
      <c r="AC392" s="492">
        <f t="shared" si="84"/>
        <v>5196.1899999999996</v>
      </c>
      <c r="AD392" s="493">
        <f t="shared" si="85"/>
        <v>6131.5041999999994</v>
      </c>
      <c r="AE392" s="494" t="s">
        <v>1775</v>
      </c>
      <c r="AF392" s="494" t="s">
        <v>83</v>
      </c>
      <c r="AG392" s="494" t="s">
        <v>211</v>
      </c>
      <c r="AH392" s="494" t="s">
        <v>545</v>
      </c>
      <c r="AI392" s="495">
        <v>41791</v>
      </c>
      <c r="AJ392" s="495">
        <v>41826</v>
      </c>
      <c r="AK392" s="494" t="s">
        <v>96</v>
      </c>
      <c r="AL392" s="494" t="s">
        <v>96</v>
      </c>
      <c r="AM392" s="496" t="s">
        <v>1846</v>
      </c>
      <c r="AN392" s="496" t="s">
        <v>1757</v>
      </c>
      <c r="AO392" s="494">
        <v>796</v>
      </c>
      <c r="AP392" s="494" t="s">
        <v>368</v>
      </c>
      <c r="AQ392" s="494">
        <v>1</v>
      </c>
      <c r="AR392" s="494">
        <v>45</v>
      </c>
      <c r="AS392" s="496" t="s">
        <v>547</v>
      </c>
      <c r="AT392" s="495">
        <v>41846</v>
      </c>
      <c r="AU392" s="495">
        <v>41846</v>
      </c>
      <c r="AV392" s="495">
        <v>42369</v>
      </c>
      <c r="AW392" s="494" t="s">
        <v>99</v>
      </c>
      <c r="AX392" s="496"/>
      <c r="AY392" s="494" t="s">
        <v>186</v>
      </c>
      <c r="AZ392" s="494"/>
      <c r="BA392" s="494">
        <v>2014</v>
      </c>
      <c r="BB392" s="494" t="s">
        <v>2069</v>
      </c>
      <c r="BC392" s="496" t="s">
        <v>2070</v>
      </c>
      <c r="BD392" s="496" t="s">
        <v>1818</v>
      </c>
      <c r="BE392" s="497">
        <v>42369</v>
      </c>
      <c r="BF392" s="498">
        <v>5590.1800016919988</v>
      </c>
      <c r="BG392" s="488">
        <v>5590.1800016919988</v>
      </c>
      <c r="BH392" s="488">
        <v>0</v>
      </c>
      <c r="BI392" s="488">
        <v>0.72</v>
      </c>
      <c r="BJ392" s="494" t="s">
        <v>186</v>
      </c>
      <c r="BK392" s="401"/>
    </row>
    <row r="393" spans="1:63" ht="112.5">
      <c r="A393" s="401">
        <v>2</v>
      </c>
      <c r="B393" s="494" t="s">
        <v>2071</v>
      </c>
      <c r="C393" s="401" t="s">
        <v>83</v>
      </c>
      <c r="D393" s="401" t="s">
        <v>242</v>
      </c>
      <c r="E393" s="494" t="s">
        <v>5853</v>
      </c>
      <c r="F393" s="401" t="s">
        <v>1768</v>
      </c>
      <c r="G393" s="401" t="s">
        <v>1769</v>
      </c>
      <c r="H393" s="499">
        <v>854244</v>
      </c>
      <c r="I393" s="486" t="s">
        <v>2072</v>
      </c>
      <c r="J393" s="496" t="s">
        <v>5317</v>
      </c>
      <c r="K393" s="496" t="s">
        <v>5317</v>
      </c>
      <c r="L393" s="496" t="s">
        <v>1772</v>
      </c>
      <c r="M393" s="500" t="s">
        <v>1755</v>
      </c>
      <c r="N393" s="496" t="s">
        <v>1773</v>
      </c>
      <c r="O393" s="496" t="s">
        <v>2234</v>
      </c>
      <c r="P393" s="489">
        <v>2105.8474590000001</v>
      </c>
      <c r="Q393" s="489">
        <f t="shared" si="81"/>
        <v>2484.9000016199998</v>
      </c>
      <c r="R393" s="489">
        <v>1577.1372811356193</v>
      </c>
      <c r="S393" s="401" t="s">
        <v>1774</v>
      </c>
      <c r="T393" s="501">
        <v>1.087</v>
      </c>
      <c r="U393" s="501">
        <v>1.077</v>
      </c>
      <c r="V393" s="501">
        <v>1.073</v>
      </c>
      <c r="W393" s="501">
        <v>1.071</v>
      </c>
      <c r="X393" s="596">
        <v>0.9</v>
      </c>
      <c r="Y393" s="502">
        <v>2035.6525436999998</v>
      </c>
      <c r="Z393" s="489">
        <f t="shared" si="82"/>
        <v>2402.0700015659995</v>
      </c>
      <c r="AA393" s="489">
        <v>1966.8615267060002</v>
      </c>
      <c r="AB393" s="488">
        <f t="shared" si="83"/>
        <v>2320.89660151308</v>
      </c>
      <c r="AC393" s="492">
        <f t="shared" si="84"/>
        <v>1966.8615267060002</v>
      </c>
      <c r="AD393" s="493">
        <f t="shared" si="85"/>
        <v>2320.89660151308</v>
      </c>
      <c r="AE393" s="494" t="s">
        <v>1775</v>
      </c>
      <c r="AF393" s="494" t="s">
        <v>83</v>
      </c>
      <c r="AG393" s="494" t="s">
        <v>211</v>
      </c>
      <c r="AH393" s="494" t="s">
        <v>545</v>
      </c>
      <c r="AI393" s="495">
        <v>41932</v>
      </c>
      <c r="AJ393" s="495">
        <v>41967</v>
      </c>
      <c r="AK393" s="494" t="s">
        <v>96</v>
      </c>
      <c r="AL393" s="494" t="s">
        <v>96</v>
      </c>
      <c r="AM393" s="496" t="s">
        <v>1846</v>
      </c>
      <c r="AN393" s="496" t="s">
        <v>1757</v>
      </c>
      <c r="AO393" s="494">
        <v>796</v>
      </c>
      <c r="AP393" s="494" t="s">
        <v>368</v>
      </c>
      <c r="AQ393" s="494">
        <v>1</v>
      </c>
      <c r="AR393" s="494">
        <v>45</v>
      </c>
      <c r="AS393" s="496" t="s">
        <v>547</v>
      </c>
      <c r="AT393" s="495">
        <v>41987</v>
      </c>
      <c r="AU393" s="495">
        <v>41987</v>
      </c>
      <c r="AV393" s="495">
        <v>42369</v>
      </c>
      <c r="AW393" s="494" t="s">
        <v>99</v>
      </c>
      <c r="AX393" s="496"/>
      <c r="AY393" s="494" t="s">
        <v>186</v>
      </c>
      <c r="AZ393" s="494"/>
      <c r="BA393" s="494">
        <v>2014</v>
      </c>
      <c r="BB393" s="494" t="s">
        <v>2073</v>
      </c>
      <c r="BC393" s="496" t="s">
        <v>2074</v>
      </c>
      <c r="BD393" s="496" t="s">
        <v>1818</v>
      </c>
      <c r="BE393" s="497">
        <v>42369</v>
      </c>
      <c r="BF393" s="498">
        <v>2760.9999999999995</v>
      </c>
      <c r="BG393" s="488">
        <v>2760.9999999999995</v>
      </c>
      <c r="BH393" s="488">
        <v>0</v>
      </c>
      <c r="BI393" s="488">
        <v>0.78</v>
      </c>
      <c r="BJ393" s="494" t="s">
        <v>186</v>
      </c>
      <c r="BK393" s="401"/>
    </row>
    <row r="394" spans="1:63" ht="112.5">
      <c r="A394" s="401">
        <v>2</v>
      </c>
      <c r="B394" s="494" t="s">
        <v>2075</v>
      </c>
      <c r="C394" s="401" t="s">
        <v>83</v>
      </c>
      <c r="D394" s="401" t="s">
        <v>242</v>
      </c>
      <c r="E394" s="494" t="s">
        <v>5853</v>
      </c>
      <c r="F394" s="401" t="s">
        <v>1768</v>
      </c>
      <c r="G394" s="401" t="s">
        <v>1769</v>
      </c>
      <c r="H394" s="499">
        <v>854245</v>
      </c>
      <c r="I394" s="486" t="s">
        <v>2076</v>
      </c>
      <c r="J394" s="496" t="s">
        <v>5317</v>
      </c>
      <c r="K394" s="496" t="s">
        <v>5317</v>
      </c>
      <c r="L394" s="496" t="s">
        <v>1772</v>
      </c>
      <c r="M394" s="500" t="s">
        <v>1755</v>
      </c>
      <c r="N394" s="496" t="s">
        <v>1773</v>
      </c>
      <c r="O394" s="496" t="s">
        <v>2234</v>
      </c>
      <c r="P394" s="489">
        <v>890.84745900000019</v>
      </c>
      <c r="Q394" s="489">
        <f t="shared" si="81"/>
        <v>1051.2000016200002</v>
      </c>
      <c r="R394" s="489">
        <v>667.18447881358873</v>
      </c>
      <c r="S394" s="401" t="s">
        <v>1774</v>
      </c>
      <c r="T394" s="501">
        <v>1.087</v>
      </c>
      <c r="U394" s="501">
        <v>1.077</v>
      </c>
      <c r="V394" s="501">
        <v>1.073</v>
      </c>
      <c r="W394" s="501">
        <v>1.071</v>
      </c>
      <c r="X394" s="596">
        <v>0.9</v>
      </c>
      <c r="Y394" s="502">
        <v>861.15254370000002</v>
      </c>
      <c r="Z394" s="489">
        <f t="shared" si="82"/>
        <v>1016.160001566</v>
      </c>
      <c r="AA394" s="489">
        <v>832.94237416500027</v>
      </c>
      <c r="AB394" s="488">
        <f t="shared" si="83"/>
        <v>982.87200151470029</v>
      </c>
      <c r="AC394" s="492">
        <f t="shared" si="84"/>
        <v>832.94237416500027</v>
      </c>
      <c r="AD394" s="493">
        <f t="shared" si="85"/>
        <v>982.87200151470029</v>
      </c>
      <c r="AE394" s="494" t="s">
        <v>1775</v>
      </c>
      <c r="AF394" s="494" t="s">
        <v>83</v>
      </c>
      <c r="AG394" s="494" t="s">
        <v>211</v>
      </c>
      <c r="AH394" s="494" t="s">
        <v>545</v>
      </c>
      <c r="AI394" s="495">
        <v>41932</v>
      </c>
      <c r="AJ394" s="495">
        <v>41967</v>
      </c>
      <c r="AK394" s="494" t="s">
        <v>96</v>
      </c>
      <c r="AL394" s="494" t="s">
        <v>96</v>
      </c>
      <c r="AM394" s="496" t="s">
        <v>1846</v>
      </c>
      <c r="AN394" s="496" t="s">
        <v>1757</v>
      </c>
      <c r="AO394" s="494">
        <v>796</v>
      </c>
      <c r="AP394" s="494" t="s">
        <v>368</v>
      </c>
      <c r="AQ394" s="494">
        <v>1</v>
      </c>
      <c r="AR394" s="494">
        <v>45</v>
      </c>
      <c r="AS394" s="496" t="s">
        <v>547</v>
      </c>
      <c r="AT394" s="495">
        <v>41987</v>
      </c>
      <c r="AU394" s="495">
        <v>41987</v>
      </c>
      <c r="AV394" s="495">
        <v>42369</v>
      </c>
      <c r="AW394" s="494" t="s">
        <v>99</v>
      </c>
      <c r="AX394" s="496"/>
      <c r="AY394" s="494" t="s">
        <v>186</v>
      </c>
      <c r="AZ394" s="494"/>
      <c r="BA394" s="494">
        <v>2014</v>
      </c>
      <c r="BB394" s="494" t="s">
        <v>2077</v>
      </c>
      <c r="BC394" s="496" t="s">
        <v>2078</v>
      </c>
      <c r="BD394" s="496" t="s">
        <v>1818</v>
      </c>
      <c r="BE394" s="497">
        <v>42369</v>
      </c>
      <c r="BF394" s="498">
        <v>1168</v>
      </c>
      <c r="BG394" s="488">
        <v>1168</v>
      </c>
      <c r="BH394" s="488">
        <v>0</v>
      </c>
      <c r="BI394" s="488">
        <v>0.33</v>
      </c>
      <c r="BJ394" s="494" t="s">
        <v>186</v>
      </c>
      <c r="BK394" s="401"/>
    </row>
    <row r="395" spans="1:63" ht="112.5">
      <c r="A395" s="401">
        <v>2</v>
      </c>
      <c r="B395" s="494" t="s">
        <v>2079</v>
      </c>
      <c r="C395" s="401" t="s">
        <v>83</v>
      </c>
      <c r="D395" s="401" t="s">
        <v>242</v>
      </c>
      <c r="E395" s="494" t="s">
        <v>5853</v>
      </c>
      <c r="F395" s="401" t="s">
        <v>1768</v>
      </c>
      <c r="G395" s="401" t="s">
        <v>1769</v>
      </c>
      <c r="H395" s="499">
        <v>854246</v>
      </c>
      <c r="I395" s="486" t="s">
        <v>2080</v>
      </c>
      <c r="J395" s="496" t="s">
        <v>5317</v>
      </c>
      <c r="K395" s="496" t="s">
        <v>5317</v>
      </c>
      <c r="L395" s="496" t="s">
        <v>1772</v>
      </c>
      <c r="M395" s="500" t="s">
        <v>1755</v>
      </c>
      <c r="N395" s="496" t="s">
        <v>1773</v>
      </c>
      <c r="O395" s="496" t="s">
        <v>2234</v>
      </c>
      <c r="P395" s="489">
        <v>3600</v>
      </c>
      <c r="Q395" s="489">
        <f t="shared" si="81"/>
        <v>4248</v>
      </c>
      <c r="R395" s="489">
        <v>2696.1564513245357</v>
      </c>
      <c r="S395" s="401" t="s">
        <v>1774</v>
      </c>
      <c r="T395" s="501">
        <v>1.087</v>
      </c>
      <c r="U395" s="501">
        <v>1.077</v>
      </c>
      <c r="V395" s="501">
        <v>1.073</v>
      </c>
      <c r="W395" s="501">
        <v>1.071</v>
      </c>
      <c r="X395" s="596">
        <v>0.9</v>
      </c>
      <c r="Y395" s="502">
        <v>3480</v>
      </c>
      <c r="Z395" s="489">
        <f t="shared" si="82"/>
        <v>4106.3999999999996</v>
      </c>
      <c r="AA395" s="489">
        <v>3369.6000000000004</v>
      </c>
      <c r="AB395" s="488">
        <f t="shared" si="83"/>
        <v>3976.1280000000002</v>
      </c>
      <c r="AC395" s="492">
        <f t="shared" si="84"/>
        <v>3369.6000000000004</v>
      </c>
      <c r="AD395" s="493">
        <f t="shared" si="85"/>
        <v>3976.1280000000002</v>
      </c>
      <c r="AE395" s="494" t="s">
        <v>1775</v>
      </c>
      <c r="AF395" s="494" t="s">
        <v>83</v>
      </c>
      <c r="AG395" s="494" t="s">
        <v>211</v>
      </c>
      <c r="AH395" s="494" t="s">
        <v>545</v>
      </c>
      <c r="AI395" s="495">
        <v>41791</v>
      </c>
      <c r="AJ395" s="495">
        <v>41826</v>
      </c>
      <c r="AK395" s="494" t="s">
        <v>96</v>
      </c>
      <c r="AL395" s="494" t="s">
        <v>96</v>
      </c>
      <c r="AM395" s="496" t="s">
        <v>1846</v>
      </c>
      <c r="AN395" s="496" t="s">
        <v>1757</v>
      </c>
      <c r="AO395" s="494">
        <v>796</v>
      </c>
      <c r="AP395" s="494" t="s">
        <v>368</v>
      </c>
      <c r="AQ395" s="494">
        <v>1</v>
      </c>
      <c r="AR395" s="494">
        <v>45</v>
      </c>
      <c r="AS395" s="496" t="s">
        <v>547</v>
      </c>
      <c r="AT395" s="495">
        <v>41846</v>
      </c>
      <c r="AU395" s="495">
        <v>41846</v>
      </c>
      <c r="AV395" s="495">
        <v>42369</v>
      </c>
      <c r="AW395" s="494" t="s">
        <v>99</v>
      </c>
      <c r="AX395" s="496"/>
      <c r="AY395" s="494" t="s">
        <v>186</v>
      </c>
      <c r="AZ395" s="494"/>
      <c r="BA395" s="494">
        <v>2014</v>
      </c>
      <c r="BB395" s="494" t="s">
        <v>2081</v>
      </c>
      <c r="BC395" s="496" t="s">
        <v>2082</v>
      </c>
      <c r="BD395" s="496" t="s">
        <v>1818</v>
      </c>
      <c r="BE395" s="497">
        <v>42369</v>
      </c>
      <c r="BF395" s="498">
        <v>4720</v>
      </c>
      <c r="BG395" s="488">
        <v>4720</v>
      </c>
      <c r="BH395" s="488">
        <v>0</v>
      </c>
      <c r="BI395" s="488">
        <v>1</v>
      </c>
      <c r="BJ395" s="494" t="s">
        <v>186</v>
      </c>
      <c r="BK395" s="401"/>
    </row>
    <row r="396" spans="1:63" ht="112.5">
      <c r="A396" s="401">
        <v>2</v>
      </c>
      <c r="B396" s="494" t="s">
        <v>2083</v>
      </c>
      <c r="C396" s="401" t="s">
        <v>83</v>
      </c>
      <c r="D396" s="401" t="s">
        <v>242</v>
      </c>
      <c r="E396" s="494" t="s">
        <v>5853</v>
      </c>
      <c r="F396" s="401" t="s">
        <v>1768</v>
      </c>
      <c r="G396" s="401" t="s">
        <v>1769</v>
      </c>
      <c r="H396" s="499">
        <v>854247</v>
      </c>
      <c r="I396" s="486" t="s">
        <v>2084</v>
      </c>
      <c r="J396" s="496" t="s">
        <v>5317</v>
      </c>
      <c r="K396" s="496" t="s">
        <v>5317</v>
      </c>
      <c r="L396" s="496" t="s">
        <v>1772</v>
      </c>
      <c r="M396" s="500" t="s">
        <v>1755</v>
      </c>
      <c r="N396" s="496" t="s">
        <v>1773</v>
      </c>
      <c r="O396" s="496" t="s">
        <v>2234</v>
      </c>
      <c r="P396" s="489">
        <v>4599.1525410000004</v>
      </c>
      <c r="Q396" s="489">
        <f t="shared" si="81"/>
        <v>5426.9999983799999</v>
      </c>
      <c r="R396" s="489">
        <v>3444.4541094563283</v>
      </c>
      <c r="S396" s="401" t="s">
        <v>1774</v>
      </c>
      <c r="T396" s="501">
        <v>1.087</v>
      </c>
      <c r="U396" s="501">
        <v>1.077</v>
      </c>
      <c r="V396" s="501">
        <v>1.073</v>
      </c>
      <c r="W396" s="501">
        <v>1.071</v>
      </c>
      <c r="X396" s="596">
        <v>0.9</v>
      </c>
      <c r="Y396" s="502">
        <v>4445.8474563</v>
      </c>
      <c r="Z396" s="489">
        <f t="shared" si="82"/>
        <v>5246.0999984339996</v>
      </c>
      <c r="AA396" s="489">
        <v>4410.5872868189999</v>
      </c>
      <c r="AB396" s="488">
        <f t="shared" si="83"/>
        <v>5204.4929984464197</v>
      </c>
      <c r="AC396" s="492">
        <f t="shared" si="84"/>
        <v>4410.5872868189999</v>
      </c>
      <c r="AD396" s="493">
        <f t="shared" si="85"/>
        <v>5204.4929984464197</v>
      </c>
      <c r="AE396" s="494" t="s">
        <v>1775</v>
      </c>
      <c r="AF396" s="494" t="s">
        <v>83</v>
      </c>
      <c r="AG396" s="494" t="s">
        <v>211</v>
      </c>
      <c r="AH396" s="494" t="s">
        <v>545</v>
      </c>
      <c r="AI396" s="495">
        <v>41791</v>
      </c>
      <c r="AJ396" s="495">
        <v>41826</v>
      </c>
      <c r="AK396" s="494" t="s">
        <v>96</v>
      </c>
      <c r="AL396" s="494" t="s">
        <v>96</v>
      </c>
      <c r="AM396" s="496" t="s">
        <v>1846</v>
      </c>
      <c r="AN396" s="496" t="s">
        <v>1757</v>
      </c>
      <c r="AO396" s="494">
        <v>796</v>
      </c>
      <c r="AP396" s="494" t="s">
        <v>368</v>
      </c>
      <c r="AQ396" s="494">
        <v>1</v>
      </c>
      <c r="AR396" s="494">
        <v>45</v>
      </c>
      <c r="AS396" s="496" t="s">
        <v>547</v>
      </c>
      <c r="AT396" s="495">
        <v>41846</v>
      </c>
      <c r="AU396" s="495">
        <v>41846</v>
      </c>
      <c r="AV396" s="495">
        <v>42369</v>
      </c>
      <c r="AW396" s="494" t="s">
        <v>99</v>
      </c>
      <c r="AX396" s="496"/>
      <c r="AY396" s="494" t="s">
        <v>186</v>
      </c>
      <c r="AZ396" s="494"/>
      <c r="BA396" s="494">
        <v>2014</v>
      </c>
      <c r="BB396" s="494" t="s">
        <v>2085</v>
      </c>
      <c r="BC396" s="496" t="s">
        <v>2086</v>
      </c>
      <c r="BD396" s="496" t="s">
        <v>1818</v>
      </c>
      <c r="BE396" s="497">
        <v>42369</v>
      </c>
      <c r="BF396" s="498">
        <v>5425.2559999999994</v>
      </c>
      <c r="BG396" s="488">
        <v>5425.2559999999994</v>
      </c>
      <c r="BH396" s="488">
        <v>0</v>
      </c>
      <c r="BI396" s="488">
        <v>1.46</v>
      </c>
      <c r="BJ396" s="494" t="s">
        <v>186</v>
      </c>
      <c r="BK396" s="401"/>
    </row>
    <row r="397" spans="1:63" ht="112.5">
      <c r="A397" s="401">
        <v>2</v>
      </c>
      <c r="B397" s="494" t="s">
        <v>2087</v>
      </c>
      <c r="C397" s="401" t="s">
        <v>83</v>
      </c>
      <c r="D397" s="401" t="s">
        <v>242</v>
      </c>
      <c r="E397" s="494" t="s">
        <v>5853</v>
      </c>
      <c r="F397" s="401" t="s">
        <v>1768</v>
      </c>
      <c r="G397" s="401" t="s">
        <v>1769</v>
      </c>
      <c r="H397" s="499">
        <v>854248</v>
      </c>
      <c r="I397" s="486" t="s">
        <v>2088</v>
      </c>
      <c r="J397" s="496" t="s">
        <v>5317</v>
      </c>
      <c r="K397" s="496" t="s">
        <v>5317</v>
      </c>
      <c r="L397" s="496" t="s">
        <v>1772</v>
      </c>
      <c r="M397" s="500" t="s">
        <v>1755</v>
      </c>
      <c r="N397" s="496" t="s">
        <v>1773</v>
      </c>
      <c r="O397" s="496" t="s">
        <v>2234</v>
      </c>
      <c r="P397" s="489">
        <v>816.10169399999995</v>
      </c>
      <c r="Q397" s="489">
        <f t="shared" si="81"/>
        <v>962.99999891999994</v>
      </c>
      <c r="R397" s="489">
        <v>611.20495755971717</v>
      </c>
      <c r="S397" s="401" t="s">
        <v>1774</v>
      </c>
      <c r="T397" s="501">
        <v>1.087</v>
      </c>
      <c r="U397" s="501">
        <v>1.077</v>
      </c>
      <c r="V397" s="501">
        <v>1.073</v>
      </c>
      <c r="W397" s="501">
        <v>1.071</v>
      </c>
      <c r="X397" s="596">
        <v>0.9</v>
      </c>
      <c r="Y397" s="502">
        <v>788.89830419999998</v>
      </c>
      <c r="Z397" s="489">
        <f t="shared" si="82"/>
        <v>930.89999895599988</v>
      </c>
      <c r="AA397" s="489">
        <v>710.00847377999992</v>
      </c>
      <c r="AB397" s="488">
        <f t="shared" si="83"/>
        <v>837.80999906039983</v>
      </c>
      <c r="AC397" s="492">
        <f t="shared" si="84"/>
        <v>710.00847377999992</v>
      </c>
      <c r="AD397" s="493">
        <f t="shared" si="85"/>
        <v>837.80999906039983</v>
      </c>
      <c r="AE397" s="494" t="s">
        <v>1775</v>
      </c>
      <c r="AF397" s="494" t="s">
        <v>83</v>
      </c>
      <c r="AG397" s="494" t="s">
        <v>211</v>
      </c>
      <c r="AH397" s="494" t="s">
        <v>545</v>
      </c>
      <c r="AI397" s="495">
        <v>41791</v>
      </c>
      <c r="AJ397" s="495">
        <v>41826</v>
      </c>
      <c r="AK397" s="494" t="s">
        <v>96</v>
      </c>
      <c r="AL397" s="494" t="s">
        <v>96</v>
      </c>
      <c r="AM397" s="496" t="s">
        <v>1846</v>
      </c>
      <c r="AN397" s="496" t="s">
        <v>1757</v>
      </c>
      <c r="AO397" s="494">
        <v>796</v>
      </c>
      <c r="AP397" s="494" t="s">
        <v>368</v>
      </c>
      <c r="AQ397" s="494">
        <v>1</v>
      </c>
      <c r="AR397" s="494">
        <v>45</v>
      </c>
      <c r="AS397" s="496" t="s">
        <v>547</v>
      </c>
      <c r="AT397" s="495">
        <v>41846</v>
      </c>
      <c r="AU397" s="495">
        <v>41846</v>
      </c>
      <c r="AV397" s="495">
        <v>42369</v>
      </c>
      <c r="AW397" s="494" t="s">
        <v>99</v>
      </c>
      <c r="AX397" s="496"/>
      <c r="AY397" s="494" t="s">
        <v>186</v>
      </c>
      <c r="AZ397" s="494"/>
      <c r="BA397" s="494">
        <v>2014</v>
      </c>
      <c r="BB397" s="494" t="s">
        <v>2089</v>
      </c>
      <c r="BC397" s="496" t="s">
        <v>2090</v>
      </c>
      <c r="BD397" s="496" t="s">
        <v>1818</v>
      </c>
      <c r="BE397" s="497">
        <v>42369</v>
      </c>
      <c r="BF397" s="498">
        <v>1070</v>
      </c>
      <c r="BG397" s="488">
        <v>1070</v>
      </c>
      <c r="BH397" s="488">
        <v>0</v>
      </c>
      <c r="BI397" s="488">
        <v>0.26</v>
      </c>
      <c r="BJ397" s="494" t="s">
        <v>186</v>
      </c>
      <c r="BK397" s="401"/>
    </row>
    <row r="398" spans="1:63" ht="112.5">
      <c r="A398" s="401">
        <v>2</v>
      </c>
      <c r="B398" s="494" t="s">
        <v>2091</v>
      </c>
      <c r="C398" s="401" t="s">
        <v>83</v>
      </c>
      <c r="D398" s="401" t="s">
        <v>242</v>
      </c>
      <c r="E398" s="494" t="s">
        <v>5853</v>
      </c>
      <c r="F398" s="401" t="s">
        <v>1768</v>
      </c>
      <c r="G398" s="401" t="s">
        <v>1769</v>
      </c>
      <c r="H398" s="499">
        <v>854249</v>
      </c>
      <c r="I398" s="486" t="s">
        <v>2092</v>
      </c>
      <c r="J398" s="496" t="s">
        <v>5317</v>
      </c>
      <c r="K398" s="496" t="s">
        <v>5317</v>
      </c>
      <c r="L398" s="496" t="s">
        <v>1772</v>
      </c>
      <c r="M398" s="500" t="s">
        <v>1755</v>
      </c>
      <c r="N398" s="496" t="s">
        <v>1773</v>
      </c>
      <c r="O398" s="496" t="s">
        <v>2234</v>
      </c>
      <c r="P398" s="489">
        <v>1386.3355919999999</v>
      </c>
      <c r="Q398" s="489">
        <f t="shared" si="81"/>
        <v>1635.8759985599997</v>
      </c>
      <c r="R398" s="489">
        <v>1038.2715694643387</v>
      </c>
      <c r="S398" s="401" t="s">
        <v>1774</v>
      </c>
      <c r="T398" s="501">
        <v>1.087</v>
      </c>
      <c r="U398" s="501">
        <v>1.077</v>
      </c>
      <c r="V398" s="501">
        <v>1.073</v>
      </c>
      <c r="W398" s="501">
        <v>1.071</v>
      </c>
      <c r="X398" s="596">
        <v>0.9</v>
      </c>
      <c r="Y398" s="502">
        <v>1340.1244055999998</v>
      </c>
      <c r="Z398" s="489">
        <f t="shared" si="82"/>
        <v>1581.3467986079997</v>
      </c>
      <c r="AA398" s="489">
        <v>1233.8386768799999</v>
      </c>
      <c r="AB398" s="488">
        <f t="shared" si="83"/>
        <v>1455.9296387183997</v>
      </c>
      <c r="AC398" s="492">
        <f t="shared" si="84"/>
        <v>1233.8386768799999</v>
      </c>
      <c r="AD398" s="493">
        <f t="shared" si="85"/>
        <v>1455.9296387183997</v>
      </c>
      <c r="AE398" s="494" t="s">
        <v>1775</v>
      </c>
      <c r="AF398" s="494" t="s">
        <v>83</v>
      </c>
      <c r="AG398" s="494" t="s">
        <v>211</v>
      </c>
      <c r="AH398" s="494" t="s">
        <v>545</v>
      </c>
      <c r="AI398" s="495">
        <v>41791</v>
      </c>
      <c r="AJ398" s="495">
        <v>41826</v>
      </c>
      <c r="AK398" s="494" t="s">
        <v>96</v>
      </c>
      <c r="AL398" s="494" t="s">
        <v>96</v>
      </c>
      <c r="AM398" s="496" t="s">
        <v>1846</v>
      </c>
      <c r="AN398" s="496" t="s">
        <v>1757</v>
      </c>
      <c r="AO398" s="494">
        <v>796</v>
      </c>
      <c r="AP398" s="494" t="s">
        <v>368</v>
      </c>
      <c r="AQ398" s="494">
        <v>1</v>
      </c>
      <c r="AR398" s="494">
        <v>45</v>
      </c>
      <c r="AS398" s="496" t="s">
        <v>547</v>
      </c>
      <c r="AT398" s="495">
        <v>41846</v>
      </c>
      <c r="AU398" s="495">
        <v>41846</v>
      </c>
      <c r="AV398" s="495">
        <v>42369</v>
      </c>
      <c r="AW398" s="494" t="s">
        <v>99</v>
      </c>
      <c r="AX398" s="496"/>
      <c r="AY398" s="494" t="s">
        <v>186</v>
      </c>
      <c r="AZ398" s="494"/>
      <c r="BA398" s="494">
        <v>2014</v>
      </c>
      <c r="BB398" s="494" t="s">
        <v>2093</v>
      </c>
      <c r="BC398" s="496" t="s">
        <v>2094</v>
      </c>
      <c r="BD398" s="496" t="s">
        <v>1818</v>
      </c>
      <c r="BE398" s="497">
        <v>42369</v>
      </c>
      <c r="BF398" s="498">
        <v>1817.64</v>
      </c>
      <c r="BG398" s="488">
        <v>1817.64</v>
      </c>
      <c r="BH398" s="488">
        <v>0</v>
      </c>
      <c r="BI398" s="488">
        <v>0.22</v>
      </c>
      <c r="BJ398" s="494" t="s">
        <v>186</v>
      </c>
      <c r="BK398" s="401"/>
    </row>
    <row r="399" spans="1:63" ht="112.5">
      <c r="A399" s="401">
        <v>2</v>
      </c>
      <c r="B399" s="494" t="s">
        <v>2095</v>
      </c>
      <c r="C399" s="401" t="s">
        <v>83</v>
      </c>
      <c r="D399" s="401" t="s">
        <v>242</v>
      </c>
      <c r="E399" s="494" t="s">
        <v>5853</v>
      </c>
      <c r="F399" s="401" t="s">
        <v>1768</v>
      </c>
      <c r="G399" s="401" t="s">
        <v>1769</v>
      </c>
      <c r="H399" s="499">
        <v>854250</v>
      </c>
      <c r="I399" s="486" t="s">
        <v>2096</v>
      </c>
      <c r="J399" s="496" t="s">
        <v>5317</v>
      </c>
      <c r="K399" s="496" t="s">
        <v>5317</v>
      </c>
      <c r="L399" s="496" t="s">
        <v>1772</v>
      </c>
      <c r="M399" s="500" t="s">
        <v>1755</v>
      </c>
      <c r="N399" s="496" t="s">
        <v>1773</v>
      </c>
      <c r="O399" s="496" t="s">
        <v>2234</v>
      </c>
      <c r="P399" s="489">
        <v>1827.1525409999999</v>
      </c>
      <c r="Q399" s="489">
        <f t="shared" si="81"/>
        <v>2156.0399983799998</v>
      </c>
      <c r="R399" s="489">
        <v>1368.4136419364354</v>
      </c>
      <c r="S399" s="401" t="s">
        <v>1774</v>
      </c>
      <c r="T399" s="501">
        <v>1.087</v>
      </c>
      <c r="U399" s="501">
        <v>1.077</v>
      </c>
      <c r="V399" s="501">
        <v>1.073</v>
      </c>
      <c r="W399" s="501">
        <v>1.071</v>
      </c>
      <c r="X399" s="596">
        <v>0.9</v>
      </c>
      <c r="Y399" s="502">
        <v>1766.2474562999998</v>
      </c>
      <c r="Z399" s="489">
        <f t="shared" si="82"/>
        <v>2084.1719984339998</v>
      </c>
      <c r="AA399" s="489">
        <v>1662.70881231</v>
      </c>
      <c r="AB399" s="488">
        <f t="shared" si="83"/>
        <v>1961.9963985257998</v>
      </c>
      <c r="AC399" s="492">
        <f t="shared" si="84"/>
        <v>1662.70881231</v>
      </c>
      <c r="AD399" s="493">
        <f t="shared" si="85"/>
        <v>1961.9963985257998</v>
      </c>
      <c r="AE399" s="494" t="s">
        <v>1775</v>
      </c>
      <c r="AF399" s="494" t="s">
        <v>83</v>
      </c>
      <c r="AG399" s="494" t="s">
        <v>211</v>
      </c>
      <c r="AH399" s="494" t="s">
        <v>545</v>
      </c>
      <c r="AI399" s="495">
        <v>41791</v>
      </c>
      <c r="AJ399" s="495">
        <v>41826</v>
      </c>
      <c r="AK399" s="494" t="s">
        <v>96</v>
      </c>
      <c r="AL399" s="494" t="s">
        <v>96</v>
      </c>
      <c r="AM399" s="496" t="s">
        <v>1846</v>
      </c>
      <c r="AN399" s="496" t="s">
        <v>1757</v>
      </c>
      <c r="AO399" s="494">
        <v>796</v>
      </c>
      <c r="AP399" s="494" t="s">
        <v>368</v>
      </c>
      <c r="AQ399" s="494">
        <v>1</v>
      </c>
      <c r="AR399" s="494">
        <v>45</v>
      </c>
      <c r="AS399" s="496" t="s">
        <v>547</v>
      </c>
      <c r="AT399" s="495">
        <v>41846</v>
      </c>
      <c r="AU399" s="495">
        <v>41846</v>
      </c>
      <c r="AV399" s="495">
        <v>42369</v>
      </c>
      <c r="AW399" s="494" t="s">
        <v>99</v>
      </c>
      <c r="AX399" s="496"/>
      <c r="AY399" s="494" t="s">
        <v>186</v>
      </c>
      <c r="AZ399" s="494"/>
      <c r="BA399" s="494">
        <v>2014</v>
      </c>
      <c r="BB399" s="494" t="s">
        <v>2097</v>
      </c>
      <c r="BC399" s="496" t="s">
        <v>2098</v>
      </c>
      <c r="BD399" s="496" t="s">
        <v>1818</v>
      </c>
      <c r="BE399" s="497">
        <v>42369</v>
      </c>
      <c r="BF399" s="498">
        <v>2395.6</v>
      </c>
      <c r="BG399" s="488">
        <v>2395.6</v>
      </c>
      <c r="BH399" s="488">
        <v>0</v>
      </c>
      <c r="BI399" s="488">
        <v>0.57999999999999996</v>
      </c>
      <c r="BJ399" s="494" t="s">
        <v>186</v>
      </c>
      <c r="BK399" s="401"/>
    </row>
    <row r="400" spans="1:63" ht="112.5">
      <c r="A400" s="401">
        <v>2</v>
      </c>
      <c r="B400" s="494" t="s">
        <v>2099</v>
      </c>
      <c r="C400" s="401" t="s">
        <v>83</v>
      </c>
      <c r="D400" s="401" t="s">
        <v>242</v>
      </c>
      <c r="E400" s="494" t="s">
        <v>5853</v>
      </c>
      <c r="F400" s="401" t="s">
        <v>1768</v>
      </c>
      <c r="G400" s="401" t="s">
        <v>1769</v>
      </c>
      <c r="H400" s="499">
        <v>854251</v>
      </c>
      <c r="I400" s="486" t="s">
        <v>2100</v>
      </c>
      <c r="J400" s="496" t="s">
        <v>5317</v>
      </c>
      <c r="K400" s="496" t="s">
        <v>5317</v>
      </c>
      <c r="L400" s="496" t="s">
        <v>1772</v>
      </c>
      <c r="M400" s="500" t="s">
        <v>1755</v>
      </c>
      <c r="N400" s="496" t="s">
        <v>1773</v>
      </c>
      <c r="O400" s="496" t="s">
        <v>2234</v>
      </c>
      <c r="P400" s="489">
        <v>2455.9322039999997</v>
      </c>
      <c r="Q400" s="489">
        <f t="shared" si="81"/>
        <v>2898.0000007199997</v>
      </c>
      <c r="R400" s="489">
        <v>1839.3270710639681</v>
      </c>
      <c r="S400" s="401" t="s">
        <v>1774</v>
      </c>
      <c r="T400" s="501">
        <v>1.087</v>
      </c>
      <c r="U400" s="501">
        <v>1.077</v>
      </c>
      <c r="V400" s="501">
        <v>1.073</v>
      </c>
      <c r="W400" s="501">
        <v>1.071</v>
      </c>
      <c r="X400" s="596">
        <v>0.9</v>
      </c>
      <c r="Y400" s="502">
        <v>2374.0677971999999</v>
      </c>
      <c r="Z400" s="489">
        <f t="shared" si="82"/>
        <v>2801.4000006959996</v>
      </c>
      <c r="AA400" s="489">
        <v>2286.4728819239999</v>
      </c>
      <c r="AB400" s="488">
        <f t="shared" si="83"/>
        <v>2698.0380006703199</v>
      </c>
      <c r="AC400" s="492">
        <f t="shared" si="84"/>
        <v>2286.4728819239999</v>
      </c>
      <c r="AD400" s="493">
        <f t="shared" si="85"/>
        <v>2698.0380006703199</v>
      </c>
      <c r="AE400" s="494" t="s">
        <v>1775</v>
      </c>
      <c r="AF400" s="494" t="s">
        <v>83</v>
      </c>
      <c r="AG400" s="494" t="s">
        <v>211</v>
      </c>
      <c r="AH400" s="494" t="s">
        <v>545</v>
      </c>
      <c r="AI400" s="495">
        <v>41791</v>
      </c>
      <c r="AJ400" s="495">
        <v>41826</v>
      </c>
      <c r="AK400" s="494" t="s">
        <v>96</v>
      </c>
      <c r="AL400" s="494" t="s">
        <v>96</v>
      </c>
      <c r="AM400" s="496" t="s">
        <v>1846</v>
      </c>
      <c r="AN400" s="496" t="s">
        <v>1757</v>
      </c>
      <c r="AO400" s="494">
        <v>796</v>
      </c>
      <c r="AP400" s="494" t="s">
        <v>368</v>
      </c>
      <c r="AQ400" s="494">
        <v>1</v>
      </c>
      <c r="AR400" s="494">
        <v>45</v>
      </c>
      <c r="AS400" s="496" t="s">
        <v>547</v>
      </c>
      <c r="AT400" s="495">
        <v>41846</v>
      </c>
      <c r="AU400" s="495">
        <v>41846</v>
      </c>
      <c r="AV400" s="495">
        <v>42369</v>
      </c>
      <c r="AW400" s="494" t="s">
        <v>99</v>
      </c>
      <c r="AX400" s="496"/>
      <c r="AY400" s="494" t="s">
        <v>186</v>
      </c>
      <c r="AZ400" s="494"/>
      <c r="BA400" s="494">
        <v>2014</v>
      </c>
      <c r="BB400" s="494" t="s">
        <v>2101</v>
      </c>
      <c r="BC400" s="496" t="s">
        <v>2102</v>
      </c>
      <c r="BD400" s="496" t="s">
        <v>1818</v>
      </c>
      <c r="BE400" s="497">
        <v>42369</v>
      </c>
      <c r="BF400" s="498">
        <v>3220</v>
      </c>
      <c r="BG400" s="488">
        <v>3220</v>
      </c>
      <c r="BH400" s="488">
        <v>0</v>
      </c>
      <c r="BI400" s="488">
        <v>0.78</v>
      </c>
      <c r="BJ400" s="494" t="s">
        <v>186</v>
      </c>
      <c r="BK400" s="401"/>
    </row>
    <row r="401" spans="1:63" ht="112.5">
      <c r="A401" s="401">
        <v>2</v>
      </c>
      <c r="B401" s="494" t="s">
        <v>2103</v>
      </c>
      <c r="C401" s="401" t="s">
        <v>83</v>
      </c>
      <c r="D401" s="401" t="s">
        <v>242</v>
      </c>
      <c r="E401" s="494" t="s">
        <v>5853</v>
      </c>
      <c r="F401" s="401" t="s">
        <v>1768</v>
      </c>
      <c r="G401" s="401" t="s">
        <v>1769</v>
      </c>
      <c r="H401" s="499">
        <v>854252</v>
      </c>
      <c r="I401" s="486" t="s">
        <v>2104</v>
      </c>
      <c r="J401" s="496" t="s">
        <v>5317</v>
      </c>
      <c r="K401" s="496" t="s">
        <v>5317</v>
      </c>
      <c r="L401" s="496" t="s">
        <v>1772</v>
      </c>
      <c r="M401" s="500" t="s">
        <v>1755</v>
      </c>
      <c r="N401" s="496" t="s">
        <v>1773</v>
      </c>
      <c r="O401" s="496" t="s">
        <v>2234</v>
      </c>
      <c r="P401" s="489">
        <v>1575.2135610000003</v>
      </c>
      <c r="Q401" s="489">
        <f t="shared" si="81"/>
        <v>1858.7520019800002</v>
      </c>
      <c r="R401" s="489">
        <v>1179.7283901955682</v>
      </c>
      <c r="S401" s="401" t="s">
        <v>1774</v>
      </c>
      <c r="T401" s="501">
        <v>1.087</v>
      </c>
      <c r="U401" s="501">
        <v>1.077</v>
      </c>
      <c r="V401" s="501">
        <v>1.073</v>
      </c>
      <c r="W401" s="501">
        <v>1.071</v>
      </c>
      <c r="X401" s="596">
        <v>0.9</v>
      </c>
      <c r="Y401" s="502">
        <v>1522.7064423000002</v>
      </c>
      <c r="Z401" s="489">
        <f t="shared" si="82"/>
        <v>1796.7936019140002</v>
      </c>
      <c r="AA401" s="489">
        <v>1485.4263880230001</v>
      </c>
      <c r="AB401" s="488">
        <f t="shared" si="83"/>
        <v>1752.8031378671401</v>
      </c>
      <c r="AC401" s="492">
        <f t="shared" si="84"/>
        <v>1485.4263880230001</v>
      </c>
      <c r="AD401" s="493">
        <f t="shared" si="85"/>
        <v>1752.8031378671401</v>
      </c>
      <c r="AE401" s="494" t="s">
        <v>1775</v>
      </c>
      <c r="AF401" s="494" t="s">
        <v>83</v>
      </c>
      <c r="AG401" s="494" t="s">
        <v>211</v>
      </c>
      <c r="AH401" s="494" t="s">
        <v>545</v>
      </c>
      <c r="AI401" s="495">
        <v>41791</v>
      </c>
      <c r="AJ401" s="495">
        <v>41826</v>
      </c>
      <c r="AK401" s="494" t="s">
        <v>96</v>
      </c>
      <c r="AL401" s="494" t="s">
        <v>96</v>
      </c>
      <c r="AM401" s="496" t="s">
        <v>1846</v>
      </c>
      <c r="AN401" s="496" t="s">
        <v>1757</v>
      </c>
      <c r="AO401" s="494">
        <v>796</v>
      </c>
      <c r="AP401" s="494" t="s">
        <v>368</v>
      </c>
      <c r="AQ401" s="494">
        <v>1</v>
      </c>
      <c r="AR401" s="494">
        <v>45</v>
      </c>
      <c r="AS401" s="496" t="s">
        <v>547</v>
      </c>
      <c r="AT401" s="495">
        <v>41846</v>
      </c>
      <c r="AU401" s="495">
        <v>41846</v>
      </c>
      <c r="AV401" s="495">
        <v>42369</v>
      </c>
      <c r="AW401" s="494" t="s">
        <v>99</v>
      </c>
      <c r="AX401" s="496"/>
      <c r="AY401" s="494" t="s">
        <v>186</v>
      </c>
      <c r="AZ401" s="494"/>
      <c r="BA401" s="494">
        <v>2014</v>
      </c>
      <c r="BB401" s="494" t="s">
        <v>2105</v>
      </c>
      <c r="BC401" s="496" t="s">
        <v>2106</v>
      </c>
      <c r="BD401" s="496" t="s">
        <v>1818</v>
      </c>
      <c r="BE401" s="497">
        <v>42369</v>
      </c>
      <c r="BF401" s="498">
        <v>2065.2800000000002</v>
      </c>
      <c r="BG401" s="488">
        <v>2065.2800000000002</v>
      </c>
      <c r="BH401" s="488">
        <v>0</v>
      </c>
      <c r="BI401" s="488">
        <v>0.25</v>
      </c>
      <c r="BJ401" s="494" t="s">
        <v>186</v>
      </c>
      <c r="BK401" s="401"/>
    </row>
    <row r="402" spans="1:63" ht="112.5">
      <c r="A402" s="401">
        <v>2</v>
      </c>
      <c r="B402" s="494" t="s">
        <v>2107</v>
      </c>
      <c r="C402" s="401" t="s">
        <v>83</v>
      </c>
      <c r="D402" s="401" t="s">
        <v>242</v>
      </c>
      <c r="E402" s="494" t="s">
        <v>5853</v>
      </c>
      <c r="F402" s="401" t="s">
        <v>1768</v>
      </c>
      <c r="G402" s="401" t="s">
        <v>1769</v>
      </c>
      <c r="H402" s="499">
        <v>854253</v>
      </c>
      <c r="I402" s="486" t="s">
        <v>2108</v>
      </c>
      <c r="J402" s="496" t="s">
        <v>5317</v>
      </c>
      <c r="K402" s="496" t="s">
        <v>5317</v>
      </c>
      <c r="L402" s="496" t="s">
        <v>1772</v>
      </c>
      <c r="M402" s="500" t="s">
        <v>1755</v>
      </c>
      <c r="N402" s="496" t="s">
        <v>1773</v>
      </c>
      <c r="O402" s="496" t="s">
        <v>2234</v>
      </c>
      <c r="P402" s="489">
        <v>3021.1016940000009</v>
      </c>
      <c r="Q402" s="489">
        <f t="shared" si="81"/>
        <v>3564.8999989200011</v>
      </c>
      <c r="R402" s="489">
        <v>2262.6007839959957</v>
      </c>
      <c r="S402" s="401" t="s">
        <v>1774</v>
      </c>
      <c r="T402" s="501">
        <v>1.087</v>
      </c>
      <c r="U402" s="501">
        <v>1.077</v>
      </c>
      <c r="V402" s="501">
        <v>1.073</v>
      </c>
      <c r="W402" s="501">
        <v>1.071</v>
      </c>
      <c r="X402" s="596">
        <v>0.9</v>
      </c>
      <c r="Y402" s="502">
        <v>2920.3983042000004</v>
      </c>
      <c r="Z402" s="489">
        <f t="shared" si="82"/>
        <v>3446.0699989560003</v>
      </c>
      <c r="AA402" s="489">
        <v>2842.8566940540009</v>
      </c>
      <c r="AB402" s="488">
        <f t="shared" si="83"/>
        <v>3354.5708989837208</v>
      </c>
      <c r="AC402" s="492">
        <f t="shared" si="84"/>
        <v>2842.8566940540009</v>
      </c>
      <c r="AD402" s="493">
        <f t="shared" si="85"/>
        <v>3354.5708989837208</v>
      </c>
      <c r="AE402" s="494" t="s">
        <v>1775</v>
      </c>
      <c r="AF402" s="494" t="s">
        <v>83</v>
      </c>
      <c r="AG402" s="494" t="s">
        <v>211</v>
      </c>
      <c r="AH402" s="494" t="s">
        <v>545</v>
      </c>
      <c r="AI402" s="495">
        <v>41791</v>
      </c>
      <c r="AJ402" s="495">
        <v>41826</v>
      </c>
      <c r="AK402" s="494" t="s">
        <v>96</v>
      </c>
      <c r="AL402" s="494" t="s">
        <v>96</v>
      </c>
      <c r="AM402" s="496" t="s">
        <v>1846</v>
      </c>
      <c r="AN402" s="496" t="s">
        <v>1757</v>
      </c>
      <c r="AO402" s="494">
        <v>796</v>
      </c>
      <c r="AP402" s="494" t="s">
        <v>368</v>
      </c>
      <c r="AQ402" s="494">
        <v>1</v>
      </c>
      <c r="AR402" s="494">
        <v>45</v>
      </c>
      <c r="AS402" s="496" t="s">
        <v>547</v>
      </c>
      <c r="AT402" s="495">
        <v>41846</v>
      </c>
      <c r="AU402" s="495">
        <v>41846</v>
      </c>
      <c r="AV402" s="495">
        <v>42369</v>
      </c>
      <c r="AW402" s="494" t="s">
        <v>99</v>
      </c>
      <c r="AX402" s="496"/>
      <c r="AY402" s="494" t="s">
        <v>186</v>
      </c>
      <c r="AZ402" s="494"/>
      <c r="BA402" s="494">
        <v>2014</v>
      </c>
      <c r="BB402" s="494" t="s">
        <v>2109</v>
      </c>
      <c r="BC402" s="496" t="s">
        <v>2110</v>
      </c>
      <c r="BD402" s="496" t="s">
        <v>1818</v>
      </c>
      <c r="BE402" s="497">
        <v>42369</v>
      </c>
      <c r="BF402" s="498">
        <v>3961</v>
      </c>
      <c r="BG402" s="488">
        <v>3961</v>
      </c>
      <c r="BH402" s="488">
        <v>0</v>
      </c>
      <c r="BI402" s="488">
        <v>0.48</v>
      </c>
      <c r="BJ402" s="494" t="s">
        <v>186</v>
      </c>
      <c r="BK402" s="401"/>
    </row>
    <row r="403" spans="1:63" ht="112.5">
      <c r="A403" s="401">
        <v>2</v>
      </c>
      <c r="B403" s="494" t="s">
        <v>2111</v>
      </c>
      <c r="C403" s="401" t="s">
        <v>83</v>
      </c>
      <c r="D403" s="401" t="s">
        <v>242</v>
      </c>
      <c r="E403" s="494" t="s">
        <v>5853</v>
      </c>
      <c r="F403" s="401" t="s">
        <v>1768</v>
      </c>
      <c r="G403" s="401" t="s">
        <v>1769</v>
      </c>
      <c r="H403" s="499">
        <v>854255</v>
      </c>
      <c r="I403" s="486" t="s">
        <v>2112</v>
      </c>
      <c r="J403" s="496" t="s">
        <v>5317</v>
      </c>
      <c r="K403" s="496" t="s">
        <v>5317</v>
      </c>
      <c r="L403" s="496" t="s">
        <v>1772</v>
      </c>
      <c r="M403" s="500" t="s">
        <v>1755</v>
      </c>
      <c r="N403" s="496" t="s">
        <v>1773</v>
      </c>
      <c r="O403" s="496" t="s">
        <v>2234</v>
      </c>
      <c r="P403" s="489">
        <v>52672.870951649995</v>
      </c>
      <c r="Q403" s="489">
        <f t="shared" si="81"/>
        <v>62153.987722946993</v>
      </c>
      <c r="R403" s="489">
        <v>32895.068842889748</v>
      </c>
      <c r="S403" s="401" t="s">
        <v>1774</v>
      </c>
      <c r="T403" s="501">
        <v>1.087</v>
      </c>
      <c r="U403" s="501">
        <v>1.077</v>
      </c>
      <c r="V403" s="501">
        <v>1.073</v>
      </c>
      <c r="W403" s="501">
        <v>1.071</v>
      </c>
      <c r="X403" s="596">
        <v>0.9</v>
      </c>
      <c r="Y403" s="502">
        <v>42458.53</v>
      </c>
      <c r="Z403" s="489">
        <f t="shared" si="82"/>
        <v>50101.065399999999</v>
      </c>
      <c r="AA403" s="489">
        <v>43932.175999999999</v>
      </c>
      <c r="AB403" s="488">
        <f t="shared" si="83"/>
        <v>51839.967679999994</v>
      </c>
      <c r="AC403" s="492">
        <f t="shared" si="84"/>
        <v>42458.53</v>
      </c>
      <c r="AD403" s="493">
        <f t="shared" si="85"/>
        <v>50101.065399999999</v>
      </c>
      <c r="AE403" s="494" t="s">
        <v>1775</v>
      </c>
      <c r="AF403" s="494" t="s">
        <v>83</v>
      </c>
      <c r="AG403" s="494" t="s">
        <v>211</v>
      </c>
      <c r="AH403" s="494" t="s">
        <v>545</v>
      </c>
      <c r="AI403" s="495">
        <v>41791</v>
      </c>
      <c r="AJ403" s="495">
        <v>41826</v>
      </c>
      <c r="AK403" s="494" t="s">
        <v>96</v>
      </c>
      <c r="AL403" s="494" t="s">
        <v>96</v>
      </c>
      <c r="AM403" s="496" t="s">
        <v>1846</v>
      </c>
      <c r="AN403" s="496" t="s">
        <v>1757</v>
      </c>
      <c r="AO403" s="494">
        <v>796</v>
      </c>
      <c r="AP403" s="494" t="s">
        <v>368</v>
      </c>
      <c r="AQ403" s="494">
        <v>1</v>
      </c>
      <c r="AR403" s="494">
        <v>45</v>
      </c>
      <c r="AS403" s="496" t="s">
        <v>547</v>
      </c>
      <c r="AT403" s="495">
        <v>41846</v>
      </c>
      <c r="AU403" s="495">
        <v>41846</v>
      </c>
      <c r="AV403" s="495">
        <v>42369</v>
      </c>
      <c r="AW403" s="494" t="s">
        <v>99</v>
      </c>
      <c r="AX403" s="496"/>
      <c r="AY403" s="494" t="s">
        <v>186</v>
      </c>
      <c r="AZ403" s="494"/>
      <c r="BA403" s="494">
        <v>2014</v>
      </c>
      <c r="BB403" s="494" t="s">
        <v>2113</v>
      </c>
      <c r="BC403" s="496" t="s">
        <v>2114</v>
      </c>
      <c r="BD403" s="496" t="s">
        <v>1818</v>
      </c>
      <c r="BE403" s="497">
        <v>42369</v>
      </c>
      <c r="BF403" s="498">
        <v>62892.072399435994</v>
      </c>
      <c r="BG403" s="488">
        <v>62892.072399435994</v>
      </c>
      <c r="BH403" s="488">
        <v>0</v>
      </c>
      <c r="BI403" s="488">
        <v>8.1</v>
      </c>
      <c r="BJ403" s="494" t="s">
        <v>186</v>
      </c>
      <c r="BK403" s="401"/>
    </row>
    <row r="404" spans="1:63" ht="112.5">
      <c r="A404" s="401">
        <v>2</v>
      </c>
      <c r="B404" s="494" t="s">
        <v>2115</v>
      </c>
      <c r="C404" s="401" t="s">
        <v>83</v>
      </c>
      <c r="D404" s="401" t="s">
        <v>242</v>
      </c>
      <c r="E404" s="494" t="s">
        <v>5853</v>
      </c>
      <c r="F404" s="401" t="s">
        <v>1768</v>
      </c>
      <c r="G404" s="401" t="s">
        <v>1769</v>
      </c>
      <c r="H404" s="499">
        <v>854256</v>
      </c>
      <c r="I404" s="486" t="s">
        <v>2116</v>
      </c>
      <c r="J404" s="496" t="s">
        <v>5317</v>
      </c>
      <c r="K404" s="496" t="s">
        <v>5317</v>
      </c>
      <c r="L404" s="496" t="s">
        <v>1772</v>
      </c>
      <c r="M404" s="500" t="s">
        <v>1755</v>
      </c>
      <c r="N404" s="496" t="s">
        <v>1773</v>
      </c>
      <c r="O404" s="496" t="s">
        <v>2234</v>
      </c>
      <c r="P404" s="489">
        <v>1134.1525409999999</v>
      </c>
      <c r="Q404" s="489">
        <f t="shared" si="81"/>
        <v>1338.2999983799998</v>
      </c>
      <c r="R404" s="489">
        <v>849.4035250564624</v>
      </c>
      <c r="S404" s="401" t="s">
        <v>1774</v>
      </c>
      <c r="T404" s="501">
        <v>1.087</v>
      </c>
      <c r="U404" s="501">
        <v>1.077</v>
      </c>
      <c r="V404" s="501">
        <v>1.073</v>
      </c>
      <c r="W404" s="501">
        <v>1.071</v>
      </c>
      <c r="X404" s="596">
        <v>0.9</v>
      </c>
      <c r="Y404" s="502">
        <v>1096.3474563</v>
      </c>
      <c r="Z404" s="489">
        <f t="shared" si="82"/>
        <v>1293.6899984339998</v>
      </c>
      <c r="AA404" s="489">
        <v>1044.554490261</v>
      </c>
      <c r="AB404" s="488">
        <f t="shared" si="83"/>
        <v>1232.5742985079798</v>
      </c>
      <c r="AC404" s="492">
        <f t="shared" si="84"/>
        <v>1044.554490261</v>
      </c>
      <c r="AD404" s="493">
        <f t="shared" si="85"/>
        <v>1232.5742985079798</v>
      </c>
      <c r="AE404" s="494" t="s">
        <v>1775</v>
      </c>
      <c r="AF404" s="494" t="s">
        <v>83</v>
      </c>
      <c r="AG404" s="494" t="s">
        <v>211</v>
      </c>
      <c r="AH404" s="494" t="s">
        <v>545</v>
      </c>
      <c r="AI404" s="495">
        <v>41791</v>
      </c>
      <c r="AJ404" s="495">
        <v>41826</v>
      </c>
      <c r="AK404" s="494" t="s">
        <v>96</v>
      </c>
      <c r="AL404" s="494" t="s">
        <v>96</v>
      </c>
      <c r="AM404" s="496" t="s">
        <v>1846</v>
      </c>
      <c r="AN404" s="496" t="s">
        <v>1757</v>
      </c>
      <c r="AO404" s="494">
        <v>796</v>
      </c>
      <c r="AP404" s="494" t="s">
        <v>368</v>
      </c>
      <c r="AQ404" s="494">
        <v>1</v>
      </c>
      <c r="AR404" s="494">
        <v>45</v>
      </c>
      <c r="AS404" s="496" t="s">
        <v>547</v>
      </c>
      <c r="AT404" s="495">
        <v>41846</v>
      </c>
      <c r="AU404" s="495">
        <v>41846</v>
      </c>
      <c r="AV404" s="495">
        <v>42369</v>
      </c>
      <c r="AW404" s="494" t="s">
        <v>99</v>
      </c>
      <c r="AX404" s="496"/>
      <c r="AY404" s="494" t="s">
        <v>186</v>
      </c>
      <c r="AZ404" s="494"/>
      <c r="BA404" s="494">
        <v>2014</v>
      </c>
      <c r="BB404" s="494" t="s">
        <v>2117</v>
      </c>
      <c r="BC404" s="496" t="s">
        <v>2118</v>
      </c>
      <c r="BD404" s="496" t="s">
        <v>1818</v>
      </c>
      <c r="BE404" s="497">
        <v>42369</v>
      </c>
      <c r="BF404" s="498">
        <v>1487</v>
      </c>
      <c r="BG404" s="488">
        <v>1487</v>
      </c>
      <c r="BH404" s="488">
        <v>0</v>
      </c>
      <c r="BI404" s="488">
        <v>0.36</v>
      </c>
      <c r="BJ404" s="494" t="s">
        <v>186</v>
      </c>
      <c r="BK404" s="401"/>
    </row>
    <row r="405" spans="1:63" ht="112.5">
      <c r="A405" s="401">
        <v>2</v>
      </c>
      <c r="B405" s="494" t="s">
        <v>2119</v>
      </c>
      <c r="C405" s="401" t="s">
        <v>83</v>
      </c>
      <c r="D405" s="401" t="s">
        <v>242</v>
      </c>
      <c r="E405" s="494" t="s">
        <v>5853</v>
      </c>
      <c r="F405" s="401" t="s">
        <v>1768</v>
      </c>
      <c r="G405" s="401" t="s">
        <v>1769</v>
      </c>
      <c r="H405" s="499">
        <v>854258</v>
      </c>
      <c r="I405" s="486" t="s">
        <v>2120</v>
      </c>
      <c r="J405" s="496" t="s">
        <v>5317</v>
      </c>
      <c r="K405" s="496" t="s">
        <v>5317</v>
      </c>
      <c r="L405" s="496" t="s">
        <v>1772</v>
      </c>
      <c r="M405" s="500" t="s">
        <v>1755</v>
      </c>
      <c r="N405" s="496" t="s">
        <v>1773</v>
      </c>
      <c r="O405" s="496" t="s">
        <v>2234</v>
      </c>
      <c r="P405" s="489">
        <v>1953.3050819999999</v>
      </c>
      <c r="Q405" s="489">
        <f t="shared" si="81"/>
        <v>2304.8999967599998</v>
      </c>
      <c r="R405" s="489">
        <v>1462.893360622028</v>
      </c>
      <c r="S405" s="401" t="s">
        <v>1774</v>
      </c>
      <c r="T405" s="501">
        <v>1.087</v>
      </c>
      <c r="U405" s="501">
        <v>1.077</v>
      </c>
      <c r="V405" s="501">
        <v>1.073</v>
      </c>
      <c r="W405" s="501">
        <v>1.071</v>
      </c>
      <c r="X405" s="596">
        <v>0.9</v>
      </c>
      <c r="Y405" s="502">
        <v>1888.1949126000002</v>
      </c>
      <c r="Z405" s="489">
        <f t="shared" si="82"/>
        <v>2228.0699968680001</v>
      </c>
      <c r="AA405" s="489">
        <v>1800.9472856039999</v>
      </c>
      <c r="AB405" s="488">
        <f t="shared" si="83"/>
        <v>2125.1177970127196</v>
      </c>
      <c r="AC405" s="492">
        <f t="shared" si="84"/>
        <v>1800.9472856039999</v>
      </c>
      <c r="AD405" s="493">
        <f t="shared" si="85"/>
        <v>2125.1177970127196</v>
      </c>
      <c r="AE405" s="494" t="s">
        <v>1775</v>
      </c>
      <c r="AF405" s="494" t="s">
        <v>83</v>
      </c>
      <c r="AG405" s="494" t="s">
        <v>211</v>
      </c>
      <c r="AH405" s="494" t="s">
        <v>545</v>
      </c>
      <c r="AI405" s="495">
        <v>41791</v>
      </c>
      <c r="AJ405" s="495">
        <v>41826</v>
      </c>
      <c r="AK405" s="494" t="s">
        <v>96</v>
      </c>
      <c r="AL405" s="494" t="s">
        <v>96</v>
      </c>
      <c r="AM405" s="496" t="s">
        <v>1846</v>
      </c>
      <c r="AN405" s="496" t="s">
        <v>1757</v>
      </c>
      <c r="AO405" s="494">
        <v>796</v>
      </c>
      <c r="AP405" s="494" t="s">
        <v>368</v>
      </c>
      <c r="AQ405" s="494">
        <v>1</v>
      </c>
      <c r="AR405" s="494">
        <v>45</v>
      </c>
      <c r="AS405" s="496" t="s">
        <v>547</v>
      </c>
      <c r="AT405" s="495">
        <v>41846</v>
      </c>
      <c r="AU405" s="495">
        <v>41846</v>
      </c>
      <c r="AV405" s="495">
        <v>42369</v>
      </c>
      <c r="AW405" s="494" t="s">
        <v>99</v>
      </c>
      <c r="AX405" s="496"/>
      <c r="AY405" s="494" t="s">
        <v>186</v>
      </c>
      <c r="AZ405" s="494"/>
      <c r="BA405" s="494">
        <v>2014</v>
      </c>
      <c r="BB405" s="494" t="s">
        <v>2121</v>
      </c>
      <c r="BC405" s="496" t="s">
        <v>2122</v>
      </c>
      <c r="BD405" s="496" t="s">
        <v>1818</v>
      </c>
      <c r="BE405" s="497">
        <v>42369</v>
      </c>
      <c r="BF405" s="498">
        <v>2407.339996616</v>
      </c>
      <c r="BG405" s="488">
        <v>2407.339996616</v>
      </c>
      <c r="BH405" s="488">
        <v>0</v>
      </c>
      <c r="BI405" s="488">
        <v>0.31</v>
      </c>
      <c r="BJ405" s="494" t="s">
        <v>186</v>
      </c>
      <c r="BK405" s="401"/>
    </row>
    <row r="406" spans="1:63" ht="112.5">
      <c r="A406" s="401">
        <v>2</v>
      </c>
      <c r="B406" s="494" t="s">
        <v>2123</v>
      </c>
      <c r="C406" s="401" t="s">
        <v>83</v>
      </c>
      <c r="D406" s="401" t="s">
        <v>242</v>
      </c>
      <c r="E406" s="494" t="s">
        <v>5853</v>
      </c>
      <c r="F406" s="401" t="s">
        <v>1768</v>
      </c>
      <c r="G406" s="401" t="s">
        <v>1769</v>
      </c>
      <c r="H406" s="499">
        <v>854259</v>
      </c>
      <c r="I406" s="486" t="s">
        <v>2124</v>
      </c>
      <c r="J406" s="496" t="s">
        <v>5317</v>
      </c>
      <c r="K406" s="496" t="s">
        <v>5317</v>
      </c>
      <c r="L406" s="496" t="s">
        <v>1772</v>
      </c>
      <c r="M406" s="500" t="s">
        <v>1755</v>
      </c>
      <c r="N406" s="496" t="s">
        <v>1773</v>
      </c>
      <c r="O406" s="496" t="s">
        <v>2234</v>
      </c>
      <c r="P406" s="489">
        <v>5580.3508470000006</v>
      </c>
      <c r="Q406" s="489">
        <f t="shared" si="81"/>
        <v>6584.8139994600006</v>
      </c>
      <c r="R406" s="489">
        <v>4179.3052602203852</v>
      </c>
      <c r="S406" s="401" t="s">
        <v>1774</v>
      </c>
      <c r="T406" s="501">
        <v>1.087</v>
      </c>
      <c r="U406" s="501">
        <v>1.077</v>
      </c>
      <c r="V406" s="501">
        <v>1.073</v>
      </c>
      <c r="W406" s="501">
        <v>1.071</v>
      </c>
      <c r="X406" s="596">
        <v>0.9</v>
      </c>
      <c r="Y406" s="502">
        <v>5394.3391521000003</v>
      </c>
      <c r="Z406" s="489">
        <f t="shared" si="82"/>
        <v>6365.3201994780002</v>
      </c>
      <c r="AA406" s="489">
        <v>5167.4048843220007</v>
      </c>
      <c r="AB406" s="488">
        <f t="shared" si="83"/>
        <v>6097.5377634999604</v>
      </c>
      <c r="AC406" s="492">
        <f t="shared" si="84"/>
        <v>5167.4048843220007</v>
      </c>
      <c r="AD406" s="493">
        <f t="shared" si="85"/>
        <v>6097.5377634999604</v>
      </c>
      <c r="AE406" s="494" t="s">
        <v>1775</v>
      </c>
      <c r="AF406" s="494" t="s">
        <v>83</v>
      </c>
      <c r="AG406" s="494" t="s">
        <v>211</v>
      </c>
      <c r="AH406" s="494" t="s">
        <v>545</v>
      </c>
      <c r="AI406" s="495">
        <v>41932</v>
      </c>
      <c r="AJ406" s="495">
        <v>41967</v>
      </c>
      <c r="AK406" s="494" t="s">
        <v>96</v>
      </c>
      <c r="AL406" s="494" t="s">
        <v>96</v>
      </c>
      <c r="AM406" s="496" t="s">
        <v>1846</v>
      </c>
      <c r="AN406" s="496" t="s">
        <v>1757</v>
      </c>
      <c r="AO406" s="494">
        <v>796</v>
      </c>
      <c r="AP406" s="494" t="s">
        <v>368</v>
      </c>
      <c r="AQ406" s="494">
        <v>1</v>
      </c>
      <c r="AR406" s="494">
        <v>45</v>
      </c>
      <c r="AS406" s="496" t="s">
        <v>547</v>
      </c>
      <c r="AT406" s="495">
        <v>41987</v>
      </c>
      <c r="AU406" s="495">
        <v>41987</v>
      </c>
      <c r="AV406" s="495">
        <v>42369</v>
      </c>
      <c r="AW406" s="494" t="s">
        <v>99</v>
      </c>
      <c r="AX406" s="496"/>
      <c r="AY406" s="494" t="s">
        <v>186</v>
      </c>
      <c r="AZ406" s="494"/>
      <c r="BA406" s="494">
        <v>2014</v>
      </c>
      <c r="BB406" s="494" t="s">
        <v>2125</v>
      </c>
      <c r="BC406" s="496" t="s">
        <v>2126</v>
      </c>
      <c r="BD406" s="496" t="s">
        <v>1818</v>
      </c>
      <c r="BE406" s="497">
        <v>42369</v>
      </c>
      <c r="BF406" s="498">
        <v>6877.4723994360002</v>
      </c>
      <c r="BG406" s="488">
        <v>6877.4723994360002</v>
      </c>
      <c r="BH406" s="488">
        <v>0</v>
      </c>
      <c r="BI406" s="488">
        <v>0.6</v>
      </c>
      <c r="BJ406" s="494" t="s">
        <v>186</v>
      </c>
      <c r="BK406" s="401"/>
    </row>
    <row r="407" spans="1:63" ht="112.5">
      <c r="A407" s="401">
        <v>2</v>
      </c>
      <c r="B407" s="494" t="s">
        <v>2127</v>
      </c>
      <c r="C407" s="401" t="s">
        <v>83</v>
      </c>
      <c r="D407" s="401" t="s">
        <v>242</v>
      </c>
      <c r="E407" s="494" t="s">
        <v>5853</v>
      </c>
      <c r="F407" s="401" t="s">
        <v>1768</v>
      </c>
      <c r="G407" s="401" t="s">
        <v>1769</v>
      </c>
      <c r="H407" s="499">
        <v>854260</v>
      </c>
      <c r="I407" s="486" t="s">
        <v>2128</v>
      </c>
      <c r="J407" s="496" t="s">
        <v>5317</v>
      </c>
      <c r="K407" s="496" t="s">
        <v>5317</v>
      </c>
      <c r="L407" s="496" t="s">
        <v>1772</v>
      </c>
      <c r="M407" s="500" t="s">
        <v>1755</v>
      </c>
      <c r="N407" s="496" t="s">
        <v>1773</v>
      </c>
      <c r="O407" s="496" t="s">
        <v>2234</v>
      </c>
      <c r="P407" s="489">
        <v>813.81356099999994</v>
      </c>
      <c r="Q407" s="489">
        <f t="shared" si="81"/>
        <v>960.30000197999982</v>
      </c>
      <c r="R407" s="489">
        <v>609.49130074042876</v>
      </c>
      <c r="S407" s="401" t="s">
        <v>1774</v>
      </c>
      <c r="T407" s="501">
        <v>1.087</v>
      </c>
      <c r="U407" s="501">
        <v>1.077</v>
      </c>
      <c r="V407" s="501">
        <v>1.073</v>
      </c>
      <c r="W407" s="501">
        <v>1.071</v>
      </c>
      <c r="X407" s="596">
        <v>0.9</v>
      </c>
      <c r="Y407" s="502">
        <v>786.68644229999995</v>
      </c>
      <c r="Z407" s="489">
        <f t="shared" si="82"/>
        <v>928.29000191399984</v>
      </c>
      <c r="AA407" s="489">
        <v>754.40517104699995</v>
      </c>
      <c r="AB407" s="488">
        <f t="shared" si="83"/>
        <v>890.19810183545985</v>
      </c>
      <c r="AC407" s="492">
        <f t="shared" si="84"/>
        <v>754.40517104699995</v>
      </c>
      <c r="AD407" s="493">
        <f t="shared" si="85"/>
        <v>890.19810183545985</v>
      </c>
      <c r="AE407" s="494" t="s">
        <v>1775</v>
      </c>
      <c r="AF407" s="494" t="s">
        <v>83</v>
      </c>
      <c r="AG407" s="494" t="s">
        <v>211</v>
      </c>
      <c r="AH407" s="494" t="s">
        <v>545</v>
      </c>
      <c r="AI407" s="495">
        <v>41932</v>
      </c>
      <c r="AJ407" s="495">
        <v>41967</v>
      </c>
      <c r="AK407" s="494" t="s">
        <v>96</v>
      </c>
      <c r="AL407" s="494" t="s">
        <v>96</v>
      </c>
      <c r="AM407" s="496" t="s">
        <v>1846</v>
      </c>
      <c r="AN407" s="496" t="s">
        <v>1757</v>
      </c>
      <c r="AO407" s="494">
        <v>796</v>
      </c>
      <c r="AP407" s="494" t="s">
        <v>368</v>
      </c>
      <c r="AQ407" s="494">
        <v>1</v>
      </c>
      <c r="AR407" s="494">
        <v>45</v>
      </c>
      <c r="AS407" s="496" t="s">
        <v>547</v>
      </c>
      <c r="AT407" s="495">
        <v>41987</v>
      </c>
      <c r="AU407" s="495">
        <v>41987</v>
      </c>
      <c r="AV407" s="495">
        <v>42369</v>
      </c>
      <c r="AW407" s="494" t="s">
        <v>99</v>
      </c>
      <c r="AX407" s="496"/>
      <c r="AY407" s="494" t="s">
        <v>186</v>
      </c>
      <c r="AZ407" s="494"/>
      <c r="BA407" s="494">
        <v>2014</v>
      </c>
      <c r="BB407" s="494" t="s">
        <v>2129</v>
      </c>
      <c r="BC407" s="496" t="s">
        <v>2130</v>
      </c>
      <c r="BD407" s="496" t="s">
        <v>1818</v>
      </c>
      <c r="BE407" s="497">
        <v>42369</v>
      </c>
      <c r="BF407" s="498">
        <v>1067.0000000000002</v>
      </c>
      <c r="BG407" s="488">
        <v>1067.0000000000002</v>
      </c>
      <c r="BH407" s="488">
        <v>0</v>
      </c>
      <c r="BI407" s="488">
        <v>0.13</v>
      </c>
      <c r="BJ407" s="494" t="s">
        <v>186</v>
      </c>
      <c r="BK407" s="401"/>
    </row>
    <row r="408" spans="1:63" ht="112.5">
      <c r="A408" s="401">
        <v>2</v>
      </c>
      <c r="B408" s="494" t="s">
        <v>2131</v>
      </c>
      <c r="C408" s="401" t="s">
        <v>83</v>
      </c>
      <c r="D408" s="401" t="s">
        <v>242</v>
      </c>
      <c r="E408" s="494" t="s">
        <v>5853</v>
      </c>
      <c r="F408" s="401" t="s">
        <v>1768</v>
      </c>
      <c r="G408" s="401" t="s">
        <v>1769</v>
      </c>
      <c r="H408" s="499">
        <v>854262</v>
      </c>
      <c r="I408" s="486" t="s">
        <v>2132</v>
      </c>
      <c r="J408" s="496" t="s">
        <v>5317</v>
      </c>
      <c r="K408" s="496" t="s">
        <v>5317</v>
      </c>
      <c r="L408" s="496" t="s">
        <v>1772</v>
      </c>
      <c r="M408" s="500" t="s">
        <v>1755</v>
      </c>
      <c r="N408" s="496" t="s">
        <v>1773</v>
      </c>
      <c r="O408" s="496" t="s">
        <v>2234</v>
      </c>
      <c r="P408" s="489">
        <v>1106.6949179999999</v>
      </c>
      <c r="Q408" s="489">
        <f t="shared" si="81"/>
        <v>1305.9000032399999</v>
      </c>
      <c r="R408" s="489">
        <v>828.83962300382734</v>
      </c>
      <c r="S408" s="401" t="s">
        <v>1774</v>
      </c>
      <c r="T408" s="501">
        <v>1.087</v>
      </c>
      <c r="U408" s="501">
        <v>1.077</v>
      </c>
      <c r="V408" s="501">
        <v>1.073</v>
      </c>
      <c r="W408" s="501">
        <v>1.071</v>
      </c>
      <c r="X408" s="596">
        <v>0.9</v>
      </c>
      <c r="Y408" s="502">
        <v>1069.8050874</v>
      </c>
      <c r="Z408" s="489">
        <f t="shared" si="82"/>
        <v>1262.370003132</v>
      </c>
      <c r="AA408" s="489">
        <v>1027.0128839039999</v>
      </c>
      <c r="AB408" s="488">
        <f t="shared" si="83"/>
        <v>1211.8752030067199</v>
      </c>
      <c r="AC408" s="492">
        <f t="shared" si="84"/>
        <v>1027.0128839039999</v>
      </c>
      <c r="AD408" s="493">
        <f t="shared" si="85"/>
        <v>1211.8752030067199</v>
      </c>
      <c r="AE408" s="494" t="s">
        <v>1775</v>
      </c>
      <c r="AF408" s="494" t="s">
        <v>83</v>
      </c>
      <c r="AG408" s="494" t="s">
        <v>211</v>
      </c>
      <c r="AH408" s="494" t="s">
        <v>545</v>
      </c>
      <c r="AI408" s="495">
        <v>41932</v>
      </c>
      <c r="AJ408" s="495">
        <v>41967</v>
      </c>
      <c r="AK408" s="494" t="s">
        <v>96</v>
      </c>
      <c r="AL408" s="494" t="s">
        <v>96</v>
      </c>
      <c r="AM408" s="496" t="s">
        <v>1846</v>
      </c>
      <c r="AN408" s="496" t="s">
        <v>1757</v>
      </c>
      <c r="AO408" s="494">
        <v>796</v>
      </c>
      <c r="AP408" s="494" t="s">
        <v>368</v>
      </c>
      <c r="AQ408" s="494">
        <v>1</v>
      </c>
      <c r="AR408" s="494">
        <v>45</v>
      </c>
      <c r="AS408" s="496" t="s">
        <v>547</v>
      </c>
      <c r="AT408" s="495">
        <v>41987</v>
      </c>
      <c r="AU408" s="495">
        <v>41987</v>
      </c>
      <c r="AV408" s="495">
        <v>42369</v>
      </c>
      <c r="AW408" s="494" t="s">
        <v>99</v>
      </c>
      <c r="AX408" s="496"/>
      <c r="AY408" s="494" t="s">
        <v>186</v>
      </c>
      <c r="AZ408" s="494"/>
      <c r="BA408" s="494">
        <v>2014</v>
      </c>
      <c r="BB408" s="494" t="s">
        <v>2133</v>
      </c>
      <c r="BC408" s="496" t="s">
        <v>2134</v>
      </c>
      <c r="BD408" s="496" t="s">
        <v>1818</v>
      </c>
      <c r="BE408" s="497">
        <v>42369</v>
      </c>
      <c r="BF408" s="498">
        <v>1450.9999999999998</v>
      </c>
      <c r="BG408" s="488">
        <v>1450.9999999999998</v>
      </c>
      <c r="BH408" s="488">
        <v>0</v>
      </c>
      <c r="BI408" s="488">
        <v>0.35</v>
      </c>
      <c r="BJ408" s="494" t="s">
        <v>186</v>
      </c>
      <c r="BK408" s="401"/>
    </row>
    <row r="409" spans="1:63" ht="112.5">
      <c r="A409" s="401">
        <v>2</v>
      </c>
      <c r="B409" s="494" t="s">
        <v>2135</v>
      </c>
      <c r="C409" s="401" t="s">
        <v>83</v>
      </c>
      <c r="D409" s="401" t="s">
        <v>242</v>
      </c>
      <c r="E409" s="494" t="s">
        <v>5853</v>
      </c>
      <c r="F409" s="401" t="s">
        <v>1768</v>
      </c>
      <c r="G409" s="401" t="s">
        <v>1769</v>
      </c>
      <c r="H409" s="499">
        <v>854263</v>
      </c>
      <c r="I409" s="486" t="s">
        <v>2136</v>
      </c>
      <c r="J409" s="496" t="s">
        <v>5317</v>
      </c>
      <c r="K409" s="496" t="s">
        <v>5317</v>
      </c>
      <c r="L409" s="496" t="s">
        <v>1772</v>
      </c>
      <c r="M409" s="500" t="s">
        <v>1755</v>
      </c>
      <c r="N409" s="496" t="s">
        <v>1773</v>
      </c>
      <c r="O409" s="496" t="s">
        <v>2234</v>
      </c>
      <c r="P409" s="489">
        <v>1761.1016939999997</v>
      </c>
      <c r="Q409" s="489">
        <f t="shared" si="81"/>
        <v>2078.0999989199995</v>
      </c>
      <c r="R409" s="489">
        <v>1318.9460260324076</v>
      </c>
      <c r="S409" s="401" t="s">
        <v>1774</v>
      </c>
      <c r="T409" s="501">
        <v>1.087</v>
      </c>
      <c r="U409" s="501">
        <v>1.077</v>
      </c>
      <c r="V409" s="501">
        <v>1.073</v>
      </c>
      <c r="W409" s="501">
        <v>1.071</v>
      </c>
      <c r="X409" s="596">
        <v>0.9</v>
      </c>
      <c r="Y409" s="502">
        <v>1702.3983041999998</v>
      </c>
      <c r="Z409" s="489">
        <f t="shared" si="82"/>
        <v>2008.8299989559996</v>
      </c>
      <c r="AA409" s="489">
        <v>1636.0634737259998</v>
      </c>
      <c r="AB409" s="488">
        <f t="shared" si="83"/>
        <v>1930.5548989966796</v>
      </c>
      <c r="AC409" s="492">
        <f t="shared" si="84"/>
        <v>1636.0634737259998</v>
      </c>
      <c r="AD409" s="493">
        <f t="shared" si="85"/>
        <v>1930.5548989966796</v>
      </c>
      <c r="AE409" s="494" t="s">
        <v>1775</v>
      </c>
      <c r="AF409" s="494" t="s">
        <v>83</v>
      </c>
      <c r="AG409" s="494" t="s">
        <v>211</v>
      </c>
      <c r="AH409" s="494" t="s">
        <v>545</v>
      </c>
      <c r="AI409" s="495">
        <v>41791</v>
      </c>
      <c r="AJ409" s="495">
        <v>41826</v>
      </c>
      <c r="AK409" s="494" t="s">
        <v>96</v>
      </c>
      <c r="AL409" s="494" t="s">
        <v>96</v>
      </c>
      <c r="AM409" s="496" t="s">
        <v>1846</v>
      </c>
      <c r="AN409" s="496" t="s">
        <v>1757</v>
      </c>
      <c r="AO409" s="494">
        <v>796</v>
      </c>
      <c r="AP409" s="494" t="s">
        <v>368</v>
      </c>
      <c r="AQ409" s="494">
        <v>1</v>
      </c>
      <c r="AR409" s="494">
        <v>45</v>
      </c>
      <c r="AS409" s="496" t="s">
        <v>547</v>
      </c>
      <c r="AT409" s="495">
        <v>41846</v>
      </c>
      <c r="AU409" s="495">
        <v>41846</v>
      </c>
      <c r="AV409" s="495">
        <v>42369</v>
      </c>
      <c r="AW409" s="494" t="s">
        <v>99</v>
      </c>
      <c r="AX409" s="496"/>
      <c r="AY409" s="494" t="s">
        <v>186</v>
      </c>
      <c r="AZ409" s="494"/>
      <c r="BA409" s="494">
        <v>2014</v>
      </c>
      <c r="BB409" s="494" t="s">
        <v>2137</v>
      </c>
      <c r="BC409" s="496" t="s">
        <v>2138</v>
      </c>
      <c r="BD409" s="496" t="s">
        <v>1818</v>
      </c>
      <c r="BE409" s="497">
        <v>42369</v>
      </c>
      <c r="BF409" s="498">
        <v>2309</v>
      </c>
      <c r="BG409" s="488">
        <v>2309</v>
      </c>
      <c r="BH409" s="488">
        <v>0</v>
      </c>
      <c r="BI409" s="488">
        <v>0.28000000000000003</v>
      </c>
      <c r="BJ409" s="494" t="s">
        <v>186</v>
      </c>
      <c r="BK409" s="401"/>
    </row>
    <row r="410" spans="1:63" ht="150">
      <c r="A410" s="401">
        <v>2</v>
      </c>
      <c r="B410" s="494" t="s">
        <v>2139</v>
      </c>
      <c r="C410" s="401" t="s">
        <v>83</v>
      </c>
      <c r="D410" s="401" t="s">
        <v>242</v>
      </c>
      <c r="E410" s="494" t="s">
        <v>5853</v>
      </c>
      <c r="F410" s="401" t="s">
        <v>1768</v>
      </c>
      <c r="G410" s="401" t="s">
        <v>1769</v>
      </c>
      <c r="H410" s="499">
        <v>854264</v>
      </c>
      <c r="I410" s="486" t="s">
        <v>2140</v>
      </c>
      <c r="J410" s="496" t="s">
        <v>5317</v>
      </c>
      <c r="K410" s="496" t="s">
        <v>5317</v>
      </c>
      <c r="L410" s="496" t="s">
        <v>1772</v>
      </c>
      <c r="M410" s="500" t="s">
        <v>1755</v>
      </c>
      <c r="N410" s="496" t="s">
        <v>1773</v>
      </c>
      <c r="O410" s="496" t="s">
        <v>2234</v>
      </c>
      <c r="P410" s="489">
        <v>8816.9491529999996</v>
      </c>
      <c r="Q410" s="489">
        <f t="shared" si="81"/>
        <v>10404.00000054</v>
      </c>
      <c r="R410" s="489">
        <v>6603.2984277392643</v>
      </c>
      <c r="S410" s="401" t="s">
        <v>1774</v>
      </c>
      <c r="T410" s="501">
        <v>1.087</v>
      </c>
      <c r="U410" s="501">
        <v>1.077</v>
      </c>
      <c r="V410" s="501">
        <v>1.073</v>
      </c>
      <c r="W410" s="501">
        <v>1.071</v>
      </c>
      <c r="X410" s="596">
        <v>0.9</v>
      </c>
      <c r="Y410" s="502">
        <v>8523.0508479</v>
      </c>
      <c r="Z410" s="489">
        <f t="shared" si="82"/>
        <v>10057.200000522</v>
      </c>
      <c r="AA410" s="489">
        <v>7847.0847461699996</v>
      </c>
      <c r="AB410" s="488">
        <f t="shared" si="83"/>
        <v>9259.5600004805983</v>
      </c>
      <c r="AC410" s="492">
        <f t="shared" si="84"/>
        <v>7847.0847461699996</v>
      </c>
      <c r="AD410" s="493">
        <f t="shared" si="85"/>
        <v>9259.5600004805983</v>
      </c>
      <c r="AE410" s="494" t="s">
        <v>1775</v>
      </c>
      <c r="AF410" s="494" t="s">
        <v>83</v>
      </c>
      <c r="AG410" s="494" t="s">
        <v>211</v>
      </c>
      <c r="AH410" s="494" t="s">
        <v>545</v>
      </c>
      <c r="AI410" s="495">
        <v>41791</v>
      </c>
      <c r="AJ410" s="495">
        <v>41826</v>
      </c>
      <c r="AK410" s="494" t="s">
        <v>96</v>
      </c>
      <c r="AL410" s="494" t="s">
        <v>96</v>
      </c>
      <c r="AM410" s="496" t="s">
        <v>1846</v>
      </c>
      <c r="AN410" s="496" t="s">
        <v>1757</v>
      </c>
      <c r="AO410" s="494">
        <v>796</v>
      </c>
      <c r="AP410" s="494" t="s">
        <v>368</v>
      </c>
      <c r="AQ410" s="494">
        <v>1</v>
      </c>
      <c r="AR410" s="494">
        <v>45</v>
      </c>
      <c r="AS410" s="496" t="s">
        <v>547</v>
      </c>
      <c r="AT410" s="495">
        <v>41846</v>
      </c>
      <c r="AU410" s="495">
        <v>41846</v>
      </c>
      <c r="AV410" s="495">
        <v>42369</v>
      </c>
      <c r="AW410" s="494" t="s">
        <v>99</v>
      </c>
      <c r="AX410" s="496"/>
      <c r="AY410" s="494" t="s">
        <v>186</v>
      </c>
      <c r="AZ410" s="494"/>
      <c r="BA410" s="494">
        <v>2014</v>
      </c>
      <c r="BB410" s="494" t="s">
        <v>2141</v>
      </c>
      <c r="BC410" s="496" t="s">
        <v>2142</v>
      </c>
      <c r="BD410" s="496" t="s">
        <v>1818</v>
      </c>
      <c r="BE410" s="497">
        <v>42369</v>
      </c>
      <c r="BF410" s="498">
        <v>10404.413999999999</v>
      </c>
      <c r="BG410" s="488">
        <v>10404.413999999999</v>
      </c>
      <c r="BH410" s="488">
        <v>0</v>
      </c>
      <c r="BI410" s="488">
        <v>1.4</v>
      </c>
      <c r="BJ410" s="494" t="s">
        <v>186</v>
      </c>
      <c r="BK410" s="401"/>
    </row>
    <row r="411" spans="1:63" ht="112.5">
      <c r="A411" s="401">
        <v>2</v>
      </c>
      <c r="B411" s="494" t="s">
        <v>2143</v>
      </c>
      <c r="C411" s="401" t="s">
        <v>83</v>
      </c>
      <c r="D411" s="401" t="s">
        <v>242</v>
      </c>
      <c r="E411" s="494" t="s">
        <v>5853</v>
      </c>
      <c r="F411" s="401" t="s">
        <v>1768</v>
      </c>
      <c r="G411" s="401" t="s">
        <v>1769</v>
      </c>
      <c r="H411" s="499">
        <v>854265</v>
      </c>
      <c r="I411" s="486" t="s">
        <v>2144</v>
      </c>
      <c r="J411" s="496" t="s">
        <v>5317</v>
      </c>
      <c r="K411" s="496" t="s">
        <v>5317</v>
      </c>
      <c r="L411" s="496" t="s">
        <v>1772</v>
      </c>
      <c r="M411" s="500" t="s">
        <v>1755</v>
      </c>
      <c r="N411" s="496" t="s">
        <v>1773</v>
      </c>
      <c r="O411" s="496" t="s">
        <v>2234</v>
      </c>
      <c r="P411" s="489">
        <v>33681.050864545461</v>
      </c>
      <c r="Q411" s="489">
        <f t="shared" si="81"/>
        <v>39743.640020163642</v>
      </c>
      <c r="R411" s="489">
        <v>21500.151754924686</v>
      </c>
      <c r="S411" s="401" t="s">
        <v>1774</v>
      </c>
      <c r="T411" s="501">
        <v>1.087</v>
      </c>
      <c r="U411" s="501">
        <v>1.077</v>
      </c>
      <c r="V411" s="501">
        <v>1.073</v>
      </c>
      <c r="W411" s="501">
        <v>1.071</v>
      </c>
      <c r="X411" s="596">
        <v>0.9</v>
      </c>
      <c r="Y411" s="502">
        <v>27750.811000000002</v>
      </c>
      <c r="Z411" s="489">
        <f t="shared" si="82"/>
        <v>32745.956979999999</v>
      </c>
      <c r="AA411" s="489">
        <v>29170.388999999999</v>
      </c>
      <c r="AB411" s="488">
        <f t="shared" si="83"/>
        <v>34421.059020000001</v>
      </c>
      <c r="AC411" s="492">
        <f t="shared" si="84"/>
        <v>27750.811000000002</v>
      </c>
      <c r="AD411" s="493">
        <f t="shared" si="85"/>
        <v>32745.956979999999</v>
      </c>
      <c r="AE411" s="494" t="s">
        <v>1775</v>
      </c>
      <c r="AF411" s="494" t="s">
        <v>83</v>
      </c>
      <c r="AG411" s="494" t="s">
        <v>211</v>
      </c>
      <c r="AH411" s="494" t="s">
        <v>545</v>
      </c>
      <c r="AI411" s="495">
        <v>41791</v>
      </c>
      <c r="AJ411" s="495">
        <v>41826</v>
      </c>
      <c r="AK411" s="494" t="s">
        <v>96</v>
      </c>
      <c r="AL411" s="494" t="s">
        <v>96</v>
      </c>
      <c r="AM411" s="496" t="s">
        <v>1846</v>
      </c>
      <c r="AN411" s="496" t="s">
        <v>1757</v>
      </c>
      <c r="AO411" s="494">
        <v>796</v>
      </c>
      <c r="AP411" s="494" t="s">
        <v>368</v>
      </c>
      <c r="AQ411" s="494">
        <v>1</v>
      </c>
      <c r="AR411" s="494">
        <v>45</v>
      </c>
      <c r="AS411" s="496" t="s">
        <v>547</v>
      </c>
      <c r="AT411" s="495">
        <v>41846</v>
      </c>
      <c r="AU411" s="495">
        <v>41846</v>
      </c>
      <c r="AV411" s="495">
        <v>42369</v>
      </c>
      <c r="AW411" s="494" t="s">
        <v>99</v>
      </c>
      <c r="AX411" s="496"/>
      <c r="AY411" s="494" t="s">
        <v>186</v>
      </c>
      <c r="AZ411" s="494"/>
      <c r="BA411" s="494">
        <v>2014</v>
      </c>
      <c r="BB411" s="494" t="s">
        <v>2145</v>
      </c>
      <c r="BC411" s="496" t="s">
        <v>2146</v>
      </c>
      <c r="BD411" s="496" t="s">
        <v>1818</v>
      </c>
      <c r="BE411" s="497">
        <v>42369</v>
      </c>
      <c r="BF411" s="498">
        <v>5559.5698000000002</v>
      </c>
      <c r="BG411" s="488">
        <v>5559.5698000000002</v>
      </c>
      <c r="BH411" s="488">
        <v>0</v>
      </c>
      <c r="BI411" s="488">
        <v>0.88</v>
      </c>
      <c r="BJ411" s="494" t="s">
        <v>186</v>
      </c>
      <c r="BK411" s="401"/>
    </row>
    <row r="412" spans="1:63" ht="112.5">
      <c r="A412" s="401">
        <v>2</v>
      </c>
      <c r="B412" s="494" t="s">
        <v>2147</v>
      </c>
      <c r="C412" s="401" t="s">
        <v>83</v>
      </c>
      <c r="D412" s="401" t="s">
        <v>242</v>
      </c>
      <c r="E412" s="494" t="s">
        <v>5853</v>
      </c>
      <c r="F412" s="401" t="s">
        <v>1768</v>
      </c>
      <c r="G412" s="401" t="s">
        <v>1769</v>
      </c>
      <c r="H412" s="499">
        <v>854266</v>
      </c>
      <c r="I412" s="486" t="s">
        <v>2148</v>
      </c>
      <c r="J412" s="496" t="s">
        <v>5317</v>
      </c>
      <c r="K412" s="496" t="s">
        <v>5317</v>
      </c>
      <c r="L412" s="496" t="s">
        <v>1772</v>
      </c>
      <c r="M412" s="500" t="s">
        <v>1755</v>
      </c>
      <c r="N412" s="496" t="s">
        <v>1773</v>
      </c>
      <c r="O412" s="496" t="s">
        <v>2234</v>
      </c>
      <c r="P412" s="489">
        <v>7566.9308681818184</v>
      </c>
      <c r="Q412" s="489">
        <f t="shared" si="81"/>
        <v>8928.9784244545444</v>
      </c>
      <c r="R412" s="489">
        <v>5271.6660995131069</v>
      </c>
      <c r="S412" s="401" t="s">
        <v>1774</v>
      </c>
      <c r="T412" s="501">
        <v>1.087</v>
      </c>
      <c r="U412" s="501">
        <v>1.077</v>
      </c>
      <c r="V412" s="501">
        <v>1.073</v>
      </c>
      <c r="W412" s="501">
        <v>1.071</v>
      </c>
      <c r="X412" s="596">
        <v>0.9</v>
      </c>
      <c r="Y412" s="502">
        <v>6804.2780000000002</v>
      </c>
      <c r="Z412" s="489">
        <f t="shared" si="82"/>
        <v>8029.0480399999997</v>
      </c>
      <c r="AA412" s="489">
        <v>6553.4470000000001</v>
      </c>
      <c r="AB412" s="488">
        <f t="shared" si="83"/>
        <v>7733.0674599999993</v>
      </c>
      <c r="AC412" s="492">
        <f t="shared" si="84"/>
        <v>6553.4470000000001</v>
      </c>
      <c r="AD412" s="493">
        <f t="shared" si="85"/>
        <v>7733.0674599999993</v>
      </c>
      <c r="AE412" s="494" t="s">
        <v>1775</v>
      </c>
      <c r="AF412" s="494" t="s">
        <v>83</v>
      </c>
      <c r="AG412" s="494" t="s">
        <v>211</v>
      </c>
      <c r="AH412" s="494" t="s">
        <v>545</v>
      </c>
      <c r="AI412" s="495">
        <v>41791</v>
      </c>
      <c r="AJ412" s="495">
        <v>41826</v>
      </c>
      <c r="AK412" s="494" t="s">
        <v>96</v>
      </c>
      <c r="AL412" s="494" t="s">
        <v>96</v>
      </c>
      <c r="AM412" s="496" t="s">
        <v>1846</v>
      </c>
      <c r="AN412" s="496" t="s">
        <v>1757</v>
      </c>
      <c r="AO412" s="494">
        <v>796</v>
      </c>
      <c r="AP412" s="494" t="s">
        <v>368</v>
      </c>
      <c r="AQ412" s="494">
        <v>1</v>
      </c>
      <c r="AR412" s="494">
        <v>45</v>
      </c>
      <c r="AS412" s="496" t="s">
        <v>547</v>
      </c>
      <c r="AT412" s="495">
        <v>41846</v>
      </c>
      <c r="AU412" s="495">
        <v>41846</v>
      </c>
      <c r="AV412" s="495">
        <v>42369</v>
      </c>
      <c r="AW412" s="494" t="s">
        <v>99</v>
      </c>
      <c r="AX412" s="496"/>
      <c r="AY412" s="494" t="s">
        <v>186</v>
      </c>
      <c r="AZ412" s="494"/>
      <c r="BA412" s="494">
        <v>2014</v>
      </c>
      <c r="BB412" s="494" t="s">
        <v>2149</v>
      </c>
      <c r="BC412" s="496" t="s">
        <v>2150</v>
      </c>
      <c r="BD412" s="496" t="s">
        <v>1818</v>
      </c>
      <c r="BE412" s="497">
        <v>42369</v>
      </c>
      <c r="BF412" s="498">
        <v>1897</v>
      </c>
      <c r="BG412" s="488">
        <v>1897</v>
      </c>
      <c r="BH412" s="488">
        <v>0</v>
      </c>
      <c r="BI412" s="488">
        <v>0.46</v>
      </c>
      <c r="BJ412" s="494" t="s">
        <v>186</v>
      </c>
      <c r="BK412" s="401"/>
    </row>
    <row r="413" spans="1:63" ht="112.5">
      <c r="A413" s="401">
        <v>2</v>
      </c>
      <c r="B413" s="494" t="s">
        <v>2151</v>
      </c>
      <c r="C413" s="401" t="s">
        <v>83</v>
      </c>
      <c r="D413" s="401" t="s">
        <v>242</v>
      </c>
      <c r="E413" s="494" t="s">
        <v>5853</v>
      </c>
      <c r="F413" s="401" t="s">
        <v>1768</v>
      </c>
      <c r="G413" s="401" t="s">
        <v>1769</v>
      </c>
      <c r="H413" s="499">
        <v>854267</v>
      </c>
      <c r="I413" s="486" t="s">
        <v>2152</v>
      </c>
      <c r="J413" s="496" t="s">
        <v>5317</v>
      </c>
      <c r="K413" s="496" t="s">
        <v>5317</v>
      </c>
      <c r="L413" s="496" t="s">
        <v>1772</v>
      </c>
      <c r="M413" s="500" t="s">
        <v>1755</v>
      </c>
      <c r="N413" s="496" t="s">
        <v>1773</v>
      </c>
      <c r="O413" s="496" t="s">
        <v>2234</v>
      </c>
      <c r="P413" s="489">
        <v>7289.2372859999996</v>
      </c>
      <c r="Q413" s="489">
        <f t="shared" si="81"/>
        <v>8601.2999974799986</v>
      </c>
      <c r="R413" s="489">
        <v>5459.1455927456236</v>
      </c>
      <c r="S413" s="401" t="s">
        <v>1774</v>
      </c>
      <c r="T413" s="501">
        <v>1.087</v>
      </c>
      <c r="U413" s="501">
        <v>1.077</v>
      </c>
      <c r="V413" s="501">
        <v>1.073</v>
      </c>
      <c r="W413" s="501">
        <v>1.071</v>
      </c>
      <c r="X413" s="596">
        <v>0.9</v>
      </c>
      <c r="Y413" s="502">
        <v>7046.2627097999994</v>
      </c>
      <c r="Z413" s="489">
        <f t="shared" si="82"/>
        <v>8314.5899975639986</v>
      </c>
      <c r="AA413" s="489">
        <v>6560.3135573999998</v>
      </c>
      <c r="AB413" s="488">
        <f t="shared" si="83"/>
        <v>7741.1699977319995</v>
      </c>
      <c r="AC413" s="492">
        <f t="shared" si="84"/>
        <v>6560.3135573999998</v>
      </c>
      <c r="AD413" s="493">
        <f t="shared" si="85"/>
        <v>7741.1699977319995</v>
      </c>
      <c r="AE413" s="494" t="s">
        <v>1775</v>
      </c>
      <c r="AF413" s="494" t="s">
        <v>83</v>
      </c>
      <c r="AG413" s="494" t="s">
        <v>211</v>
      </c>
      <c r="AH413" s="494" t="s">
        <v>545</v>
      </c>
      <c r="AI413" s="495">
        <v>41791</v>
      </c>
      <c r="AJ413" s="495">
        <v>41826</v>
      </c>
      <c r="AK413" s="494" t="s">
        <v>96</v>
      </c>
      <c r="AL413" s="494" t="s">
        <v>96</v>
      </c>
      <c r="AM413" s="496" t="s">
        <v>1846</v>
      </c>
      <c r="AN413" s="496" t="s">
        <v>1757</v>
      </c>
      <c r="AO413" s="494">
        <v>796</v>
      </c>
      <c r="AP413" s="494" t="s">
        <v>368</v>
      </c>
      <c r="AQ413" s="494">
        <v>1</v>
      </c>
      <c r="AR413" s="494">
        <v>45</v>
      </c>
      <c r="AS413" s="496" t="s">
        <v>547</v>
      </c>
      <c r="AT413" s="495">
        <v>41846</v>
      </c>
      <c r="AU413" s="495">
        <v>41846</v>
      </c>
      <c r="AV413" s="495">
        <v>42369</v>
      </c>
      <c r="AW413" s="494" t="s">
        <v>99</v>
      </c>
      <c r="AX413" s="496"/>
      <c r="AY413" s="494" t="s">
        <v>186</v>
      </c>
      <c r="AZ413" s="494"/>
      <c r="BA413" s="494">
        <v>2014</v>
      </c>
      <c r="BB413" s="494" t="s">
        <v>2153</v>
      </c>
      <c r="BC413" s="496" t="s">
        <v>2154</v>
      </c>
      <c r="BD413" s="496" t="s">
        <v>1818</v>
      </c>
      <c r="BE413" s="497">
        <v>42369</v>
      </c>
      <c r="BF413" s="498">
        <v>8601.137999999999</v>
      </c>
      <c r="BG413" s="488">
        <v>8601.137999999999</v>
      </c>
      <c r="BH413" s="488">
        <v>0</v>
      </c>
      <c r="BI413" s="488">
        <v>1.56</v>
      </c>
      <c r="BJ413" s="494" t="s">
        <v>186</v>
      </c>
      <c r="BK413" s="401"/>
    </row>
    <row r="414" spans="1:63" ht="112.5">
      <c r="A414" s="401">
        <v>2</v>
      </c>
      <c r="B414" s="494" t="s">
        <v>2155</v>
      </c>
      <c r="C414" s="401" t="s">
        <v>83</v>
      </c>
      <c r="D414" s="401" t="s">
        <v>242</v>
      </c>
      <c r="E414" s="494" t="s">
        <v>5853</v>
      </c>
      <c r="F414" s="401" t="s">
        <v>1768</v>
      </c>
      <c r="G414" s="401" t="s">
        <v>1769</v>
      </c>
      <c r="H414" s="499">
        <v>854268</v>
      </c>
      <c r="I414" s="486" t="s">
        <v>2156</v>
      </c>
      <c r="J414" s="496" t="s">
        <v>5317</v>
      </c>
      <c r="K414" s="496" t="s">
        <v>5317</v>
      </c>
      <c r="L414" s="496" t="s">
        <v>1772</v>
      </c>
      <c r="M414" s="500" t="s">
        <v>1755</v>
      </c>
      <c r="N414" s="496" t="s">
        <v>1773</v>
      </c>
      <c r="O414" s="496" t="s">
        <v>2234</v>
      </c>
      <c r="P414" s="489">
        <v>6297.7118670000009</v>
      </c>
      <c r="Q414" s="489">
        <f t="shared" si="81"/>
        <v>7431.3000030600006</v>
      </c>
      <c r="R414" s="489">
        <v>4716.5601329986494</v>
      </c>
      <c r="S414" s="401" t="s">
        <v>1774</v>
      </c>
      <c r="T414" s="501">
        <v>1.087</v>
      </c>
      <c r="U414" s="501">
        <v>1.077</v>
      </c>
      <c r="V414" s="501">
        <v>1.073</v>
      </c>
      <c r="W414" s="501">
        <v>1.071</v>
      </c>
      <c r="X414" s="596">
        <v>0.9</v>
      </c>
      <c r="Y414" s="502">
        <v>6087.7881381000007</v>
      </c>
      <c r="Z414" s="489">
        <f t="shared" si="82"/>
        <v>7183.5900029580007</v>
      </c>
      <c r="AA414" s="489">
        <v>5919.8491549800001</v>
      </c>
      <c r="AB414" s="488">
        <f t="shared" si="83"/>
        <v>6985.4220028763993</v>
      </c>
      <c r="AC414" s="492">
        <f t="shared" si="84"/>
        <v>5919.8491549800001</v>
      </c>
      <c r="AD414" s="493">
        <f t="shared" si="85"/>
        <v>6985.4220028763993</v>
      </c>
      <c r="AE414" s="494" t="s">
        <v>1775</v>
      </c>
      <c r="AF414" s="494" t="s">
        <v>83</v>
      </c>
      <c r="AG414" s="494" t="s">
        <v>211</v>
      </c>
      <c r="AH414" s="494" t="s">
        <v>545</v>
      </c>
      <c r="AI414" s="495">
        <v>41932</v>
      </c>
      <c r="AJ414" s="495">
        <v>41967</v>
      </c>
      <c r="AK414" s="494" t="s">
        <v>96</v>
      </c>
      <c r="AL414" s="494" t="s">
        <v>96</v>
      </c>
      <c r="AM414" s="496" t="s">
        <v>1846</v>
      </c>
      <c r="AN414" s="496" t="s">
        <v>1757</v>
      </c>
      <c r="AO414" s="494">
        <v>796</v>
      </c>
      <c r="AP414" s="494" t="s">
        <v>368</v>
      </c>
      <c r="AQ414" s="494">
        <v>1</v>
      </c>
      <c r="AR414" s="494">
        <v>45</v>
      </c>
      <c r="AS414" s="496" t="s">
        <v>547</v>
      </c>
      <c r="AT414" s="495">
        <v>41987</v>
      </c>
      <c r="AU414" s="495">
        <v>41987</v>
      </c>
      <c r="AV414" s="495">
        <v>42369</v>
      </c>
      <c r="AW414" s="494" t="s">
        <v>99</v>
      </c>
      <c r="AX414" s="496"/>
      <c r="AY414" s="494" t="s">
        <v>186</v>
      </c>
      <c r="AZ414" s="494"/>
      <c r="BA414" s="494">
        <v>2014</v>
      </c>
      <c r="BB414" s="494" t="s">
        <v>2157</v>
      </c>
      <c r="BC414" s="496" t="s">
        <v>2158</v>
      </c>
      <c r="BD414" s="496" t="s">
        <v>1818</v>
      </c>
      <c r="BE414" s="497">
        <v>42369</v>
      </c>
      <c r="BF414" s="498">
        <v>7430.8139999999985</v>
      </c>
      <c r="BG414" s="488">
        <v>7430.8139999999985</v>
      </c>
      <c r="BH414" s="488">
        <v>0</v>
      </c>
      <c r="BI414" s="488">
        <v>1</v>
      </c>
      <c r="BJ414" s="494" t="s">
        <v>186</v>
      </c>
      <c r="BK414" s="401"/>
    </row>
    <row r="415" spans="1:63" ht="112.5">
      <c r="A415" s="401">
        <v>2</v>
      </c>
      <c r="B415" s="494" t="s">
        <v>2159</v>
      </c>
      <c r="C415" s="401" t="s">
        <v>83</v>
      </c>
      <c r="D415" s="401" t="s">
        <v>242</v>
      </c>
      <c r="E415" s="494" t="s">
        <v>5853</v>
      </c>
      <c r="F415" s="401" t="s">
        <v>1768</v>
      </c>
      <c r="G415" s="401" t="s">
        <v>1769</v>
      </c>
      <c r="H415" s="499">
        <v>854269</v>
      </c>
      <c r="I415" s="486" t="s">
        <v>2160</v>
      </c>
      <c r="J415" s="496" t="s">
        <v>5317</v>
      </c>
      <c r="K415" s="496" t="s">
        <v>5317</v>
      </c>
      <c r="L415" s="496" t="s">
        <v>1772</v>
      </c>
      <c r="M415" s="500" t="s">
        <v>1755</v>
      </c>
      <c r="N415" s="496" t="s">
        <v>1773</v>
      </c>
      <c r="O415" s="496" t="s">
        <v>2234</v>
      </c>
      <c r="P415" s="489">
        <v>6297.7118670000009</v>
      </c>
      <c r="Q415" s="489">
        <f t="shared" si="81"/>
        <v>7431.3000030600006</v>
      </c>
      <c r="R415" s="489">
        <v>4716.5601329986494</v>
      </c>
      <c r="S415" s="401" t="s">
        <v>1774</v>
      </c>
      <c r="T415" s="501">
        <v>1.087</v>
      </c>
      <c r="U415" s="501">
        <v>1.077</v>
      </c>
      <c r="V415" s="501">
        <v>1.073</v>
      </c>
      <c r="W415" s="501">
        <v>1.071</v>
      </c>
      <c r="X415" s="596">
        <v>0.9</v>
      </c>
      <c r="Y415" s="502">
        <v>6087.7881381000007</v>
      </c>
      <c r="Z415" s="489">
        <f t="shared" si="82"/>
        <v>7183.5900029580007</v>
      </c>
      <c r="AA415" s="489">
        <v>5919.8491549800001</v>
      </c>
      <c r="AB415" s="488">
        <f t="shared" si="83"/>
        <v>6985.4220028763993</v>
      </c>
      <c r="AC415" s="492">
        <f t="shared" si="84"/>
        <v>5919.8491549800001</v>
      </c>
      <c r="AD415" s="493">
        <f t="shared" si="85"/>
        <v>6985.4220028763993</v>
      </c>
      <c r="AE415" s="494" t="s">
        <v>1775</v>
      </c>
      <c r="AF415" s="494" t="s">
        <v>83</v>
      </c>
      <c r="AG415" s="494" t="s">
        <v>211</v>
      </c>
      <c r="AH415" s="494" t="s">
        <v>545</v>
      </c>
      <c r="AI415" s="495">
        <v>41791</v>
      </c>
      <c r="AJ415" s="495">
        <v>41826</v>
      </c>
      <c r="AK415" s="494" t="s">
        <v>96</v>
      </c>
      <c r="AL415" s="494" t="s">
        <v>96</v>
      </c>
      <c r="AM415" s="496" t="s">
        <v>1846</v>
      </c>
      <c r="AN415" s="496" t="s">
        <v>1757</v>
      </c>
      <c r="AO415" s="494">
        <v>796</v>
      </c>
      <c r="AP415" s="494" t="s">
        <v>368</v>
      </c>
      <c r="AQ415" s="494">
        <v>1</v>
      </c>
      <c r="AR415" s="494">
        <v>45</v>
      </c>
      <c r="AS415" s="496" t="s">
        <v>547</v>
      </c>
      <c r="AT415" s="495">
        <v>41846</v>
      </c>
      <c r="AU415" s="495">
        <v>41846</v>
      </c>
      <c r="AV415" s="495">
        <v>42369</v>
      </c>
      <c r="AW415" s="494" t="s">
        <v>99</v>
      </c>
      <c r="AX415" s="496"/>
      <c r="AY415" s="494" t="s">
        <v>186</v>
      </c>
      <c r="AZ415" s="494"/>
      <c r="BA415" s="494">
        <v>2014</v>
      </c>
      <c r="BB415" s="494" t="s">
        <v>2161</v>
      </c>
      <c r="BC415" s="496" t="s">
        <v>2162</v>
      </c>
      <c r="BD415" s="496" t="s">
        <v>1818</v>
      </c>
      <c r="BE415" s="497">
        <v>42369</v>
      </c>
      <c r="BF415" s="498">
        <v>7430.8139999999985</v>
      </c>
      <c r="BG415" s="488">
        <v>7430.8139999999985</v>
      </c>
      <c r="BH415" s="488">
        <v>0</v>
      </c>
      <c r="BI415" s="488">
        <v>1</v>
      </c>
      <c r="BJ415" s="494" t="s">
        <v>186</v>
      </c>
      <c r="BK415" s="401"/>
    </row>
    <row r="416" spans="1:63" ht="112.5">
      <c r="A416" s="401">
        <v>2</v>
      </c>
      <c r="B416" s="494" t="s">
        <v>2163</v>
      </c>
      <c r="C416" s="401" t="s">
        <v>83</v>
      </c>
      <c r="D416" s="401" t="s">
        <v>242</v>
      </c>
      <c r="E416" s="494" t="s">
        <v>5853</v>
      </c>
      <c r="F416" s="401" t="s">
        <v>1768</v>
      </c>
      <c r="G416" s="401" t="s">
        <v>1769</v>
      </c>
      <c r="H416" s="499">
        <v>854270</v>
      </c>
      <c r="I416" s="486" t="s">
        <v>2164</v>
      </c>
      <c r="J416" s="496" t="s">
        <v>5317</v>
      </c>
      <c r="K416" s="496" t="s">
        <v>5317</v>
      </c>
      <c r="L416" s="496" t="s">
        <v>1772</v>
      </c>
      <c r="M416" s="500" t="s">
        <v>1755</v>
      </c>
      <c r="N416" s="496" t="s">
        <v>1773</v>
      </c>
      <c r="O416" s="496" t="s">
        <v>2234</v>
      </c>
      <c r="P416" s="489">
        <v>6297.7118670000009</v>
      </c>
      <c r="Q416" s="489">
        <f t="shared" si="81"/>
        <v>7431.3000030600006</v>
      </c>
      <c r="R416" s="489">
        <v>5027.8531017765608</v>
      </c>
      <c r="S416" s="401" t="s">
        <v>1774</v>
      </c>
      <c r="T416" s="501">
        <v>1.087</v>
      </c>
      <c r="U416" s="501">
        <v>1.077</v>
      </c>
      <c r="V416" s="501">
        <v>1.073</v>
      </c>
      <c r="W416" s="501">
        <v>1.071</v>
      </c>
      <c r="X416" s="596">
        <v>0.9</v>
      </c>
      <c r="Y416" s="502">
        <v>6087.7881381000007</v>
      </c>
      <c r="Z416" s="489">
        <f t="shared" si="82"/>
        <v>7183.5900029580007</v>
      </c>
      <c r="AA416" s="489">
        <v>5919.8491549800001</v>
      </c>
      <c r="AB416" s="488">
        <f t="shared" si="83"/>
        <v>6985.4220028763993</v>
      </c>
      <c r="AC416" s="492">
        <f t="shared" si="84"/>
        <v>5919.8491549800001</v>
      </c>
      <c r="AD416" s="493">
        <f t="shared" si="85"/>
        <v>6985.4220028763993</v>
      </c>
      <c r="AE416" s="494" t="s">
        <v>1775</v>
      </c>
      <c r="AF416" s="494" t="s">
        <v>83</v>
      </c>
      <c r="AG416" s="494" t="s">
        <v>211</v>
      </c>
      <c r="AH416" s="494" t="s">
        <v>545</v>
      </c>
      <c r="AI416" s="495">
        <v>41791</v>
      </c>
      <c r="AJ416" s="495">
        <v>41826</v>
      </c>
      <c r="AK416" s="494" t="s">
        <v>96</v>
      </c>
      <c r="AL416" s="494" t="s">
        <v>96</v>
      </c>
      <c r="AM416" s="496" t="s">
        <v>1846</v>
      </c>
      <c r="AN416" s="496" t="s">
        <v>1757</v>
      </c>
      <c r="AO416" s="494">
        <v>796</v>
      </c>
      <c r="AP416" s="494" t="s">
        <v>368</v>
      </c>
      <c r="AQ416" s="494">
        <v>1</v>
      </c>
      <c r="AR416" s="494">
        <v>45</v>
      </c>
      <c r="AS416" s="496" t="s">
        <v>547</v>
      </c>
      <c r="AT416" s="495">
        <v>41846</v>
      </c>
      <c r="AU416" s="495">
        <v>41846</v>
      </c>
      <c r="AV416" s="495">
        <v>42004</v>
      </c>
      <c r="AW416" s="494">
        <v>2014</v>
      </c>
      <c r="AX416" s="496"/>
      <c r="AY416" s="494" t="s">
        <v>186</v>
      </c>
      <c r="AZ416" s="494"/>
      <c r="BA416" s="494">
        <v>2014</v>
      </c>
      <c r="BB416" s="494" t="s">
        <v>2165</v>
      </c>
      <c r="BC416" s="496" t="s">
        <v>2166</v>
      </c>
      <c r="BD416" s="496" t="s">
        <v>1818</v>
      </c>
      <c r="BE416" s="497">
        <v>42004</v>
      </c>
      <c r="BF416" s="498">
        <v>7430.8139999999985</v>
      </c>
      <c r="BG416" s="488">
        <v>7430.8139999999985</v>
      </c>
      <c r="BH416" s="488">
        <v>0</v>
      </c>
      <c r="BI416" s="488">
        <v>1</v>
      </c>
      <c r="BJ416" s="494" t="s">
        <v>186</v>
      </c>
      <c r="BK416" s="401"/>
    </row>
    <row r="417" spans="1:63" ht="112.5">
      <c r="A417" s="401">
        <v>2</v>
      </c>
      <c r="B417" s="494" t="s">
        <v>2167</v>
      </c>
      <c r="C417" s="401" t="s">
        <v>83</v>
      </c>
      <c r="D417" s="401" t="s">
        <v>242</v>
      </c>
      <c r="E417" s="494" t="s">
        <v>5853</v>
      </c>
      <c r="F417" s="401" t="s">
        <v>1768</v>
      </c>
      <c r="G417" s="401" t="s">
        <v>1769</v>
      </c>
      <c r="H417" s="499">
        <v>854271</v>
      </c>
      <c r="I417" s="486" t="s">
        <v>2168</v>
      </c>
      <c r="J417" s="496" t="s">
        <v>5317</v>
      </c>
      <c r="K417" s="496" t="s">
        <v>5317</v>
      </c>
      <c r="L417" s="496" t="s">
        <v>1772</v>
      </c>
      <c r="M417" s="500" t="s">
        <v>1755</v>
      </c>
      <c r="N417" s="496" t="s">
        <v>1773</v>
      </c>
      <c r="O417" s="496" t="s">
        <v>2234</v>
      </c>
      <c r="P417" s="489">
        <v>5397.7118670000009</v>
      </c>
      <c r="Q417" s="489">
        <f t="shared" si="81"/>
        <v>6369.3000030600006</v>
      </c>
      <c r="R417" s="489">
        <v>4042.5210201675154</v>
      </c>
      <c r="S417" s="401" t="s">
        <v>1774</v>
      </c>
      <c r="T417" s="501">
        <v>1.087</v>
      </c>
      <c r="U417" s="501">
        <v>1.077</v>
      </c>
      <c r="V417" s="501">
        <v>1.073</v>
      </c>
      <c r="W417" s="501">
        <v>1.071</v>
      </c>
      <c r="X417" s="596">
        <v>0.9</v>
      </c>
      <c r="Y417" s="502">
        <v>5217.7881381000007</v>
      </c>
      <c r="Z417" s="489">
        <f t="shared" si="82"/>
        <v>6156.9900029580003</v>
      </c>
      <c r="AA417" s="489">
        <v>5127.826273650001</v>
      </c>
      <c r="AB417" s="488">
        <f t="shared" si="83"/>
        <v>6050.8350029070007</v>
      </c>
      <c r="AC417" s="492">
        <f t="shared" si="84"/>
        <v>5127.826273650001</v>
      </c>
      <c r="AD417" s="493">
        <f t="shared" si="85"/>
        <v>6050.8350029070007</v>
      </c>
      <c r="AE417" s="494" t="s">
        <v>1775</v>
      </c>
      <c r="AF417" s="494" t="s">
        <v>83</v>
      </c>
      <c r="AG417" s="494" t="s">
        <v>211</v>
      </c>
      <c r="AH417" s="494" t="s">
        <v>545</v>
      </c>
      <c r="AI417" s="495">
        <v>41791</v>
      </c>
      <c r="AJ417" s="495">
        <v>41826</v>
      </c>
      <c r="AK417" s="494" t="s">
        <v>96</v>
      </c>
      <c r="AL417" s="494" t="s">
        <v>96</v>
      </c>
      <c r="AM417" s="496" t="s">
        <v>1846</v>
      </c>
      <c r="AN417" s="496" t="s">
        <v>1757</v>
      </c>
      <c r="AO417" s="494">
        <v>796</v>
      </c>
      <c r="AP417" s="494" t="s">
        <v>368</v>
      </c>
      <c r="AQ417" s="494">
        <v>1</v>
      </c>
      <c r="AR417" s="494">
        <v>45</v>
      </c>
      <c r="AS417" s="496" t="s">
        <v>547</v>
      </c>
      <c r="AT417" s="495">
        <v>41846</v>
      </c>
      <c r="AU417" s="495">
        <v>41846</v>
      </c>
      <c r="AV417" s="495">
        <v>42369</v>
      </c>
      <c r="AW417" s="494" t="s">
        <v>99</v>
      </c>
      <c r="AX417" s="496"/>
      <c r="AY417" s="494" t="s">
        <v>186</v>
      </c>
      <c r="AZ417" s="494"/>
      <c r="BA417" s="494">
        <v>2014</v>
      </c>
      <c r="BB417" s="494" t="s">
        <v>2169</v>
      </c>
      <c r="BC417" s="496" t="s">
        <v>2170</v>
      </c>
      <c r="BD417" s="496" t="s">
        <v>1818</v>
      </c>
      <c r="BE417" s="497">
        <v>42369</v>
      </c>
      <c r="BF417" s="498">
        <v>6371.4098000000004</v>
      </c>
      <c r="BG417" s="488">
        <v>6371.4098000000004</v>
      </c>
      <c r="BH417" s="488">
        <v>0</v>
      </c>
      <c r="BI417" s="488">
        <v>1</v>
      </c>
      <c r="BJ417" s="494" t="s">
        <v>186</v>
      </c>
      <c r="BK417" s="401"/>
    </row>
    <row r="418" spans="1:63" ht="112.5">
      <c r="A418" s="401">
        <v>2</v>
      </c>
      <c r="B418" s="494" t="s">
        <v>2171</v>
      </c>
      <c r="C418" s="401" t="s">
        <v>83</v>
      </c>
      <c r="D418" s="401" t="s">
        <v>242</v>
      </c>
      <c r="E418" s="494" t="s">
        <v>5853</v>
      </c>
      <c r="F418" s="401" t="s">
        <v>1768</v>
      </c>
      <c r="G418" s="401" t="s">
        <v>1769</v>
      </c>
      <c r="H418" s="499">
        <v>854273</v>
      </c>
      <c r="I418" s="486" t="s">
        <v>2172</v>
      </c>
      <c r="J418" s="496" t="s">
        <v>5317</v>
      </c>
      <c r="K418" s="496" t="s">
        <v>5317</v>
      </c>
      <c r="L418" s="496" t="s">
        <v>1772</v>
      </c>
      <c r="M418" s="500" t="s">
        <v>1755</v>
      </c>
      <c r="N418" s="496" t="s">
        <v>1773</v>
      </c>
      <c r="O418" s="496" t="s">
        <v>2234</v>
      </c>
      <c r="P418" s="489">
        <v>4497.711867</v>
      </c>
      <c r="Q418" s="489">
        <f t="shared" si="81"/>
        <v>5307.3000030599997</v>
      </c>
      <c r="R418" s="489">
        <v>3368.4819073363819</v>
      </c>
      <c r="S418" s="401" t="s">
        <v>1774</v>
      </c>
      <c r="T418" s="501">
        <v>1.087</v>
      </c>
      <c r="U418" s="501">
        <v>1.077</v>
      </c>
      <c r="V418" s="501">
        <v>1.073</v>
      </c>
      <c r="W418" s="501">
        <v>1.071</v>
      </c>
      <c r="X418" s="596">
        <v>0.9</v>
      </c>
      <c r="Y418" s="502">
        <v>4347.7881381000007</v>
      </c>
      <c r="Z418" s="489">
        <f t="shared" si="82"/>
        <v>5130.3900029580009</v>
      </c>
      <c r="AA418" s="489">
        <v>4227.8491549800001</v>
      </c>
      <c r="AB418" s="488">
        <f t="shared" si="83"/>
        <v>4988.8620028763999</v>
      </c>
      <c r="AC418" s="492">
        <f t="shared" si="84"/>
        <v>4227.8491549800001</v>
      </c>
      <c r="AD418" s="493">
        <f t="shared" si="85"/>
        <v>4988.8620028763999</v>
      </c>
      <c r="AE418" s="494" t="s">
        <v>1775</v>
      </c>
      <c r="AF418" s="494" t="s">
        <v>83</v>
      </c>
      <c r="AG418" s="494" t="s">
        <v>211</v>
      </c>
      <c r="AH418" s="494" t="s">
        <v>545</v>
      </c>
      <c r="AI418" s="495">
        <v>41791</v>
      </c>
      <c r="AJ418" s="495">
        <v>41826</v>
      </c>
      <c r="AK418" s="494" t="s">
        <v>96</v>
      </c>
      <c r="AL418" s="494" t="s">
        <v>96</v>
      </c>
      <c r="AM418" s="496" t="s">
        <v>1846</v>
      </c>
      <c r="AN418" s="496" t="s">
        <v>1757</v>
      </c>
      <c r="AO418" s="494">
        <v>796</v>
      </c>
      <c r="AP418" s="494" t="s">
        <v>368</v>
      </c>
      <c r="AQ418" s="494">
        <v>1</v>
      </c>
      <c r="AR418" s="494">
        <v>45</v>
      </c>
      <c r="AS418" s="496" t="s">
        <v>547</v>
      </c>
      <c r="AT418" s="495">
        <v>41846</v>
      </c>
      <c r="AU418" s="495">
        <v>41846</v>
      </c>
      <c r="AV418" s="495">
        <v>42369</v>
      </c>
      <c r="AW418" s="494" t="s">
        <v>99</v>
      </c>
      <c r="AX418" s="496"/>
      <c r="AY418" s="494" t="s">
        <v>186</v>
      </c>
      <c r="AZ418" s="494"/>
      <c r="BA418" s="494">
        <v>2014</v>
      </c>
      <c r="BB418" s="494" t="s">
        <v>2173</v>
      </c>
      <c r="BC418" s="496" t="s">
        <v>2174</v>
      </c>
      <c r="BD418" s="496" t="s">
        <v>1818</v>
      </c>
      <c r="BE418" s="497">
        <v>42369</v>
      </c>
      <c r="BF418" s="498">
        <v>5543.1800031959992</v>
      </c>
      <c r="BG418" s="488">
        <v>5543.1800031959992</v>
      </c>
      <c r="BH418" s="488">
        <v>0</v>
      </c>
      <c r="BI418" s="488">
        <v>1</v>
      </c>
      <c r="BJ418" s="494" t="s">
        <v>186</v>
      </c>
      <c r="BK418" s="401"/>
    </row>
    <row r="419" spans="1:63" ht="112.5">
      <c r="A419" s="401">
        <v>2</v>
      </c>
      <c r="B419" s="494" t="s">
        <v>2175</v>
      </c>
      <c r="C419" s="401" t="s">
        <v>83</v>
      </c>
      <c r="D419" s="401" t="s">
        <v>242</v>
      </c>
      <c r="E419" s="494" t="s">
        <v>5853</v>
      </c>
      <c r="F419" s="401" t="s">
        <v>1768</v>
      </c>
      <c r="G419" s="401" t="s">
        <v>1769</v>
      </c>
      <c r="H419" s="499">
        <v>854272</v>
      </c>
      <c r="I419" s="486" t="s">
        <v>2176</v>
      </c>
      <c r="J419" s="496" t="s">
        <v>5317</v>
      </c>
      <c r="K419" s="496" t="s">
        <v>5317</v>
      </c>
      <c r="L419" s="496" t="s">
        <v>1772</v>
      </c>
      <c r="M419" s="500" t="s">
        <v>1755</v>
      </c>
      <c r="N419" s="496" t="s">
        <v>1773</v>
      </c>
      <c r="O419" s="496" t="s">
        <v>2234</v>
      </c>
      <c r="P419" s="489">
        <v>5397.7118670000009</v>
      </c>
      <c r="Q419" s="489">
        <f t="shared" si="81"/>
        <v>6369.3000030600006</v>
      </c>
      <c r="R419" s="489">
        <v>4309.327407498572</v>
      </c>
      <c r="S419" s="401" t="s">
        <v>1774</v>
      </c>
      <c r="T419" s="501">
        <v>1.087</v>
      </c>
      <c r="U419" s="501">
        <v>1.077</v>
      </c>
      <c r="V419" s="501">
        <v>1.073</v>
      </c>
      <c r="W419" s="501">
        <v>1.071</v>
      </c>
      <c r="X419" s="596">
        <v>0.9</v>
      </c>
      <c r="Y419" s="502">
        <v>5217.7881381000007</v>
      </c>
      <c r="Z419" s="489">
        <f t="shared" si="82"/>
        <v>6156.9900029580003</v>
      </c>
      <c r="AA419" s="489">
        <v>5127.826273650001</v>
      </c>
      <c r="AB419" s="488">
        <f t="shared" si="83"/>
        <v>6050.8350029070007</v>
      </c>
      <c r="AC419" s="492">
        <f t="shared" si="84"/>
        <v>5127.826273650001</v>
      </c>
      <c r="AD419" s="493">
        <f t="shared" si="85"/>
        <v>6050.8350029070007</v>
      </c>
      <c r="AE419" s="494" t="s">
        <v>1775</v>
      </c>
      <c r="AF419" s="494" t="s">
        <v>83</v>
      </c>
      <c r="AG419" s="494" t="s">
        <v>211</v>
      </c>
      <c r="AH419" s="494" t="s">
        <v>545</v>
      </c>
      <c r="AI419" s="495">
        <v>41791</v>
      </c>
      <c r="AJ419" s="495">
        <v>41826</v>
      </c>
      <c r="AK419" s="494" t="s">
        <v>96</v>
      </c>
      <c r="AL419" s="494" t="s">
        <v>96</v>
      </c>
      <c r="AM419" s="496" t="s">
        <v>1846</v>
      </c>
      <c r="AN419" s="496" t="s">
        <v>1757</v>
      </c>
      <c r="AO419" s="494">
        <v>796</v>
      </c>
      <c r="AP419" s="494" t="s">
        <v>368</v>
      </c>
      <c r="AQ419" s="494">
        <v>1</v>
      </c>
      <c r="AR419" s="494">
        <v>45</v>
      </c>
      <c r="AS419" s="496" t="s">
        <v>547</v>
      </c>
      <c r="AT419" s="495">
        <v>41846</v>
      </c>
      <c r="AU419" s="495">
        <v>41846</v>
      </c>
      <c r="AV419" s="495">
        <v>42004</v>
      </c>
      <c r="AW419" s="494">
        <v>2014</v>
      </c>
      <c r="AX419" s="496"/>
      <c r="AY419" s="494" t="s">
        <v>186</v>
      </c>
      <c r="AZ419" s="494"/>
      <c r="BA419" s="494">
        <v>2014</v>
      </c>
      <c r="BB419" s="494" t="s">
        <v>2177</v>
      </c>
      <c r="BC419" s="496" t="s">
        <v>2178</v>
      </c>
      <c r="BD419" s="496" t="s">
        <v>1818</v>
      </c>
      <c r="BE419" s="497">
        <v>42004</v>
      </c>
      <c r="BF419" s="498">
        <v>6652.380003196</v>
      </c>
      <c r="BG419" s="488">
        <v>6652.380003196</v>
      </c>
      <c r="BH419" s="488">
        <v>0</v>
      </c>
      <c r="BI419" s="488">
        <v>1</v>
      </c>
      <c r="BJ419" s="494" t="s">
        <v>186</v>
      </c>
      <c r="BK419" s="401"/>
    </row>
    <row r="420" spans="1:63" ht="112.5">
      <c r="A420" s="401">
        <v>2</v>
      </c>
      <c r="B420" s="494" t="s">
        <v>2179</v>
      </c>
      <c r="C420" s="401" t="s">
        <v>83</v>
      </c>
      <c r="D420" s="401" t="s">
        <v>242</v>
      </c>
      <c r="E420" s="494" t="s">
        <v>5853</v>
      </c>
      <c r="F420" s="401" t="s">
        <v>1768</v>
      </c>
      <c r="G420" s="401" t="s">
        <v>1769</v>
      </c>
      <c r="H420" s="499">
        <v>854274</v>
      </c>
      <c r="I420" s="486" t="s">
        <v>2180</v>
      </c>
      <c r="J420" s="496" t="s">
        <v>5317</v>
      </c>
      <c r="K420" s="496" t="s">
        <v>5317</v>
      </c>
      <c r="L420" s="496" t="s">
        <v>1772</v>
      </c>
      <c r="M420" s="500" t="s">
        <v>1755</v>
      </c>
      <c r="N420" s="496" t="s">
        <v>1773</v>
      </c>
      <c r="O420" s="496" t="s">
        <v>2234</v>
      </c>
      <c r="P420" s="489">
        <v>4497.711867</v>
      </c>
      <c r="Q420" s="489">
        <f t="shared" si="81"/>
        <v>5307.3000030599997</v>
      </c>
      <c r="R420" s="489">
        <v>3368.4819073363819</v>
      </c>
      <c r="S420" s="401" t="s">
        <v>1774</v>
      </c>
      <c r="T420" s="501">
        <v>1.087</v>
      </c>
      <c r="U420" s="501">
        <v>1.077</v>
      </c>
      <c r="V420" s="501">
        <v>1.073</v>
      </c>
      <c r="W420" s="501">
        <v>1.071</v>
      </c>
      <c r="X420" s="596">
        <v>0.9</v>
      </c>
      <c r="Y420" s="502">
        <v>4347.7881381000007</v>
      </c>
      <c r="Z420" s="489">
        <f t="shared" si="82"/>
        <v>5130.3900029580009</v>
      </c>
      <c r="AA420" s="489">
        <v>4227.8491549800001</v>
      </c>
      <c r="AB420" s="488">
        <f t="shared" si="83"/>
        <v>4988.8620028763999</v>
      </c>
      <c r="AC420" s="492">
        <f t="shared" si="84"/>
        <v>4227.8491549800001</v>
      </c>
      <c r="AD420" s="493">
        <f t="shared" si="85"/>
        <v>4988.8620028763999</v>
      </c>
      <c r="AE420" s="494" t="s">
        <v>1775</v>
      </c>
      <c r="AF420" s="494" t="s">
        <v>83</v>
      </c>
      <c r="AG420" s="494" t="s">
        <v>211</v>
      </c>
      <c r="AH420" s="494" t="s">
        <v>545</v>
      </c>
      <c r="AI420" s="495">
        <v>41791</v>
      </c>
      <c r="AJ420" s="495">
        <v>41826</v>
      </c>
      <c r="AK420" s="494" t="s">
        <v>96</v>
      </c>
      <c r="AL420" s="494" t="s">
        <v>96</v>
      </c>
      <c r="AM420" s="496" t="s">
        <v>1846</v>
      </c>
      <c r="AN420" s="496" t="s">
        <v>1757</v>
      </c>
      <c r="AO420" s="494">
        <v>796</v>
      </c>
      <c r="AP420" s="494" t="s">
        <v>368</v>
      </c>
      <c r="AQ420" s="494">
        <v>1</v>
      </c>
      <c r="AR420" s="494">
        <v>45</v>
      </c>
      <c r="AS420" s="496" t="s">
        <v>547</v>
      </c>
      <c r="AT420" s="495">
        <v>41846</v>
      </c>
      <c r="AU420" s="495">
        <v>41846</v>
      </c>
      <c r="AV420" s="495">
        <v>42369</v>
      </c>
      <c r="AW420" s="494" t="s">
        <v>99</v>
      </c>
      <c r="AX420" s="496"/>
      <c r="AY420" s="494" t="s">
        <v>186</v>
      </c>
      <c r="AZ420" s="494"/>
      <c r="BA420" s="494">
        <v>2014</v>
      </c>
      <c r="BB420" s="494" t="s">
        <v>2181</v>
      </c>
      <c r="BC420" s="496" t="s">
        <v>2182</v>
      </c>
      <c r="BD420" s="496" t="s">
        <v>1818</v>
      </c>
      <c r="BE420" s="497">
        <v>42369</v>
      </c>
      <c r="BF420" s="498">
        <v>5543.1800031959992</v>
      </c>
      <c r="BG420" s="488">
        <v>5543.1800031959992</v>
      </c>
      <c r="BH420" s="488">
        <v>0</v>
      </c>
      <c r="BI420" s="488">
        <v>1</v>
      </c>
      <c r="BJ420" s="494" t="s">
        <v>186</v>
      </c>
      <c r="BK420" s="401"/>
    </row>
    <row r="421" spans="1:63" ht="112.5">
      <c r="A421" s="401">
        <v>2</v>
      </c>
      <c r="B421" s="494" t="s">
        <v>2183</v>
      </c>
      <c r="C421" s="401" t="s">
        <v>83</v>
      </c>
      <c r="D421" s="401" t="s">
        <v>242</v>
      </c>
      <c r="E421" s="494" t="s">
        <v>5853</v>
      </c>
      <c r="F421" s="401" t="s">
        <v>1768</v>
      </c>
      <c r="G421" s="401" t="s">
        <v>1769</v>
      </c>
      <c r="H421" s="499">
        <v>854276</v>
      </c>
      <c r="I421" s="486" t="s">
        <v>2184</v>
      </c>
      <c r="J421" s="496" t="s">
        <v>2237</v>
      </c>
      <c r="K421" s="496" t="s">
        <v>2237</v>
      </c>
      <c r="L421" s="496" t="s">
        <v>1772</v>
      </c>
      <c r="M421" s="500" t="s">
        <v>1755</v>
      </c>
      <c r="N421" s="496" t="s">
        <v>1773</v>
      </c>
      <c r="O421" s="496" t="s">
        <v>2234</v>
      </c>
      <c r="P421" s="489">
        <v>9000</v>
      </c>
      <c r="Q421" s="489">
        <f t="shared" si="81"/>
        <v>10620</v>
      </c>
      <c r="R421" s="489">
        <v>6740.3911283113393</v>
      </c>
      <c r="S421" s="401" t="s">
        <v>1774</v>
      </c>
      <c r="T421" s="501">
        <v>1.087</v>
      </c>
      <c r="U421" s="501">
        <v>1.077</v>
      </c>
      <c r="V421" s="501">
        <v>1.073</v>
      </c>
      <c r="W421" s="501">
        <v>1.071</v>
      </c>
      <c r="X421" s="596">
        <v>0.9</v>
      </c>
      <c r="Y421" s="502">
        <v>8700</v>
      </c>
      <c r="Z421" s="489">
        <f t="shared" si="82"/>
        <v>10266</v>
      </c>
      <c r="AA421" s="489">
        <v>8420.4075023999994</v>
      </c>
      <c r="AB421" s="488">
        <f t="shared" si="83"/>
        <v>9936.0808528319994</v>
      </c>
      <c r="AC421" s="492">
        <f t="shared" si="84"/>
        <v>8420.4075023999994</v>
      </c>
      <c r="AD421" s="493">
        <f t="shared" si="85"/>
        <v>9936.0808528319994</v>
      </c>
      <c r="AE421" s="494" t="s">
        <v>1775</v>
      </c>
      <c r="AF421" s="494" t="s">
        <v>83</v>
      </c>
      <c r="AG421" s="494" t="s">
        <v>211</v>
      </c>
      <c r="AH421" s="494" t="s">
        <v>545</v>
      </c>
      <c r="AI421" s="495">
        <v>41791</v>
      </c>
      <c r="AJ421" s="495">
        <v>41826</v>
      </c>
      <c r="AK421" s="494" t="s">
        <v>96</v>
      </c>
      <c r="AL421" s="494" t="s">
        <v>96</v>
      </c>
      <c r="AM421" s="496" t="s">
        <v>2238</v>
      </c>
      <c r="AN421" s="496" t="s">
        <v>1757</v>
      </c>
      <c r="AO421" s="494">
        <v>796</v>
      </c>
      <c r="AP421" s="494" t="s">
        <v>368</v>
      </c>
      <c r="AQ421" s="494">
        <v>1</v>
      </c>
      <c r="AR421" s="494">
        <v>45</v>
      </c>
      <c r="AS421" s="496" t="s">
        <v>547</v>
      </c>
      <c r="AT421" s="495">
        <v>41846</v>
      </c>
      <c r="AU421" s="495">
        <v>41846</v>
      </c>
      <c r="AV421" s="495">
        <v>42369</v>
      </c>
      <c r="AW421" s="494" t="s">
        <v>99</v>
      </c>
      <c r="AX421" s="496"/>
      <c r="AY421" s="494" t="s">
        <v>186</v>
      </c>
      <c r="AZ421" s="494"/>
      <c r="BA421" s="494">
        <v>2014</v>
      </c>
      <c r="BB421" s="494" t="s">
        <v>2185</v>
      </c>
      <c r="BC421" s="496" t="s">
        <v>2186</v>
      </c>
      <c r="BD421" s="496" t="s">
        <v>1818</v>
      </c>
      <c r="BE421" s="497">
        <v>42369</v>
      </c>
      <c r="BF421" s="498">
        <v>10620</v>
      </c>
      <c r="BG421" s="488">
        <v>10620</v>
      </c>
      <c r="BH421" s="488">
        <v>1.26</v>
      </c>
      <c r="BI421" s="488">
        <v>0</v>
      </c>
      <c r="BJ421" s="494" t="s">
        <v>186</v>
      </c>
      <c r="BK421" s="401"/>
    </row>
    <row r="422" spans="1:63" ht="112.5">
      <c r="A422" s="401">
        <v>2</v>
      </c>
      <c r="B422" s="494" t="s">
        <v>2187</v>
      </c>
      <c r="C422" s="401" t="s">
        <v>83</v>
      </c>
      <c r="D422" s="401" t="s">
        <v>242</v>
      </c>
      <c r="E422" s="494" t="s">
        <v>5853</v>
      </c>
      <c r="F422" s="401" t="s">
        <v>1768</v>
      </c>
      <c r="G422" s="401" t="s">
        <v>1769</v>
      </c>
      <c r="H422" s="499">
        <v>854277</v>
      </c>
      <c r="I422" s="486" t="s">
        <v>2188</v>
      </c>
      <c r="J422" s="496" t="s">
        <v>2237</v>
      </c>
      <c r="K422" s="496" t="s">
        <v>2237</v>
      </c>
      <c r="L422" s="496" t="s">
        <v>1772</v>
      </c>
      <c r="M422" s="500" t="s">
        <v>1755</v>
      </c>
      <c r="N422" s="496" t="s">
        <v>1773</v>
      </c>
      <c r="O422" s="496" t="s">
        <v>2234</v>
      </c>
      <c r="P422" s="489">
        <v>9000</v>
      </c>
      <c r="Q422" s="489">
        <f t="shared" si="81"/>
        <v>10620</v>
      </c>
      <c r="R422" s="489">
        <v>6740.3911283113393</v>
      </c>
      <c r="S422" s="401" t="s">
        <v>1774</v>
      </c>
      <c r="T422" s="501">
        <v>1.087</v>
      </c>
      <c r="U422" s="501">
        <v>1.077</v>
      </c>
      <c r="V422" s="501">
        <v>1.073</v>
      </c>
      <c r="W422" s="501">
        <v>1.071</v>
      </c>
      <c r="X422" s="596">
        <v>0.9</v>
      </c>
      <c r="Y422" s="502">
        <v>8700</v>
      </c>
      <c r="Z422" s="489">
        <f t="shared" si="82"/>
        <v>10266</v>
      </c>
      <c r="AA422" s="489">
        <v>8420.4075023999994</v>
      </c>
      <c r="AB422" s="488">
        <f t="shared" si="83"/>
        <v>9936.0808528319994</v>
      </c>
      <c r="AC422" s="492">
        <f t="shared" si="84"/>
        <v>8420.4075023999994</v>
      </c>
      <c r="AD422" s="493">
        <f t="shared" si="85"/>
        <v>9936.0808528319994</v>
      </c>
      <c r="AE422" s="494" t="s">
        <v>1775</v>
      </c>
      <c r="AF422" s="494" t="s">
        <v>83</v>
      </c>
      <c r="AG422" s="494" t="s">
        <v>211</v>
      </c>
      <c r="AH422" s="494" t="s">
        <v>545</v>
      </c>
      <c r="AI422" s="495">
        <v>41791</v>
      </c>
      <c r="AJ422" s="495">
        <v>41826</v>
      </c>
      <c r="AK422" s="494" t="s">
        <v>96</v>
      </c>
      <c r="AL422" s="494" t="s">
        <v>96</v>
      </c>
      <c r="AM422" s="496" t="s">
        <v>2238</v>
      </c>
      <c r="AN422" s="496" t="s">
        <v>1757</v>
      </c>
      <c r="AO422" s="494">
        <v>796</v>
      </c>
      <c r="AP422" s="494" t="s">
        <v>368</v>
      </c>
      <c r="AQ422" s="494">
        <v>1</v>
      </c>
      <c r="AR422" s="494">
        <v>45</v>
      </c>
      <c r="AS422" s="496" t="s">
        <v>547</v>
      </c>
      <c r="AT422" s="495">
        <v>41846</v>
      </c>
      <c r="AU422" s="495">
        <v>41846</v>
      </c>
      <c r="AV422" s="495">
        <v>42369</v>
      </c>
      <c r="AW422" s="494" t="s">
        <v>99</v>
      </c>
      <c r="AX422" s="496"/>
      <c r="AY422" s="494" t="s">
        <v>186</v>
      </c>
      <c r="AZ422" s="494"/>
      <c r="BA422" s="494">
        <v>2014</v>
      </c>
      <c r="BB422" s="494" t="s">
        <v>2189</v>
      </c>
      <c r="BC422" s="496" t="s">
        <v>2190</v>
      </c>
      <c r="BD422" s="496" t="s">
        <v>1818</v>
      </c>
      <c r="BE422" s="497">
        <v>42369</v>
      </c>
      <c r="BF422" s="498">
        <v>10620</v>
      </c>
      <c r="BG422" s="488">
        <v>10620</v>
      </c>
      <c r="BH422" s="488">
        <v>1.26</v>
      </c>
      <c r="BI422" s="488">
        <v>0</v>
      </c>
      <c r="BJ422" s="494" t="s">
        <v>186</v>
      </c>
      <c r="BK422" s="401"/>
    </row>
    <row r="423" spans="1:63" ht="112.5">
      <c r="A423" s="401">
        <v>2</v>
      </c>
      <c r="B423" s="494" t="s">
        <v>2191</v>
      </c>
      <c r="C423" s="401" t="s">
        <v>83</v>
      </c>
      <c r="D423" s="401" t="s">
        <v>242</v>
      </c>
      <c r="E423" s="494" t="s">
        <v>5853</v>
      </c>
      <c r="F423" s="401" t="s">
        <v>1768</v>
      </c>
      <c r="G423" s="401" t="s">
        <v>1769</v>
      </c>
      <c r="H423" s="499">
        <v>854278</v>
      </c>
      <c r="I423" s="486" t="s">
        <v>2192</v>
      </c>
      <c r="J423" s="496" t="s">
        <v>2237</v>
      </c>
      <c r="K423" s="496" t="s">
        <v>2237</v>
      </c>
      <c r="L423" s="496" t="s">
        <v>1772</v>
      </c>
      <c r="M423" s="500" t="s">
        <v>1755</v>
      </c>
      <c r="N423" s="496" t="s">
        <v>1773</v>
      </c>
      <c r="O423" s="496" t="s">
        <v>2234</v>
      </c>
      <c r="P423" s="489">
        <v>9000</v>
      </c>
      <c r="Q423" s="489">
        <f t="shared" si="81"/>
        <v>10620</v>
      </c>
      <c r="R423" s="489">
        <v>6740.3911283113393</v>
      </c>
      <c r="S423" s="401" t="s">
        <v>1774</v>
      </c>
      <c r="T423" s="501">
        <v>1.087</v>
      </c>
      <c r="U423" s="501">
        <v>1.077</v>
      </c>
      <c r="V423" s="501">
        <v>1.073</v>
      </c>
      <c r="W423" s="501">
        <v>1.071</v>
      </c>
      <c r="X423" s="596">
        <v>0.9</v>
      </c>
      <c r="Y423" s="502">
        <v>8700</v>
      </c>
      <c r="Z423" s="489">
        <f t="shared" si="82"/>
        <v>10266</v>
      </c>
      <c r="AA423" s="489">
        <v>8420.4075023999994</v>
      </c>
      <c r="AB423" s="488">
        <f t="shared" si="83"/>
        <v>9936.0808528319994</v>
      </c>
      <c r="AC423" s="492">
        <f t="shared" si="84"/>
        <v>8420.4075023999994</v>
      </c>
      <c r="AD423" s="493">
        <f t="shared" si="85"/>
        <v>9936.0808528319994</v>
      </c>
      <c r="AE423" s="494" t="s">
        <v>1775</v>
      </c>
      <c r="AF423" s="494" t="s">
        <v>83</v>
      </c>
      <c r="AG423" s="494" t="s">
        <v>211</v>
      </c>
      <c r="AH423" s="494" t="s">
        <v>545</v>
      </c>
      <c r="AI423" s="495">
        <v>41791</v>
      </c>
      <c r="AJ423" s="495">
        <v>41826</v>
      </c>
      <c r="AK423" s="494" t="s">
        <v>96</v>
      </c>
      <c r="AL423" s="494" t="s">
        <v>96</v>
      </c>
      <c r="AM423" s="496" t="s">
        <v>2238</v>
      </c>
      <c r="AN423" s="496" t="s">
        <v>1757</v>
      </c>
      <c r="AO423" s="494">
        <v>796</v>
      </c>
      <c r="AP423" s="494" t="s">
        <v>368</v>
      </c>
      <c r="AQ423" s="494">
        <v>1</v>
      </c>
      <c r="AR423" s="494">
        <v>45</v>
      </c>
      <c r="AS423" s="496" t="s">
        <v>547</v>
      </c>
      <c r="AT423" s="495">
        <v>41846</v>
      </c>
      <c r="AU423" s="495">
        <v>41846</v>
      </c>
      <c r="AV423" s="495">
        <v>42369</v>
      </c>
      <c r="AW423" s="494" t="s">
        <v>99</v>
      </c>
      <c r="AX423" s="496"/>
      <c r="AY423" s="494" t="s">
        <v>186</v>
      </c>
      <c r="AZ423" s="494"/>
      <c r="BA423" s="494">
        <v>2014</v>
      </c>
      <c r="BB423" s="494" t="s">
        <v>2193</v>
      </c>
      <c r="BC423" s="496" t="s">
        <v>2194</v>
      </c>
      <c r="BD423" s="496" t="s">
        <v>1818</v>
      </c>
      <c r="BE423" s="497">
        <v>42369</v>
      </c>
      <c r="BF423" s="498">
        <v>10620</v>
      </c>
      <c r="BG423" s="488">
        <v>10620</v>
      </c>
      <c r="BH423" s="488">
        <v>1.26</v>
      </c>
      <c r="BI423" s="488">
        <v>0</v>
      </c>
      <c r="BJ423" s="494" t="s">
        <v>186</v>
      </c>
      <c r="BK423" s="401"/>
    </row>
    <row r="424" spans="1:63" ht="112.5">
      <c r="A424" s="401">
        <v>2</v>
      </c>
      <c r="B424" s="494" t="s">
        <v>2195</v>
      </c>
      <c r="C424" s="401" t="s">
        <v>83</v>
      </c>
      <c r="D424" s="401" t="s">
        <v>242</v>
      </c>
      <c r="E424" s="494" t="s">
        <v>5853</v>
      </c>
      <c r="F424" s="401" t="s">
        <v>1768</v>
      </c>
      <c r="G424" s="401" t="s">
        <v>1769</v>
      </c>
      <c r="H424" s="499">
        <v>854279</v>
      </c>
      <c r="I424" s="486" t="s">
        <v>2196</v>
      </c>
      <c r="J424" s="496" t="s">
        <v>5317</v>
      </c>
      <c r="K424" s="496" t="s">
        <v>5317</v>
      </c>
      <c r="L424" s="496" t="s">
        <v>1772</v>
      </c>
      <c r="M424" s="500" t="s">
        <v>1755</v>
      </c>
      <c r="N424" s="496" t="s">
        <v>1773</v>
      </c>
      <c r="O424" s="496" t="s">
        <v>2234</v>
      </c>
      <c r="P424" s="489">
        <v>6300</v>
      </c>
      <c r="Q424" s="489">
        <f t="shared" si="81"/>
        <v>7434</v>
      </c>
      <c r="R424" s="489">
        <v>4718.2737898179375</v>
      </c>
      <c r="S424" s="401" t="s">
        <v>1774</v>
      </c>
      <c r="T424" s="501">
        <v>1.087</v>
      </c>
      <c r="U424" s="501">
        <v>1.077</v>
      </c>
      <c r="V424" s="501">
        <v>1.073</v>
      </c>
      <c r="W424" s="501">
        <v>1.071</v>
      </c>
      <c r="X424" s="596">
        <v>0.9</v>
      </c>
      <c r="Y424" s="502">
        <v>6090</v>
      </c>
      <c r="Z424" s="489">
        <f t="shared" si="82"/>
        <v>7186.2</v>
      </c>
      <c r="AA424" s="489">
        <v>6209.28</v>
      </c>
      <c r="AB424" s="488">
        <f t="shared" si="83"/>
        <v>7326.9503999999997</v>
      </c>
      <c r="AC424" s="492">
        <f t="shared" si="84"/>
        <v>6090</v>
      </c>
      <c r="AD424" s="493">
        <f t="shared" si="85"/>
        <v>7186.2</v>
      </c>
      <c r="AE424" s="494" t="s">
        <v>1775</v>
      </c>
      <c r="AF424" s="494" t="s">
        <v>83</v>
      </c>
      <c r="AG424" s="494" t="s">
        <v>211</v>
      </c>
      <c r="AH424" s="494" t="s">
        <v>545</v>
      </c>
      <c r="AI424" s="495">
        <v>41791</v>
      </c>
      <c r="AJ424" s="495">
        <v>41826</v>
      </c>
      <c r="AK424" s="494" t="s">
        <v>96</v>
      </c>
      <c r="AL424" s="494" t="s">
        <v>96</v>
      </c>
      <c r="AM424" s="496" t="s">
        <v>1846</v>
      </c>
      <c r="AN424" s="496" t="s">
        <v>1757</v>
      </c>
      <c r="AO424" s="494">
        <v>796</v>
      </c>
      <c r="AP424" s="494" t="s">
        <v>368</v>
      </c>
      <c r="AQ424" s="494">
        <v>1</v>
      </c>
      <c r="AR424" s="494">
        <v>45</v>
      </c>
      <c r="AS424" s="496" t="s">
        <v>547</v>
      </c>
      <c r="AT424" s="495">
        <v>41846</v>
      </c>
      <c r="AU424" s="495">
        <v>41846</v>
      </c>
      <c r="AV424" s="495">
        <v>42369</v>
      </c>
      <c r="AW424" s="494" t="s">
        <v>99</v>
      </c>
      <c r="AX424" s="496"/>
      <c r="AY424" s="494" t="s">
        <v>186</v>
      </c>
      <c r="AZ424" s="494"/>
      <c r="BA424" s="494">
        <v>2014</v>
      </c>
      <c r="BB424" s="494" t="s">
        <v>2197</v>
      </c>
      <c r="BC424" s="496" t="s">
        <v>2198</v>
      </c>
      <c r="BD424" s="496" t="s">
        <v>1818</v>
      </c>
      <c r="BE424" s="497">
        <v>42369</v>
      </c>
      <c r="BF424" s="498">
        <v>7764.4</v>
      </c>
      <c r="BG424" s="488">
        <v>7764.4</v>
      </c>
      <c r="BH424" s="488">
        <v>0</v>
      </c>
      <c r="BI424" s="488">
        <v>1</v>
      </c>
      <c r="BJ424" s="494" t="s">
        <v>186</v>
      </c>
      <c r="BK424" s="401"/>
    </row>
    <row r="425" spans="1:63" ht="112.5">
      <c r="A425" s="401">
        <v>2</v>
      </c>
      <c r="B425" s="494" t="s">
        <v>2199</v>
      </c>
      <c r="C425" s="401" t="s">
        <v>83</v>
      </c>
      <c r="D425" s="401" t="s">
        <v>242</v>
      </c>
      <c r="E425" s="494" t="s">
        <v>5853</v>
      </c>
      <c r="F425" s="401" t="s">
        <v>1768</v>
      </c>
      <c r="G425" s="401" t="s">
        <v>1769</v>
      </c>
      <c r="H425" s="499">
        <v>854280</v>
      </c>
      <c r="I425" s="486" t="s">
        <v>2200</v>
      </c>
      <c r="J425" s="496" t="s">
        <v>5317</v>
      </c>
      <c r="K425" s="496" t="s">
        <v>5317</v>
      </c>
      <c r="L425" s="496" t="s">
        <v>1772</v>
      </c>
      <c r="M425" s="500" t="s">
        <v>1755</v>
      </c>
      <c r="N425" s="496" t="s">
        <v>1773</v>
      </c>
      <c r="O425" s="496" t="s">
        <v>2234</v>
      </c>
      <c r="P425" s="489">
        <v>1879.4725800000001</v>
      </c>
      <c r="Q425" s="489">
        <f t="shared" si="81"/>
        <v>2217.7776444000001</v>
      </c>
      <c r="R425" s="489">
        <v>1173.0992214865073</v>
      </c>
      <c r="S425" s="401" t="s">
        <v>1774</v>
      </c>
      <c r="T425" s="501">
        <v>1.087</v>
      </c>
      <c r="U425" s="501">
        <v>1.077</v>
      </c>
      <c r="V425" s="501">
        <v>1.073</v>
      </c>
      <c r="W425" s="501">
        <v>1.071</v>
      </c>
      <c r="X425" s="596">
        <v>0.9</v>
      </c>
      <c r="Y425" s="502">
        <v>1514.15</v>
      </c>
      <c r="Z425" s="489">
        <f t="shared" si="82"/>
        <v>1786.6970000000001</v>
      </c>
      <c r="AA425" s="489">
        <v>1584.7080000000001</v>
      </c>
      <c r="AB425" s="488">
        <f t="shared" si="83"/>
        <v>1869.95544</v>
      </c>
      <c r="AC425" s="492">
        <f t="shared" si="84"/>
        <v>1514.15</v>
      </c>
      <c r="AD425" s="493">
        <f t="shared" si="85"/>
        <v>1786.6970000000001</v>
      </c>
      <c r="AE425" s="494" t="s">
        <v>1775</v>
      </c>
      <c r="AF425" s="494" t="s">
        <v>83</v>
      </c>
      <c r="AG425" s="494" t="s">
        <v>211</v>
      </c>
      <c r="AH425" s="494" t="s">
        <v>545</v>
      </c>
      <c r="AI425" s="495">
        <v>41821</v>
      </c>
      <c r="AJ425" s="495">
        <v>41856</v>
      </c>
      <c r="AK425" s="494" t="s">
        <v>96</v>
      </c>
      <c r="AL425" s="494" t="s">
        <v>96</v>
      </c>
      <c r="AM425" s="496" t="s">
        <v>1846</v>
      </c>
      <c r="AN425" s="496" t="s">
        <v>1757</v>
      </c>
      <c r="AO425" s="494">
        <v>796</v>
      </c>
      <c r="AP425" s="494" t="s">
        <v>368</v>
      </c>
      <c r="AQ425" s="494">
        <v>1</v>
      </c>
      <c r="AR425" s="494">
        <v>45</v>
      </c>
      <c r="AS425" s="496" t="s">
        <v>547</v>
      </c>
      <c r="AT425" s="495">
        <v>41876</v>
      </c>
      <c r="AU425" s="495">
        <v>41876</v>
      </c>
      <c r="AV425" s="495">
        <v>42369</v>
      </c>
      <c r="AW425" s="494" t="s">
        <v>99</v>
      </c>
      <c r="AX425" s="496"/>
      <c r="AY425" s="494" t="s">
        <v>186</v>
      </c>
      <c r="AZ425" s="494"/>
      <c r="BA425" s="494">
        <v>2014</v>
      </c>
      <c r="BB425" s="494" t="s">
        <v>2201</v>
      </c>
      <c r="BC425" s="496" t="s">
        <v>2202</v>
      </c>
      <c r="BD425" s="496" t="s">
        <v>1818</v>
      </c>
      <c r="BE425" s="497">
        <v>42369</v>
      </c>
      <c r="BF425" s="498">
        <v>7764.4</v>
      </c>
      <c r="BG425" s="488">
        <v>7764.4</v>
      </c>
      <c r="BH425" s="488">
        <v>0</v>
      </c>
      <c r="BI425" s="488">
        <v>1</v>
      </c>
      <c r="BJ425" s="494" t="s">
        <v>186</v>
      </c>
      <c r="BK425" s="401"/>
    </row>
    <row r="426" spans="1:63" ht="112.5">
      <c r="A426" s="401">
        <v>2</v>
      </c>
      <c r="B426" s="494" t="s">
        <v>2203</v>
      </c>
      <c r="C426" s="401" t="s">
        <v>83</v>
      </c>
      <c r="D426" s="401" t="s">
        <v>242</v>
      </c>
      <c r="E426" s="494" t="s">
        <v>5853</v>
      </c>
      <c r="F426" s="401" t="s">
        <v>1768</v>
      </c>
      <c r="G426" s="401" t="s">
        <v>1769</v>
      </c>
      <c r="H426" s="499">
        <v>854281</v>
      </c>
      <c r="I426" s="486" t="s">
        <v>2204</v>
      </c>
      <c r="J426" s="496" t="s">
        <v>2237</v>
      </c>
      <c r="K426" s="496" t="s">
        <v>2237</v>
      </c>
      <c r="L426" s="496" t="s">
        <v>1772</v>
      </c>
      <c r="M426" s="500" t="s">
        <v>1755</v>
      </c>
      <c r="N426" s="496" t="s">
        <v>1773</v>
      </c>
      <c r="O426" s="496" t="s">
        <v>2234</v>
      </c>
      <c r="P426" s="489">
        <v>9000</v>
      </c>
      <c r="Q426" s="489">
        <f t="shared" si="81"/>
        <v>10620</v>
      </c>
      <c r="R426" s="489">
        <v>6740.3911283113393</v>
      </c>
      <c r="S426" s="401" t="s">
        <v>1774</v>
      </c>
      <c r="T426" s="501">
        <v>1.087</v>
      </c>
      <c r="U426" s="501">
        <v>1.077</v>
      </c>
      <c r="V426" s="501">
        <v>1.073</v>
      </c>
      <c r="W426" s="501">
        <v>1.071</v>
      </c>
      <c r="X426" s="596">
        <v>0.9</v>
      </c>
      <c r="Y426" s="502">
        <v>8700</v>
      </c>
      <c r="Z426" s="489">
        <f t="shared" si="82"/>
        <v>10266</v>
      </c>
      <c r="AA426" s="489">
        <v>8420.4075023999994</v>
      </c>
      <c r="AB426" s="488">
        <f t="shared" si="83"/>
        <v>9936.0808528319994</v>
      </c>
      <c r="AC426" s="492">
        <f t="shared" si="84"/>
        <v>8420.4075023999994</v>
      </c>
      <c r="AD426" s="493">
        <f t="shared" si="85"/>
        <v>9936.0808528319994</v>
      </c>
      <c r="AE426" s="494" t="s">
        <v>1775</v>
      </c>
      <c r="AF426" s="494" t="s">
        <v>83</v>
      </c>
      <c r="AG426" s="494" t="s">
        <v>211</v>
      </c>
      <c r="AH426" s="494" t="s">
        <v>545</v>
      </c>
      <c r="AI426" s="495">
        <v>41821</v>
      </c>
      <c r="AJ426" s="495">
        <v>41856</v>
      </c>
      <c r="AK426" s="494" t="s">
        <v>96</v>
      </c>
      <c r="AL426" s="494" t="s">
        <v>96</v>
      </c>
      <c r="AM426" s="496" t="s">
        <v>2238</v>
      </c>
      <c r="AN426" s="496" t="s">
        <v>1757</v>
      </c>
      <c r="AO426" s="494">
        <v>796</v>
      </c>
      <c r="AP426" s="494" t="s">
        <v>368</v>
      </c>
      <c r="AQ426" s="494">
        <v>1</v>
      </c>
      <c r="AR426" s="494">
        <v>45</v>
      </c>
      <c r="AS426" s="496" t="s">
        <v>547</v>
      </c>
      <c r="AT426" s="495">
        <v>41876</v>
      </c>
      <c r="AU426" s="495">
        <v>41876</v>
      </c>
      <c r="AV426" s="495">
        <v>42369</v>
      </c>
      <c r="AW426" s="494" t="s">
        <v>99</v>
      </c>
      <c r="AX426" s="496"/>
      <c r="AY426" s="494" t="s">
        <v>186</v>
      </c>
      <c r="AZ426" s="494"/>
      <c r="BA426" s="494">
        <v>2014</v>
      </c>
      <c r="BB426" s="494" t="s">
        <v>2205</v>
      </c>
      <c r="BC426" s="496" t="s">
        <v>2206</v>
      </c>
      <c r="BD426" s="496" t="s">
        <v>1818</v>
      </c>
      <c r="BE426" s="497">
        <v>42369</v>
      </c>
      <c r="BF426" s="498">
        <v>10620</v>
      </c>
      <c r="BG426" s="488">
        <v>10620</v>
      </c>
      <c r="BH426" s="488">
        <v>1.26</v>
      </c>
      <c r="BI426" s="488">
        <v>0</v>
      </c>
      <c r="BJ426" s="494" t="s">
        <v>186</v>
      </c>
      <c r="BK426" s="401"/>
    </row>
    <row r="427" spans="1:63" ht="112.5">
      <c r="A427" s="401">
        <v>2</v>
      </c>
      <c r="B427" s="494" t="s">
        <v>2207</v>
      </c>
      <c r="C427" s="401" t="s">
        <v>83</v>
      </c>
      <c r="D427" s="401" t="s">
        <v>242</v>
      </c>
      <c r="E427" s="494" t="s">
        <v>5853</v>
      </c>
      <c r="F427" s="401" t="s">
        <v>1768</v>
      </c>
      <c r="G427" s="401" t="s">
        <v>1769</v>
      </c>
      <c r="H427" s="499">
        <v>854285</v>
      </c>
      <c r="I427" s="486" t="s">
        <v>2208</v>
      </c>
      <c r="J427" s="496" t="s">
        <v>5317</v>
      </c>
      <c r="K427" s="496" t="s">
        <v>5317</v>
      </c>
      <c r="L427" s="496" t="s">
        <v>1772</v>
      </c>
      <c r="M427" s="500" t="s">
        <v>1755</v>
      </c>
      <c r="N427" s="496" t="s">
        <v>1773</v>
      </c>
      <c r="O427" s="496" t="s">
        <v>2234</v>
      </c>
      <c r="P427" s="489">
        <v>918.67499999999995</v>
      </c>
      <c r="Q427" s="489">
        <f t="shared" si="81"/>
        <v>1084.0364999999999</v>
      </c>
      <c r="R427" s="489">
        <v>733.43510243425703</v>
      </c>
      <c r="S427" s="401" t="s">
        <v>1774</v>
      </c>
      <c r="T427" s="501">
        <v>1.087</v>
      </c>
      <c r="U427" s="501">
        <v>1.077</v>
      </c>
      <c r="V427" s="501">
        <v>1.073</v>
      </c>
      <c r="W427" s="501">
        <v>1.071</v>
      </c>
      <c r="X427" s="596">
        <v>0.9</v>
      </c>
      <c r="Y427" s="502">
        <v>888.05250000000001</v>
      </c>
      <c r="Z427" s="489">
        <f t="shared" si="82"/>
        <v>1047.9019499999999</v>
      </c>
      <c r="AA427" s="489">
        <v>858.245</v>
      </c>
      <c r="AB427" s="488">
        <f t="shared" si="83"/>
        <v>1012.7290999999999</v>
      </c>
      <c r="AC427" s="492">
        <f t="shared" si="84"/>
        <v>858.245</v>
      </c>
      <c r="AD427" s="493">
        <f t="shared" si="85"/>
        <v>1012.7290999999999</v>
      </c>
      <c r="AE427" s="494" t="s">
        <v>1775</v>
      </c>
      <c r="AF427" s="494" t="s">
        <v>83</v>
      </c>
      <c r="AG427" s="494" t="s">
        <v>211</v>
      </c>
      <c r="AH427" s="494" t="s">
        <v>545</v>
      </c>
      <c r="AI427" s="495">
        <v>41821</v>
      </c>
      <c r="AJ427" s="495">
        <v>41856</v>
      </c>
      <c r="AK427" s="494" t="s">
        <v>96</v>
      </c>
      <c r="AL427" s="494" t="s">
        <v>96</v>
      </c>
      <c r="AM427" s="496" t="s">
        <v>1846</v>
      </c>
      <c r="AN427" s="496" t="s">
        <v>1757</v>
      </c>
      <c r="AO427" s="494">
        <v>796</v>
      </c>
      <c r="AP427" s="494" t="s">
        <v>368</v>
      </c>
      <c r="AQ427" s="494">
        <v>1</v>
      </c>
      <c r="AR427" s="494">
        <v>45</v>
      </c>
      <c r="AS427" s="496" t="s">
        <v>547</v>
      </c>
      <c r="AT427" s="495">
        <v>41876</v>
      </c>
      <c r="AU427" s="495">
        <v>41876</v>
      </c>
      <c r="AV427" s="495">
        <v>42004</v>
      </c>
      <c r="AW427" s="494">
        <v>2014</v>
      </c>
      <c r="AX427" s="496"/>
      <c r="AY427" s="494" t="s">
        <v>186</v>
      </c>
      <c r="AZ427" s="494"/>
      <c r="BA427" s="494">
        <v>2014</v>
      </c>
      <c r="BB427" s="494" t="s">
        <v>2209</v>
      </c>
      <c r="BC427" s="496" t="s">
        <v>2210</v>
      </c>
      <c r="BD427" s="496" t="s">
        <v>1818</v>
      </c>
      <c r="BE427" s="497">
        <v>42004</v>
      </c>
      <c r="BF427" s="498">
        <v>1204.4849999999999</v>
      </c>
      <c r="BG427" s="488">
        <v>1204.4849999999999</v>
      </c>
      <c r="BH427" s="488">
        <v>0</v>
      </c>
      <c r="BI427" s="488">
        <v>1.4999999999999999E-2</v>
      </c>
      <c r="BJ427" s="494" t="s">
        <v>1465</v>
      </c>
      <c r="BK427" s="401"/>
    </row>
    <row r="428" spans="1:63" ht="112.5">
      <c r="A428" s="401">
        <v>2</v>
      </c>
      <c r="B428" s="494" t="s">
        <v>2211</v>
      </c>
      <c r="C428" s="401" t="s">
        <v>83</v>
      </c>
      <c r="D428" s="401" t="s">
        <v>242</v>
      </c>
      <c r="E428" s="494" t="s">
        <v>5853</v>
      </c>
      <c r="F428" s="401" t="s">
        <v>1768</v>
      </c>
      <c r="G428" s="401" t="s">
        <v>1769</v>
      </c>
      <c r="H428" s="499">
        <v>854286</v>
      </c>
      <c r="I428" s="486" t="s">
        <v>2212</v>
      </c>
      <c r="J428" s="496" t="s">
        <v>5317</v>
      </c>
      <c r="K428" s="496" t="s">
        <v>5317</v>
      </c>
      <c r="L428" s="496" t="s">
        <v>1772</v>
      </c>
      <c r="M428" s="500" t="s">
        <v>1755</v>
      </c>
      <c r="N428" s="496" t="s">
        <v>1773</v>
      </c>
      <c r="O428" s="496" t="s">
        <v>2234</v>
      </c>
      <c r="P428" s="489">
        <v>6297.7118670000009</v>
      </c>
      <c r="Q428" s="489">
        <f t="shared" si="81"/>
        <v>7431.3000030600006</v>
      </c>
      <c r="R428" s="489">
        <v>4716.5601329986494</v>
      </c>
      <c r="S428" s="401" t="s">
        <v>1774</v>
      </c>
      <c r="T428" s="501">
        <v>1.087</v>
      </c>
      <c r="U428" s="501">
        <v>1.077</v>
      </c>
      <c r="V428" s="501">
        <v>1.073</v>
      </c>
      <c r="W428" s="501">
        <v>1.071</v>
      </c>
      <c r="X428" s="596">
        <v>0.9</v>
      </c>
      <c r="Y428" s="502">
        <v>6087.7881381000007</v>
      </c>
      <c r="Z428" s="489">
        <f t="shared" si="82"/>
        <v>7183.5900029580007</v>
      </c>
      <c r="AA428" s="489">
        <v>5347.3939981802123</v>
      </c>
      <c r="AB428" s="488">
        <f t="shared" si="83"/>
        <v>6309.9249178526497</v>
      </c>
      <c r="AC428" s="492">
        <f t="shared" si="84"/>
        <v>5347.3939981802123</v>
      </c>
      <c r="AD428" s="493">
        <f t="shared" si="85"/>
        <v>6309.9249178526497</v>
      </c>
      <c r="AE428" s="494" t="s">
        <v>1775</v>
      </c>
      <c r="AF428" s="494" t="s">
        <v>83</v>
      </c>
      <c r="AG428" s="494" t="s">
        <v>211</v>
      </c>
      <c r="AH428" s="494" t="s">
        <v>545</v>
      </c>
      <c r="AI428" s="495">
        <v>41932</v>
      </c>
      <c r="AJ428" s="495">
        <v>41967</v>
      </c>
      <c r="AK428" s="494" t="s">
        <v>96</v>
      </c>
      <c r="AL428" s="494" t="s">
        <v>96</v>
      </c>
      <c r="AM428" s="496" t="s">
        <v>1846</v>
      </c>
      <c r="AN428" s="496" t="s">
        <v>1757</v>
      </c>
      <c r="AO428" s="494">
        <v>796</v>
      </c>
      <c r="AP428" s="494" t="s">
        <v>368</v>
      </c>
      <c r="AQ428" s="494">
        <v>1</v>
      </c>
      <c r="AR428" s="494">
        <v>45</v>
      </c>
      <c r="AS428" s="496" t="s">
        <v>547</v>
      </c>
      <c r="AT428" s="495">
        <v>41987</v>
      </c>
      <c r="AU428" s="495">
        <v>41987</v>
      </c>
      <c r="AV428" s="495">
        <v>42369</v>
      </c>
      <c r="AW428" s="494" t="s">
        <v>99</v>
      </c>
      <c r="AX428" s="496"/>
      <c r="AY428" s="494" t="s">
        <v>186</v>
      </c>
      <c r="AZ428" s="494"/>
      <c r="BA428" s="494">
        <v>2014</v>
      </c>
      <c r="BB428" s="494" t="s">
        <v>2213</v>
      </c>
      <c r="BC428" s="496" t="s">
        <v>2214</v>
      </c>
      <c r="BD428" s="496" t="s">
        <v>1818</v>
      </c>
      <c r="BE428" s="497">
        <v>42369</v>
      </c>
      <c r="BF428" s="498">
        <v>7430.8139999999985</v>
      </c>
      <c r="BG428" s="488">
        <v>7430.8139999999985</v>
      </c>
      <c r="BH428" s="488">
        <v>0</v>
      </c>
      <c r="BI428" s="488">
        <v>1</v>
      </c>
      <c r="BJ428" s="494" t="s">
        <v>186</v>
      </c>
      <c r="BK428" s="401"/>
    </row>
    <row r="429" spans="1:63" ht="150">
      <c r="A429" s="401">
        <v>2</v>
      </c>
      <c r="B429" s="494" t="s">
        <v>2215</v>
      </c>
      <c r="C429" s="401" t="s">
        <v>83</v>
      </c>
      <c r="D429" s="401" t="s">
        <v>242</v>
      </c>
      <c r="E429" s="494" t="s">
        <v>5853</v>
      </c>
      <c r="F429" s="401" t="s">
        <v>1752</v>
      </c>
      <c r="G429" s="401" t="s">
        <v>2344</v>
      </c>
      <c r="H429" s="499">
        <v>854283</v>
      </c>
      <c r="I429" s="486" t="s">
        <v>5600</v>
      </c>
      <c r="J429" s="496" t="s">
        <v>5433</v>
      </c>
      <c r="K429" s="496" t="s">
        <v>5433</v>
      </c>
      <c r="L429" s="496" t="s">
        <v>1772</v>
      </c>
      <c r="M429" s="500" t="s">
        <v>1755</v>
      </c>
      <c r="N429" s="496" t="s">
        <v>1773</v>
      </c>
      <c r="O429" s="496" t="s">
        <v>2234</v>
      </c>
      <c r="P429" s="489">
        <v>91531.657000000007</v>
      </c>
      <c r="Q429" s="489">
        <f t="shared" si="81"/>
        <v>108007.35526</v>
      </c>
      <c r="R429" s="489">
        <v>69256.572433603011</v>
      </c>
      <c r="S429" s="401" t="s">
        <v>1774</v>
      </c>
      <c r="T429" s="501">
        <v>1.087</v>
      </c>
      <c r="U429" s="501">
        <v>1.077</v>
      </c>
      <c r="V429" s="501">
        <v>1.073</v>
      </c>
      <c r="W429" s="501">
        <v>1.071</v>
      </c>
      <c r="X429" s="596">
        <v>0.9</v>
      </c>
      <c r="Y429" s="502">
        <v>83856.733999999997</v>
      </c>
      <c r="Z429" s="489">
        <f t="shared" si="82"/>
        <v>98950.946119999993</v>
      </c>
      <c r="AA429" s="489">
        <v>86615.683999999994</v>
      </c>
      <c r="AB429" s="488">
        <f t="shared" si="83"/>
        <v>102206.50711999998</v>
      </c>
      <c r="AC429" s="492">
        <f t="shared" si="84"/>
        <v>83856.733999999997</v>
      </c>
      <c r="AD429" s="493">
        <f t="shared" si="85"/>
        <v>98950.946119999993</v>
      </c>
      <c r="AE429" s="494" t="s">
        <v>1775</v>
      </c>
      <c r="AF429" s="494" t="s">
        <v>83</v>
      </c>
      <c r="AG429" s="494" t="s">
        <v>211</v>
      </c>
      <c r="AH429" s="494" t="s">
        <v>545</v>
      </c>
      <c r="AI429" s="495">
        <v>41821</v>
      </c>
      <c r="AJ429" s="495">
        <v>41856</v>
      </c>
      <c r="AK429" s="494" t="s">
        <v>96</v>
      </c>
      <c r="AL429" s="494" t="s">
        <v>96</v>
      </c>
      <c r="AM429" s="496" t="s">
        <v>5565</v>
      </c>
      <c r="AN429" s="496" t="s">
        <v>1757</v>
      </c>
      <c r="AO429" s="494">
        <v>796</v>
      </c>
      <c r="AP429" s="494" t="s">
        <v>368</v>
      </c>
      <c r="AQ429" s="494">
        <v>1</v>
      </c>
      <c r="AR429" s="494">
        <v>45</v>
      </c>
      <c r="AS429" s="496" t="s">
        <v>547</v>
      </c>
      <c r="AT429" s="495">
        <v>41876</v>
      </c>
      <c r="AU429" s="495">
        <v>41876</v>
      </c>
      <c r="AV429" s="495">
        <v>42004</v>
      </c>
      <c r="AW429" s="494">
        <v>2014</v>
      </c>
      <c r="AX429" s="496"/>
      <c r="AY429" s="494" t="s">
        <v>186</v>
      </c>
      <c r="AZ429" s="494"/>
      <c r="BA429" s="494">
        <v>2014</v>
      </c>
      <c r="BB429" s="494" t="s">
        <v>2216</v>
      </c>
      <c r="BC429" s="496" t="s">
        <v>2217</v>
      </c>
      <c r="BD429" s="496" t="s">
        <v>1818</v>
      </c>
      <c r="BE429" s="497">
        <v>42004</v>
      </c>
      <c r="BF429" s="498">
        <v>109961.0000052</v>
      </c>
      <c r="BG429" s="488">
        <v>104524.63245999999</v>
      </c>
      <c r="BH429" s="488">
        <v>0</v>
      </c>
      <c r="BI429" s="488">
        <v>0</v>
      </c>
      <c r="BJ429" s="494" t="s">
        <v>186</v>
      </c>
      <c r="BK429" s="401"/>
    </row>
    <row r="430" spans="1:63" ht="112.5">
      <c r="A430" s="401">
        <v>2</v>
      </c>
      <c r="B430" s="494" t="s">
        <v>2218</v>
      </c>
      <c r="C430" s="401" t="s">
        <v>83</v>
      </c>
      <c r="D430" s="401" t="s">
        <v>242</v>
      </c>
      <c r="E430" s="494" t="s">
        <v>5853</v>
      </c>
      <c r="F430" s="401" t="s">
        <v>1768</v>
      </c>
      <c r="G430" s="401" t="s">
        <v>1769</v>
      </c>
      <c r="H430" s="499">
        <v>854288</v>
      </c>
      <c r="I430" s="486" t="s">
        <v>2219</v>
      </c>
      <c r="J430" s="496" t="s">
        <v>2237</v>
      </c>
      <c r="K430" s="496" t="s">
        <v>2237</v>
      </c>
      <c r="L430" s="496" t="s">
        <v>1772</v>
      </c>
      <c r="M430" s="500" t="s">
        <v>1755</v>
      </c>
      <c r="N430" s="496" t="s">
        <v>1773</v>
      </c>
      <c r="O430" s="496" t="s">
        <v>2234</v>
      </c>
      <c r="P430" s="489">
        <v>9099.1525409999995</v>
      </c>
      <c r="Q430" s="489">
        <f t="shared" si="81"/>
        <v>10736.999998379999</v>
      </c>
      <c r="R430" s="489">
        <v>7264.41655207039</v>
      </c>
      <c r="S430" s="401" t="s">
        <v>1774</v>
      </c>
      <c r="T430" s="501">
        <v>1.087</v>
      </c>
      <c r="U430" s="501">
        <v>1.077</v>
      </c>
      <c r="V430" s="501">
        <v>1.073</v>
      </c>
      <c r="W430" s="501">
        <v>1.071</v>
      </c>
      <c r="X430" s="596">
        <v>0.9</v>
      </c>
      <c r="Y430" s="502">
        <v>8795.8474563</v>
      </c>
      <c r="Z430" s="489">
        <f t="shared" si="82"/>
        <v>10379.099998434</v>
      </c>
      <c r="AA430" s="489">
        <v>7769.9986197276612</v>
      </c>
      <c r="AB430" s="488">
        <f t="shared" si="83"/>
        <v>9168.5983712786401</v>
      </c>
      <c r="AC430" s="492">
        <f t="shared" si="84"/>
        <v>7769.9986197276612</v>
      </c>
      <c r="AD430" s="493">
        <f t="shared" si="85"/>
        <v>9168.5983712786401</v>
      </c>
      <c r="AE430" s="494" t="s">
        <v>173</v>
      </c>
      <c r="AF430" s="494" t="s">
        <v>83</v>
      </c>
      <c r="AG430" s="494" t="s">
        <v>211</v>
      </c>
      <c r="AH430" s="494" t="s">
        <v>545</v>
      </c>
      <c r="AI430" s="495">
        <v>41821</v>
      </c>
      <c r="AJ430" s="495">
        <v>41856</v>
      </c>
      <c r="AK430" s="494" t="s">
        <v>96</v>
      </c>
      <c r="AL430" s="494" t="s">
        <v>96</v>
      </c>
      <c r="AM430" s="496" t="s">
        <v>2238</v>
      </c>
      <c r="AN430" s="496" t="s">
        <v>1757</v>
      </c>
      <c r="AO430" s="494">
        <v>796</v>
      </c>
      <c r="AP430" s="494" t="s">
        <v>368</v>
      </c>
      <c r="AQ430" s="494">
        <v>1</v>
      </c>
      <c r="AR430" s="494">
        <v>45</v>
      </c>
      <c r="AS430" s="496" t="s">
        <v>547</v>
      </c>
      <c r="AT430" s="495">
        <v>41876</v>
      </c>
      <c r="AU430" s="495">
        <v>41876</v>
      </c>
      <c r="AV430" s="495">
        <v>42004</v>
      </c>
      <c r="AW430" s="494">
        <v>2014</v>
      </c>
      <c r="AX430" s="496"/>
      <c r="AY430" s="494" t="s">
        <v>186</v>
      </c>
      <c r="AZ430" s="494"/>
      <c r="BA430" s="494">
        <v>2014</v>
      </c>
      <c r="BB430" s="494" t="s">
        <v>2220</v>
      </c>
      <c r="BC430" s="496" t="s">
        <v>2221</v>
      </c>
      <c r="BD430" s="496" t="s">
        <v>1818</v>
      </c>
      <c r="BE430" s="497">
        <v>42004</v>
      </c>
      <c r="BF430" s="498">
        <v>10736.819999999998</v>
      </c>
      <c r="BG430" s="488">
        <v>10736.819999999998</v>
      </c>
      <c r="BH430" s="488">
        <v>0</v>
      </c>
      <c r="BI430" s="488">
        <v>0</v>
      </c>
      <c r="BJ430" s="494" t="s">
        <v>186</v>
      </c>
      <c r="BK430" s="401"/>
    </row>
    <row r="431" spans="1:63" ht="112.5">
      <c r="A431" s="401">
        <v>2</v>
      </c>
      <c r="B431" s="494" t="s">
        <v>5601</v>
      </c>
      <c r="C431" s="401" t="s">
        <v>83</v>
      </c>
      <c r="D431" s="401" t="s">
        <v>242</v>
      </c>
      <c r="E431" s="494" t="s">
        <v>5853</v>
      </c>
      <c r="F431" s="401" t="s">
        <v>1768</v>
      </c>
      <c r="G431" s="401" t="s">
        <v>1769</v>
      </c>
      <c r="H431" s="499">
        <v>854705</v>
      </c>
      <c r="I431" s="486" t="s">
        <v>5602</v>
      </c>
      <c r="J431" s="496" t="s">
        <v>2237</v>
      </c>
      <c r="K431" s="496" t="s">
        <v>2237</v>
      </c>
      <c r="L431" s="496" t="s">
        <v>1772</v>
      </c>
      <c r="M431" s="500" t="s">
        <v>1755</v>
      </c>
      <c r="N431" s="496" t="s">
        <v>1773</v>
      </c>
      <c r="O431" s="496" t="s">
        <v>2234</v>
      </c>
      <c r="P431" s="489">
        <v>2416.8530000000001</v>
      </c>
      <c r="Q431" s="489">
        <f t="shared" si="81"/>
        <v>2851.88654</v>
      </c>
      <c r="R431" s="489">
        <v>1923.9701310135169</v>
      </c>
      <c r="S431" s="401" t="s">
        <v>1774</v>
      </c>
      <c r="T431" s="501">
        <v>1.087</v>
      </c>
      <c r="U431" s="501">
        <v>1.077</v>
      </c>
      <c r="V431" s="501">
        <v>1.073</v>
      </c>
      <c r="W431" s="501">
        <v>1.071</v>
      </c>
      <c r="X431" s="596">
        <v>0.9</v>
      </c>
      <c r="Y431" s="502">
        <v>2329.567372902</v>
      </c>
      <c r="Z431" s="489">
        <f t="shared" si="82"/>
        <v>2748.8895000243597</v>
      </c>
      <c r="AA431" s="489">
        <v>2406.9209999999998</v>
      </c>
      <c r="AB431" s="488">
        <f t="shared" si="83"/>
        <v>2840.1667799999996</v>
      </c>
      <c r="AC431" s="492">
        <f t="shared" si="84"/>
        <v>2329.567372902</v>
      </c>
      <c r="AD431" s="493">
        <f t="shared" si="85"/>
        <v>2748.8895000243597</v>
      </c>
      <c r="AE431" s="494" t="s">
        <v>1775</v>
      </c>
      <c r="AF431" s="494" t="s">
        <v>83</v>
      </c>
      <c r="AG431" s="494" t="s">
        <v>211</v>
      </c>
      <c r="AH431" s="494" t="s">
        <v>545</v>
      </c>
      <c r="AI431" s="495">
        <v>41671</v>
      </c>
      <c r="AJ431" s="495">
        <v>41706</v>
      </c>
      <c r="AK431" s="494" t="s">
        <v>96</v>
      </c>
      <c r="AL431" s="494" t="s">
        <v>96</v>
      </c>
      <c r="AM431" s="496" t="s">
        <v>2238</v>
      </c>
      <c r="AN431" s="496" t="s">
        <v>1757</v>
      </c>
      <c r="AO431" s="494">
        <v>796</v>
      </c>
      <c r="AP431" s="494" t="s">
        <v>368</v>
      </c>
      <c r="AQ431" s="494">
        <v>1</v>
      </c>
      <c r="AR431" s="494">
        <v>45</v>
      </c>
      <c r="AS431" s="496" t="s">
        <v>547</v>
      </c>
      <c r="AT431" s="495">
        <v>41726</v>
      </c>
      <c r="AU431" s="495">
        <v>41726</v>
      </c>
      <c r="AV431" s="495">
        <v>41820</v>
      </c>
      <c r="AW431" s="494">
        <v>2014</v>
      </c>
      <c r="AX431" s="496"/>
      <c r="AY431" s="494" t="s">
        <v>186</v>
      </c>
      <c r="AZ431" s="494"/>
      <c r="BA431" s="494">
        <v>2014</v>
      </c>
      <c r="BB431" s="494" t="s">
        <v>5603</v>
      </c>
      <c r="BC431" s="496" t="s">
        <v>5604</v>
      </c>
      <c r="BD431" s="496" t="s">
        <v>1818</v>
      </c>
      <c r="BE431" s="497">
        <v>41820</v>
      </c>
      <c r="BF431" s="498">
        <v>2357.1568112400005</v>
      </c>
      <c r="BG431" s="488">
        <v>2357.1568112400005</v>
      </c>
      <c r="BH431" s="488">
        <v>0</v>
      </c>
      <c r="BI431" s="488">
        <v>0</v>
      </c>
      <c r="BJ431" s="494" t="s">
        <v>1465</v>
      </c>
      <c r="BK431" s="401"/>
    </row>
    <row r="432" spans="1:63" ht="112.5">
      <c r="A432" s="401">
        <v>2</v>
      </c>
      <c r="B432" s="494" t="s">
        <v>5605</v>
      </c>
      <c r="C432" s="401" t="s">
        <v>83</v>
      </c>
      <c r="D432" s="401" t="s">
        <v>242</v>
      </c>
      <c r="E432" s="494" t="s">
        <v>5853</v>
      </c>
      <c r="F432" s="401" t="s">
        <v>1768</v>
      </c>
      <c r="G432" s="401" t="s">
        <v>1769</v>
      </c>
      <c r="H432" s="499">
        <v>854706</v>
      </c>
      <c r="I432" s="486" t="s">
        <v>5606</v>
      </c>
      <c r="J432" s="496" t="s">
        <v>5317</v>
      </c>
      <c r="K432" s="496" t="s">
        <v>5317</v>
      </c>
      <c r="L432" s="496" t="s">
        <v>1772</v>
      </c>
      <c r="M432" s="500" t="s">
        <v>1755</v>
      </c>
      <c r="N432" s="496" t="s">
        <v>1773</v>
      </c>
      <c r="O432" s="496" t="s">
        <v>2234</v>
      </c>
      <c r="P432" s="489">
        <v>1445.168154</v>
      </c>
      <c r="Q432" s="489">
        <f t="shared" si="81"/>
        <v>1705.2984217199999</v>
      </c>
      <c r="R432" s="489">
        <v>1122.7673039634628</v>
      </c>
      <c r="S432" s="401" t="s">
        <v>1774</v>
      </c>
      <c r="T432" s="501">
        <v>1.087</v>
      </c>
      <c r="U432" s="501">
        <v>1.077</v>
      </c>
      <c r="V432" s="501">
        <v>1.073</v>
      </c>
      <c r="W432" s="501">
        <v>1.071</v>
      </c>
      <c r="X432" s="596">
        <v>0.9</v>
      </c>
      <c r="Y432" s="502">
        <v>1359.4608546737618</v>
      </c>
      <c r="Z432" s="489">
        <f t="shared" si="82"/>
        <v>1604.1638085150389</v>
      </c>
      <c r="AA432" s="489">
        <v>1378.0974172866966</v>
      </c>
      <c r="AB432" s="488">
        <f t="shared" si="83"/>
        <v>1626.1549523983019</v>
      </c>
      <c r="AC432" s="492">
        <f t="shared" si="84"/>
        <v>1359.4608546737618</v>
      </c>
      <c r="AD432" s="493">
        <f t="shared" si="85"/>
        <v>1604.1638085150389</v>
      </c>
      <c r="AE432" s="494" t="s">
        <v>1775</v>
      </c>
      <c r="AF432" s="494" t="s">
        <v>83</v>
      </c>
      <c r="AG432" s="494" t="s">
        <v>211</v>
      </c>
      <c r="AH432" s="494" t="s">
        <v>545</v>
      </c>
      <c r="AI432" s="495">
        <v>41671</v>
      </c>
      <c r="AJ432" s="495">
        <v>41706</v>
      </c>
      <c r="AK432" s="494" t="s">
        <v>96</v>
      </c>
      <c r="AL432" s="494" t="s">
        <v>96</v>
      </c>
      <c r="AM432" s="496" t="s">
        <v>1846</v>
      </c>
      <c r="AN432" s="496" t="s">
        <v>1757</v>
      </c>
      <c r="AO432" s="494">
        <v>796</v>
      </c>
      <c r="AP432" s="494" t="s">
        <v>368</v>
      </c>
      <c r="AQ432" s="494">
        <v>1</v>
      </c>
      <c r="AR432" s="494">
        <v>45</v>
      </c>
      <c r="AS432" s="496" t="s">
        <v>547</v>
      </c>
      <c r="AT432" s="495">
        <v>41726</v>
      </c>
      <c r="AU432" s="495">
        <v>41726</v>
      </c>
      <c r="AV432" s="495">
        <v>41820</v>
      </c>
      <c r="AW432" s="494">
        <v>2014</v>
      </c>
      <c r="AX432" s="496"/>
      <c r="AY432" s="494" t="s">
        <v>186</v>
      </c>
      <c r="AZ432" s="494"/>
      <c r="BA432" s="494">
        <v>2014</v>
      </c>
      <c r="BB432" s="494" t="s">
        <v>5607</v>
      </c>
      <c r="BC432" s="496" t="s">
        <v>5608</v>
      </c>
      <c r="BD432" s="496" t="s">
        <v>1818</v>
      </c>
      <c r="BE432" s="497">
        <v>41820</v>
      </c>
      <c r="BF432" s="498">
        <v>1760.90597895</v>
      </c>
      <c r="BG432" s="488">
        <v>1760.90597895</v>
      </c>
      <c r="BH432" s="488">
        <v>0</v>
      </c>
      <c r="BI432" s="488">
        <v>0.36</v>
      </c>
      <c r="BJ432" s="494" t="s">
        <v>186</v>
      </c>
      <c r="BK432" s="401"/>
    </row>
    <row r="433" spans="1:63" ht="112.5">
      <c r="A433" s="401">
        <v>2</v>
      </c>
      <c r="B433" s="494" t="s">
        <v>5609</v>
      </c>
      <c r="C433" s="401" t="s">
        <v>83</v>
      </c>
      <c r="D433" s="401" t="s">
        <v>242</v>
      </c>
      <c r="E433" s="494" t="s">
        <v>5853</v>
      </c>
      <c r="F433" s="401" t="s">
        <v>1768</v>
      </c>
      <c r="G433" s="401" t="s">
        <v>1769</v>
      </c>
      <c r="H433" s="499">
        <v>854707</v>
      </c>
      <c r="I433" s="486" t="s">
        <v>5610</v>
      </c>
      <c r="J433" s="496" t="s">
        <v>2237</v>
      </c>
      <c r="K433" s="496" t="s">
        <v>2237</v>
      </c>
      <c r="L433" s="496" t="s">
        <v>1772</v>
      </c>
      <c r="M433" s="500" t="s">
        <v>1755</v>
      </c>
      <c r="N433" s="496" t="s">
        <v>1773</v>
      </c>
      <c r="O433" s="496" t="s">
        <v>2234</v>
      </c>
      <c r="P433" s="489">
        <v>28706.551750000002</v>
      </c>
      <c r="Q433" s="489">
        <f t="shared" ref="Q433:Q444" si="86">P433*1.18</f>
        <v>33873.731065</v>
      </c>
      <c r="R433" s="489">
        <v>20921.614592432376</v>
      </c>
      <c r="S433" s="401" t="s">
        <v>1774</v>
      </c>
      <c r="T433" s="501">
        <v>1.087</v>
      </c>
      <c r="U433" s="501">
        <v>1.077</v>
      </c>
      <c r="V433" s="501">
        <v>1.073</v>
      </c>
      <c r="W433" s="501">
        <v>1.071</v>
      </c>
      <c r="X433" s="596">
        <v>0.9</v>
      </c>
      <c r="Y433" s="502">
        <v>27004.077877564116</v>
      </c>
      <c r="Z433" s="489">
        <f t="shared" ref="Z433:Z444" si="87">Y433*1.18</f>
        <v>31864.811895525654</v>
      </c>
      <c r="AA433" s="489">
        <v>27374.271095294218</v>
      </c>
      <c r="AB433" s="488">
        <f t="shared" ref="AB433:AB482" si="88">AA433*1.18</f>
        <v>32301.639892447176</v>
      </c>
      <c r="AC433" s="492">
        <f t="shared" ref="AC433:AC444" si="89">IF(Y433&lt;AA433,Y433,AA433)</f>
        <v>27004.077877564116</v>
      </c>
      <c r="AD433" s="493">
        <f t="shared" ref="AD433:AD444" si="90">AC433*1.18</f>
        <v>31864.811895525654</v>
      </c>
      <c r="AE433" s="494" t="s">
        <v>1775</v>
      </c>
      <c r="AF433" s="494" t="s">
        <v>83</v>
      </c>
      <c r="AG433" s="494" t="s">
        <v>211</v>
      </c>
      <c r="AH433" s="494" t="s">
        <v>545</v>
      </c>
      <c r="AI433" s="495">
        <v>41932</v>
      </c>
      <c r="AJ433" s="495">
        <v>41967</v>
      </c>
      <c r="AK433" s="494" t="s">
        <v>96</v>
      </c>
      <c r="AL433" s="494" t="s">
        <v>96</v>
      </c>
      <c r="AM433" s="496" t="s">
        <v>2238</v>
      </c>
      <c r="AN433" s="496" t="s">
        <v>1757</v>
      </c>
      <c r="AO433" s="494">
        <v>796</v>
      </c>
      <c r="AP433" s="494" t="s">
        <v>368</v>
      </c>
      <c r="AQ433" s="494">
        <v>1</v>
      </c>
      <c r="AR433" s="494">
        <v>45</v>
      </c>
      <c r="AS433" s="496" t="s">
        <v>547</v>
      </c>
      <c r="AT433" s="495">
        <v>41987</v>
      </c>
      <c r="AU433" s="495">
        <v>41987</v>
      </c>
      <c r="AV433" s="495">
        <v>42369</v>
      </c>
      <c r="AW433" s="494" t="s">
        <v>99</v>
      </c>
      <c r="AX433" s="496"/>
      <c r="AY433" s="494" t="s">
        <v>186</v>
      </c>
      <c r="AZ433" s="494"/>
      <c r="BA433" s="494">
        <v>2014</v>
      </c>
      <c r="BB433" s="494" t="s">
        <v>5611</v>
      </c>
      <c r="BC433" s="496" t="s">
        <v>5612</v>
      </c>
      <c r="BD433" s="496" t="s">
        <v>1818</v>
      </c>
      <c r="BE433" s="497">
        <v>42369</v>
      </c>
      <c r="BF433" s="498">
        <v>36620.249799999998</v>
      </c>
      <c r="BG433" s="488">
        <v>36620.249799999998</v>
      </c>
      <c r="BH433" s="488">
        <v>0</v>
      </c>
      <c r="BI433" s="488">
        <v>0</v>
      </c>
      <c r="BJ433" s="494" t="s">
        <v>186</v>
      </c>
      <c r="BK433" s="401"/>
    </row>
    <row r="434" spans="1:63" ht="112.5">
      <c r="A434" s="401">
        <v>2</v>
      </c>
      <c r="B434" s="494" t="s">
        <v>5613</v>
      </c>
      <c r="C434" s="401" t="s">
        <v>83</v>
      </c>
      <c r="D434" s="401" t="s">
        <v>242</v>
      </c>
      <c r="E434" s="494" t="s">
        <v>5853</v>
      </c>
      <c r="F434" s="401" t="s">
        <v>1768</v>
      </c>
      <c r="G434" s="401" t="s">
        <v>1769</v>
      </c>
      <c r="H434" s="499">
        <v>854731</v>
      </c>
      <c r="I434" s="486" t="s">
        <v>5614</v>
      </c>
      <c r="J434" s="496" t="s">
        <v>2237</v>
      </c>
      <c r="K434" s="496" t="s">
        <v>2237</v>
      </c>
      <c r="L434" s="496" t="s">
        <v>1825</v>
      </c>
      <c r="M434" s="500" t="s">
        <v>1755</v>
      </c>
      <c r="N434" s="496" t="s">
        <v>1773</v>
      </c>
      <c r="O434" s="496" t="s">
        <v>2234</v>
      </c>
      <c r="P434" s="489">
        <v>40992.440340000001</v>
      </c>
      <c r="Q434" s="489">
        <f t="shared" si="86"/>
        <v>48371.079601199999</v>
      </c>
      <c r="R434" s="489">
        <v>31571.498524418505</v>
      </c>
      <c r="S434" s="401" t="s">
        <v>1774</v>
      </c>
      <c r="T434" s="501">
        <v>1.087</v>
      </c>
      <c r="U434" s="501">
        <v>1.077</v>
      </c>
      <c r="V434" s="501">
        <v>1.073</v>
      </c>
      <c r="W434" s="501">
        <v>1.071</v>
      </c>
      <c r="X434" s="596">
        <v>0.9</v>
      </c>
      <c r="Y434" s="502">
        <v>40750.163</v>
      </c>
      <c r="Z434" s="489">
        <f t="shared" si="87"/>
        <v>48085.192340000001</v>
      </c>
      <c r="AA434" s="489">
        <v>42693.775999999998</v>
      </c>
      <c r="AB434" s="488">
        <f t="shared" si="88"/>
        <v>50378.655679999996</v>
      </c>
      <c r="AC434" s="492">
        <f t="shared" si="89"/>
        <v>40750.163</v>
      </c>
      <c r="AD434" s="493">
        <f t="shared" si="90"/>
        <v>48085.192340000001</v>
      </c>
      <c r="AE434" s="494" t="s">
        <v>1775</v>
      </c>
      <c r="AF434" s="494" t="s">
        <v>83</v>
      </c>
      <c r="AG434" s="494" t="s">
        <v>211</v>
      </c>
      <c r="AH434" s="494" t="s">
        <v>545</v>
      </c>
      <c r="AI434" s="495">
        <v>41671</v>
      </c>
      <c r="AJ434" s="495">
        <v>41706</v>
      </c>
      <c r="AK434" s="494" t="s">
        <v>96</v>
      </c>
      <c r="AL434" s="494" t="s">
        <v>96</v>
      </c>
      <c r="AM434" s="496" t="s">
        <v>2238</v>
      </c>
      <c r="AN434" s="496" t="s">
        <v>1757</v>
      </c>
      <c r="AO434" s="494">
        <v>796</v>
      </c>
      <c r="AP434" s="494" t="s">
        <v>368</v>
      </c>
      <c r="AQ434" s="494">
        <v>1</v>
      </c>
      <c r="AR434" s="494">
        <v>45</v>
      </c>
      <c r="AS434" s="496" t="s">
        <v>547</v>
      </c>
      <c r="AT434" s="495">
        <v>41726</v>
      </c>
      <c r="AU434" s="495">
        <v>41726</v>
      </c>
      <c r="AV434" s="495">
        <v>42369</v>
      </c>
      <c r="AW434" s="494" t="s">
        <v>99</v>
      </c>
      <c r="AX434" s="496"/>
      <c r="AY434" s="494" t="s">
        <v>186</v>
      </c>
      <c r="AZ434" s="494"/>
      <c r="BA434" s="494">
        <v>2014</v>
      </c>
      <c r="BB434" s="494" t="s">
        <v>5615</v>
      </c>
      <c r="BC434" s="496" t="s">
        <v>5616</v>
      </c>
      <c r="BD434" s="496" t="s">
        <v>1818</v>
      </c>
      <c r="BE434" s="497">
        <v>42369</v>
      </c>
      <c r="BF434" s="498">
        <v>1180</v>
      </c>
      <c r="BG434" s="488">
        <v>1180</v>
      </c>
      <c r="BH434" s="488">
        <v>3.2</v>
      </c>
      <c r="BI434" s="488">
        <v>0</v>
      </c>
      <c r="BJ434" s="494" t="s">
        <v>1465</v>
      </c>
      <c r="BK434" s="401"/>
    </row>
    <row r="435" spans="1:63" ht="150">
      <c r="A435" s="401">
        <v>2</v>
      </c>
      <c r="B435" s="494" t="s">
        <v>5617</v>
      </c>
      <c r="C435" s="401" t="s">
        <v>83</v>
      </c>
      <c r="D435" s="401" t="s">
        <v>242</v>
      </c>
      <c r="E435" s="494" t="s">
        <v>5853</v>
      </c>
      <c r="F435" s="401" t="s">
        <v>1768</v>
      </c>
      <c r="G435" s="401" t="s">
        <v>1769</v>
      </c>
      <c r="H435" s="499">
        <v>854734</v>
      </c>
      <c r="I435" s="486" t="s">
        <v>5618</v>
      </c>
      <c r="J435" s="496" t="s">
        <v>2237</v>
      </c>
      <c r="K435" s="496" t="s">
        <v>2237</v>
      </c>
      <c r="L435" s="496" t="s">
        <v>2325</v>
      </c>
      <c r="M435" s="500" t="s">
        <v>1755</v>
      </c>
      <c r="N435" s="496" t="s">
        <v>1773</v>
      </c>
      <c r="O435" s="496" t="s">
        <v>2234</v>
      </c>
      <c r="P435" s="489">
        <v>18647.893967272728</v>
      </c>
      <c r="Q435" s="489">
        <f t="shared" si="86"/>
        <v>22004.51488138182</v>
      </c>
      <c r="R435" s="489">
        <v>13733.125455799431</v>
      </c>
      <c r="S435" s="401" t="s">
        <v>1774</v>
      </c>
      <c r="T435" s="501">
        <v>1.087</v>
      </c>
      <c r="U435" s="501">
        <v>1.077</v>
      </c>
      <c r="V435" s="501">
        <v>1.073</v>
      </c>
      <c r="W435" s="501">
        <v>1.071</v>
      </c>
      <c r="X435" s="596">
        <v>0.9</v>
      </c>
      <c r="Y435" s="502">
        <v>17725.705999999998</v>
      </c>
      <c r="Z435" s="489">
        <f t="shared" si="87"/>
        <v>20916.333079999997</v>
      </c>
      <c r="AA435" s="489">
        <v>18745.866999999998</v>
      </c>
      <c r="AB435" s="488">
        <f t="shared" si="88"/>
        <v>22120.123059999998</v>
      </c>
      <c r="AC435" s="492">
        <f t="shared" si="89"/>
        <v>17725.705999999998</v>
      </c>
      <c r="AD435" s="493">
        <f t="shared" si="90"/>
        <v>20916.333079999997</v>
      </c>
      <c r="AE435" s="494" t="s">
        <v>1775</v>
      </c>
      <c r="AF435" s="494" t="s">
        <v>83</v>
      </c>
      <c r="AG435" s="494" t="s">
        <v>211</v>
      </c>
      <c r="AH435" s="494" t="s">
        <v>545</v>
      </c>
      <c r="AI435" s="495">
        <v>41791</v>
      </c>
      <c r="AJ435" s="495">
        <v>41826</v>
      </c>
      <c r="AK435" s="494" t="s">
        <v>96</v>
      </c>
      <c r="AL435" s="494" t="s">
        <v>96</v>
      </c>
      <c r="AM435" s="496" t="s">
        <v>2238</v>
      </c>
      <c r="AN435" s="496" t="s">
        <v>1757</v>
      </c>
      <c r="AO435" s="494">
        <v>796</v>
      </c>
      <c r="AP435" s="494" t="s">
        <v>368</v>
      </c>
      <c r="AQ435" s="494">
        <v>1</v>
      </c>
      <c r="AR435" s="494">
        <v>45</v>
      </c>
      <c r="AS435" s="496" t="s">
        <v>547</v>
      </c>
      <c r="AT435" s="495">
        <v>41846</v>
      </c>
      <c r="AU435" s="495">
        <v>41846</v>
      </c>
      <c r="AV435" s="495">
        <v>42369</v>
      </c>
      <c r="AW435" s="494" t="s">
        <v>99</v>
      </c>
      <c r="AX435" s="496"/>
      <c r="AY435" s="494" t="s">
        <v>186</v>
      </c>
      <c r="AZ435" s="494"/>
      <c r="BA435" s="494">
        <v>2014</v>
      </c>
      <c r="BB435" s="494" t="s">
        <v>5619</v>
      </c>
      <c r="BC435" s="496" t="s">
        <v>5620</v>
      </c>
      <c r="BD435" s="496" t="s">
        <v>1818</v>
      </c>
      <c r="BE435" s="497">
        <v>42369</v>
      </c>
      <c r="BF435" s="498">
        <v>22201.005823109997</v>
      </c>
      <c r="BG435" s="488">
        <v>22201.005823109997</v>
      </c>
      <c r="BH435" s="488">
        <v>2</v>
      </c>
      <c r="BI435" s="488">
        <v>1.6</v>
      </c>
      <c r="BJ435" s="494" t="s">
        <v>1465</v>
      </c>
      <c r="BK435" s="401"/>
    </row>
    <row r="436" spans="1:63" ht="112.5">
      <c r="A436" s="401">
        <v>2</v>
      </c>
      <c r="B436" s="494" t="s">
        <v>5621</v>
      </c>
      <c r="C436" s="401" t="s">
        <v>83</v>
      </c>
      <c r="D436" s="401" t="s">
        <v>242</v>
      </c>
      <c r="E436" s="494" t="s">
        <v>5853</v>
      </c>
      <c r="F436" s="401" t="s">
        <v>1768</v>
      </c>
      <c r="G436" s="401" t="s">
        <v>1769</v>
      </c>
      <c r="H436" s="499">
        <v>854744</v>
      </c>
      <c r="I436" s="486" t="s">
        <v>5622</v>
      </c>
      <c r="J436" s="496" t="s">
        <v>2237</v>
      </c>
      <c r="K436" s="496" t="s">
        <v>2237</v>
      </c>
      <c r="L436" s="496" t="s">
        <v>1772</v>
      </c>
      <c r="M436" s="500" t="s">
        <v>1755</v>
      </c>
      <c r="N436" s="496" t="s">
        <v>1773</v>
      </c>
      <c r="O436" s="496" t="s">
        <v>2234</v>
      </c>
      <c r="P436" s="489">
        <v>32210.98547</v>
      </c>
      <c r="Q436" s="489">
        <f t="shared" si="86"/>
        <v>38008.962854599995</v>
      </c>
      <c r="R436" s="489">
        <v>22008.655383978097</v>
      </c>
      <c r="S436" s="401" t="s">
        <v>1774</v>
      </c>
      <c r="T436" s="501">
        <v>1.087</v>
      </c>
      <c r="U436" s="501">
        <v>1.077</v>
      </c>
      <c r="V436" s="501">
        <v>1.073</v>
      </c>
      <c r="W436" s="501">
        <v>1.071</v>
      </c>
      <c r="X436" s="596">
        <v>0.9</v>
      </c>
      <c r="Y436" s="502">
        <v>28407.15</v>
      </c>
      <c r="Z436" s="489">
        <f t="shared" si="87"/>
        <v>33520.436999999998</v>
      </c>
      <c r="AA436" s="489">
        <v>30036.124</v>
      </c>
      <c r="AB436" s="488">
        <f t="shared" si="88"/>
        <v>35442.626319999996</v>
      </c>
      <c r="AC436" s="492">
        <f t="shared" si="89"/>
        <v>28407.15</v>
      </c>
      <c r="AD436" s="493">
        <f t="shared" si="90"/>
        <v>33520.436999999998</v>
      </c>
      <c r="AE436" s="494" t="s">
        <v>1775</v>
      </c>
      <c r="AF436" s="494" t="s">
        <v>83</v>
      </c>
      <c r="AG436" s="494" t="s">
        <v>211</v>
      </c>
      <c r="AH436" s="494" t="s">
        <v>545</v>
      </c>
      <c r="AI436" s="495">
        <v>41932</v>
      </c>
      <c r="AJ436" s="495">
        <v>41967</v>
      </c>
      <c r="AK436" s="494" t="s">
        <v>96</v>
      </c>
      <c r="AL436" s="494" t="s">
        <v>96</v>
      </c>
      <c r="AM436" s="496" t="s">
        <v>2238</v>
      </c>
      <c r="AN436" s="496" t="s">
        <v>1757</v>
      </c>
      <c r="AO436" s="494">
        <v>796</v>
      </c>
      <c r="AP436" s="494" t="s">
        <v>368</v>
      </c>
      <c r="AQ436" s="494">
        <v>1</v>
      </c>
      <c r="AR436" s="494">
        <v>45</v>
      </c>
      <c r="AS436" s="496" t="s">
        <v>547</v>
      </c>
      <c r="AT436" s="495">
        <v>41987</v>
      </c>
      <c r="AU436" s="495">
        <v>41987</v>
      </c>
      <c r="AV436" s="495">
        <v>42369</v>
      </c>
      <c r="AW436" s="494" t="s">
        <v>99</v>
      </c>
      <c r="AX436" s="496"/>
      <c r="AY436" s="494" t="s">
        <v>186</v>
      </c>
      <c r="AZ436" s="494"/>
      <c r="BA436" s="494">
        <v>2014</v>
      </c>
      <c r="BB436" s="494" t="s">
        <v>5623</v>
      </c>
      <c r="BC436" s="496" t="s">
        <v>5624</v>
      </c>
      <c r="BD436" s="496" t="s">
        <v>1818</v>
      </c>
      <c r="BE436" s="497">
        <v>42369</v>
      </c>
      <c r="BF436" s="498">
        <v>10304.291892316</v>
      </c>
      <c r="BG436" s="488">
        <v>10304.291892316</v>
      </c>
      <c r="BH436" s="488">
        <v>1.26</v>
      </c>
      <c r="BI436" s="488">
        <v>0</v>
      </c>
      <c r="BJ436" s="494" t="s">
        <v>186</v>
      </c>
      <c r="BK436" s="401"/>
    </row>
    <row r="437" spans="1:63" ht="112.5">
      <c r="A437" s="401">
        <v>2</v>
      </c>
      <c r="B437" s="494" t="s">
        <v>5625</v>
      </c>
      <c r="C437" s="401" t="s">
        <v>83</v>
      </c>
      <c r="D437" s="401" t="s">
        <v>242</v>
      </c>
      <c r="E437" s="494" t="s">
        <v>5853</v>
      </c>
      <c r="F437" s="401" t="s">
        <v>1768</v>
      </c>
      <c r="G437" s="401" t="s">
        <v>1769</v>
      </c>
      <c r="H437" s="499">
        <v>854745</v>
      </c>
      <c r="I437" s="486" t="s">
        <v>5626</v>
      </c>
      <c r="J437" s="496" t="s">
        <v>2237</v>
      </c>
      <c r="K437" s="496" t="s">
        <v>2237</v>
      </c>
      <c r="L437" s="496" t="s">
        <v>1772</v>
      </c>
      <c r="M437" s="500" t="s">
        <v>1755</v>
      </c>
      <c r="N437" s="496" t="s">
        <v>1773</v>
      </c>
      <c r="O437" s="496" t="s">
        <v>2234</v>
      </c>
      <c r="P437" s="489">
        <v>7087.9550875799905</v>
      </c>
      <c r="Q437" s="489">
        <f t="shared" si="86"/>
        <v>8363.7870033443887</v>
      </c>
      <c r="R437" s="489">
        <v>5506.7115908065425</v>
      </c>
      <c r="S437" s="401" t="s">
        <v>1774</v>
      </c>
      <c r="T437" s="501">
        <v>1.087</v>
      </c>
      <c r="U437" s="501">
        <v>1.077</v>
      </c>
      <c r="V437" s="501">
        <v>1.073</v>
      </c>
      <c r="W437" s="501">
        <v>1.071</v>
      </c>
      <c r="X437" s="596">
        <v>0.9</v>
      </c>
      <c r="Y437" s="502">
        <v>6667.5960541895047</v>
      </c>
      <c r="Z437" s="489">
        <f t="shared" si="87"/>
        <v>7867.7633439436149</v>
      </c>
      <c r="AA437" s="489">
        <v>6759.0007245884035</v>
      </c>
      <c r="AB437" s="488">
        <f t="shared" si="88"/>
        <v>7975.6208550143156</v>
      </c>
      <c r="AC437" s="492">
        <f t="shared" si="89"/>
        <v>6667.5960541895047</v>
      </c>
      <c r="AD437" s="493">
        <f t="shared" si="90"/>
        <v>7867.7633439436149</v>
      </c>
      <c r="AE437" s="494" t="s">
        <v>1775</v>
      </c>
      <c r="AF437" s="494" t="s">
        <v>83</v>
      </c>
      <c r="AG437" s="494" t="s">
        <v>211</v>
      </c>
      <c r="AH437" s="494" t="s">
        <v>545</v>
      </c>
      <c r="AI437" s="495">
        <v>41774</v>
      </c>
      <c r="AJ437" s="495">
        <v>41809</v>
      </c>
      <c r="AK437" s="494" t="s">
        <v>96</v>
      </c>
      <c r="AL437" s="494" t="s">
        <v>96</v>
      </c>
      <c r="AM437" s="496" t="s">
        <v>2238</v>
      </c>
      <c r="AN437" s="496" t="s">
        <v>1757</v>
      </c>
      <c r="AO437" s="494">
        <v>796</v>
      </c>
      <c r="AP437" s="494" t="s">
        <v>368</v>
      </c>
      <c r="AQ437" s="494">
        <v>1</v>
      </c>
      <c r="AR437" s="494">
        <v>45</v>
      </c>
      <c r="AS437" s="496" t="s">
        <v>547</v>
      </c>
      <c r="AT437" s="495">
        <v>41829</v>
      </c>
      <c r="AU437" s="495">
        <v>41829</v>
      </c>
      <c r="AV437" s="495">
        <v>42004</v>
      </c>
      <c r="AW437" s="494">
        <v>2014</v>
      </c>
      <c r="AX437" s="496"/>
      <c r="AY437" s="494" t="s">
        <v>186</v>
      </c>
      <c r="AZ437" s="494"/>
      <c r="BA437" s="494">
        <v>2014</v>
      </c>
      <c r="BB437" s="494" t="s">
        <v>5627</v>
      </c>
      <c r="BC437" s="496" t="s">
        <v>5628</v>
      </c>
      <c r="BD437" s="496" t="s">
        <v>1818</v>
      </c>
      <c r="BE437" s="497">
        <v>42004</v>
      </c>
      <c r="BF437" s="498">
        <v>9003.0000035999983</v>
      </c>
      <c r="BG437" s="488">
        <v>9003.0000035999983</v>
      </c>
      <c r="BH437" s="488">
        <v>1.26</v>
      </c>
      <c r="BI437" s="488">
        <v>0.44500000000000001</v>
      </c>
      <c r="BJ437" s="494" t="s">
        <v>186</v>
      </c>
      <c r="BK437" s="401"/>
    </row>
    <row r="438" spans="1:63" ht="112.5">
      <c r="A438" s="401">
        <v>2</v>
      </c>
      <c r="B438" s="494" t="s">
        <v>5629</v>
      </c>
      <c r="C438" s="401" t="s">
        <v>83</v>
      </c>
      <c r="D438" s="401" t="s">
        <v>242</v>
      </c>
      <c r="E438" s="494" t="s">
        <v>5853</v>
      </c>
      <c r="F438" s="401" t="s">
        <v>1768</v>
      </c>
      <c r="G438" s="401" t="s">
        <v>1769</v>
      </c>
      <c r="H438" s="499">
        <v>854747</v>
      </c>
      <c r="I438" s="486" t="s">
        <v>5630</v>
      </c>
      <c r="J438" s="496" t="s">
        <v>5317</v>
      </c>
      <c r="K438" s="496" t="s">
        <v>5317</v>
      </c>
      <c r="L438" s="496" t="s">
        <v>1772</v>
      </c>
      <c r="M438" s="500" t="s">
        <v>1755</v>
      </c>
      <c r="N438" s="496" t="s">
        <v>1773</v>
      </c>
      <c r="O438" s="496" t="s">
        <v>2234</v>
      </c>
      <c r="P438" s="489">
        <v>37529.848920000004</v>
      </c>
      <c r="Q438" s="489">
        <f t="shared" si="86"/>
        <v>44285.2217256</v>
      </c>
      <c r="R438" s="489">
        <v>24370.583730523307</v>
      </c>
      <c r="S438" s="401" t="s">
        <v>1774</v>
      </c>
      <c r="T438" s="501">
        <v>1.087</v>
      </c>
      <c r="U438" s="501">
        <v>1.077</v>
      </c>
      <c r="V438" s="501">
        <v>1.073</v>
      </c>
      <c r="W438" s="501">
        <v>1.071</v>
      </c>
      <c r="X438" s="596">
        <v>0.9</v>
      </c>
      <c r="Y438" s="502">
        <v>31455.753000000001</v>
      </c>
      <c r="Z438" s="489">
        <f t="shared" si="87"/>
        <v>37117.788540000001</v>
      </c>
      <c r="AA438" s="489">
        <v>32350.15</v>
      </c>
      <c r="AB438" s="488">
        <f t="shared" si="88"/>
        <v>38173.177000000003</v>
      </c>
      <c r="AC438" s="492">
        <f t="shared" si="89"/>
        <v>31455.753000000001</v>
      </c>
      <c r="AD438" s="493">
        <f t="shared" si="90"/>
        <v>37117.788540000001</v>
      </c>
      <c r="AE438" s="494" t="s">
        <v>1775</v>
      </c>
      <c r="AF438" s="494" t="s">
        <v>83</v>
      </c>
      <c r="AG438" s="494" t="s">
        <v>211</v>
      </c>
      <c r="AH438" s="494" t="s">
        <v>545</v>
      </c>
      <c r="AI438" s="495">
        <v>41932</v>
      </c>
      <c r="AJ438" s="495">
        <v>41967</v>
      </c>
      <c r="AK438" s="494" t="s">
        <v>96</v>
      </c>
      <c r="AL438" s="494" t="s">
        <v>96</v>
      </c>
      <c r="AM438" s="496" t="s">
        <v>1846</v>
      </c>
      <c r="AN438" s="496" t="s">
        <v>1757</v>
      </c>
      <c r="AO438" s="494">
        <v>796</v>
      </c>
      <c r="AP438" s="494" t="s">
        <v>368</v>
      </c>
      <c r="AQ438" s="494">
        <v>1</v>
      </c>
      <c r="AR438" s="494">
        <v>45</v>
      </c>
      <c r="AS438" s="496" t="s">
        <v>547</v>
      </c>
      <c r="AT438" s="495">
        <v>41987</v>
      </c>
      <c r="AU438" s="495">
        <v>41987</v>
      </c>
      <c r="AV438" s="495">
        <v>42369</v>
      </c>
      <c r="AW438" s="494" t="s">
        <v>99</v>
      </c>
      <c r="AX438" s="496"/>
      <c r="AY438" s="494" t="s">
        <v>186</v>
      </c>
      <c r="AZ438" s="494"/>
      <c r="BA438" s="494">
        <v>2014</v>
      </c>
      <c r="BB438" s="494" t="s">
        <v>5631</v>
      </c>
      <c r="BC438" s="496" t="s">
        <v>5632</v>
      </c>
      <c r="BD438" s="496" t="s">
        <v>1818</v>
      </c>
      <c r="BE438" s="497">
        <v>42369</v>
      </c>
      <c r="BF438" s="498">
        <v>45893.789465599999</v>
      </c>
      <c r="BG438" s="488">
        <v>45893.789465599999</v>
      </c>
      <c r="BH438" s="488">
        <v>0</v>
      </c>
      <c r="BI438" s="488">
        <v>5.1529999999999996</v>
      </c>
      <c r="BJ438" s="494" t="s">
        <v>186</v>
      </c>
      <c r="BK438" s="401"/>
    </row>
    <row r="439" spans="1:63" ht="112.5">
      <c r="A439" s="401">
        <v>2</v>
      </c>
      <c r="B439" s="494" t="s">
        <v>5633</v>
      </c>
      <c r="C439" s="401" t="s">
        <v>83</v>
      </c>
      <c r="D439" s="401" t="s">
        <v>242</v>
      </c>
      <c r="E439" s="494" t="s">
        <v>5853</v>
      </c>
      <c r="F439" s="401" t="s">
        <v>1768</v>
      </c>
      <c r="G439" s="401" t="s">
        <v>1769</v>
      </c>
      <c r="H439" s="499">
        <v>854748</v>
      </c>
      <c r="I439" s="486" t="s">
        <v>5634</v>
      </c>
      <c r="J439" s="496" t="s">
        <v>5317</v>
      </c>
      <c r="K439" s="496" t="s">
        <v>5317</v>
      </c>
      <c r="L439" s="496" t="s">
        <v>1772</v>
      </c>
      <c r="M439" s="500" t="s">
        <v>1755</v>
      </c>
      <c r="N439" s="496" t="s">
        <v>1773</v>
      </c>
      <c r="O439" s="496" t="s">
        <v>2234</v>
      </c>
      <c r="P439" s="489">
        <v>26382.037069090908</v>
      </c>
      <c r="Q439" s="489">
        <f t="shared" si="86"/>
        <v>31130.80374152727</v>
      </c>
      <c r="R439" s="489">
        <v>18607.687159139958</v>
      </c>
      <c r="S439" s="401" t="s">
        <v>1774</v>
      </c>
      <c r="T439" s="501">
        <v>1.087</v>
      </c>
      <c r="U439" s="501">
        <v>1.077</v>
      </c>
      <c r="V439" s="501">
        <v>1.073</v>
      </c>
      <c r="W439" s="501">
        <v>1.071</v>
      </c>
      <c r="X439" s="596">
        <v>0.9</v>
      </c>
      <c r="Y439" s="502">
        <v>22530.422999999999</v>
      </c>
      <c r="Z439" s="489">
        <f t="shared" si="87"/>
        <v>26585.899139999998</v>
      </c>
      <c r="AA439" s="489">
        <v>22642.123</v>
      </c>
      <c r="AB439" s="488">
        <f t="shared" si="88"/>
        <v>26717.705139999998</v>
      </c>
      <c r="AC439" s="492">
        <f t="shared" si="89"/>
        <v>22530.422999999999</v>
      </c>
      <c r="AD439" s="493">
        <f t="shared" si="90"/>
        <v>26585.899139999998</v>
      </c>
      <c r="AE439" s="494" t="s">
        <v>1775</v>
      </c>
      <c r="AF439" s="494" t="s">
        <v>83</v>
      </c>
      <c r="AG439" s="494" t="s">
        <v>211</v>
      </c>
      <c r="AH439" s="494" t="s">
        <v>545</v>
      </c>
      <c r="AI439" s="495">
        <v>41774</v>
      </c>
      <c r="AJ439" s="495">
        <v>41809</v>
      </c>
      <c r="AK439" s="494" t="s">
        <v>96</v>
      </c>
      <c r="AL439" s="494" t="s">
        <v>96</v>
      </c>
      <c r="AM439" s="496" t="s">
        <v>1846</v>
      </c>
      <c r="AN439" s="496" t="s">
        <v>1757</v>
      </c>
      <c r="AO439" s="494">
        <v>796</v>
      </c>
      <c r="AP439" s="494" t="s">
        <v>368</v>
      </c>
      <c r="AQ439" s="494">
        <v>1</v>
      </c>
      <c r="AR439" s="494">
        <v>45</v>
      </c>
      <c r="AS439" s="496" t="s">
        <v>547</v>
      </c>
      <c r="AT439" s="495">
        <v>41829</v>
      </c>
      <c r="AU439" s="495">
        <v>41829</v>
      </c>
      <c r="AV439" s="495">
        <v>42004</v>
      </c>
      <c r="AW439" s="494">
        <v>2014</v>
      </c>
      <c r="AX439" s="496"/>
      <c r="AY439" s="494" t="s">
        <v>186</v>
      </c>
      <c r="AZ439" s="494"/>
      <c r="BA439" s="494">
        <v>2014</v>
      </c>
      <c r="BB439" s="494" t="s">
        <v>5635</v>
      </c>
      <c r="BC439" s="496" t="s">
        <v>5636</v>
      </c>
      <c r="BD439" s="496" t="s">
        <v>1818</v>
      </c>
      <c r="BE439" s="497">
        <v>42004</v>
      </c>
      <c r="BF439" s="498">
        <v>31937.894159999996</v>
      </c>
      <c r="BG439" s="488">
        <v>31937.894159999996</v>
      </c>
      <c r="BH439" s="488">
        <v>0</v>
      </c>
      <c r="BI439" s="488">
        <v>3.8</v>
      </c>
      <c r="BJ439" s="494" t="s">
        <v>186</v>
      </c>
      <c r="BK439" s="401"/>
    </row>
    <row r="440" spans="1:63" ht="112.5">
      <c r="A440" s="401">
        <v>2</v>
      </c>
      <c r="B440" s="494" t="s">
        <v>5637</v>
      </c>
      <c r="C440" s="401" t="s">
        <v>83</v>
      </c>
      <c r="D440" s="401" t="s">
        <v>242</v>
      </c>
      <c r="E440" s="494" t="s">
        <v>5853</v>
      </c>
      <c r="F440" s="401" t="s">
        <v>1768</v>
      </c>
      <c r="G440" s="401" t="s">
        <v>1769</v>
      </c>
      <c r="H440" s="499">
        <v>854749</v>
      </c>
      <c r="I440" s="486" t="s">
        <v>5638</v>
      </c>
      <c r="J440" s="496" t="s">
        <v>2237</v>
      </c>
      <c r="K440" s="496" t="s">
        <v>2237</v>
      </c>
      <c r="L440" s="496" t="s">
        <v>1772</v>
      </c>
      <c r="M440" s="500" t="s">
        <v>1755</v>
      </c>
      <c r="N440" s="496" t="s">
        <v>1773</v>
      </c>
      <c r="O440" s="496" t="s">
        <v>2234</v>
      </c>
      <c r="P440" s="489">
        <v>10697.946318</v>
      </c>
      <c r="Q440" s="489">
        <f t="shared" si="86"/>
        <v>12623.57665524</v>
      </c>
      <c r="R440" s="489">
        <v>8311.3541577575579</v>
      </c>
      <c r="S440" s="401" t="s">
        <v>1774</v>
      </c>
      <c r="T440" s="501">
        <v>1.087</v>
      </c>
      <c r="U440" s="501">
        <v>1.077</v>
      </c>
      <c r="V440" s="501">
        <v>1.073</v>
      </c>
      <c r="W440" s="501">
        <v>1.071</v>
      </c>
      <c r="X440" s="596">
        <v>0.9</v>
      </c>
      <c r="Y440" s="502">
        <v>10063.492753053222</v>
      </c>
      <c r="Z440" s="489">
        <f t="shared" si="87"/>
        <v>11874.921448602801</v>
      </c>
      <c r="AA440" s="489">
        <v>10201.45105626755</v>
      </c>
      <c r="AB440" s="488">
        <f t="shared" si="88"/>
        <v>12037.712246395708</v>
      </c>
      <c r="AC440" s="492">
        <f t="shared" si="89"/>
        <v>10063.492753053222</v>
      </c>
      <c r="AD440" s="493">
        <f t="shared" si="90"/>
        <v>11874.921448602801</v>
      </c>
      <c r="AE440" s="494" t="s">
        <v>1775</v>
      </c>
      <c r="AF440" s="494" t="s">
        <v>83</v>
      </c>
      <c r="AG440" s="494" t="s">
        <v>211</v>
      </c>
      <c r="AH440" s="494" t="s">
        <v>545</v>
      </c>
      <c r="AI440" s="495">
        <v>41774</v>
      </c>
      <c r="AJ440" s="495">
        <v>41809</v>
      </c>
      <c r="AK440" s="494" t="s">
        <v>96</v>
      </c>
      <c r="AL440" s="494" t="s">
        <v>96</v>
      </c>
      <c r="AM440" s="496" t="s">
        <v>2238</v>
      </c>
      <c r="AN440" s="496" t="s">
        <v>1757</v>
      </c>
      <c r="AO440" s="494">
        <v>796</v>
      </c>
      <c r="AP440" s="494" t="s">
        <v>368</v>
      </c>
      <c r="AQ440" s="494">
        <v>1</v>
      </c>
      <c r="AR440" s="494">
        <v>45</v>
      </c>
      <c r="AS440" s="496" t="s">
        <v>547</v>
      </c>
      <c r="AT440" s="495">
        <v>41829</v>
      </c>
      <c r="AU440" s="495">
        <v>41829</v>
      </c>
      <c r="AV440" s="495">
        <v>42004</v>
      </c>
      <c r="AW440" s="494">
        <v>2014</v>
      </c>
      <c r="AX440" s="496"/>
      <c r="AY440" s="494" t="s">
        <v>186</v>
      </c>
      <c r="AZ440" s="494"/>
      <c r="BA440" s="494">
        <v>2014</v>
      </c>
      <c r="BB440" s="494" t="s">
        <v>5639</v>
      </c>
      <c r="BC440" s="496" t="s">
        <v>5640</v>
      </c>
      <c r="BD440" s="496" t="s">
        <v>1818</v>
      </c>
      <c r="BE440" s="497">
        <v>42004</v>
      </c>
      <c r="BF440" s="498">
        <v>14030.000001799999</v>
      </c>
      <c r="BG440" s="488">
        <v>14030.000001799999</v>
      </c>
      <c r="BH440" s="488">
        <v>2</v>
      </c>
      <c r="BI440" s="488">
        <v>0</v>
      </c>
      <c r="BJ440" s="494" t="s">
        <v>1465</v>
      </c>
      <c r="BK440" s="401"/>
    </row>
    <row r="441" spans="1:63" ht="112.5">
      <c r="A441" s="401">
        <v>2</v>
      </c>
      <c r="B441" s="494" t="s">
        <v>2262</v>
      </c>
      <c r="C441" s="401" t="s">
        <v>83</v>
      </c>
      <c r="D441" s="401" t="s">
        <v>213</v>
      </c>
      <c r="E441" s="494" t="s">
        <v>5853</v>
      </c>
      <c r="F441" s="401" t="s">
        <v>1761</v>
      </c>
      <c r="G441" s="401" t="s">
        <v>1762</v>
      </c>
      <c r="H441" s="499">
        <v>825133</v>
      </c>
      <c r="I441" s="486" t="s">
        <v>2263</v>
      </c>
      <c r="J441" s="496" t="s">
        <v>2233</v>
      </c>
      <c r="K441" s="496" t="s">
        <v>2233</v>
      </c>
      <c r="L441" s="496" t="s">
        <v>1772</v>
      </c>
      <c r="M441" s="500" t="s">
        <v>1755</v>
      </c>
      <c r="N441" s="496" t="s">
        <v>1773</v>
      </c>
      <c r="O441" s="496" t="s">
        <v>2234</v>
      </c>
      <c r="P441" s="489">
        <v>34537.89</v>
      </c>
      <c r="Q441" s="489">
        <f t="shared" si="86"/>
        <v>40754.710199999994</v>
      </c>
      <c r="R441" s="489">
        <v>24125.445</v>
      </c>
      <c r="S441" s="401" t="s">
        <v>1774</v>
      </c>
      <c r="T441" s="501">
        <v>1.087</v>
      </c>
      <c r="U441" s="501">
        <v>1.077</v>
      </c>
      <c r="V441" s="501">
        <v>1.073</v>
      </c>
      <c r="W441" s="501">
        <v>1.071</v>
      </c>
      <c r="X441" s="596">
        <v>0.9</v>
      </c>
      <c r="Y441" s="502">
        <v>29203.85</v>
      </c>
      <c r="Z441" s="489">
        <f t="shared" si="87"/>
        <v>34460.542999999998</v>
      </c>
      <c r="AA441" s="489">
        <v>31947.55</v>
      </c>
      <c r="AB441" s="488">
        <f t="shared" si="88"/>
        <v>37698.108999999997</v>
      </c>
      <c r="AC441" s="492">
        <f t="shared" si="89"/>
        <v>29203.85</v>
      </c>
      <c r="AD441" s="493">
        <f t="shared" si="90"/>
        <v>34460.542999999998</v>
      </c>
      <c r="AE441" s="494" t="s">
        <v>1775</v>
      </c>
      <c r="AF441" s="494" t="s">
        <v>83</v>
      </c>
      <c r="AG441" s="494" t="s">
        <v>211</v>
      </c>
      <c r="AH441" s="494" t="s">
        <v>545</v>
      </c>
      <c r="AI441" s="495">
        <v>41659</v>
      </c>
      <c r="AJ441" s="495">
        <v>41694</v>
      </c>
      <c r="AK441" s="494" t="s">
        <v>96</v>
      </c>
      <c r="AL441" s="494" t="s">
        <v>96</v>
      </c>
      <c r="AM441" s="496" t="s">
        <v>1793</v>
      </c>
      <c r="AN441" s="496" t="s">
        <v>1757</v>
      </c>
      <c r="AO441" s="494">
        <v>796</v>
      </c>
      <c r="AP441" s="494" t="s">
        <v>368</v>
      </c>
      <c r="AQ441" s="494">
        <v>1</v>
      </c>
      <c r="AR441" s="494">
        <v>46</v>
      </c>
      <c r="AS441" s="496" t="s">
        <v>605</v>
      </c>
      <c r="AT441" s="495">
        <v>41714</v>
      </c>
      <c r="AU441" s="495">
        <v>41714</v>
      </c>
      <c r="AV441" s="495">
        <v>42036</v>
      </c>
      <c r="AW441" s="494" t="s">
        <v>99</v>
      </c>
      <c r="AX441" s="496"/>
      <c r="AY441" s="494" t="s">
        <v>186</v>
      </c>
      <c r="AZ441" s="494"/>
      <c r="BA441" s="494">
        <v>2014</v>
      </c>
      <c r="BB441" s="494" t="s">
        <v>2264</v>
      </c>
      <c r="BC441" s="496" t="s">
        <v>2265</v>
      </c>
      <c r="BD441" s="496" t="s">
        <v>1818</v>
      </c>
      <c r="BE441" s="497">
        <v>43465</v>
      </c>
      <c r="BF441" s="498">
        <v>718081.47</v>
      </c>
      <c r="BG441" s="488">
        <v>718081.47</v>
      </c>
      <c r="BH441" s="488">
        <v>126</v>
      </c>
      <c r="BI441" s="488">
        <v>0</v>
      </c>
      <c r="BJ441" s="494" t="s">
        <v>186</v>
      </c>
      <c r="BK441" s="401"/>
    </row>
    <row r="442" spans="1:63" ht="112.5">
      <c r="A442" s="401">
        <v>2</v>
      </c>
      <c r="B442" s="494" t="s">
        <v>2266</v>
      </c>
      <c r="C442" s="401" t="s">
        <v>83</v>
      </c>
      <c r="D442" s="401" t="s">
        <v>213</v>
      </c>
      <c r="E442" s="494" t="s">
        <v>5853</v>
      </c>
      <c r="F442" s="401" t="s">
        <v>1761</v>
      </c>
      <c r="G442" s="401" t="s">
        <v>1762</v>
      </c>
      <c r="H442" s="499">
        <v>825136</v>
      </c>
      <c r="I442" s="486" t="s">
        <v>2267</v>
      </c>
      <c r="J442" s="496" t="s">
        <v>2233</v>
      </c>
      <c r="K442" s="496" t="s">
        <v>2233</v>
      </c>
      <c r="L442" s="496" t="s">
        <v>1772</v>
      </c>
      <c r="M442" s="500" t="s">
        <v>1755</v>
      </c>
      <c r="N442" s="496" t="s">
        <v>1773</v>
      </c>
      <c r="O442" s="496" t="s">
        <v>2234</v>
      </c>
      <c r="P442" s="489">
        <v>9876.1299999999992</v>
      </c>
      <c r="Q442" s="489">
        <f t="shared" si="86"/>
        <v>11653.833399999998</v>
      </c>
      <c r="R442" s="489">
        <v>6851.36</v>
      </c>
      <c r="S442" s="401" t="s">
        <v>1774</v>
      </c>
      <c r="T442" s="501">
        <v>1.087</v>
      </c>
      <c r="U442" s="501">
        <v>1.077</v>
      </c>
      <c r="V442" s="501">
        <v>1.073</v>
      </c>
      <c r="W442" s="501">
        <v>1.071</v>
      </c>
      <c r="X442" s="596">
        <v>0.9</v>
      </c>
      <c r="Y442" s="502">
        <v>9375.25</v>
      </c>
      <c r="Z442" s="489">
        <f t="shared" si="87"/>
        <v>11062.795</v>
      </c>
      <c r="AA442" s="489">
        <v>8867.4650000000001</v>
      </c>
      <c r="AB442" s="488">
        <f t="shared" si="88"/>
        <v>10463.608699999999</v>
      </c>
      <c r="AC442" s="492">
        <f t="shared" si="89"/>
        <v>8867.4650000000001</v>
      </c>
      <c r="AD442" s="493">
        <f t="shared" si="90"/>
        <v>10463.608699999999</v>
      </c>
      <c r="AE442" s="494" t="s">
        <v>1775</v>
      </c>
      <c r="AF442" s="494" t="s">
        <v>83</v>
      </c>
      <c r="AG442" s="494" t="s">
        <v>211</v>
      </c>
      <c r="AH442" s="494" t="s">
        <v>545</v>
      </c>
      <c r="AI442" s="495">
        <v>41680</v>
      </c>
      <c r="AJ442" s="495">
        <v>41715</v>
      </c>
      <c r="AK442" s="494" t="s">
        <v>96</v>
      </c>
      <c r="AL442" s="494" t="s">
        <v>96</v>
      </c>
      <c r="AM442" s="496" t="s">
        <v>1793</v>
      </c>
      <c r="AN442" s="496" t="s">
        <v>1757</v>
      </c>
      <c r="AO442" s="494">
        <v>796</v>
      </c>
      <c r="AP442" s="494" t="s">
        <v>368</v>
      </c>
      <c r="AQ442" s="494">
        <v>1</v>
      </c>
      <c r="AR442" s="494">
        <v>45</v>
      </c>
      <c r="AS442" s="496" t="s">
        <v>2268</v>
      </c>
      <c r="AT442" s="495">
        <v>41735</v>
      </c>
      <c r="AU442" s="495">
        <v>41735</v>
      </c>
      <c r="AV442" s="495">
        <v>42004</v>
      </c>
      <c r="AW442" s="494" t="s">
        <v>99</v>
      </c>
      <c r="AX442" s="496"/>
      <c r="AY442" s="494" t="s">
        <v>186</v>
      </c>
      <c r="AZ442" s="494"/>
      <c r="BA442" s="494">
        <v>2014</v>
      </c>
      <c r="BB442" s="494" t="s">
        <v>2269</v>
      </c>
      <c r="BC442" s="496" t="s">
        <v>2270</v>
      </c>
      <c r="BD442" s="496" t="s">
        <v>1818</v>
      </c>
      <c r="BE442" s="497">
        <v>42339</v>
      </c>
      <c r="BF442" s="498">
        <v>164362.19999999998</v>
      </c>
      <c r="BG442" s="488">
        <v>398580</v>
      </c>
      <c r="BH442" s="488">
        <v>0</v>
      </c>
      <c r="BI442" s="488">
        <v>19</v>
      </c>
      <c r="BJ442" s="494" t="s">
        <v>186</v>
      </c>
      <c r="BK442" s="401"/>
    </row>
    <row r="443" spans="1:63" ht="112.5">
      <c r="A443" s="614">
        <v>2</v>
      </c>
      <c r="B443" s="615" t="s">
        <v>5641</v>
      </c>
      <c r="C443" s="614" t="s">
        <v>83</v>
      </c>
      <c r="D443" s="614" t="s">
        <v>213</v>
      </c>
      <c r="E443" s="615" t="s">
        <v>5853</v>
      </c>
      <c r="F443" s="614" t="s">
        <v>1768</v>
      </c>
      <c r="G443" s="614" t="s">
        <v>1769</v>
      </c>
      <c r="H443" s="616" t="s">
        <v>5642</v>
      </c>
      <c r="I443" s="617" t="s">
        <v>5643</v>
      </c>
      <c r="J443" s="618" t="s">
        <v>1771</v>
      </c>
      <c r="K443" s="618" t="s">
        <v>1771</v>
      </c>
      <c r="L443" s="618" t="s">
        <v>1772</v>
      </c>
      <c r="M443" s="619" t="s">
        <v>1755</v>
      </c>
      <c r="N443" s="618" t="s">
        <v>1773</v>
      </c>
      <c r="O443" s="618" t="s">
        <v>1786</v>
      </c>
      <c r="P443" s="620">
        <v>337703.098</v>
      </c>
      <c r="Q443" s="620">
        <f t="shared" si="86"/>
        <v>398489.65563999995</v>
      </c>
      <c r="R443" s="620">
        <v>176506.71</v>
      </c>
      <c r="S443" s="614" t="s">
        <v>1774</v>
      </c>
      <c r="T443" s="621">
        <v>1.087</v>
      </c>
      <c r="U443" s="621">
        <v>1.077</v>
      </c>
      <c r="V443" s="621">
        <v>1.073</v>
      </c>
      <c r="W443" s="621">
        <v>1.071</v>
      </c>
      <c r="X443" s="622">
        <v>0.9</v>
      </c>
      <c r="Y443" s="623">
        <v>291935.28000000003</v>
      </c>
      <c r="Z443" s="620">
        <f t="shared" si="87"/>
        <v>344483.63040000002</v>
      </c>
      <c r="AA443" s="620">
        <v>293392.84600000002</v>
      </c>
      <c r="AB443" s="624">
        <f t="shared" si="88"/>
        <v>346203.55828</v>
      </c>
      <c r="AC443" s="625">
        <f t="shared" si="89"/>
        <v>291935.28000000003</v>
      </c>
      <c r="AD443" s="626">
        <f t="shared" si="90"/>
        <v>344483.63040000002</v>
      </c>
      <c r="AE443" s="615" t="s">
        <v>218</v>
      </c>
      <c r="AF443" s="615" t="s">
        <v>83</v>
      </c>
      <c r="AG443" s="615" t="s">
        <v>211</v>
      </c>
      <c r="AH443" s="615" t="s">
        <v>545</v>
      </c>
      <c r="AI443" s="627">
        <v>41703</v>
      </c>
      <c r="AJ443" s="627">
        <v>41763</v>
      </c>
      <c r="AK443" s="615" t="s">
        <v>96</v>
      </c>
      <c r="AL443" s="615" t="s">
        <v>96</v>
      </c>
      <c r="AM443" s="618" t="s">
        <v>1776</v>
      </c>
      <c r="AN443" s="618" t="s">
        <v>1757</v>
      </c>
      <c r="AO443" s="615">
        <v>796</v>
      </c>
      <c r="AP443" s="615" t="s">
        <v>368</v>
      </c>
      <c r="AQ443" s="615">
        <v>1</v>
      </c>
      <c r="AR443" s="615">
        <v>46</v>
      </c>
      <c r="AS443" s="618" t="s">
        <v>605</v>
      </c>
      <c r="AT443" s="627">
        <v>41783</v>
      </c>
      <c r="AU443" s="627">
        <v>41783</v>
      </c>
      <c r="AV443" s="627">
        <v>42369</v>
      </c>
      <c r="AW443" s="615" t="s">
        <v>99</v>
      </c>
      <c r="AX443" s="618"/>
      <c r="AY443" s="615" t="s">
        <v>186</v>
      </c>
      <c r="AZ443" s="615"/>
      <c r="BA443" s="615">
        <v>2014</v>
      </c>
      <c r="BB443" s="615" t="s">
        <v>5644</v>
      </c>
      <c r="BC443" s="618" t="s">
        <v>5645</v>
      </c>
      <c r="BD443" s="618" t="s">
        <v>5646</v>
      </c>
      <c r="BE443" s="628">
        <v>42353</v>
      </c>
      <c r="BF443" s="629">
        <v>620221.92388959904</v>
      </c>
      <c r="BG443" s="624">
        <v>620221.92388959904</v>
      </c>
      <c r="BH443" s="624">
        <v>126</v>
      </c>
      <c r="BI443" s="624">
        <v>0</v>
      </c>
      <c r="BJ443" s="615" t="s">
        <v>186</v>
      </c>
      <c r="BK443" s="614"/>
    </row>
    <row r="444" spans="1:63" ht="112.5">
      <c r="A444" s="614">
        <v>2</v>
      </c>
      <c r="B444" s="615" t="s">
        <v>2281</v>
      </c>
      <c r="C444" s="614" t="s">
        <v>83</v>
      </c>
      <c r="D444" s="614" t="s">
        <v>213</v>
      </c>
      <c r="E444" s="615" t="s">
        <v>5853</v>
      </c>
      <c r="F444" s="614" t="s">
        <v>1768</v>
      </c>
      <c r="G444" s="614" t="s">
        <v>1769</v>
      </c>
      <c r="H444" s="616">
        <v>825165</v>
      </c>
      <c r="I444" s="617" t="s">
        <v>2282</v>
      </c>
      <c r="J444" s="618" t="s">
        <v>2237</v>
      </c>
      <c r="K444" s="618" t="s">
        <v>2237</v>
      </c>
      <c r="L444" s="618" t="s">
        <v>1772</v>
      </c>
      <c r="M444" s="619" t="s">
        <v>1755</v>
      </c>
      <c r="N444" s="618" t="s">
        <v>1773</v>
      </c>
      <c r="O444" s="618" t="s">
        <v>2234</v>
      </c>
      <c r="P444" s="620">
        <v>568467.61899999995</v>
      </c>
      <c r="Q444" s="620">
        <f t="shared" si="86"/>
        <v>670791.79041999986</v>
      </c>
      <c r="R444" s="620">
        <v>353668.804</v>
      </c>
      <c r="S444" s="614" t="s">
        <v>1774</v>
      </c>
      <c r="T444" s="621">
        <v>1.087</v>
      </c>
      <c r="U444" s="621">
        <v>1.077</v>
      </c>
      <c r="V444" s="621">
        <v>1.073</v>
      </c>
      <c r="W444" s="621">
        <v>1.071</v>
      </c>
      <c r="X444" s="622">
        <v>0.9</v>
      </c>
      <c r="Y444" s="623">
        <v>439689.61200000002</v>
      </c>
      <c r="Z444" s="620">
        <f t="shared" si="87"/>
        <v>518833.74216000002</v>
      </c>
      <c r="AA444" s="620">
        <v>397927.33299999998</v>
      </c>
      <c r="AB444" s="624">
        <f t="shared" si="88"/>
        <v>469554.25293999998</v>
      </c>
      <c r="AC444" s="625">
        <f t="shared" si="89"/>
        <v>397927.33299999998</v>
      </c>
      <c r="AD444" s="626">
        <f t="shared" si="90"/>
        <v>469554.25293999998</v>
      </c>
      <c r="AE444" s="615" t="s">
        <v>218</v>
      </c>
      <c r="AF444" s="615" t="s">
        <v>83</v>
      </c>
      <c r="AG444" s="615" t="s">
        <v>211</v>
      </c>
      <c r="AH444" s="615" t="s">
        <v>545</v>
      </c>
      <c r="AI444" s="627">
        <v>41861</v>
      </c>
      <c r="AJ444" s="627">
        <v>41921</v>
      </c>
      <c r="AK444" s="615" t="s">
        <v>96</v>
      </c>
      <c r="AL444" s="615" t="s">
        <v>96</v>
      </c>
      <c r="AM444" s="618" t="s">
        <v>2238</v>
      </c>
      <c r="AN444" s="618" t="s">
        <v>1757</v>
      </c>
      <c r="AO444" s="615">
        <v>796</v>
      </c>
      <c r="AP444" s="615" t="s">
        <v>368</v>
      </c>
      <c r="AQ444" s="615">
        <v>1</v>
      </c>
      <c r="AR444" s="615">
        <v>46</v>
      </c>
      <c r="AS444" s="618" t="s">
        <v>605</v>
      </c>
      <c r="AT444" s="627">
        <v>41941</v>
      </c>
      <c r="AU444" s="627">
        <v>41941</v>
      </c>
      <c r="AV444" s="627">
        <v>43465</v>
      </c>
      <c r="AW444" s="615" t="s">
        <v>1796</v>
      </c>
      <c r="AX444" s="618"/>
      <c r="AY444" s="615" t="s">
        <v>186</v>
      </c>
      <c r="AZ444" s="615"/>
      <c r="BA444" s="615">
        <v>2014</v>
      </c>
      <c r="BB444" s="615" t="s">
        <v>2283</v>
      </c>
      <c r="BC444" s="618" t="s">
        <v>2284</v>
      </c>
      <c r="BD444" s="618" t="s">
        <v>1818</v>
      </c>
      <c r="BE444" s="628">
        <v>43465</v>
      </c>
      <c r="BF444" s="629">
        <v>880114.85000000009</v>
      </c>
      <c r="BG444" s="624">
        <v>880114.85000000009</v>
      </c>
      <c r="BH444" s="624">
        <v>40</v>
      </c>
      <c r="BI444" s="624">
        <v>0</v>
      </c>
      <c r="BJ444" s="615" t="s">
        <v>186</v>
      </c>
      <c r="BK444" s="614"/>
    </row>
    <row r="445" spans="1:63" s="613" customFormat="1" ht="112.5">
      <c r="A445" s="555">
        <v>2</v>
      </c>
      <c r="B445" s="562" t="s">
        <v>2287</v>
      </c>
      <c r="C445" s="555" t="s">
        <v>83</v>
      </c>
      <c r="D445" s="555" t="s">
        <v>213</v>
      </c>
      <c r="E445" s="562" t="s">
        <v>5853</v>
      </c>
      <c r="F445" s="555" t="s">
        <v>1768</v>
      </c>
      <c r="G445" s="555" t="s">
        <v>1769</v>
      </c>
      <c r="H445" s="556">
        <v>825169</v>
      </c>
      <c r="I445" s="486" t="s">
        <v>5857</v>
      </c>
      <c r="J445" s="486" t="s">
        <v>2529</v>
      </c>
      <c r="K445" s="486" t="s">
        <v>2529</v>
      </c>
      <c r="L445" s="486" t="s">
        <v>1772</v>
      </c>
      <c r="M445" s="576" t="s">
        <v>1755</v>
      </c>
      <c r="N445" s="486" t="s">
        <v>1773</v>
      </c>
      <c r="O445" s="486" t="s">
        <v>1786</v>
      </c>
      <c r="P445" s="492">
        <v>73347.811000000002</v>
      </c>
      <c r="Q445" s="492">
        <v>86550.416979999995</v>
      </c>
      <c r="R445" s="492">
        <v>56993.375</v>
      </c>
      <c r="S445" s="555" t="s">
        <v>1774</v>
      </c>
      <c r="T445" s="630">
        <v>1.087</v>
      </c>
      <c r="U445" s="630">
        <v>1.077</v>
      </c>
      <c r="V445" s="630">
        <v>1.073</v>
      </c>
      <c r="W445" s="630">
        <v>1.071</v>
      </c>
      <c r="X445" s="560">
        <v>0.9</v>
      </c>
      <c r="Y445" s="514">
        <v>70530.3</v>
      </c>
      <c r="Z445" s="492">
        <v>83225.754000000001</v>
      </c>
      <c r="AA445" s="492">
        <v>63994.635000000002</v>
      </c>
      <c r="AB445" s="493">
        <f t="shared" si="88"/>
        <v>75513.669299999994</v>
      </c>
      <c r="AC445" s="492">
        <v>63994.635000000002</v>
      </c>
      <c r="AD445" s="493">
        <v>75513.669299999994</v>
      </c>
      <c r="AE445" s="562" t="s">
        <v>218</v>
      </c>
      <c r="AF445" s="562" t="s">
        <v>83</v>
      </c>
      <c r="AG445" s="562" t="s">
        <v>211</v>
      </c>
      <c r="AH445" s="562" t="s">
        <v>545</v>
      </c>
      <c r="AI445" s="561">
        <v>41713</v>
      </c>
      <c r="AJ445" s="561">
        <f>AI445+60</f>
        <v>41773</v>
      </c>
      <c r="AK445" s="562" t="s">
        <v>96</v>
      </c>
      <c r="AL445" s="562" t="s">
        <v>96</v>
      </c>
      <c r="AM445" s="486" t="s">
        <v>2530</v>
      </c>
      <c r="AN445" s="486" t="s">
        <v>1757</v>
      </c>
      <c r="AO445" s="562">
        <v>796</v>
      </c>
      <c r="AP445" s="562" t="s">
        <v>368</v>
      </c>
      <c r="AQ445" s="562">
        <v>1</v>
      </c>
      <c r="AR445" s="562">
        <v>46</v>
      </c>
      <c r="AS445" s="486" t="s">
        <v>605</v>
      </c>
      <c r="AT445" s="561">
        <f>AJ445+20</f>
        <v>41793</v>
      </c>
      <c r="AU445" s="561">
        <f>AT445</f>
        <v>41793</v>
      </c>
      <c r="AV445" s="561">
        <v>42369</v>
      </c>
      <c r="AW445" s="562" t="s">
        <v>99</v>
      </c>
      <c r="AX445" s="486"/>
      <c r="AY445" s="562" t="s">
        <v>186</v>
      </c>
      <c r="AZ445" s="562"/>
      <c r="BA445" s="562">
        <v>2014</v>
      </c>
      <c r="BB445" s="562" t="s">
        <v>2285</v>
      </c>
      <c r="BC445" s="486" t="s">
        <v>2286</v>
      </c>
      <c r="BD445" s="486" t="s">
        <v>7286</v>
      </c>
      <c r="BE445" s="575">
        <v>43405</v>
      </c>
      <c r="BF445" s="580" t="s">
        <v>7287</v>
      </c>
      <c r="BG445" s="493">
        <v>1203038.94</v>
      </c>
      <c r="BH445" s="493">
        <v>40</v>
      </c>
      <c r="BI445" s="493">
        <v>75</v>
      </c>
      <c r="BJ445" s="562" t="s">
        <v>186</v>
      </c>
      <c r="BK445" s="555"/>
    </row>
    <row r="446" spans="1:63" ht="112.5">
      <c r="A446" s="631">
        <v>2</v>
      </c>
      <c r="B446" s="632" t="s">
        <v>2288</v>
      </c>
      <c r="C446" s="631" t="s">
        <v>83</v>
      </c>
      <c r="D446" s="631" t="s">
        <v>213</v>
      </c>
      <c r="E446" s="632" t="s">
        <v>5853</v>
      </c>
      <c r="F446" s="631" t="s">
        <v>1768</v>
      </c>
      <c r="G446" s="631" t="s">
        <v>1769</v>
      </c>
      <c r="H446" s="633">
        <v>825170</v>
      </c>
      <c r="I446" s="634" t="s">
        <v>2289</v>
      </c>
      <c r="J446" s="635" t="s">
        <v>2237</v>
      </c>
      <c r="K446" s="635" t="s">
        <v>2237</v>
      </c>
      <c r="L446" s="635" t="s">
        <v>1772</v>
      </c>
      <c r="M446" s="636" t="s">
        <v>1755</v>
      </c>
      <c r="N446" s="635" t="s">
        <v>1773</v>
      </c>
      <c r="O446" s="635" t="s">
        <v>2234</v>
      </c>
      <c r="P446" s="637">
        <v>21057.441999999999</v>
      </c>
      <c r="Q446" s="637">
        <f t="shared" ref="Q446:Q482" si="91">P446*1.18</f>
        <v>24847.781559999996</v>
      </c>
      <c r="R446" s="637">
        <v>16470.507000000001</v>
      </c>
      <c r="S446" s="631" t="s">
        <v>1774</v>
      </c>
      <c r="T446" s="638">
        <v>1.087</v>
      </c>
      <c r="U446" s="638">
        <v>1.077</v>
      </c>
      <c r="V446" s="638">
        <v>1.073</v>
      </c>
      <c r="W446" s="638">
        <v>1.071</v>
      </c>
      <c r="X446" s="639">
        <v>0.9</v>
      </c>
      <c r="Y446" s="640">
        <v>19937.548999999999</v>
      </c>
      <c r="Z446" s="637">
        <f t="shared" ref="Z446:Z482" si="92">Y446*1.18</f>
        <v>23526.307819999998</v>
      </c>
      <c r="AA446" s="637">
        <v>19478.133999999998</v>
      </c>
      <c r="AB446" s="641">
        <f t="shared" si="88"/>
        <v>22984.198119999997</v>
      </c>
      <c r="AC446" s="642">
        <f t="shared" ref="AC446:AC482" si="93">IF(Y446&lt;AA446,Y446,AA446)</f>
        <v>19478.133999999998</v>
      </c>
      <c r="AD446" s="643">
        <f t="shared" ref="AD446:AD482" si="94">AC446*1.18</f>
        <v>22984.198119999997</v>
      </c>
      <c r="AE446" s="632" t="s">
        <v>1775</v>
      </c>
      <c r="AF446" s="632" t="s">
        <v>83</v>
      </c>
      <c r="AG446" s="632" t="s">
        <v>211</v>
      </c>
      <c r="AH446" s="632" t="s">
        <v>545</v>
      </c>
      <c r="AI446" s="644">
        <v>41897</v>
      </c>
      <c r="AJ446" s="644">
        <v>41932</v>
      </c>
      <c r="AK446" s="632" t="s">
        <v>96</v>
      </c>
      <c r="AL446" s="632" t="s">
        <v>96</v>
      </c>
      <c r="AM446" s="635" t="s">
        <v>2238</v>
      </c>
      <c r="AN446" s="635" t="s">
        <v>1757</v>
      </c>
      <c r="AO446" s="632">
        <v>796</v>
      </c>
      <c r="AP446" s="632" t="s">
        <v>368</v>
      </c>
      <c r="AQ446" s="632">
        <v>1</v>
      </c>
      <c r="AR446" s="632">
        <v>46</v>
      </c>
      <c r="AS446" s="635" t="s">
        <v>605</v>
      </c>
      <c r="AT446" s="644">
        <v>41952</v>
      </c>
      <c r="AU446" s="644">
        <v>41952</v>
      </c>
      <c r="AV446" s="644">
        <v>42369</v>
      </c>
      <c r="AW446" s="632" t="s">
        <v>99</v>
      </c>
      <c r="AX446" s="635"/>
      <c r="AY446" s="632" t="s">
        <v>186</v>
      </c>
      <c r="AZ446" s="632"/>
      <c r="BA446" s="632">
        <v>2014</v>
      </c>
      <c r="BB446" s="632" t="s">
        <v>2290</v>
      </c>
      <c r="BC446" s="635" t="s">
        <v>2291</v>
      </c>
      <c r="BD446" s="635" t="s">
        <v>1818</v>
      </c>
      <c r="BE446" s="645">
        <v>42369</v>
      </c>
      <c r="BF446" s="646">
        <v>28853.733248632001</v>
      </c>
      <c r="BG446" s="641">
        <v>28853.733248632001</v>
      </c>
      <c r="BH446" s="641">
        <v>0</v>
      </c>
      <c r="BI446" s="641">
        <v>18</v>
      </c>
      <c r="BJ446" s="632" t="s">
        <v>186</v>
      </c>
      <c r="BK446" s="631"/>
    </row>
    <row r="447" spans="1:63" ht="112.5">
      <c r="A447" s="401">
        <v>2</v>
      </c>
      <c r="B447" s="494" t="s">
        <v>2292</v>
      </c>
      <c r="C447" s="401" t="s">
        <v>83</v>
      </c>
      <c r="D447" s="401" t="s">
        <v>213</v>
      </c>
      <c r="E447" s="494" t="s">
        <v>5853</v>
      </c>
      <c r="F447" s="401" t="s">
        <v>1768</v>
      </c>
      <c r="G447" s="401" t="s">
        <v>1769</v>
      </c>
      <c r="H447" s="499">
        <v>825171</v>
      </c>
      <c r="I447" s="486" t="s">
        <v>2293</v>
      </c>
      <c r="J447" s="496" t="s">
        <v>2237</v>
      </c>
      <c r="K447" s="496" t="s">
        <v>2237</v>
      </c>
      <c r="L447" s="496" t="s">
        <v>1772</v>
      </c>
      <c r="M447" s="500" t="s">
        <v>1755</v>
      </c>
      <c r="N447" s="496" t="s">
        <v>1773</v>
      </c>
      <c r="O447" s="496" t="s">
        <v>2234</v>
      </c>
      <c r="P447" s="489">
        <v>22344.286</v>
      </c>
      <c r="Q447" s="489">
        <f t="shared" si="91"/>
        <v>26366.25748</v>
      </c>
      <c r="R447" s="489">
        <v>17477.038</v>
      </c>
      <c r="S447" s="401" t="s">
        <v>1774</v>
      </c>
      <c r="T447" s="501">
        <v>1.087</v>
      </c>
      <c r="U447" s="501">
        <v>1.077</v>
      </c>
      <c r="V447" s="501">
        <v>1.073</v>
      </c>
      <c r="W447" s="501">
        <v>1.071</v>
      </c>
      <c r="X447" s="596">
        <v>0.9</v>
      </c>
      <c r="Y447" s="502">
        <v>21155.954000000002</v>
      </c>
      <c r="Z447" s="489">
        <f t="shared" si="92"/>
        <v>24964.025720000001</v>
      </c>
      <c r="AA447" s="489">
        <v>20668.465</v>
      </c>
      <c r="AB447" s="488">
        <f t="shared" si="88"/>
        <v>24388.788699999997</v>
      </c>
      <c r="AC447" s="492">
        <f t="shared" si="93"/>
        <v>20668.465</v>
      </c>
      <c r="AD447" s="493">
        <f t="shared" si="94"/>
        <v>24388.788699999997</v>
      </c>
      <c r="AE447" s="494" t="s">
        <v>1775</v>
      </c>
      <c r="AF447" s="494" t="s">
        <v>83</v>
      </c>
      <c r="AG447" s="494" t="s">
        <v>211</v>
      </c>
      <c r="AH447" s="494" t="s">
        <v>545</v>
      </c>
      <c r="AI447" s="495">
        <v>41897</v>
      </c>
      <c r="AJ447" s="495">
        <v>41932</v>
      </c>
      <c r="AK447" s="494" t="s">
        <v>96</v>
      </c>
      <c r="AL447" s="494" t="s">
        <v>96</v>
      </c>
      <c r="AM447" s="496" t="s">
        <v>2238</v>
      </c>
      <c r="AN447" s="496" t="s">
        <v>1757</v>
      </c>
      <c r="AO447" s="494">
        <v>796</v>
      </c>
      <c r="AP447" s="494" t="s">
        <v>368</v>
      </c>
      <c r="AQ447" s="494">
        <v>1</v>
      </c>
      <c r="AR447" s="494">
        <v>46</v>
      </c>
      <c r="AS447" s="496" t="s">
        <v>605</v>
      </c>
      <c r="AT447" s="495">
        <v>41952</v>
      </c>
      <c r="AU447" s="495">
        <v>41952</v>
      </c>
      <c r="AV447" s="495">
        <v>42369</v>
      </c>
      <c r="AW447" s="494" t="s">
        <v>99</v>
      </c>
      <c r="AX447" s="496"/>
      <c r="AY447" s="494" t="s">
        <v>186</v>
      </c>
      <c r="AZ447" s="494"/>
      <c r="BA447" s="494">
        <v>2014</v>
      </c>
      <c r="BB447" s="494" t="s">
        <v>2294</v>
      </c>
      <c r="BC447" s="496" t="s">
        <v>2295</v>
      </c>
      <c r="BD447" s="496" t="s">
        <v>1818</v>
      </c>
      <c r="BE447" s="497">
        <v>42369</v>
      </c>
      <c r="BF447" s="498">
        <v>30617.016941859998</v>
      </c>
      <c r="BG447" s="488">
        <v>30617.016941859998</v>
      </c>
      <c r="BH447" s="488">
        <v>0</v>
      </c>
      <c r="BI447" s="488">
        <v>19.100000000000001</v>
      </c>
      <c r="BJ447" s="494" t="s">
        <v>186</v>
      </c>
      <c r="BK447" s="401"/>
    </row>
    <row r="448" spans="1:63" ht="112.5">
      <c r="A448" s="401">
        <v>2</v>
      </c>
      <c r="B448" s="494" t="s">
        <v>2296</v>
      </c>
      <c r="C448" s="401" t="s">
        <v>83</v>
      </c>
      <c r="D448" s="401" t="s">
        <v>213</v>
      </c>
      <c r="E448" s="494" t="s">
        <v>5853</v>
      </c>
      <c r="F448" s="401" t="s">
        <v>1768</v>
      </c>
      <c r="G448" s="401" t="s">
        <v>1769</v>
      </c>
      <c r="H448" s="499">
        <v>825172</v>
      </c>
      <c r="I448" s="486" t="s">
        <v>2297</v>
      </c>
      <c r="J448" s="496" t="s">
        <v>2237</v>
      </c>
      <c r="K448" s="496" t="s">
        <v>2237</v>
      </c>
      <c r="L448" s="496" t="s">
        <v>1772</v>
      </c>
      <c r="M448" s="500" t="s">
        <v>1755</v>
      </c>
      <c r="N448" s="496" t="s">
        <v>1773</v>
      </c>
      <c r="O448" s="496" t="s">
        <v>2234</v>
      </c>
      <c r="P448" s="489">
        <v>117924.024</v>
      </c>
      <c r="Q448" s="489">
        <f t="shared" si="91"/>
        <v>139150.34831999999</v>
      </c>
      <c r="R448" s="489">
        <v>86545.566000000006</v>
      </c>
      <c r="S448" s="401" t="s">
        <v>1774</v>
      </c>
      <c r="T448" s="501">
        <v>1.087</v>
      </c>
      <c r="U448" s="501">
        <v>1.077</v>
      </c>
      <c r="V448" s="501">
        <v>1.073</v>
      </c>
      <c r="W448" s="501">
        <v>1.071</v>
      </c>
      <c r="X448" s="596">
        <v>0.9</v>
      </c>
      <c r="Y448" s="502">
        <v>104763.408</v>
      </c>
      <c r="Z448" s="489">
        <f t="shared" si="92"/>
        <v>123620.82143999999</v>
      </c>
      <c r="AA448" s="489">
        <v>100235.421</v>
      </c>
      <c r="AB448" s="488">
        <f t="shared" si="88"/>
        <v>118277.79677999999</v>
      </c>
      <c r="AC448" s="492">
        <f t="shared" si="93"/>
        <v>100235.421</v>
      </c>
      <c r="AD448" s="493">
        <f t="shared" si="94"/>
        <v>118277.79677999999</v>
      </c>
      <c r="AE448" s="494" t="s">
        <v>1775</v>
      </c>
      <c r="AF448" s="494" t="s">
        <v>83</v>
      </c>
      <c r="AG448" s="494" t="s">
        <v>211</v>
      </c>
      <c r="AH448" s="494" t="s">
        <v>545</v>
      </c>
      <c r="AI448" s="495">
        <v>41897</v>
      </c>
      <c r="AJ448" s="495">
        <v>41932</v>
      </c>
      <c r="AK448" s="494" t="s">
        <v>96</v>
      </c>
      <c r="AL448" s="494" t="s">
        <v>96</v>
      </c>
      <c r="AM448" s="496" t="s">
        <v>2238</v>
      </c>
      <c r="AN448" s="496" t="s">
        <v>1757</v>
      </c>
      <c r="AO448" s="494">
        <v>796</v>
      </c>
      <c r="AP448" s="494" t="s">
        <v>368</v>
      </c>
      <c r="AQ448" s="494">
        <v>1</v>
      </c>
      <c r="AR448" s="494">
        <v>46</v>
      </c>
      <c r="AS448" s="496" t="s">
        <v>605</v>
      </c>
      <c r="AT448" s="495">
        <v>41952</v>
      </c>
      <c r="AU448" s="495">
        <v>41952</v>
      </c>
      <c r="AV448" s="495">
        <v>42369</v>
      </c>
      <c r="AW448" s="494" t="s">
        <v>99</v>
      </c>
      <c r="AX448" s="496"/>
      <c r="AY448" s="494" t="s">
        <v>186</v>
      </c>
      <c r="AZ448" s="494"/>
      <c r="BA448" s="494">
        <v>2014</v>
      </c>
      <c r="BB448" s="494" t="s">
        <v>2298</v>
      </c>
      <c r="BC448" s="496" t="s">
        <v>2299</v>
      </c>
      <c r="BD448" s="496" t="s">
        <v>1818</v>
      </c>
      <c r="BE448" s="497">
        <v>42384</v>
      </c>
      <c r="BF448" s="498">
        <v>150228.29120419998</v>
      </c>
      <c r="BG448" s="488">
        <v>155726.19399999999</v>
      </c>
      <c r="BH448" s="488">
        <v>1.26</v>
      </c>
      <c r="BI448" s="488">
        <v>19</v>
      </c>
      <c r="BJ448" s="494" t="s">
        <v>186</v>
      </c>
      <c r="BK448" s="401"/>
    </row>
    <row r="449" spans="1:63" ht="112.5">
      <c r="A449" s="401">
        <v>2</v>
      </c>
      <c r="B449" s="494" t="s">
        <v>2300</v>
      </c>
      <c r="C449" s="401" t="s">
        <v>83</v>
      </c>
      <c r="D449" s="401" t="s">
        <v>213</v>
      </c>
      <c r="E449" s="494" t="s">
        <v>5853</v>
      </c>
      <c r="F449" s="401" t="s">
        <v>1768</v>
      </c>
      <c r="G449" s="401" t="s">
        <v>1769</v>
      </c>
      <c r="H449" s="499">
        <v>825173</v>
      </c>
      <c r="I449" s="486" t="s">
        <v>2301</v>
      </c>
      <c r="J449" s="496" t="s">
        <v>2237</v>
      </c>
      <c r="K449" s="496" t="s">
        <v>2237</v>
      </c>
      <c r="L449" s="496" t="s">
        <v>1772</v>
      </c>
      <c r="M449" s="500" t="s">
        <v>1755</v>
      </c>
      <c r="N449" s="496" t="s">
        <v>1773</v>
      </c>
      <c r="O449" s="496" t="s">
        <v>2234</v>
      </c>
      <c r="P449" s="489">
        <v>7128.0010000000002</v>
      </c>
      <c r="Q449" s="489">
        <f t="shared" si="91"/>
        <v>8411.0411800000002</v>
      </c>
      <c r="R449" s="489">
        <v>5215.1719999999996</v>
      </c>
      <c r="S449" s="401" t="s">
        <v>1774</v>
      </c>
      <c r="T449" s="501">
        <v>1.087</v>
      </c>
      <c r="U449" s="501">
        <v>1.077</v>
      </c>
      <c r="V449" s="501">
        <v>1.073</v>
      </c>
      <c r="W449" s="501">
        <v>1.071</v>
      </c>
      <c r="X449" s="596">
        <v>0.9</v>
      </c>
      <c r="Y449" s="502">
        <v>6312.9660000000003</v>
      </c>
      <c r="Z449" s="489">
        <f t="shared" si="92"/>
        <v>7449.2998799999996</v>
      </c>
      <c r="AA449" s="489">
        <v>6056.8010000000004</v>
      </c>
      <c r="AB449" s="488">
        <f t="shared" si="88"/>
        <v>7147.0251799999996</v>
      </c>
      <c r="AC449" s="492">
        <f t="shared" si="93"/>
        <v>6056.8010000000004</v>
      </c>
      <c r="AD449" s="493">
        <f t="shared" si="94"/>
        <v>7147.0251799999996</v>
      </c>
      <c r="AE449" s="494" t="s">
        <v>1775</v>
      </c>
      <c r="AF449" s="494" t="s">
        <v>83</v>
      </c>
      <c r="AG449" s="494" t="s">
        <v>211</v>
      </c>
      <c r="AH449" s="494" t="s">
        <v>545</v>
      </c>
      <c r="AI449" s="495">
        <v>41897</v>
      </c>
      <c r="AJ449" s="495">
        <v>41932</v>
      </c>
      <c r="AK449" s="494" t="s">
        <v>96</v>
      </c>
      <c r="AL449" s="494" t="s">
        <v>96</v>
      </c>
      <c r="AM449" s="496" t="s">
        <v>2238</v>
      </c>
      <c r="AN449" s="496" t="s">
        <v>1757</v>
      </c>
      <c r="AO449" s="494">
        <v>796</v>
      </c>
      <c r="AP449" s="494" t="s">
        <v>368</v>
      </c>
      <c r="AQ449" s="494">
        <v>1</v>
      </c>
      <c r="AR449" s="494">
        <v>46</v>
      </c>
      <c r="AS449" s="496" t="s">
        <v>605</v>
      </c>
      <c r="AT449" s="495">
        <v>41952</v>
      </c>
      <c r="AU449" s="495">
        <v>41952</v>
      </c>
      <c r="AV449" s="495">
        <v>42369</v>
      </c>
      <c r="AW449" s="494" t="s">
        <v>99</v>
      </c>
      <c r="AX449" s="496"/>
      <c r="AY449" s="494" t="s">
        <v>186</v>
      </c>
      <c r="AZ449" s="494"/>
      <c r="BA449" s="494">
        <v>2014</v>
      </c>
      <c r="BB449" s="494" t="s">
        <v>2302</v>
      </c>
      <c r="BC449" s="496" t="s">
        <v>2303</v>
      </c>
      <c r="BD449" s="496" t="s">
        <v>1818</v>
      </c>
      <c r="BE449" s="497">
        <v>42384</v>
      </c>
      <c r="BF449" s="498">
        <v>8738.9895293999998</v>
      </c>
      <c r="BG449" s="488">
        <v>8738.9895293999998</v>
      </c>
      <c r="BH449" s="488">
        <v>0</v>
      </c>
      <c r="BI449" s="488">
        <v>1.5</v>
      </c>
      <c r="BJ449" s="494" t="s">
        <v>186</v>
      </c>
      <c r="BK449" s="401"/>
    </row>
    <row r="450" spans="1:63" ht="112.5">
      <c r="A450" s="401">
        <v>2</v>
      </c>
      <c r="B450" s="494" t="s">
        <v>2304</v>
      </c>
      <c r="C450" s="401" t="s">
        <v>83</v>
      </c>
      <c r="D450" s="401" t="s">
        <v>213</v>
      </c>
      <c r="E450" s="494" t="s">
        <v>5853</v>
      </c>
      <c r="F450" s="401" t="s">
        <v>1768</v>
      </c>
      <c r="G450" s="401" t="s">
        <v>1769</v>
      </c>
      <c r="H450" s="499">
        <v>825174</v>
      </c>
      <c r="I450" s="486" t="s">
        <v>2305</v>
      </c>
      <c r="J450" s="496" t="s">
        <v>2237</v>
      </c>
      <c r="K450" s="496" t="s">
        <v>2237</v>
      </c>
      <c r="L450" s="496" t="s">
        <v>1772</v>
      </c>
      <c r="M450" s="500" t="s">
        <v>1755</v>
      </c>
      <c r="N450" s="496" t="s">
        <v>1773</v>
      </c>
      <c r="O450" s="496" t="s">
        <v>2234</v>
      </c>
      <c r="P450" s="489">
        <v>33053.692000000003</v>
      </c>
      <c r="Q450" s="489">
        <f t="shared" si="91"/>
        <v>39003.35656</v>
      </c>
      <c r="R450" s="489">
        <v>24250.519</v>
      </c>
      <c r="S450" s="401" t="s">
        <v>1774</v>
      </c>
      <c r="T450" s="501">
        <v>1.087</v>
      </c>
      <c r="U450" s="501">
        <v>1.077</v>
      </c>
      <c r="V450" s="501">
        <v>1.073</v>
      </c>
      <c r="W450" s="501">
        <v>1.071</v>
      </c>
      <c r="X450" s="596">
        <v>0.9</v>
      </c>
      <c r="Y450" s="502">
        <v>29355.253000000001</v>
      </c>
      <c r="Z450" s="489">
        <f t="shared" si="92"/>
        <v>34639.198539999998</v>
      </c>
      <c r="AA450" s="489">
        <v>28095.637999999999</v>
      </c>
      <c r="AB450" s="488">
        <f t="shared" si="88"/>
        <v>33152.85284</v>
      </c>
      <c r="AC450" s="492">
        <f t="shared" si="93"/>
        <v>28095.637999999999</v>
      </c>
      <c r="AD450" s="493">
        <f t="shared" si="94"/>
        <v>33152.85284</v>
      </c>
      <c r="AE450" s="494" t="s">
        <v>1775</v>
      </c>
      <c r="AF450" s="494" t="s">
        <v>83</v>
      </c>
      <c r="AG450" s="494" t="s">
        <v>211</v>
      </c>
      <c r="AH450" s="494" t="s">
        <v>545</v>
      </c>
      <c r="AI450" s="495">
        <v>41897</v>
      </c>
      <c r="AJ450" s="495">
        <v>41932</v>
      </c>
      <c r="AK450" s="494" t="s">
        <v>96</v>
      </c>
      <c r="AL450" s="494" t="s">
        <v>96</v>
      </c>
      <c r="AM450" s="496" t="s">
        <v>2238</v>
      </c>
      <c r="AN450" s="496" t="s">
        <v>1757</v>
      </c>
      <c r="AO450" s="494">
        <v>796</v>
      </c>
      <c r="AP450" s="494" t="s">
        <v>368</v>
      </c>
      <c r="AQ450" s="494">
        <v>1</v>
      </c>
      <c r="AR450" s="494">
        <v>46</v>
      </c>
      <c r="AS450" s="496" t="s">
        <v>605</v>
      </c>
      <c r="AT450" s="495">
        <v>41952</v>
      </c>
      <c r="AU450" s="495">
        <v>41952</v>
      </c>
      <c r="AV450" s="495">
        <v>42369</v>
      </c>
      <c r="AW450" s="494" t="s">
        <v>99</v>
      </c>
      <c r="AX450" s="496"/>
      <c r="AY450" s="494" t="s">
        <v>186</v>
      </c>
      <c r="AZ450" s="494"/>
      <c r="BA450" s="494">
        <v>2014</v>
      </c>
      <c r="BB450" s="494" t="s">
        <v>2306</v>
      </c>
      <c r="BC450" s="496" t="s">
        <v>2307</v>
      </c>
      <c r="BD450" s="496" t="s">
        <v>1818</v>
      </c>
      <c r="BE450" s="497">
        <v>42384</v>
      </c>
      <c r="BF450" s="498">
        <v>42263.839080399994</v>
      </c>
      <c r="BG450" s="488">
        <v>42263.839080399994</v>
      </c>
      <c r="BH450" s="488">
        <v>0</v>
      </c>
      <c r="BI450" s="488">
        <v>10.8</v>
      </c>
      <c r="BJ450" s="494" t="s">
        <v>186</v>
      </c>
      <c r="BK450" s="401"/>
    </row>
    <row r="451" spans="1:63" ht="112.5">
      <c r="A451" s="401">
        <v>2</v>
      </c>
      <c r="B451" s="494" t="s">
        <v>2308</v>
      </c>
      <c r="C451" s="401" t="s">
        <v>83</v>
      </c>
      <c r="D451" s="401" t="s">
        <v>213</v>
      </c>
      <c r="E451" s="494" t="s">
        <v>5853</v>
      </c>
      <c r="F451" s="401" t="s">
        <v>1768</v>
      </c>
      <c r="G451" s="401" t="s">
        <v>1769</v>
      </c>
      <c r="H451" s="499">
        <v>825175</v>
      </c>
      <c r="I451" s="486" t="s">
        <v>2309</v>
      </c>
      <c r="J451" s="496" t="s">
        <v>2237</v>
      </c>
      <c r="K451" s="496" t="s">
        <v>2237</v>
      </c>
      <c r="L451" s="496" t="s">
        <v>1772</v>
      </c>
      <c r="M451" s="500" t="s">
        <v>1755</v>
      </c>
      <c r="N451" s="496" t="s">
        <v>1773</v>
      </c>
      <c r="O451" s="496" t="s">
        <v>2234</v>
      </c>
      <c r="P451" s="489">
        <v>74346.664999999994</v>
      </c>
      <c r="Q451" s="489">
        <f t="shared" si="91"/>
        <v>87729.064699999988</v>
      </c>
      <c r="R451" s="489">
        <v>54126.239999999998</v>
      </c>
      <c r="S451" s="401" t="s">
        <v>1774</v>
      </c>
      <c r="T451" s="501">
        <v>1.087</v>
      </c>
      <c r="U451" s="501">
        <v>1.077</v>
      </c>
      <c r="V451" s="501">
        <v>1.073</v>
      </c>
      <c r="W451" s="501">
        <v>1.071</v>
      </c>
      <c r="X451" s="596">
        <v>0.9</v>
      </c>
      <c r="Y451" s="502">
        <v>65519.813999999998</v>
      </c>
      <c r="Z451" s="489">
        <f t="shared" si="92"/>
        <v>77313.380519999992</v>
      </c>
      <c r="AA451" s="489">
        <v>63194.665000000001</v>
      </c>
      <c r="AB451" s="488">
        <f t="shared" si="88"/>
        <v>74569.704700000002</v>
      </c>
      <c r="AC451" s="492">
        <f t="shared" si="93"/>
        <v>63194.665000000001</v>
      </c>
      <c r="AD451" s="493">
        <f t="shared" si="94"/>
        <v>74569.704700000002</v>
      </c>
      <c r="AE451" s="494" t="s">
        <v>1775</v>
      </c>
      <c r="AF451" s="494" t="s">
        <v>83</v>
      </c>
      <c r="AG451" s="494" t="s">
        <v>211</v>
      </c>
      <c r="AH451" s="494" t="s">
        <v>545</v>
      </c>
      <c r="AI451" s="495">
        <v>41897</v>
      </c>
      <c r="AJ451" s="495">
        <v>41932</v>
      </c>
      <c r="AK451" s="494" t="s">
        <v>96</v>
      </c>
      <c r="AL451" s="494" t="s">
        <v>96</v>
      </c>
      <c r="AM451" s="496" t="s">
        <v>2238</v>
      </c>
      <c r="AN451" s="496" t="s">
        <v>1757</v>
      </c>
      <c r="AO451" s="494">
        <v>796</v>
      </c>
      <c r="AP451" s="494" t="s">
        <v>368</v>
      </c>
      <c r="AQ451" s="494">
        <v>1</v>
      </c>
      <c r="AR451" s="494">
        <v>46</v>
      </c>
      <c r="AS451" s="496" t="s">
        <v>605</v>
      </c>
      <c r="AT451" s="495">
        <v>41952</v>
      </c>
      <c r="AU451" s="495">
        <v>41952</v>
      </c>
      <c r="AV451" s="495">
        <v>42369</v>
      </c>
      <c r="AW451" s="494" t="s">
        <v>99</v>
      </c>
      <c r="AX451" s="496"/>
      <c r="AY451" s="494" t="s">
        <v>186</v>
      </c>
      <c r="AZ451" s="494"/>
      <c r="BA451" s="494">
        <v>2014</v>
      </c>
      <c r="BB451" s="494" t="s">
        <v>2310</v>
      </c>
      <c r="BC451" s="496" t="s">
        <v>2311</v>
      </c>
      <c r="BD451" s="496" t="s">
        <v>1818</v>
      </c>
      <c r="BE451" s="497">
        <v>42384</v>
      </c>
      <c r="BF451" s="498">
        <v>83869.101552200009</v>
      </c>
      <c r="BG451" s="488">
        <v>83869.101552200009</v>
      </c>
      <c r="BH451" s="488">
        <v>0</v>
      </c>
      <c r="BI451" s="488">
        <v>12.8</v>
      </c>
      <c r="BJ451" s="494" t="s">
        <v>186</v>
      </c>
      <c r="BK451" s="401"/>
    </row>
    <row r="452" spans="1:63" ht="131.25">
      <c r="A452" s="401">
        <v>2</v>
      </c>
      <c r="B452" s="494" t="s">
        <v>2312</v>
      </c>
      <c r="C452" s="401" t="s">
        <v>83</v>
      </c>
      <c r="D452" s="401" t="s">
        <v>213</v>
      </c>
      <c r="E452" s="494" t="s">
        <v>5853</v>
      </c>
      <c r="F452" s="401" t="s">
        <v>1768</v>
      </c>
      <c r="G452" s="401" t="s">
        <v>1769</v>
      </c>
      <c r="H452" s="499">
        <v>825176</v>
      </c>
      <c r="I452" s="486" t="s">
        <v>2313</v>
      </c>
      <c r="J452" s="496" t="s">
        <v>2237</v>
      </c>
      <c r="K452" s="496" t="s">
        <v>2237</v>
      </c>
      <c r="L452" s="496" t="s">
        <v>1772</v>
      </c>
      <c r="M452" s="500" t="s">
        <v>1755</v>
      </c>
      <c r="N452" s="496" t="s">
        <v>1773</v>
      </c>
      <c r="O452" s="496" t="s">
        <v>2234</v>
      </c>
      <c r="P452" s="489">
        <v>44883.284</v>
      </c>
      <c r="Q452" s="489">
        <f t="shared" si="91"/>
        <v>52962.275119999998</v>
      </c>
      <c r="R452" s="489">
        <v>32560.227999999999</v>
      </c>
      <c r="S452" s="401" t="s">
        <v>1774</v>
      </c>
      <c r="T452" s="501">
        <v>1.087</v>
      </c>
      <c r="U452" s="501">
        <v>1.077</v>
      </c>
      <c r="V452" s="501">
        <v>1.073</v>
      </c>
      <c r="W452" s="501">
        <v>1.071</v>
      </c>
      <c r="X452" s="596">
        <v>0.9</v>
      </c>
      <c r="Y452" s="502">
        <v>39414.156000000003</v>
      </c>
      <c r="Z452" s="489">
        <f t="shared" si="92"/>
        <v>46508.704080000003</v>
      </c>
      <c r="AA452" s="489">
        <v>38150.792000000001</v>
      </c>
      <c r="AB452" s="488">
        <f t="shared" si="88"/>
        <v>45017.934560000002</v>
      </c>
      <c r="AC452" s="492">
        <f t="shared" si="93"/>
        <v>38150.792000000001</v>
      </c>
      <c r="AD452" s="493">
        <f t="shared" si="94"/>
        <v>45017.934560000002</v>
      </c>
      <c r="AE452" s="494" t="s">
        <v>1775</v>
      </c>
      <c r="AF452" s="494" t="s">
        <v>83</v>
      </c>
      <c r="AG452" s="494" t="s">
        <v>211</v>
      </c>
      <c r="AH452" s="494" t="s">
        <v>545</v>
      </c>
      <c r="AI452" s="495">
        <v>41897</v>
      </c>
      <c r="AJ452" s="495">
        <v>41932</v>
      </c>
      <c r="AK452" s="494" t="s">
        <v>96</v>
      </c>
      <c r="AL452" s="494" t="s">
        <v>96</v>
      </c>
      <c r="AM452" s="496" t="s">
        <v>2238</v>
      </c>
      <c r="AN452" s="496" t="s">
        <v>1757</v>
      </c>
      <c r="AO452" s="494">
        <v>796</v>
      </c>
      <c r="AP452" s="494" t="s">
        <v>368</v>
      </c>
      <c r="AQ452" s="494">
        <v>1</v>
      </c>
      <c r="AR452" s="494">
        <v>46</v>
      </c>
      <c r="AS452" s="496" t="s">
        <v>605</v>
      </c>
      <c r="AT452" s="495">
        <v>41952</v>
      </c>
      <c r="AU452" s="495">
        <v>41952</v>
      </c>
      <c r="AV452" s="495">
        <v>42369</v>
      </c>
      <c r="AW452" s="494" t="s">
        <v>99</v>
      </c>
      <c r="AX452" s="496"/>
      <c r="AY452" s="494" t="s">
        <v>186</v>
      </c>
      <c r="AZ452" s="494"/>
      <c r="BA452" s="494">
        <v>2014</v>
      </c>
      <c r="BB452" s="494" t="s">
        <v>2314</v>
      </c>
      <c r="BC452" s="496" t="s">
        <v>2315</v>
      </c>
      <c r="BD452" s="496" t="s">
        <v>1818</v>
      </c>
      <c r="BE452" s="497">
        <v>42384</v>
      </c>
      <c r="BF452" s="498">
        <v>49961.305503799987</v>
      </c>
      <c r="BG452" s="488">
        <v>49961.305503799987</v>
      </c>
      <c r="BH452" s="488">
        <v>0.8</v>
      </c>
      <c r="BI452" s="488">
        <v>8.1</v>
      </c>
      <c r="BJ452" s="494" t="s">
        <v>186</v>
      </c>
      <c r="BK452" s="401"/>
    </row>
    <row r="453" spans="1:63" ht="112.5">
      <c r="A453" s="401">
        <v>2</v>
      </c>
      <c r="B453" s="494" t="s">
        <v>2316</v>
      </c>
      <c r="C453" s="401" t="s">
        <v>83</v>
      </c>
      <c r="D453" s="401" t="s">
        <v>213</v>
      </c>
      <c r="E453" s="494" t="s">
        <v>5853</v>
      </c>
      <c r="F453" s="401" t="s">
        <v>1768</v>
      </c>
      <c r="G453" s="401" t="s">
        <v>1769</v>
      </c>
      <c r="H453" s="499">
        <v>825177</v>
      </c>
      <c r="I453" s="486" t="s">
        <v>2317</v>
      </c>
      <c r="J453" s="496" t="s">
        <v>2237</v>
      </c>
      <c r="K453" s="496" t="s">
        <v>2237</v>
      </c>
      <c r="L453" s="496" t="s">
        <v>1772</v>
      </c>
      <c r="M453" s="500" t="s">
        <v>1755</v>
      </c>
      <c r="N453" s="496" t="s">
        <v>1773</v>
      </c>
      <c r="O453" s="496" t="s">
        <v>2234</v>
      </c>
      <c r="P453" s="489">
        <v>94136.212</v>
      </c>
      <c r="Q453" s="489">
        <f t="shared" si="91"/>
        <v>111080.73015999999</v>
      </c>
      <c r="R453" s="489">
        <v>68511.83</v>
      </c>
      <c r="S453" s="401" t="s">
        <v>1774</v>
      </c>
      <c r="T453" s="501">
        <v>1.087</v>
      </c>
      <c r="U453" s="501">
        <v>1.077</v>
      </c>
      <c r="V453" s="501">
        <v>1.073</v>
      </c>
      <c r="W453" s="501">
        <v>1.071</v>
      </c>
      <c r="X453" s="596">
        <v>0.9</v>
      </c>
      <c r="Y453" s="502">
        <v>82933.570000000007</v>
      </c>
      <c r="Z453" s="489">
        <f t="shared" si="92"/>
        <v>97861.612600000008</v>
      </c>
      <c r="AA453" s="489">
        <v>80015.78</v>
      </c>
      <c r="AB453" s="488">
        <f t="shared" si="88"/>
        <v>94418.6204</v>
      </c>
      <c r="AC453" s="492">
        <f t="shared" si="93"/>
        <v>80015.78</v>
      </c>
      <c r="AD453" s="493">
        <f t="shared" si="94"/>
        <v>94418.6204</v>
      </c>
      <c r="AE453" s="494" t="s">
        <v>1775</v>
      </c>
      <c r="AF453" s="494" t="s">
        <v>83</v>
      </c>
      <c r="AG453" s="494" t="s">
        <v>211</v>
      </c>
      <c r="AH453" s="494" t="s">
        <v>545</v>
      </c>
      <c r="AI453" s="495">
        <v>41897</v>
      </c>
      <c r="AJ453" s="495">
        <v>41932</v>
      </c>
      <c r="AK453" s="494" t="s">
        <v>96</v>
      </c>
      <c r="AL453" s="494" t="s">
        <v>96</v>
      </c>
      <c r="AM453" s="496" t="s">
        <v>2238</v>
      </c>
      <c r="AN453" s="496" t="s">
        <v>1757</v>
      </c>
      <c r="AO453" s="494">
        <v>796</v>
      </c>
      <c r="AP453" s="494" t="s">
        <v>368</v>
      </c>
      <c r="AQ453" s="494">
        <v>1</v>
      </c>
      <c r="AR453" s="494">
        <v>46</v>
      </c>
      <c r="AS453" s="496" t="s">
        <v>605</v>
      </c>
      <c r="AT453" s="495">
        <v>41952</v>
      </c>
      <c r="AU453" s="495">
        <v>41952</v>
      </c>
      <c r="AV453" s="495">
        <v>42369</v>
      </c>
      <c r="AW453" s="494" t="s">
        <v>99</v>
      </c>
      <c r="AX453" s="496"/>
      <c r="AY453" s="494" t="s">
        <v>186</v>
      </c>
      <c r="AZ453" s="494"/>
      <c r="BA453" s="494">
        <v>2014</v>
      </c>
      <c r="BB453" s="494" t="s">
        <v>2318</v>
      </c>
      <c r="BC453" s="496" t="s">
        <v>2319</v>
      </c>
      <c r="BD453" s="496" t="s">
        <v>1818</v>
      </c>
      <c r="BE453" s="497">
        <v>42384</v>
      </c>
      <c r="BF453" s="498">
        <v>109119.906932</v>
      </c>
      <c r="BG453" s="488">
        <v>100308.879</v>
      </c>
      <c r="BH453" s="488">
        <v>0</v>
      </c>
      <c r="BI453" s="488">
        <v>12.899999999999999</v>
      </c>
      <c r="BJ453" s="494" t="s">
        <v>186</v>
      </c>
      <c r="BK453" s="401"/>
    </row>
    <row r="454" spans="1:63" ht="112.5">
      <c r="A454" s="401">
        <v>2</v>
      </c>
      <c r="B454" s="494" t="s">
        <v>2320</v>
      </c>
      <c r="C454" s="401" t="s">
        <v>83</v>
      </c>
      <c r="D454" s="401" t="s">
        <v>213</v>
      </c>
      <c r="E454" s="494" t="s">
        <v>5853</v>
      </c>
      <c r="F454" s="401" t="s">
        <v>1768</v>
      </c>
      <c r="G454" s="401" t="s">
        <v>1769</v>
      </c>
      <c r="H454" s="499">
        <v>825178</v>
      </c>
      <c r="I454" s="486" t="s">
        <v>2321</v>
      </c>
      <c r="J454" s="496" t="s">
        <v>2237</v>
      </c>
      <c r="K454" s="496" t="s">
        <v>2237</v>
      </c>
      <c r="L454" s="496" t="s">
        <v>1772</v>
      </c>
      <c r="M454" s="500" t="s">
        <v>1755</v>
      </c>
      <c r="N454" s="496" t="s">
        <v>1773</v>
      </c>
      <c r="O454" s="496" t="s">
        <v>2234</v>
      </c>
      <c r="P454" s="489">
        <v>6202.7269999999999</v>
      </c>
      <c r="Q454" s="489">
        <f t="shared" si="91"/>
        <v>7319.2178599999997</v>
      </c>
      <c r="R454" s="489">
        <v>4534.3580000000002</v>
      </c>
      <c r="S454" s="401" t="s">
        <v>1774</v>
      </c>
      <c r="T454" s="501">
        <v>1.087</v>
      </c>
      <c r="U454" s="501">
        <v>1.077</v>
      </c>
      <c r="V454" s="501">
        <v>1.073</v>
      </c>
      <c r="W454" s="501">
        <v>1.071</v>
      </c>
      <c r="X454" s="596">
        <v>0.9</v>
      </c>
      <c r="Y454" s="502">
        <v>5488.8410000000003</v>
      </c>
      <c r="Z454" s="489">
        <f t="shared" si="92"/>
        <v>6476.8323799999998</v>
      </c>
      <c r="AA454" s="489">
        <v>5272.3180000000002</v>
      </c>
      <c r="AB454" s="488">
        <f t="shared" si="88"/>
        <v>6221.3352400000003</v>
      </c>
      <c r="AC454" s="492">
        <f t="shared" si="93"/>
        <v>5272.3180000000002</v>
      </c>
      <c r="AD454" s="493">
        <f t="shared" si="94"/>
        <v>6221.3352400000003</v>
      </c>
      <c r="AE454" s="494" t="s">
        <v>1775</v>
      </c>
      <c r="AF454" s="494" t="s">
        <v>83</v>
      </c>
      <c r="AG454" s="494" t="s">
        <v>211</v>
      </c>
      <c r="AH454" s="494" t="s">
        <v>545</v>
      </c>
      <c r="AI454" s="495">
        <v>41897</v>
      </c>
      <c r="AJ454" s="495">
        <v>41932</v>
      </c>
      <c r="AK454" s="494" t="s">
        <v>96</v>
      </c>
      <c r="AL454" s="494" t="s">
        <v>96</v>
      </c>
      <c r="AM454" s="496" t="s">
        <v>2238</v>
      </c>
      <c r="AN454" s="496" t="s">
        <v>1757</v>
      </c>
      <c r="AO454" s="494">
        <v>796</v>
      </c>
      <c r="AP454" s="494" t="s">
        <v>368</v>
      </c>
      <c r="AQ454" s="494">
        <v>1</v>
      </c>
      <c r="AR454" s="494">
        <v>46</v>
      </c>
      <c r="AS454" s="496" t="s">
        <v>605</v>
      </c>
      <c r="AT454" s="495">
        <v>41952</v>
      </c>
      <c r="AU454" s="495">
        <v>41952</v>
      </c>
      <c r="AV454" s="495">
        <v>42369</v>
      </c>
      <c r="AW454" s="494" t="s">
        <v>99</v>
      </c>
      <c r="AX454" s="496"/>
      <c r="AY454" s="494" t="s">
        <v>186</v>
      </c>
      <c r="AZ454" s="494"/>
      <c r="BA454" s="494">
        <v>2014</v>
      </c>
      <c r="BB454" s="494" t="s">
        <v>2322</v>
      </c>
      <c r="BC454" s="496" t="s">
        <v>2323</v>
      </c>
      <c r="BD454" s="496" t="s">
        <v>1818</v>
      </c>
      <c r="BE454" s="497">
        <v>42384</v>
      </c>
      <c r="BF454" s="498">
        <v>7566.9028453999999</v>
      </c>
      <c r="BG454" s="488">
        <v>7566.9028453999999</v>
      </c>
      <c r="BH454" s="488">
        <v>0</v>
      </c>
      <c r="BI454" s="488">
        <v>1.5</v>
      </c>
      <c r="BJ454" s="494" t="s">
        <v>186</v>
      </c>
      <c r="BK454" s="401"/>
    </row>
    <row r="455" spans="1:63" ht="112.5">
      <c r="A455" s="401">
        <v>2</v>
      </c>
      <c r="B455" s="494" t="s">
        <v>2324</v>
      </c>
      <c r="C455" s="401" t="s">
        <v>83</v>
      </c>
      <c r="D455" s="401" t="s">
        <v>235</v>
      </c>
      <c r="E455" s="494" t="s">
        <v>5853</v>
      </c>
      <c r="F455" s="401" t="s">
        <v>1768</v>
      </c>
      <c r="G455" s="401" t="s">
        <v>1769</v>
      </c>
      <c r="H455" s="499">
        <v>842475</v>
      </c>
      <c r="I455" s="486" t="s">
        <v>5647</v>
      </c>
      <c r="J455" s="496" t="s">
        <v>2237</v>
      </c>
      <c r="K455" s="496" t="s">
        <v>2237</v>
      </c>
      <c r="L455" s="496" t="s">
        <v>2325</v>
      </c>
      <c r="M455" s="500" t="s">
        <v>1755</v>
      </c>
      <c r="N455" s="496" t="s">
        <v>1773</v>
      </c>
      <c r="O455" s="496" t="s">
        <v>2234</v>
      </c>
      <c r="P455" s="489">
        <v>175289.08</v>
      </c>
      <c r="Q455" s="489">
        <f t="shared" si="91"/>
        <v>206841.11439999996</v>
      </c>
      <c r="R455" s="489">
        <v>130326.451</v>
      </c>
      <c r="S455" s="401" t="s">
        <v>1774</v>
      </c>
      <c r="T455" s="501">
        <v>1.087</v>
      </c>
      <c r="U455" s="501">
        <v>1.077</v>
      </c>
      <c r="V455" s="501">
        <v>1.073</v>
      </c>
      <c r="W455" s="501">
        <v>1.071</v>
      </c>
      <c r="X455" s="596">
        <v>0.9</v>
      </c>
      <c r="Y455" s="502">
        <v>157760.16899999999</v>
      </c>
      <c r="Z455" s="489">
        <f t="shared" si="92"/>
        <v>186156.99941999998</v>
      </c>
      <c r="AA455" s="489">
        <v>151634.80897619113</v>
      </c>
      <c r="AB455" s="488">
        <f t="shared" si="88"/>
        <v>178929.07459190552</v>
      </c>
      <c r="AC455" s="492">
        <f t="shared" si="93"/>
        <v>151634.80897619113</v>
      </c>
      <c r="AD455" s="493">
        <f t="shared" si="94"/>
        <v>178929.07459190552</v>
      </c>
      <c r="AE455" s="494" t="s">
        <v>218</v>
      </c>
      <c r="AF455" s="494" t="s">
        <v>83</v>
      </c>
      <c r="AG455" s="494" t="s">
        <v>211</v>
      </c>
      <c r="AH455" s="494" t="s">
        <v>545</v>
      </c>
      <c r="AI455" s="495">
        <v>41897</v>
      </c>
      <c r="AJ455" s="495">
        <v>41957</v>
      </c>
      <c r="AK455" s="494" t="s">
        <v>96</v>
      </c>
      <c r="AL455" s="494" t="s">
        <v>96</v>
      </c>
      <c r="AM455" s="496" t="s">
        <v>2238</v>
      </c>
      <c r="AN455" s="496" t="s">
        <v>1757</v>
      </c>
      <c r="AO455" s="494">
        <v>796</v>
      </c>
      <c r="AP455" s="494" t="s">
        <v>368</v>
      </c>
      <c r="AQ455" s="494">
        <v>1</v>
      </c>
      <c r="AR455" s="494">
        <v>46</v>
      </c>
      <c r="AS455" s="496" t="s">
        <v>605</v>
      </c>
      <c r="AT455" s="495">
        <f>AJ455+20</f>
        <v>41977</v>
      </c>
      <c r="AU455" s="495">
        <f>AT455</f>
        <v>41977</v>
      </c>
      <c r="AV455" s="495">
        <v>42227</v>
      </c>
      <c r="AW455" s="494" t="s">
        <v>99</v>
      </c>
      <c r="AX455" s="496"/>
      <c r="AY455" s="494" t="s">
        <v>186</v>
      </c>
      <c r="AZ455" s="494"/>
      <c r="BA455" s="494">
        <v>2014</v>
      </c>
      <c r="BB455" s="494" t="s">
        <v>2327</v>
      </c>
      <c r="BC455" s="496" t="s">
        <v>2328</v>
      </c>
      <c r="BD455" s="496" t="s">
        <v>1818</v>
      </c>
      <c r="BE455" s="497">
        <v>42277</v>
      </c>
      <c r="BF455" s="498">
        <v>189846.73</v>
      </c>
      <c r="BG455" s="488">
        <v>189846.73</v>
      </c>
      <c r="BH455" s="488">
        <v>0</v>
      </c>
      <c r="BI455" s="488">
        <v>9</v>
      </c>
      <c r="BJ455" s="494" t="s">
        <v>186</v>
      </c>
      <c r="BK455" s="401"/>
    </row>
    <row r="456" spans="1:63" ht="112.5">
      <c r="A456" s="401">
        <v>2</v>
      </c>
      <c r="B456" s="494" t="s">
        <v>2329</v>
      </c>
      <c r="C456" s="401" t="s">
        <v>83</v>
      </c>
      <c r="D456" s="401" t="s">
        <v>235</v>
      </c>
      <c r="E456" s="494" t="s">
        <v>5853</v>
      </c>
      <c r="F456" s="401" t="s">
        <v>1761</v>
      </c>
      <c r="G456" s="401" t="s">
        <v>1762</v>
      </c>
      <c r="H456" s="499">
        <v>842476</v>
      </c>
      <c r="I456" s="486" t="s">
        <v>5648</v>
      </c>
      <c r="J456" s="496" t="s">
        <v>2233</v>
      </c>
      <c r="K456" s="496" t="s">
        <v>2233</v>
      </c>
      <c r="L456" s="496" t="s">
        <v>2325</v>
      </c>
      <c r="M456" s="500" t="s">
        <v>1755</v>
      </c>
      <c r="N456" s="496" t="s">
        <v>1773</v>
      </c>
      <c r="O456" s="496" t="s">
        <v>2234</v>
      </c>
      <c r="P456" s="489">
        <v>3725.67</v>
      </c>
      <c r="Q456" s="489">
        <f t="shared" si="91"/>
        <v>4396.2906000000003</v>
      </c>
      <c r="R456" s="489">
        <v>1711.14</v>
      </c>
      <c r="S456" s="401" t="s">
        <v>1774</v>
      </c>
      <c r="T456" s="501">
        <v>1.087</v>
      </c>
      <c r="U456" s="501">
        <v>1.077</v>
      </c>
      <c r="V456" s="501">
        <v>1.073</v>
      </c>
      <c r="W456" s="501">
        <v>1.071</v>
      </c>
      <c r="X456" s="596">
        <v>0.9</v>
      </c>
      <c r="Y456" s="502">
        <v>2071.3349699999999</v>
      </c>
      <c r="Z456" s="489">
        <f t="shared" si="92"/>
        <v>2444.1752645999995</v>
      </c>
      <c r="AA456" s="489">
        <v>1895.2796089309336</v>
      </c>
      <c r="AB456" s="488">
        <f t="shared" si="88"/>
        <v>2236.4299385385016</v>
      </c>
      <c r="AC456" s="492">
        <f t="shared" si="93"/>
        <v>1895.2796089309336</v>
      </c>
      <c r="AD456" s="493">
        <f t="shared" si="94"/>
        <v>2236.4299385385016</v>
      </c>
      <c r="AE456" s="494" t="s">
        <v>1775</v>
      </c>
      <c r="AF456" s="494" t="s">
        <v>83</v>
      </c>
      <c r="AG456" s="494" t="s">
        <v>211</v>
      </c>
      <c r="AH456" s="494" t="s">
        <v>545</v>
      </c>
      <c r="AI456" s="495">
        <v>41852</v>
      </c>
      <c r="AJ456" s="495">
        <v>41887</v>
      </c>
      <c r="AK456" s="494" t="s">
        <v>96</v>
      </c>
      <c r="AL456" s="494" t="s">
        <v>96</v>
      </c>
      <c r="AM456" s="496" t="s">
        <v>1793</v>
      </c>
      <c r="AN456" s="496" t="s">
        <v>1757</v>
      </c>
      <c r="AO456" s="494">
        <v>796</v>
      </c>
      <c r="AP456" s="494" t="s">
        <v>368</v>
      </c>
      <c r="AQ456" s="494">
        <v>1</v>
      </c>
      <c r="AR456" s="494">
        <v>46</v>
      </c>
      <c r="AS456" s="496" t="s">
        <v>605</v>
      </c>
      <c r="AT456" s="495">
        <v>41907</v>
      </c>
      <c r="AU456" s="495">
        <v>41907</v>
      </c>
      <c r="AV456" s="495">
        <v>42685</v>
      </c>
      <c r="AW456" s="494" t="s">
        <v>1789</v>
      </c>
      <c r="AX456" s="496"/>
      <c r="AY456" s="494" t="s">
        <v>186</v>
      </c>
      <c r="AZ456" s="494"/>
      <c r="BA456" s="494">
        <v>2014</v>
      </c>
      <c r="BB456" s="494" t="s">
        <v>2330</v>
      </c>
      <c r="BC456" s="496" t="s">
        <v>2331</v>
      </c>
      <c r="BD456" s="496" t="s">
        <v>1818</v>
      </c>
      <c r="BE456" s="497">
        <v>42735</v>
      </c>
      <c r="BF456" s="498">
        <v>69198.649999999994</v>
      </c>
      <c r="BG456" s="488">
        <v>69198.649999999994</v>
      </c>
      <c r="BH456" s="488">
        <v>0</v>
      </c>
      <c r="BI456" s="488">
        <v>6.1</v>
      </c>
      <c r="BJ456" s="494" t="s">
        <v>186</v>
      </c>
      <c r="BK456" s="401"/>
    </row>
    <row r="457" spans="1:63" ht="112.5">
      <c r="A457" s="401">
        <v>2</v>
      </c>
      <c r="B457" s="494" t="s">
        <v>5649</v>
      </c>
      <c r="C457" s="401" t="s">
        <v>83</v>
      </c>
      <c r="D457" s="401" t="s">
        <v>235</v>
      </c>
      <c r="E457" s="494" t="s">
        <v>5853</v>
      </c>
      <c r="F457" s="401" t="s">
        <v>1795</v>
      </c>
      <c r="G457" s="401" t="s">
        <v>1769</v>
      </c>
      <c r="H457" s="499">
        <v>841373</v>
      </c>
      <c r="I457" s="486" t="s">
        <v>5650</v>
      </c>
      <c r="J457" s="496" t="s">
        <v>3898</v>
      </c>
      <c r="K457" s="496" t="s">
        <v>3898</v>
      </c>
      <c r="L457" s="496" t="s">
        <v>2325</v>
      </c>
      <c r="M457" s="500" t="s">
        <v>1755</v>
      </c>
      <c r="N457" s="496" t="s">
        <v>1773</v>
      </c>
      <c r="O457" s="496" t="s">
        <v>2234</v>
      </c>
      <c r="P457" s="489">
        <v>316407.10512651119</v>
      </c>
      <c r="Q457" s="489">
        <f t="shared" si="91"/>
        <v>373360.38404928317</v>
      </c>
      <c r="R457" s="489">
        <v>235186.17401949834</v>
      </c>
      <c r="S457" s="401" t="s">
        <v>1774</v>
      </c>
      <c r="T457" s="501">
        <v>1.087</v>
      </c>
      <c r="U457" s="501">
        <v>1.077</v>
      </c>
      <c r="V457" s="501">
        <v>1.073</v>
      </c>
      <c r="W457" s="501">
        <v>1.071</v>
      </c>
      <c r="X457" s="596">
        <v>0.9</v>
      </c>
      <c r="Y457" s="502">
        <v>284766.39461386006</v>
      </c>
      <c r="Z457" s="489">
        <f t="shared" si="92"/>
        <v>336024.34564435488</v>
      </c>
      <c r="AA457" s="489">
        <v>284130.33761837817</v>
      </c>
      <c r="AB457" s="488">
        <f t="shared" si="88"/>
        <v>335273.79838968621</v>
      </c>
      <c r="AC457" s="492">
        <f t="shared" si="93"/>
        <v>284130.33761837817</v>
      </c>
      <c r="AD457" s="493">
        <f t="shared" si="94"/>
        <v>335273.79838968621</v>
      </c>
      <c r="AE457" s="494" t="s">
        <v>218</v>
      </c>
      <c r="AF457" s="494" t="s">
        <v>83</v>
      </c>
      <c r="AG457" s="494" t="s">
        <v>211</v>
      </c>
      <c r="AH457" s="494" t="s">
        <v>545</v>
      </c>
      <c r="AI457" s="495">
        <v>41820</v>
      </c>
      <c r="AJ457" s="495">
        <v>41880</v>
      </c>
      <c r="AK457" s="494" t="s">
        <v>96</v>
      </c>
      <c r="AL457" s="494" t="s">
        <v>96</v>
      </c>
      <c r="AM457" s="496" t="s">
        <v>3899</v>
      </c>
      <c r="AN457" s="496" t="s">
        <v>1757</v>
      </c>
      <c r="AO457" s="494">
        <v>796</v>
      </c>
      <c r="AP457" s="494" t="s">
        <v>368</v>
      </c>
      <c r="AQ457" s="494">
        <v>1</v>
      </c>
      <c r="AR457" s="494">
        <v>46</v>
      </c>
      <c r="AS457" s="496" t="s">
        <v>605</v>
      </c>
      <c r="AT457" s="495">
        <f>AJ457+20</f>
        <v>41900</v>
      </c>
      <c r="AU457" s="495">
        <f>AT457</f>
        <v>41900</v>
      </c>
      <c r="AV457" s="495">
        <v>42958</v>
      </c>
      <c r="AW457" s="494" t="s">
        <v>1113</v>
      </c>
      <c r="AX457" s="496"/>
      <c r="AY457" s="494" t="s">
        <v>186</v>
      </c>
      <c r="AZ457" s="494"/>
      <c r="BA457" s="494">
        <v>2014</v>
      </c>
      <c r="BB457" s="494" t="s">
        <v>5651</v>
      </c>
      <c r="BC457" s="496" t="s">
        <v>5652</v>
      </c>
      <c r="BD457" s="496" t="s">
        <v>1818</v>
      </c>
      <c r="BE457" s="497">
        <v>43008</v>
      </c>
      <c r="BF457" s="498">
        <v>686706.23919999995</v>
      </c>
      <c r="BG457" s="488">
        <v>799751.24529065355</v>
      </c>
      <c r="BH457" s="488">
        <v>80</v>
      </c>
      <c r="BI457" s="488">
        <v>0</v>
      </c>
      <c r="BJ457" s="494" t="s">
        <v>186</v>
      </c>
      <c r="BK457" s="401"/>
    </row>
    <row r="458" spans="1:63" ht="112.5">
      <c r="A458" s="401">
        <v>2</v>
      </c>
      <c r="B458" s="494" t="s">
        <v>2332</v>
      </c>
      <c r="C458" s="401" t="s">
        <v>83</v>
      </c>
      <c r="D458" s="401" t="s">
        <v>235</v>
      </c>
      <c r="E458" s="494" t="s">
        <v>5853</v>
      </c>
      <c r="F458" s="401" t="s">
        <v>1795</v>
      </c>
      <c r="G458" s="401" t="s">
        <v>1769</v>
      </c>
      <c r="H458" s="499">
        <v>842480</v>
      </c>
      <c r="I458" s="486" t="s">
        <v>5653</v>
      </c>
      <c r="J458" s="496" t="s">
        <v>3898</v>
      </c>
      <c r="K458" s="496" t="s">
        <v>3898</v>
      </c>
      <c r="L458" s="496" t="s">
        <v>2325</v>
      </c>
      <c r="M458" s="500" t="s">
        <v>1755</v>
      </c>
      <c r="N458" s="496" t="s">
        <v>1773</v>
      </c>
      <c r="O458" s="496" t="s">
        <v>2234</v>
      </c>
      <c r="P458" s="489">
        <v>358233.49</v>
      </c>
      <c r="Q458" s="489">
        <f t="shared" si="91"/>
        <v>422715.51819999999</v>
      </c>
      <c r="R458" s="489">
        <v>151246.77793676045</v>
      </c>
      <c r="S458" s="401" t="s">
        <v>1774</v>
      </c>
      <c r="T458" s="501">
        <v>1.087</v>
      </c>
      <c r="U458" s="501">
        <v>1.077</v>
      </c>
      <c r="V458" s="501">
        <v>1.073</v>
      </c>
      <c r="W458" s="501">
        <v>1.071</v>
      </c>
      <c r="X458" s="596">
        <v>0.9</v>
      </c>
      <c r="Y458" s="502">
        <v>183131.51200139697</v>
      </c>
      <c r="Z458" s="489">
        <f t="shared" si="92"/>
        <v>216095.18416164842</v>
      </c>
      <c r="AA458" s="489">
        <v>119716.14936314002</v>
      </c>
      <c r="AB458" s="488">
        <f t="shared" si="88"/>
        <v>141265.05624850522</v>
      </c>
      <c r="AC458" s="492">
        <f t="shared" si="93"/>
        <v>119716.14936314002</v>
      </c>
      <c r="AD458" s="493">
        <f t="shared" si="94"/>
        <v>141265.05624850522</v>
      </c>
      <c r="AE458" s="494" t="s">
        <v>218</v>
      </c>
      <c r="AF458" s="494" t="s">
        <v>83</v>
      </c>
      <c r="AG458" s="494" t="s">
        <v>211</v>
      </c>
      <c r="AH458" s="494" t="s">
        <v>545</v>
      </c>
      <c r="AI458" s="495">
        <v>41922</v>
      </c>
      <c r="AJ458" s="495">
        <f>AI458+60</f>
        <v>41982</v>
      </c>
      <c r="AK458" s="494" t="s">
        <v>96</v>
      </c>
      <c r="AL458" s="494" t="s">
        <v>96</v>
      </c>
      <c r="AM458" s="496" t="s">
        <v>3899</v>
      </c>
      <c r="AN458" s="496" t="s">
        <v>1757</v>
      </c>
      <c r="AO458" s="494">
        <v>796</v>
      </c>
      <c r="AP458" s="494" t="s">
        <v>368</v>
      </c>
      <c r="AQ458" s="494">
        <v>1</v>
      </c>
      <c r="AR458" s="494">
        <v>46</v>
      </c>
      <c r="AS458" s="496" t="s">
        <v>605</v>
      </c>
      <c r="AT458" s="495">
        <f>AJ458+20</f>
        <v>42002</v>
      </c>
      <c r="AU458" s="495">
        <f>AT458</f>
        <v>42002</v>
      </c>
      <c r="AV458" s="495">
        <v>42958</v>
      </c>
      <c r="AW458" s="494" t="s">
        <v>1113</v>
      </c>
      <c r="AX458" s="496"/>
      <c r="AY458" s="494" t="s">
        <v>186</v>
      </c>
      <c r="AZ458" s="494"/>
      <c r="BA458" s="494">
        <v>2014</v>
      </c>
      <c r="BB458" s="494" t="s">
        <v>2333</v>
      </c>
      <c r="BC458" s="496" t="s">
        <v>2334</v>
      </c>
      <c r="BD458" s="496" t="s">
        <v>1818</v>
      </c>
      <c r="BE458" s="497">
        <v>43008</v>
      </c>
      <c r="BF458" s="498">
        <v>452934.12639999989</v>
      </c>
      <c r="BG458" s="488">
        <v>473392.37995196634</v>
      </c>
      <c r="BH458" s="488">
        <v>25</v>
      </c>
      <c r="BI458" s="488">
        <v>0</v>
      </c>
      <c r="BJ458" s="494" t="s">
        <v>186</v>
      </c>
      <c r="BK458" s="401"/>
    </row>
    <row r="459" spans="1:63" ht="112.5">
      <c r="A459" s="401">
        <v>2</v>
      </c>
      <c r="B459" s="494" t="s">
        <v>2335</v>
      </c>
      <c r="C459" s="401" t="s">
        <v>83</v>
      </c>
      <c r="D459" s="401" t="s">
        <v>235</v>
      </c>
      <c r="E459" s="494" t="s">
        <v>5853</v>
      </c>
      <c r="F459" s="401" t="s">
        <v>1795</v>
      </c>
      <c r="G459" s="401" t="s">
        <v>1769</v>
      </c>
      <c r="H459" s="499">
        <v>842481</v>
      </c>
      <c r="I459" s="486" t="s">
        <v>5654</v>
      </c>
      <c r="J459" s="496" t="s">
        <v>3898</v>
      </c>
      <c r="K459" s="496" t="s">
        <v>3898</v>
      </c>
      <c r="L459" s="496" t="s">
        <v>2325</v>
      </c>
      <c r="M459" s="500" t="s">
        <v>1755</v>
      </c>
      <c r="N459" s="496" t="s">
        <v>1773</v>
      </c>
      <c r="O459" s="496" t="s">
        <v>2234</v>
      </c>
      <c r="P459" s="489">
        <v>210887.24045762711</v>
      </c>
      <c r="Q459" s="489">
        <f t="shared" si="91"/>
        <v>248846.94373999999</v>
      </c>
      <c r="R459" s="489">
        <v>512986.18599999999</v>
      </c>
      <c r="S459" s="401" t="s">
        <v>1774</v>
      </c>
      <c r="T459" s="501">
        <v>1.087</v>
      </c>
      <c r="U459" s="501">
        <v>1.077</v>
      </c>
      <c r="V459" s="501">
        <v>1.073</v>
      </c>
      <c r="W459" s="501">
        <v>1.071</v>
      </c>
      <c r="X459" s="596">
        <v>0.9</v>
      </c>
      <c r="Y459" s="502">
        <v>189798.5164118644</v>
      </c>
      <c r="Z459" s="489">
        <f t="shared" si="92"/>
        <v>223962.24936599997</v>
      </c>
      <c r="AA459" s="489">
        <v>156369.33460929323</v>
      </c>
      <c r="AB459" s="488">
        <f t="shared" si="88"/>
        <v>184515.81483896601</v>
      </c>
      <c r="AC459" s="492">
        <f t="shared" si="93"/>
        <v>156369.33460929323</v>
      </c>
      <c r="AD459" s="493">
        <f t="shared" si="94"/>
        <v>184515.81483896601</v>
      </c>
      <c r="AE459" s="494" t="s">
        <v>218</v>
      </c>
      <c r="AF459" s="494" t="s">
        <v>83</v>
      </c>
      <c r="AG459" s="494" t="s">
        <v>211</v>
      </c>
      <c r="AH459" s="494" t="s">
        <v>545</v>
      </c>
      <c r="AI459" s="495">
        <v>41835</v>
      </c>
      <c r="AJ459" s="495">
        <v>41895</v>
      </c>
      <c r="AK459" s="494" t="s">
        <v>96</v>
      </c>
      <c r="AL459" s="494" t="s">
        <v>96</v>
      </c>
      <c r="AM459" s="496" t="s">
        <v>3899</v>
      </c>
      <c r="AN459" s="496" t="s">
        <v>1757</v>
      </c>
      <c r="AO459" s="494">
        <v>796</v>
      </c>
      <c r="AP459" s="494" t="s">
        <v>368</v>
      </c>
      <c r="AQ459" s="494">
        <v>1</v>
      </c>
      <c r="AR459" s="494">
        <v>46</v>
      </c>
      <c r="AS459" s="496" t="s">
        <v>605</v>
      </c>
      <c r="AT459" s="495">
        <v>41915</v>
      </c>
      <c r="AU459" s="495">
        <v>41915</v>
      </c>
      <c r="AV459" s="495">
        <v>42368</v>
      </c>
      <c r="AW459" s="494" t="s">
        <v>99</v>
      </c>
      <c r="AX459" s="496"/>
      <c r="AY459" s="494" t="s">
        <v>186</v>
      </c>
      <c r="AZ459" s="494"/>
      <c r="BA459" s="494">
        <v>2014</v>
      </c>
      <c r="BB459" s="494" t="s">
        <v>2336</v>
      </c>
      <c r="BC459" s="496" t="s">
        <v>2337</v>
      </c>
      <c r="BD459" s="496" t="s">
        <v>1818</v>
      </c>
      <c r="BE459" s="497">
        <v>42368</v>
      </c>
      <c r="BF459" s="498">
        <v>203903.92</v>
      </c>
      <c r="BG459" s="488">
        <v>203903.92</v>
      </c>
      <c r="BH459" s="488">
        <v>80</v>
      </c>
      <c r="BI459" s="488">
        <v>0</v>
      </c>
      <c r="BJ459" s="494" t="s">
        <v>186</v>
      </c>
      <c r="BK459" s="401"/>
    </row>
    <row r="460" spans="1:63" ht="112.5">
      <c r="A460" s="401">
        <v>2</v>
      </c>
      <c r="B460" s="494" t="s">
        <v>2338</v>
      </c>
      <c r="C460" s="401" t="s">
        <v>83</v>
      </c>
      <c r="D460" s="401" t="s">
        <v>235</v>
      </c>
      <c r="E460" s="494" t="s">
        <v>5853</v>
      </c>
      <c r="F460" s="401" t="s">
        <v>1795</v>
      </c>
      <c r="G460" s="401" t="s">
        <v>1769</v>
      </c>
      <c r="H460" s="499">
        <v>842482</v>
      </c>
      <c r="I460" s="486" t="s">
        <v>5655</v>
      </c>
      <c r="J460" s="496" t="s">
        <v>3898</v>
      </c>
      <c r="K460" s="496" t="s">
        <v>3898</v>
      </c>
      <c r="L460" s="496" t="s">
        <v>2325</v>
      </c>
      <c r="M460" s="500" t="s">
        <v>1755</v>
      </c>
      <c r="N460" s="496" t="s">
        <v>1773</v>
      </c>
      <c r="O460" s="496" t="s">
        <v>2234</v>
      </c>
      <c r="P460" s="489">
        <v>182414.95519000001</v>
      </c>
      <c r="Q460" s="489">
        <f t="shared" si="91"/>
        <v>215249.64712420001</v>
      </c>
      <c r="R460" s="489">
        <v>135624.50200000001</v>
      </c>
      <c r="S460" s="401" t="s">
        <v>1774</v>
      </c>
      <c r="T460" s="501">
        <v>1.087</v>
      </c>
      <c r="U460" s="501">
        <v>1.077</v>
      </c>
      <c r="V460" s="501">
        <v>1.073</v>
      </c>
      <c r="W460" s="501">
        <v>1.071</v>
      </c>
      <c r="X460" s="596">
        <v>0.9</v>
      </c>
      <c r="Y460" s="502">
        <v>164173.45967100002</v>
      </c>
      <c r="Z460" s="489">
        <f t="shared" si="92"/>
        <v>193724.68241178</v>
      </c>
      <c r="AA460" s="489">
        <v>82115.343701021862</v>
      </c>
      <c r="AB460" s="488">
        <f t="shared" si="88"/>
        <v>96896.105567205799</v>
      </c>
      <c r="AC460" s="492">
        <f t="shared" si="93"/>
        <v>82115.343701021862</v>
      </c>
      <c r="AD460" s="493">
        <f t="shared" si="94"/>
        <v>96896.105567205799</v>
      </c>
      <c r="AE460" s="494" t="s">
        <v>218</v>
      </c>
      <c r="AF460" s="494" t="s">
        <v>83</v>
      </c>
      <c r="AG460" s="494" t="s">
        <v>211</v>
      </c>
      <c r="AH460" s="494" t="s">
        <v>545</v>
      </c>
      <c r="AI460" s="495">
        <v>41835</v>
      </c>
      <c r="AJ460" s="495">
        <v>41834</v>
      </c>
      <c r="AK460" s="494" t="s">
        <v>96</v>
      </c>
      <c r="AL460" s="494" t="s">
        <v>96</v>
      </c>
      <c r="AM460" s="496" t="s">
        <v>3899</v>
      </c>
      <c r="AN460" s="496" t="s">
        <v>1757</v>
      </c>
      <c r="AO460" s="494">
        <v>796</v>
      </c>
      <c r="AP460" s="494" t="s">
        <v>368</v>
      </c>
      <c r="AQ460" s="494">
        <v>1</v>
      </c>
      <c r="AR460" s="494">
        <v>46</v>
      </c>
      <c r="AS460" s="496" t="s">
        <v>605</v>
      </c>
      <c r="AT460" s="495">
        <v>41854</v>
      </c>
      <c r="AU460" s="495">
        <v>41854</v>
      </c>
      <c r="AV460" s="495">
        <v>42368</v>
      </c>
      <c r="AW460" s="494" t="s">
        <v>99</v>
      </c>
      <c r="AX460" s="496"/>
      <c r="AY460" s="494" t="s">
        <v>186</v>
      </c>
      <c r="AZ460" s="494"/>
      <c r="BA460" s="494">
        <v>2014</v>
      </c>
      <c r="BB460" s="494" t="s">
        <v>2339</v>
      </c>
      <c r="BC460" s="496" t="s">
        <v>2340</v>
      </c>
      <c r="BD460" s="496" t="s">
        <v>1818</v>
      </c>
      <c r="BE460" s="497">
        <v>42368</v>
      </c>
      <c r="BF460" s="498">
        <v>216747.11999999997</v>
      </c>
      <c r="BG460" s="488">
        <v>222943.69810195838</v>
      </c>
      <c r="BH460" s="488">
        <v>40</v>
      </c>
      <c r="BI460" s="488">
        <v>0</v>
      </c>
      <c r="BJ460" s="494" t="s">
        <v>186</v>
      </c>
      <c r="BK460" s="401"/>
    </row>
    <row r="461" spans="1:63" ht="150">
      <c r="A461" s="401">
        <v>2</v>
      </c>
      <c r="B461" s="494" t="s">
        <v>2343</v>
      </c>
      <c r="C461" s="401" t="s">
        <v>83</v>
      </c>
      <c r="D461" s="401" t="s">
        <v>235</v>
      </c>
      <c r="E461" s="494" t="s">
        <v>5853</v>
      </c>
      <c r="F461" s="401" t="s">
        <v>1752</v>
      </c>
      <c r="G461" s="401" t="s">
        <v>2344</v>
      </c>
      <c r="H461" s="499">
        <v>842485</v>
      </c>
      <c r="I461" s="486" t="s">
        <v>5656</v>
      </c>
      <c r="J461" s="496" t="s">
        <v>5433</v>
      </c>
      <c r="K461" s="496" t="s">
        <v>5433</v>
      </c>
      <c r="L461" s="496" t="s">
        <v>2325</v>
      </c>
      <c r="M461" s="500" t="s">
        <v>1755</v>
      </c>
      <c r="N461" s="496" t="s">
        <v>1773</v>
      </c>
      <c r="O461" s="496" t="s">
        <v>2234</v>
      </c>
      <c r="P461" s="489">
        <v>2579.3150000000001</v>
      </c>
      <c r="Q461" s="489">
        <f t="shared" si="91"/>
        <v>3043.5916999999999</v>
      </c>
      <c r="R461" s="489">
        <v>2029.3520000000001</v>
      </c>
      <c r="S461" s="401" t="s">
        <v>1774</v>
      </c>
      <c r="T461" s="501">
        <v>1.087</v>
      </c>
      <c r="U461" s="501">
        <v>1.077</v>
      </c>
      <c r="V461" s="501">
        <v>1.073</v>
      </c>
      <c r="W461" s="501">
        <v>1.071</v>
      </c>
      <c r="X461" s="596">
        <v>0.9</v>
      </c>
      <c r="Y461" s="502">
        <v>2456.5309999999999</v>
      </c>
      <c r="Z461" s="489">
        <f t="shared" si="92"/>
        <v>2898.7065799999996</v>
      </c>
      <c r="AA461" s="489">
        <v>2373.0727391256187</v>
      </c>
      <c r="AB461" s="488">
        <f t="shared" si="88"/>
        <v>2800.2258321682298</v>
      </c>
      <c r="AC461" s="492">
        <f t="shared" si="93"/>
        <v>2373.0727391256187</v>
      </c>
      <c r="AD461" s="493">
        <f t="shared" si="94"/>
        <v>2800.2258321682298</v>
      </c>
      <c r="AE461" s="494" t="s">
        <v>1775</v>
      </c>
      <c r="AF461" s="494" t="s">
        <v>83</v>
      </c>
      <c r="AG461" s="494" t="s">
        <v>211</v>
      </c>
      <c r="AH461" s="494" t="s">
        <v>545</v>
      </c>
      <c r="AI461" s="495">
        <v>41852</v>
      </c>
      <c r="AJ461" s="495">
        <v>41887</v>
      </c>
      <c r="AK461" s="494" t="s">
        <v>96</v>
      </c>
      <c r="AL461" s="494" t="s">
        <v>96</v>
      </c>
      <c r="AM461" s="496" t="s">
        <v>5565</v>
      </c>
      <c r="AN461" s="496" t="s">
        <v>1757</v>
      </c>
      <c r="AO461" s="494">
        <v>796</v>
      </c>
      <c r="AP461" s="494" t="s">
        <v>368</v>
      </c>
      <c r="AQ461" s="494">
        <v>1</v>
      </c>
      <c r="AR461" s="494">
        <v>46</v>
      </c>
      <c r="AS461" s="496" t="s">
        <v>605</v>
      </c>
      <c r="AT461" s="495">
        <v>41907</v>
      </c>
      <c r="AU461" s="495">
        <v>41907</v>
      </c>
      <c r="AV461" s="495">
        <v>42043</v>
      </c>
      <c r="AW461" s="494" t="s">
        <v>99</v>
      </c>
      <c r="AX461" s="496"/>
      <c r="AY461" s="494" t="s">
        <v>186</v>
      </c>
      <c r="AZ461" s="494"/>
      <c r="BA461" s="494">
        <v>2014</v>
      </c>
      <c r="BB461" s="494" t="s">
        <v>2345</v>
      </c>
      <c r="BC461" s="496" t="s">
        <v>2346</v>
      </c>
      <c r="BD461" s="496" t="s">
        <v>1818</v>
      </c>
      <c r="BE461" s="497">
        <v>42093</v>
      </c>
      <c r="BF461" s="498">
        <v>2967.5579544135035</v>
      </c>
      <c r="BG461" s="488">
        <v>2967.5579544135035</v>
      </c>
      <c r="BH461" s="488">
        <v>0</v>
      </c>
      <c r="BI461" s="488">
        <v>1.82</v>
      </c>
      <c r="BJ461" s="494" t="s">
        <v>186</v>
      </c>
      <c r="BK461" s="401"/>
    </row>
    <row r="462" spans="1:63" ht="150">
      <c r="A462" s="401">
        <v>2</v>
      </c>
      <c r="B462" s="494" t="s">
        <v>2347</v>
      </c>
      <c r="C462" s="401" t="s">
        <v>83</v>
      </c>
      <c r="D462" s="401" t="s">
        <v>235</v>
      </c>
      <c r="E462" s="494" t="s">
        <v>5853</v>
      </c>
      <c r="F462" s="401" t="s">
        <v>1752</v>
      </c>
      <c r="G462" s="401" t="s">
        <v>2344</v>
      </c>
      <c r="H462" s="499">
        <v>842486</v>
      </c>
      <c r="I462" s="486" t="s">
        <v>5657</v>
      </c>
      <c r="J462" s="496" t="s">
        <v>5433</v>
      </c>
      <c r="K462" s="496" t="s">
        <v>5433</v>
      </c>
      <c r="L462" s="496" t="s">
        <v>2325</v>
      </c>
      <c r="M462" s="500" t="s">
        <v>1755</v>
      </c>
      <c r="N462" s="496" t="s">
        <v>1773</v>
      </c>
      <c r="O462" s="496" t="s">
        <v>2234</v>
      </c>
      <c r="P462" s="489">
        <v>1705.202</v>
      </c>
      <c r="Q462" s="489">
        <f t="shared" si="91"/>
        <v>2012.1383599999999</v>
      </c>
      <c r="R462" s="489">
        <v>1341.5719999999999</v>
      </c>
      <c r="S462" s="401" t="s">
        <v>1774</v>
      </c>
      <c r="T462" s="501">
        <v>1.087</v>
      </c>
      <c r="U462" s="501">
        <v>1.077</v>
      </c>
      <c r="V462" s="501">
        <v>1.073</v>
      </c>
      <c r="W462" s="501">
        <v>1.071</v>
      </c>
      <c r="X462" s="596">
        <v>0.9</v>
      </c>
      <c r="Y462" s="502">
        <v>1623.973</v>
      </c>
      <c r="Z462" s="489">
        <f t="shared" si="92"/>
        <v>1916.2881399999999</v>
      </c>
      <c r="AA462" s="489">
        <v>1568.9842575439716</v>
      </c>
      <c r="AB462" s="488">
        <f t="shared" si="88"/>
        <v>1851.4014239018863</v>
      </c>
      <c r="AC462" s="492">
        <f t="shared" si="93"/>
        <v>1568.9842575439716</v>
      </c>
      <c r="AD462" s="493">
        <f t="shared" si="94"/>
        <v>1851.4014239018863</v>
      </c>
      <c r="AE462" s="494" t="s">
        <v>1775</v>
      </c>
      <c r="AF462" s="494" t="s">
        <v>83</v>
      </c>
      <c r="AG462" s="494" t="s">
        <v>211</v>
      </c>
      <c r="AH462" s="494" t="s">
        <v>545</v>
      </c>
      <c r="AI462" s="495">
        <v>41835</v>
      </c>
      <c r="AJ462" s="495">
        <v>41870</v>
      </c>
      <c r="AK462" s="494" t="s">
        <v>96</v>
      </c>
      <c r="AL462" s="494" t="s">
        <v>96</v>
      </c>
      <c r="AM462" s="496" t="s">
        <v>5565</v>
      </c>
      <c r="AN462" s="496" t="s">
        <v>1757</v>
      </c>
      <c r="AO462" s="494">
        <v>796</v>
      </c>
      <c r="AP462" s="494" t="s">
        <v>368</v>
      </c>
      <c r="AQ462" s="494">
        <v>1</v>
      </c>
      <c r="AR462" s="494">
        <v>46</v>
      </c>
      <c r="AS462" s="496" t="s">
        <v>605</v>
      </c>
      <c r="AT462" s="495">
        <v>41890</v>
      </c>
      <c r="AU462" s="495">
        <v>41890</v>
      </c>
      <c r="AV462" s="495">
        <v>42043</v>
      </c>
      <c r="AW462" s="494" t="s">
        <v>99</v>
      </c>
      <c r="AX462" s="496"/>
      <c r="AY462" s="494" t="s">
        <v>186</v>
      </c>
      <c r="AZ462" s="494"/>
      <c r="BA462" s="494">
        <v>2014</v>
      </c>
      <c r="BB462" s="494" t="s">
        <v>2348</v>
      </c>
      <c r="BC462" s="496" t="s">
        <v>2349</v>
      </c>
      <c r="BD462" s="496" t="s">
        <v>1818</v>
      </c>
      <c r="BE462" s="497">
        <v>42093</v>
      </c>
      <c r="BF462" s="498">
        <v>1961.9484050830029</v>
      </c>
      <c r="BG462" s="488">
        <v>1961.9484050830029</v>
      </c>
      <c r="BH462" s="488">
        <v>0</v>
      </c>
      <c r="BI462" s="488">
        <v>1.2</v>
      </c>
      <c r="BJ462" s="494" t="s">
        <v>186</v>
      </c>
      <c r="BK462" s="401"/>
    </row>
    <row r="463" spans="1:63" ht="150">
      <c r="A463" s="401">
        <v>2</v>
      </c>
      <c r="B463" s="494" t="s">
        <v>2350</v>
      </c>
      <c r="C463" s="401" t="s">
        <v>83</v>
      </c>
      <c r="D463" s="401" t="s">
        <v>235</v>
      </c>
      <c r="E463" s="494" t="s">
        <v>5853</v>
      </c>
      <c r="F463" s="401" t="s">
        <v>1752</v>
      </c>
      <c r="G463" s="401" t="s">
        <v>2344</v>
      </c>
      <c r="H463" s="499">
        <v>842487</v>
      </c>
      <c r="I463" s="486" t="s">
        <v>5658</v>
      </c>
      <c r="J463" s="496" t="s">
        <v>5433</v>
      </c>
      <c r="K463" s="496" t="s">
        <v>5433</v>
      </c>
      <c r="L463" s="496" t="s">
        <v>2325</v>
      </c>
      <c r="M463" s="500" t="s">
        <v>1755</v>
      </c>
      <c r="N463" s="496" t="s">
        <v>1773</v>
      </c>
      <c r="O463" s="496" t="s">
        <v>2234</v>
      </c>
      <c r="P463" s="489">
        <v>8754.4699999999993</v>
      </c>
      <c r="Q463" s="489">
        <f t="shared" si="91"/>
        <v>10330.274599999999</v>
      </c>
      <c r="R463" s="489">
        <v>6888.1620000000003</v>
      </c>
      <c r="S463" s="401" t="s">
        <v>1774</v>
      </c>
      <c r="T463" s="501">
        <v>1.087</v>
      </c>
      <c r="U463" s="501">
        <v>1.077</v>
      </c>
      <c r="V463" s="501">
        <v>1.073</v>
      </c>
      <c r="W463" s="501">
        <v>1.071</v>
      </c>
      <c r="X463" s="596">
        <v>0.9</v>
      </c>
      <c r="Y463" s="502">
        <v>8338.1200000000008</v>
      </c>
      <c r="Z463" s="489">
        <f t="shared" si="92"/>
        <v>9838.981600000001</v>
      </c>
      <c r="AA463" s="489">
        <v>2956.9845254633101</v>
      </c>
      <c r="AB463" s="488">
        <f t="shared" si="88"/>
        <v>3489.2417400467057</v>
      </c>
      <c r="AC463" s="492">
        <f t="shared" si="93"/>
        <v>2956.9845254633101</v>
      </c>
      <c r="AD463" s="493">
        <f t="shared" si="94"/>
        <v>3489.2417400467057</v>
      </c>
      <c r="AE463" s="494" t="s">
        <v>1775</v>
      </c>
      <c r="AF463" s="494" t="s">
        <v>83</v>
      </c>
      <c r="AG463" s="494" t="s">
        <v>211</v>
      </c>
      <c r="AH463" s="494" t="s">
        <v>545</v>
      </c>
      <c r="AI463" s="495">
        <v>41852</v>
      </c>
      <c r="AJ463" s="495">
        <v>41887</v>
      </c>
      <c r="AK463" s="494" t="s">
        <v>96</v>
      </c>
      <c r="AL463" s="494" t="s">
        <v>96</v>
      </c>
      <c r="AM463" s="496" t="s">
        <v>5565</v>
      </c>
      <c r="AN463" s="496" t="s">
        <v>1757</v>
      </c>
      <c r="AO463" s="494">
        <v>796</v>
      </c>
      <c r="AP463" s="494" t="s">
        <v>368</v>
      </c>
      <c r="AQ463" s="494">
        <v>1</v>
      </c>
      <c r="AR463" s="494">
        <v>46</v>
      </c>
      <c r="AS463" s="496" t="s">
        <v>605</v>
      </c>
      <c r="AT463" s="495">
        <v>41907</v>
      </c>
      <c r="AU463" s="495">
        <v>41907</v>
      </c>
      <c r="AV463" s="495">
        <v>42196</v>
      </c>
      <c r="AW463" s="494" t="s">
        <v>99</v>
      </c>
      <c r="AX463" s="496"/>
      <c r="AY463" s="494" t="s">
        <v>186</v>
      </c>
      <c r="AZ463" s="494"/>
      <c r="BA463" s="494">
        <v>2014</v>
      </c>
      <c r="BB463" s="494" t="s">
        <v>2351</v>
      </c>
      <c r="BC463" s="496" t="s">
        <v>2352</v>
      </c>
      <c r="BD463" s="496" t="s">
        <v>1818</v>
      </c>
      <c r="BE463" s="497">
        <v>42246</v>
      </c>
      <c r="BF463" s="498">
        <v>10071.663433069309</v>
      </c>
      <c r="BG463" s="488">
        <v>10071.663433069309</v>
      </c>
      <c r="BH463" s="488">
        <v>0</v>
      </c>
      <c r="BI463" s="488">
        <v>6.2</v>
      </c>
      <c r="BJ463" s="494" t="s">
        <v>186</v>
      </c>
      <c r="BK463" s="401"/>
    </row>
    <row r="464" spans="1:63" ht="150">
      <c r="A464" s="401">
        <v>2</v>
      </c>
      <c r="B464" s="494" t="s">
        <v>2353</v>
      </c>
      <c r="C464" s="401" t="s">
        <v>83</v>
      </c>
      <c r="D464" s="401" t="s">
        <v>235</v>
      </c>
      <c r="E464" s="494" t="s">
        <v>5853</v>
      </c>
      <c r="F464" s="401" t="s">
        <v>1752</v>
      </c>
      <c r="G464" s="401" t="s">
        <v>2344</v>
      </c>
      <c r="H464" s="499">
        <v>842488</v>
      </c>
      <c r="I464" s="486" t="s">
        <v>5659</v>
      </c>
      <c r="J464" s="496" t="s">
        <v>5433</v>
      </c>
      <c r="K464" s="496" t="s">
        <v>5433</v>
      </c>
      <c r="L464" s="496" t="s">
        <v>2325</v>
      </c>
      <c r="M464" s="500" t="s">
        <v>1755</v>
      </c>
      <c r="N464" s="496" t="s">
        <v>1773</v>
      </c>
      <c r="O464" s="496" t="s">
        <v>2234</v>
      </c>
      <c r="P464" s="489">
        <v>3256.0349999999999</v>
      </c>
      <c r="Q464" s="489">
        <f t="shared" si="91"/>
        <v>3842.1212999999998</v>
      </c>
      <c r="R464" s="489">
        <v>2561.8180000000002</v>
      </c>
      <c r="S464" s="401" t="s">
        <v>1774</v>
      </c>
      <c r="T464" s="501">
        <v>1.087</v>
      </c>
      <c r="U464" s="501">
        <v>1.077</v>
      </c>
      <c r="V464" s="501">
        <v>1.073</v>
      </c>
      <c r="W464" s="501">
        <v>1.071</v>
      </c>
      <c r="X464" s="596">
        <v>0.9</v>
      </c>
      <c r="Y464" s="502">
        <v>3101.0810000000001</v>
      </c>
      <c r="Z464" s="489">
        <f t="shared" si="92"/>
        <v>3659.27558</v>
      </c>
      <c r="AA464" s="489">
        <v>2995.5864720866812</v>
      </c>
      <c r="AB464" s="488">
        <f t="shared" si="88"/>
        <v>3534.7920370622837</v>
      </c>
      <c r="AC464" s="492">
        <f t="shared" si="93"/>
        <v>2995.5864720866812</v>
      </c>
      <c r="AD464" s="493">
        <f t="shared" si="94"/>
        <v>3534.7920370622837</v>
      </c>
      <c r="AE464" s="494" t="s">
        <v>1775</v>
      </c>
      <c r="AF464" s="494" t="s">
        <v>83</v>
      </c>
      <c r="AG464" s="494" t="s">
        <v>211</v>
      </c>
      <c r="AH464" s="494" t="s">
        <v>545</v>
      </c>
      <c r="AI464" s="495">
        <v>41852</v>
      </c>
      <c r="AJ464" s="495">
        <v>41887</v>
      </c>
      <c r="AK464" s="494" t="s">
        <v>96</v>
      </c>
      <c r="AL464" s="494" t="s">
        <v>96</v>
      </c>
      <c r="AM464" s="496" t="s">
        <v>5565</v>
      </c>
      <c r="AN464" s="496" t="s">
        <v>1757</v>
      </c>
      <c r="AO464" s="494">
        <v>796</v>
      </c>
      <c r="AP464" s="494" t="s">
        <v>368</v>
      </c>
      <c r="AQ464" s="494">
        <v>1</v>
      </c>
      <c r="AR464" s="494">
        <v>46</v>
      </c>
      <c r="AS464" s="496" t="s">
        <v>605</v>
      </c>
      <c r="AT464" s="495">
        <v>41907</v>
      </c>
      <c r="AU464" s="495">
        <v>41907</v>
      </c>
      <c r="AV464" s="495">
        <v>42165</v>
      </c>
      <c r="AW464" s="494" t="s">
        <v>99</v>
      </c>
      <c r="AX464" s="496"/>
      <c r="AY464" s="494" t="s">
        <v>186</v>
      </c>
      <c r="AZ464" s="494"/>
      <c r="BA464" s="494">
        <v>2014</v>
      </c>
      <c r="BB464" s="494" t="s">
        <v>2354</v>
      </c>
      <c r="BC464" s="496" t="s">
        <v>2355</v>
      </c>
      <c r="BD464" s="496" t="s">
        <v>1818</v>
      </c>
      <c r="BE464" s="497">
        <v>42215</v>
      </c>
      <c r="BF464" s="498">
        <v>3746.0790558756376</v>
      </c>
      <c r="BG464" s="488">
        <v>3746.0790558756376</v>
      </c>
      <c r="BH464" s="488">
        <v>0</v>
      </c>
      <c r="BI464" s="488">
        <v>2.2999999999999998</v>
      </c>
      <c r="BJ464" s="494" t="s">
        <v>186</v>
      </c>
      <c r="BK464" s="401"/>
    </row>
    <row r="465" spans="1:63" ht="150">
      <c r="A465" s="401">
        <v>2</v>
      </c>
      <c r="B465" s="494" t="s">
        <v>2356</v>
      </c>
      <c r="C465" s="401" t="s">
        <v>83</v>
      </c>
      <c r="D465" s="401" t="s">
        <v>235</v>
      </c>
      <c r="E465" s="494" t="s">
        <v>5853</v>
      </c>
      <c r="F465" s="401" t="s">
        <v>1752</v>
      </c>
      <c r="G465" s="401" t="s">
        <v>2344</v>
      </c>
      <c r="H465" s="499">
        <v>842489</v>
      </c>
      <c r="I465" s="486" t="s">
        <v>5660</v>
      </c>
      <c r="J465" s="496" t="s">
        <v>5433</v>
      </c>
      <c r="K465" s="496" t="s">
        <v>5433</v>
      </c>
      <c r="L465" s="496" t="s">
        <v>2325</v>
      </c>
      <c r="M465" s="500" t="s">
        <v>1755</v>
      </c>
      <c r="N465" s="496" t="s">
        <v>1773</v>
      </c>
      <c r="O465" s="496" t="s">
        <v>2234</v>
      </c>
      <c r="P465" s="489">
        <v>6357.7219999999998</v>
      </c>
      <c r="Q465" s="489">
        <f t="shared" si="91"/>
        <v>7502.1119599999993</v>
      </c>
      <c r="R465" s="489">
        <v>5002.3239999999996</v>
      </c>
      <c r="S465" s="401" t="s">
        <v>1774</v>
      </c>
      <c r="T465" s="501">
        <v>1.087</v>
      </c>
      <c r="U465" s="501">
        <v>1.077</v>
      </c>
      <c r="V465" s="501">
        <v>1.073</v>
      </c>
      <c r="W465" s="501">
        <v>1.071</v>
      </c>
      <c r="X465" s="596">
        <v>0.9</v>
      </c>
      <c r="Y465" s="502">
        <v>6055.3130000000001</v>
      </c>
      <c r="Z465" s="489">
        <f t="shared" si="92"/>
        <v>7145.2693399999998</v>
      </c>
      <c r="AA465" s="489">
        <v>5848.812801123252</v>
      </c>
      <c r="AB465" s="488">
        <f t="shared" si="88"/>
        <v>6901.5991053254374</v>
      </c>
      <c r="AC465" s="492">
        <f t="shared" si="93"/>
        <v>5848.812801123252</v>
      </c>
      <c r="AD465" s="493">
        <f t="shared" si="94"/>
        <v>6901.5991053254374</v>
      </c>
      <c r="AE465" s="494" t="s">
        <v>1775</v>
      </c>
      <c r="AF465" s="494" t="s">
        <v>83</v>
      </c>
      <c r="AG465" s="494" t="s">
        <v>211</v>
      </c>
      <c r="AH465" s="494" t="s">
        <v>545</v>
      </c>
      <c r="AI465" s="495">
        <v>41852</v>
      </c>
      <c r="AJ465" s="495">
        <v>41887</v>
      </c>
      <c r="AK465" s="494" t="s">
        <v>96</v>
      </c>
      <c r="AL465" s="494" t="s">
        <v>96</v>
      </c>
      <c r="AM465" s="496" t="s">
        <v>5565</v>
      </c>
      <c r="AN465" s="496" t="s">
        <v>1757</v>
      </c>
      <c r="AO465" s="494">
        <v>796</v>
      </c>
      <c r="AP465" s="494" t="s">
        <v>368</v>
      </c>
      <c r="AQ465" s="494">
        <v>1</v>
      </c>
      <c r="AR465" s="494">
        <v>46</v>
      </c>
      <c r="AS465" s="496" t="s">
        <v>605</v>
      </c>
      <c r="AT465" s="495">
        <v>41907</v>
      </c>
      <c r="AU465" s="495">
        <v>41907</v>
      </c>
      <c r="AV465" s="495">
        <v>42196</v>
      </c>
      <c r="AW465" s="494" t="s">
        <v>99</v>
      </c>
      <c r="AX465" s="496"/>
      <c r="AY465" s="494" t="s">
        <v>186</v>
      </c>
      <c r="AZ465" s="494"/>
      <c r="BA465" s="494">
        <v>2014</v>
      </c>
      <c r="BB465" s="494" t="s">
        <v>2357</v>
      </c>
      <c r="BC465" s="496" t="s">
        <v>2358</v>
      </c>
      <c r="BD465" s="496" t="s">
        <v>1818</v>
      </c>
      <c r="BE465" s="497">
        <v>42246</v>
      </c>
      <c r="BF465" s="498">
        <v>7314.3638005732773</v>
      </c>
      <c r="BG465" s="488">
        <v>7314.3638005732773</v>
      </c>
      <c r="BH465" s="488">
        <v>0</v>
      </c>
      <c r="BI465" s="488">
        <v>4.5</v>
      </c>
      <c r="BJ465" s="494" t="s">
        <v>186</v>
      </c>
      <c r="BK465" s="401"/>
    </row>
    <row r="466" spans="1:63" ht="150">
      <c r="A466" s="401">
        <v>2</v>
      </c>
      <c r="B466" s="494" t="s">
        <v>2359</v>
      </c>
      <c r="C466" s="401" t="s">
        <v>83</v>
      </c>
      <c r="D466" s="401" t="s">
        <v>235</v>
      </c>
      <c r="E466" s="494" t="s">
        <v>5853</v>
      </c>
      <c r="F466" s="401" t="s">
        <v>1752</v>
      </c>
      <c r="G466" s="401" t="s">
        <v>2344</v>
      </c>
      <c r="H466" s="499">
        <v>842490</v>
      </c>
      <c r="I466" s="486" t="s">
        <v>5661</v>
      </c>
      <c r="J466" s="496" t="s">
        <v>5433</v>
      </c>
      <c r="K466" s="496" t="s">
        <v>5433</v>
      </c>
      <c r="L466" s="496" t="s">
        <v>2325</v>
      </c>
      <c r="M466" s="500" t="s">
        <v>1755</v>
      </c>
      <c r="N466" s="496" t="s">
        <v>1773</v>
      </c>
      <c r="O466" s="496" t="s">
        <v>2234</v>
      </c>
      <c r="P466" s="489">
        <v>1634.713</v>
      </c>
      <c r="Q466" s="489">
        <f t="shared" si="91"/>
        <v>1928.9613399999998</v>
      </c>
      <c r="R466" s="489">
        <v>1286.1099999999999</v>
      </c>
      <c r="S466" s="401" t="s">
        <v>1774</v>
      </c>
      <c r="T466" s="501">
        <v>1.087</v>
      </c>
      <c r="U466" s="501">
        <v>1.077</v>
      </c>
      <c r="V466" s="501">
        <v>1.073</v>
      </c>
      <c r="W466" s="501">
        <v>1.071</v>
      </c>
      <c r="X466" s="596">
        <v>0.9</v>
      </c>
      <c r="Y466" s="502">
        <v>1556.836</v>
      </c>
      <c r="Z466" s="489">
        <f t="shared" si="92"/>
        <v>1837.06648</v>
      </c>
      <c r="AA466" s="489">
        <v>1504.1446350365784</v>
      </c>
      <c r="AB466" s="488">
        <f t="shared" si="88"/>
        <v>1774.8906693431625</v>
      </c>
      <c r="AC466" s="492">
        <f t="shared" si="93"/>
        <v>1504.1446350365784</v>
      </c>
      <c r="AD466" s="493">
        <f t="shared" si="94"/>
        <v>1774.8906693431625</v>
      </c>
      <c r="AE466" s="494" t="s">
        <v>1775</v>
      </c>
      <c r="AF466" s="494" t="s">
        <v>83</v>
      </c>
      <c r="AG466" s="494" t="s">
        <v>211</v>
      </c>
      <c r="AH466" s="494" t="s">
        <v>545</v>
      </c>
      <c r="AI466" s="495">
        <v>41852</v>
      </c>
      <c r="AJ466" s="495">
        <v>41887</v>
      </c>
      <c r="AK466" s="494" t="s">
        <v>96</v>
      </c>
      <c r="AL466" s="494" t="s">
        <v>96</v>
      </c>
      <c r="AM466" s="496" t="s">
        <v>5565</v>
      </c>
      <c r="AN466" s="496" t="s">
        <v>1757</v>
      </c>
      <c r="AO466" s="494">
        <v>796</v>
      </c>
      <c r="AP466" s="494" t="s">
        <v>368</v>
      </c>
      <c r="AQ466" s="494">
        <v>1</v>
      </c>
      <c r="AR466" s="494">
        <v>46</v>
      </c>
      <c r="AS466" s="496" t="s">
        <v>605</v>
      </c>
      <c r="AT466" s="495">
        <v>41907</v>
      </c>
      <c r="AU466" s="495">
        <v>41907</v>
      </c>
      <c r="AV466" s="495">
        <v>42165</v>
      </c>
      <c r="AW466" s="494" t="s">
        <v>99</v>
      </c>
      <c r="AX466" s="496"/>
      <c r="AY466" s="494" t="s">
        <v>186</v>
      </c>
      <c r="AZ466" s="494"/>
      <c r="BA466" s="494">
        <v>2014</v>
      </c>
      <c r="BB466" s="494" t="s">
        <v>2360</v>
      </c>
      <c r="BC466" s="496" t="s">
        <v>2361</v>
      </c>
      <c r="BD466" s="496" t="s">
        <v>1818</v>
      </c>
      <c r="BE466" s="497">
        <v>42215</v>
      </c>
      <c r="BF466" s="498">
        <v>1880.8557828177527</v>
      </c>
      <c r="BG466" s="488">
        <v>1880.8557828177527</v>
      </c>
      <c r="BH466" s="488">
        <v>0</v>
      </c>
      <c r="BI466" s="488">
        <v>1.1499999999999999</v>
      </c>
      <c r="BJ466" s="494" t="s">
        <v>186</v>
      </c>
      <c r="BK466" s="401"/>
    </row>
    <row r="467" spans="1:63" ht="150">
      <c r="A467" s="401">
        <v>2</v>
      </c>
      <c r="B467" s="494" t="s">
        <v>2362</v>
      </c>
      <c r="C467" s="401" t="s">
        <v>83</v>
      </c>
      <c r="D467" s="401" t="s">
        <v>235</v>
      </c>
      <c r="E467" s="494" t="s">
        <v>5853</v>
      </c>
      <c r="F467" s="401" t="s">
        <v>1752</v>
      </c>
      <c r="G467" s="401" t="s">
        <v>2344</v>
      </c>
      <c r="H467" s="499">
        <v>842491</v>
      </c>
      <c r="I467" s="486" t="s">
        <v>5662</v>
      </c>
      <c r="J467" s="496" t="s">
        <v>5433</v>
      </c>
      <c r="K467" s="496" t="s">
        <v>5433</v>
      </c>
      <c r="L467" s="496" t="s">
        <v>2325</v>
      </c>
      <c r="M467" s="500" t="s">
        <v>1755</v>
      </c>
      <c r="N467" s="496" t="s">
        <v>1773</v>
      </c>
      <c r="O467" s="496" t="s">
        <v>2234</v>
      </c>
      <c r="P467" s="489">
        <v>9047.02</v>
      </c>
      <c r="Q467" s="489">
        <f t="shared" si="91"/>
        <v>10675.4836</v>
      </c>
      <c r="R467" s="489">
        <v>7132.5249999999996</v>
      </c>
      <c r="S467" s="401" t="s">
        <v>1774</v>
      </c>
      <c r="T467" s="501">
        <v>1.087</v>
      </c>
      <c r="U467" s="501">
        <v>1.077</v>
      </c>
      <c r="V467" s="501">
        <v>1.073</v>
      </c>
      <c r="W467" s="501">
        <v>1.071</v>
      </c>
      <c r="X467" s="596">
        <v>0.9</v>
      </c>
      <c r="Y467" s="502">
        <v>8633.9210000000003</v>
      </c>
      <c r="Z467" s="489">
        <f t="shared" si="92"/>
        <v>10188.02678</v>
      </c>
      <c r="AA467" s="489">
        <v>8213.3375331702955</v>
      </c>
      <c r="AB467" s="488">
        <f t="shared" si="88"/>
        <v>9691.7382891409488</v>
      </c>
      <c r="AC467" s="492">
        <f t="shared" si="93"/>
        <v>8213.3375331702955</v>
      </c>
      <c r="AD467" s="493">
        <f t="shared" si="94"/>
        <v>9691.7382891409488</v>
      </c>
      <c r="AE467" s="494" t="s">
        <v>1775</v>
      </c>
      <c r="AF467" s="494" t="s">
        <v>83</v>
      </c>
      <c r="AG467" s="494" t="s">
        <v>211</v>
      </c>
      <c r="AH467" s="494" t="s">
        <v>545</v>
      </c>
      <c r="AI467" s="495">
        <v>41852</v>
      </c>
      <c r="AJ467" s="495">
        <v>41887</v>
      </c>
      <c r="AK467" s="494" t="s">
        <v>96</v>
      </c>
      <c r="AL467" s="494" t="s">
        <v>96</v>
      </c>
      <c r="AM467" s="496" t="s">
        <v>5565</v>
      </c>
      <c r="AN467" s="496" t="s">
        <v>1757</v>
      </c>
      <c r="AO467" s="494">
        <v>796</v>
      </c>
      <c r="AP467" s="494" t="s">
        <v>368</v>
      </c>
      <c r="AQ467" s="494">
        <v>1</v>
      </c>
      <c r="AR467" s="494">
        <v>46</v>
      </c>
      <c r="AS467" s="496" t="s">
        <v>605</v>
      </c>
      <c r="AT467" s="495">
        <v>41907</v>
      </c>
      <c r="AU467" s="495">
        <v>41907</v>
      </c>
      <c r="AV467" s="495">
        <v>42196</v>
      </c>
      <c r="AW467" s="494" t="s">
        <v>99</v>
      </c>
      <c r="AX467" s="496"/>
      <c r="AY467" s="494" t="s">
        <v>186</v>
      </c>
      <c r="AZ467" s="494"/>
      <c r="BA467" s="494">
        <v>2014</v>
      </c>
      <c r="BB467" s="494" t="s">
        <v>2363</v>
      </c>
      <c r="BC467" s="496" t="s">
        <v>2364</v>
      </c>
      <c r="BD467" s="496" t="s">
        <v>1818</v>
      </c>
      <c r="BE467" s="497">
        <v>42246</v>
      </c>
      <c r="BF467" s="498">
        <v>10240.582644003776</v>
      </c>
      <c r="BG467" s="488">
        <v>10240.582644003776</v>
      </c>
      <c r="BH467" s="488">
        <v>0</v>
      </c>
      <c r="BI467" s="488">
        <v>5.9</v>
      </c>
      <c r="BJ467" s="494" t="s">
        <v>186</v>
      </c>
      <c r="BK467" s="401"/>
    </row>
    <row r="468" spans="1:63" ht="150">
      <c r="A468" s="401">
        <v>2</v>
      </c>
      <c r="B468" s="494" t="s">
        <v>2365</v>
      </c>
      <c r="C468" s="401" t="s">
        <v>83</v>
      </c>
      <c r="D468" s="401" t="s">
        <v>235</v>
      </c>
      <c r="E468" s="494" t="s">
        <v>5853</v>
      </c>
      <c r="F468" s="401" t="s">
        <v>1752</v>
      </c>
      <c r="G468" s="401" t="s">
        <v>2344</v>
      </c>
      <c r="H468" s="499">
        <v>842492</v>
      </c>
      <c r="I468" s="486" t="s">
        <v>5663</v>
      </c>
      <c r="J468" s="496" t="s">
        <v>5433</v>
      </c>
      <c r="K468" s="496" t="s">
        <v>5433</v>
      </c>
      <c r="L468" s="496" t="s">
        <v>2325</v>
      </c>
      <c r="M468" s="500" t="s">
        <v>1755</v>
      </c>
      <c r="N468" s="496" t="s">
        <v>1773</v>
      </c>
      <c r="O468" s="496" t="s">
        <v>2234</v>
      </c>
      <c r="P468" s="489">
        <v>3833.5</v>
      </c>
      <c r="Q468" s="489">
        <f t="shared" si="91"/>
        <v>4523.53</v>
      </c>
      <c r="R468" s="489">
        <v>3021.672</v>
      </c>
      <c r="S468" s="401" t="s">
        <v>1774</v>
      </c>
      <c r="T468" s="501">
        <v>1.087</v>
      </c>
      <c r="U468" s="501">
        <v>1.077</v>
      </c>
      <c r="V468" s="501">
        <v>1.073</v>
      </c>
      <c r="W468" s="501">
        <v>1.071</v>
      </c>
      <c r="X468" s="596">
        <v>0.9</v>
      </c>
      <c r="Y468" s="502">
        <v>3657.7330000000002</v>
      </c>
      <c r="Z468" s="489">
        <f t="shared" si="92"/>
        <v>4316.1249399999997</v>
      </c>
      <c r="AA468" s="489">
        <v>3479.8746268295554</v>
      </c>
      <c r="AB468" s="488">
        <f t="shared" si="88"/>
        <v>4106.2520596588747</v>
      </c>
      <c r="AC468" s="492">
        <f t="shared" si="93"/>
        <v>3479.8746268295554</v>
      </c>
      <c r="AD468" s="493">
        <f t="shared" si="94"/>
        <v>4106.2520596588747</v>
      </c>
      <c r="AE468" s="494" t="s">
        <v>1775</v>
      </c>
      <c r="AF468" s="494" t="s">
        <v>83</v>
      </c>
      <c r="AG468" s="494" t="s">
        <v>211</v>
      </c>
      <c r="AH468" s="494" t="s">
        <v>545</v>
      </c>
      <c r="AI468" s="495">
        <v>41852</v>
      </c>
      <c r="AJ468" s="495">
        <v>41887</v>
      </c>
      <c r="AK468" s="494" t="s">
        <v>96</v>
      </c>
      <c r="AL468" s="494" t="s">
        <v>96</v>
      </c>
      <c r="AM468" s="496" t="s">
        <v>5565</v>
      </c>
      <c r="AN468" s="496" t="s">
        <v>1757</v>
      </c>
      <c r="AO468" s="494">
        <v>796</v>
      </c>
      <c r="AP468" s="494" t="s">
        <v>368</v>
      </c>
      <c r="AQ468" s="494">
        <v>1</v>
      </c>
      <c r="AR468" s="494">
        <v>46</v>
      </c>
      <c r="AS468" s="496" t="s">
        <v>605</v>
      </c>
      <c r="AT468" s="495">
        <v>41907</v>
      </c>
      <c r="AU468" s="495">
        <v>41907</v>
      </c>
      <c r="AV468" s="495">
        <v>42165</v>
      </c>
      <c r="AW468" s="494" t="s">
        <v>99</v>
      </c>
      <c r="AX468" s="496"/>
      <c r="AY468" s="494" t="s">
        <v>186</v>
      </c>
      <c r="AZ468" s="494"/>
      <c r="BA468" s="494">
        <v>2014</v>
      </c>
      <c r="BB468" s="494" t="s">
        <v>2366</v>
      </c>
      <c r="BC468" s="496" t="s">
        <v>2367</v>
      </c>
      <c r="BD468" s="496" t="s">
        <v>1818</v>
      </c>
      <c r="BE468" s="497">
        <v>42215</v>
      </c>
      <c r="BF468" s="498">
        <v>4339.2299338999055</v>
      </c>
      <c r="BG468" s="488">
        <v>4339.2299338999055</v>
      </c>
      <c r="BH468" s="488">
        <v>0</v>
      </c>
      <c r="BI468" s="488">
        <v>2.5</v>
      </c>
      <c r="BJ468" s="494" t="s">
        <v>186</v>
      </c>
      <c r="BK468" s="401"/>
    </row>
    <row r="469" spans="1:63" ht="150">
      <c r="A469" s="401">
        <v>2</v>
      </c>
      <c r="B469" s="494" t="s">
        <v>2368</v>
      </c>
      <c r="C469" s="401" t="s">
        <v>83</v>
      </c>
      <c r="D469" s="401" t="s">
        <v>235</v>
      </c>
      <c r="E469" s="494" t="s">
        <v>5853</v>
      </c>
      <c r="F469" s="401" t="s">
        <v>1752</v>
      </c>
      <c r="G469" s="401" t="s">
        <v>2344</v>
      </c>
      <c r="H469" s="499">
        <v>842493</v>
      </c>
      <c r="I469" s="486" t="s">
        <v>5664</v>
      </c>
      <c r="J469" s="496" t="s">
        <v>5433</v>
      </c>
      <c r="K469" s="496" t="s">
        <v>5433</v>
      </c>
      <c r="L469" s="496" t="s">
        <v>2325</v>
      </c>
      <c r="M469" s="500" t="s">
        <v>1755</v>
      </c>
      <c r="N469" s="496" t="s">
        <v>1773</v>
      </c>
      <c r="O469" s="496" t="s">
        <v>2234</v>
      </c>
      <c r="P469" s="489">
        <v>14413.88</v>
      </c>
      <c r="Q469" s="489">
        <f t="shared" si="91"/>
        <v>17008.378399999998</v>
      </c>
      <c r="R469" s="489">
        <v>11363.932000000001</v>
      </c>
      <c r="S469" s="401" t="s">
        <v>1774</v>
      </c>
      <c r="T469" s="501">
        <v>1.087</v>
      </c>
      <c r="U469" s="501">
        <v>1.077</v>
      </c>
      <c r="V469" s="501">
        <v>1.073</v>
      </c>
      <c r="W469" s="501">
        <v>1.071</v>
      </c>
      <c r="X469" s="596">
        <v>0.9</v>
      </c>
      <c r="Y469" s="502">
        <v>13756.04</v>
      </c>
      <c r="Z469" s="489">
        <f t="shared" si="92"/>
        <v>16232.127200000001</v>
      </c>
      <c r="AA469" s="489">
        <v>13085.836658282449</v>
      </c>
      <c r="AB469" s="488">
        <f t="shared" si="88"/>
        <v>15441.287256773288</v>
      </c>
      <c r="AC469" s="492">
        <f t="shared" si="93"/>
        <v>13085.836658282449</v>
      </c>
      <c r="AD469" s="493">
        <f t="shared" si="94"/>
        <v>15441.287256773288</v>
      </c>
      <c r="AE469" s="494" t="s">
        <v>1775</v>
      </c>
      <c r="AF469" s="494" t="s">
        <v>83</v>
      </c>
      <c r="AG469" s="494" t="s">
        <v>211</v>
      </c>
      <c r="AH469" s="494" t="s">
        <v>545</v>
      </c>
      <c r="AI469" s="495">
        <v>41852</v>
      </c>
      <c r="AJ469" s="495">
        <v>41887</v>
      </c>
      <c r="AK469" s="494" t="s">
        <v>96</v>
      </c>
      <c r="AL469" s="494" t="s">
        <v>96</v>
      </c>
      <c r="AM469" s="496" t="s">
        <v>5565</v>
      </c>
      <c r="AN469" s="496" t="s">
        <v>1757</v>
      </c>
      <c r="AO469" s="494">
        <v>796</v>
      </c>
      <c r="AP469" s="494" t="s">
        <v>368</v>
      </c>
      <c r="AQ469" s="494">
        <v>1</v>
      </c>
      <c r="AR469" s="494">
        <v>46</v>
      </c>
      <c r="AS469" s="496" t="s">
        <v>605</v>
      </c>
      <c r="AT469" s="495">
        <v>41907</v>
      </c>
      <c r="AU469" s="495">
        <v>41907</v>
      </c>
      <c r="AV469" s="495">
        <v>42227</v>
      </c>
      <c r="AW469" s="494" t="s">
        <v>99</v>
      </c>
      <c r="AX469" s="496"/>
      <c r="AY469" s="494" t="s">
        <v>186</v>
      </c>
      <c r="AZ469" s="494"/>
      <c r="BA469" s="494">
        <v>2014</v>
      </c>
      <c r="BB469" s="494" t="s">
        <v>2369</v>
      </c>
      <c r="BC469" s="496" t="s">
        <v>2370</v>
      </c>
      <c r="BD469" s="496" t="s">
        <v>1818</v>
      </c>
      <c r="BE469" s="497">
        <v>42277</v>
      </c>
      <c r="BF469" s="498">
        <v>16315.504551463648</v>
      </c>
      <c r="BG469" s="488">
        <v>16315.504551463648</v>
      </c>
      <c r="BH469" s="488">
        <v>0</v>
      </c>
      <c r="BI469" s="488">
        <v>9.4</v>
      </c>
      <c r="BJ469" s="494" t="s">
        <v>186</v>
      </c>
      <c r="BK469" s="401"/>
    </row>
    <row r="470" spans="1:63" ht="150">
      <c r="A470" s="401">
        <v>2</v>
      </c>
      <c r="B470" s="494" t="s">
        <v>2371</v>
      </c>
      <c r="C470" s="401" t="s">
        <v>83</v>
      </c>
      <c r="D470" s="401" t="s">
        <v>235</v>
      </c>
      <c r="E470" s="494" t="s">
        <v>5853</v>
      </c>
      <c r="F470" s="401" t="s">
        <v>1752</v>
      </c>
      <c r="G470" s="401" t="s">
        <v>2344</v>
      </c>
      <c r="H470" s="499">
        <v>842494</v>
      </c>
      <c r="I470" s="486" t="s">
        <v>5665</v>
      </c>
      <c r="J470" s="496" t="s">
        <v>5433</v>
      </c>
      <c r="K470" s="496" t="s">
        <v>5433</v>
      </c>
      <c r="L470" s="496" t="s">
        <v>2325</v>
      </c>
      <c r="M470" s="500" t="s">
        <v>1755</v>
      </c>
      <c r="N470" s="496" t="s">
        <v>1773</v>
      </c>
      <c r="O470" s="496" t="s">
        <v>2234</v>
      </c>
      <c r="P470" s="489">
        <v>3066.81</v>
      </c>
      <c r="Q470" s="489">
        <f t="shared" si="91"/>
        <v>3618.8357999999998</v>
      </c>
      <c r="R470" s="489">
        <v>2417.3629999999998</v>
      </c>
      <c r="S470" s="401" t="s">
        <v>1774</v>
      </c>
      <c r="T470" s="501">
        <v>1.087</v>
      </c>
      <c r="U470" s="501">
        <v>1.077</v>
      </c>
      <c r="V470" s="501">
        <v>1.073</v>
      </c>
      <c r="W470" s="501">
        <v>1.071</v>
      </c>
      <c r="X470" s="596">
        <v>0.9</v>
      </c>
      <c r="Y470" s="502">
        <v>2926.2170000000001</v>
      </c>
      <c r="Z470" s="489">
        <f t="shared" si="92"/>
        <v>3452.93606</v>
      </c>
      <c r="AA470" s="489">
        <v>2783.9928316304636</v>
      </c>
      <c r="AB470" s="488">
        <f t="shared" si="88"/>
        <v>3285.1115413239468</v>
      </c>
      <c r="AC470" s="492">
        <f t="shared" si="93"/>
        <v>2783.9928316304636</v>
      </c>
      <c r="AD470" s="493">
        <f t="shared" si="94"/>
        <v>3285.1115413239468</v>
      </c>
      <c r="AE470" s="494" t="s">
        <v>1775</v>
      </c>
      <c r="AF470" s="494" t="s">
        <v>83</v>
      </c>
      <c r="AG470" s="494" t="s">
        <v>211</v>
      </c>
      <c r="AH470" s="494" t="s">
        <v>545</v>
      </c>
      <c r="AI470" s="495">
        <v>41852</v>
      </c>
      <c r="AJ470" s="495">
        <v>41887</v>
      </c>
      <c r="AK470" s="494" t="s">
        <v>96</v>
      </c>
      <c r="AL470" s="494" t="s">
        <v>96</v>
      </c>
      <c r="AM470" s="496" t="s">
        <v>5565</v>
      </c>
      <c r="AN470" s="496" t="s">
        <v>1757</v>
      </c>
      <c r="AO470" s="494">
        <v>796</v>
      </c>
      <c r="AP470" s="494" t="s">
        <v>368</v>
      </c>
      <c r="AQ470" s="494">
        <v>1</v>
      </c>
      <c r="AR470" s="494">
        <v>46</v>
      </c>
      <c r="AS470" s="496" t="s">
        <v>605</v>
      </c>
      <c r="AT470" s="495">
        <v>41907</v>
      </c>
      <c r="AU470" s="495">
        <v>41907</v>
      </c>
      <c r="AV470" s="495">
        <v>42165</v>
      </c>
      <c r="AW470" s="494" t="s">
        <v>99</v>
      </c>
      <c r="AX470" s="496"/>
      <c r="AY470" s="494" t="s">
        <v>186</v>
      </c>
      <c r="AZ470" s="494"/>
      <c r="BA470" s="494">
        <v>2014</v>
      </c>
      <c r="BB470" s="494" t="s">
        <v>2372</v>
      </c>
      <c r="BC470" s="496" t="s">
        <v>2373</v>
      </c>
      <c r="BD470" s="496" t="s">
        <v>1818</v>
      </c>
      <c r="BE470" s="497">
        <v>42215</v>
      </c>
      <c r="BF470" s="498">
        <v>3471.383947119924</v>
      </c>
      <c r="BG470" s="488">
        <v>3471.383947119924</v>
      </c>
      <c r="BH470" s="488">
        <v>0</v>
      </c>
      <c r="BI470" s="488">
        <v>2</v>
      </c>
      <c r="BJ470" s="494" t="s">
        <v>186</v>
      </c>
      <c r="BK470" s="401"/>
    </row>
    <row r="471" spans="1:63" ht="150">
      <c r="A471" s="401">
        <v>2</v>
      </c>
      <c r="B471" s="494" t="s">
        <v>2374</v>
      </c>
      <c r="C471" s="401" t="s">
        <v>83</v>
      </c>
      <c r="D471" s="401" t="s">
        <v>235</v>
      </c>
      <c r="E471" s="494" t="s">
        <v>5853</v>
      </c>
      <c r="F471" s="401" t="s">
        <v>1752</v>
      </c>
      <c r="G471" s="401" t="s">
        <v>2344</v>
      </c>
      <c r="H471" s="499">
        <v>842495</v>
      </c>
      <c r="I471" s="486" t="s">
        <v>5666</v>
      </c>
      <c r="J471" s="496" t="s">
        <v>5433</v>
      </c>
      <c r="K471" s="496" t="s">
        <v>5433</v>
      </c>
      <c r="L471" s="496" t="s">
        <v>2325</v>
      </c>
      <c r="M471" s="500" t="s">
        <v>1755</v>
      </c>
      <c r="N471" s="496" t="s">
        <v>1773</v>
      </c>
      <c r="O471" s="496" t="s">
        <v>2234</v>
      </c>
      <c r="P471" s="489">
        <v>11500.5</v>
      </c>
      <c r="Q471" s="489">
        <f t="shared" si="91"/>
        <v>13570.59</v>
      </c>
      <c r="R471" s="489">
        <v>9067.7510000000002</v>
      </c>
      <c r="S471" s="401" t="s">
        <v>1774</v>
      </c>
      <c r="T471" s="501">
        <v>1.087</v>
      </c>
      <c r="U471" s="501">
        <v>1.077</v>
      </c>
      <c r="V471" s="501">
        <v>1.073</v>
      </c>
      <c r="W471" s="501">
        <v>1.071</v>
      </c>
      <c r="X471" s="596">
        <v>0.9</v>
      </c>
      <c r="Y471" s="502">
        <v>10976.513000000001</v>
      </c>
      <c r="Z471" s="489">
        <f t="shared" si="92"/>
        <v>12952.28534</v>
      </c>
      <c r="AA471" s="489">
        <v>10441.188625070412</v>
      </c>
      <c r="AB471" s="488">
        <f t="shared" si="88"/>
        <v>12320.602577583086</v>
      </c>
      <c r="AC471" s="492">
        <f t="shared" si="93"/>
        <v>10441.188625070412</v>
      </c>
      <c r="AD471" s="493">
        <f t="shared" si="94"/>
        <v>12320.602577583086</v>
      </c>
      <c r="AE471" s="494" t="s">
        <v>1775</v>
      </c>
      <c r="AF471" s="494" t="s">
        <v>83</v>
      </c>
      <c r="AG471" s="494" t="s">
        <v>211</v>
      </c>
      <c r="AH471" s="494" t="s">
        <v>545</v>
      </c>
      <c r="AI471" s="495">
        <v>41852</v>
      </c>
      <c r="AJ471" s="495">
        <v>41887</v>
      </c>
      <c r="AK471" s="494" t="s">
        <v>96</v>
      </c>
      <c r="AL471" s="494" t="s">
        <v>96</v>
      </c>
      <c r="AM471" s="496" t="s">
        <v>5565</v>
      </c>
      <c r="AN471" s="496" t="s">
        <v>1757</v>
      </c>
      <c r="AO471" s="494">
        <v>796</v>
      </c>
      <c r="AP471" s="494" t="s">
        <v>368</v>
      </c>
      <c r="AQ471" s="494">
        <v>1</v>
      </c>
      <c r="AR471" s="494">
        <v>46</v>
      </c>
      <c r="AS471" s="496" t="s">
        <v>605</v>
      </c>
      <c r="AT471" s="495">
        <v>41907</v>
      </c>
      <c r="AU471" s="495">
        <v>41907</v>
      </c>
      <c r="AV471" s="495">
        <v>42196</v>
      </c>
      <c r="AW471" s="494" t="s">
        <v>99</v>
      </c>
      <c r="AX471" s="496"/>
      <c r="AY471" s="494" t="s">
        <v>186</v>
      </c>
      <c r="AZ471" s="494"/>
      <c r="BA471" s="494">
        <v>2014</v>
      </c>
      <c r="BB471" s="494" t="s">
        <v>2375</v>
      </c>
      <c r="BC471" s="496" t="s">
        <v>2376</v>
      </c>
      <c r="BD471" s="496" t="s">
        <v>1818</v>
      </c>
      <c r="BE471" s="497">
        <v>42246</v>
      </c>
      <c r="BF471" s="498">
        <v>13017.689801699715</v>
      </c>
      <c r="BG471" s="488">
        <v>13017.689801699715</v>
      </c>
      <c r="BH471" s="488">
        <v>0</v>
      </c>
      <c r="BI471" s="488">
        <v>7.5</v>
      </c>
      <c r="BJ471" s="494" t="s">
        <v>186</v>
      </c>
      <c r="BK471" s="401"/>
    </row>
    <row r="472" spans="1:63" ht="150">
      <c r="A472" s="401">
        <v>2</v>
      </c>
      <c r="B472" s="494" t="s">
        <v>2377</v>
      </c>
      <c r="C472" s="401" t="s">
        <v>83</v>
      </c>
      <c r="D472" s="401" t="s">
        <v>235</v>
      </c>
      <c r="E472" s="494" t="s">
        <v>5853</v>
      </c>
      <c r="F472" s="401" t="s">
        <v>1752</v>
      </c>
      <c r="G472" s="401" t="s">
        <v>2344</v>
      </c>
      <c r="H472" s="499">
        <v>842496</v>
      </c>
      <c r="I472" s="486" t="s">
        <v>5667</v>
      </c>
      <c r="J472" s="496" t="s">
        <v>5433</v>
      </c>
      <c r="K472" s="496" t="s">
        <v>5433</v>
      </c>
      <c r="L472" s="496" t="s">
        <v>2325</v>
      </c>
      <c r="M472" s="500" t="s">
        <v>1755</v>
      </c>
      <c r="N472" s="496" t="s">
        <v>1773</v>
      </c>
      <c r="O472" s="496" t="s">
        <v>2234</v>
      </c>
      <c r="P472" s="489">
        <v>5366.92</v>
      </c>
      <c r="Q472" s="489">
        <f t="shared" si="91"/>
        <v>6332.9655999999995</v>
      </c>
      <c r="R472" s="489">
        <v>4231.5280000000002</v>
      </c>
      <c r="S472" s="401" t="s">
        <v>1774</v>
      </c>
      <c r="T472" s="501">
        <v>1.087</v>
      </c>
      <c r="U472" s="501">
        <v>1.077</v>
      </c>
      <c r="V472" s="501">
        <v>1.073</v>
      </c>
      <c r="W472" s="501">
        <v>1.071</v>
      </c>
      <c r="X472" s="596">
        <v>0.9</v>
      </c>
      <c r="Y472" s="502">
        <v>5122.2640000000001</v>
      </c>
      <c r="Z472" s="489">
        <f t="shared" si="92"/>
        <v>6044.2715200000002</v>
      </c>
      <c r="AA472" s="489">
        <v>4872.4897190462179</v>
      </c>
      <c r="AB472" s="488">
        <f t="shared" si="88"/>
        <v>5749.5378684745365</v>
      </c>
      <c r="AC472" s="492">
        <f t="shared" si="93"/>
        <v>4872.4897190462179</v>
      </c>
      <c r="AD472" s="493">
        <f t="shared" si="94"/>
        <v>5749.5378684745365</v>
      </c>
      <c r="AE472" s="494" t="s">
        <v>1775</v>
      </c>
      <c r="AF472" s="494" t="s">
        <v>83</v>
      </c>
      <c r="AG472" s="494" t="s">
        <v>211</v>
      </c>
      <c r="AH472" s="494" t="s">
        <v>545</v>
      </c>
      <c r="AI472" s="495">
        <v>41852</v>
      </c>
      <c r="AJ472" s="495">
        <v>41887</v>
      </c>
      <c r="AK472" s="494" t="s">
        <v>96</v>
      </c>
      <c r="AL472" s="494" t="s">
        <v>96</v>
      </c>
      <c r="AM472" s="496" t="s">
        <v>5565</v>
      </c>
      <c r="AN472" s="496" t="s">
        <v>1757</v>
      </c>
      <c r="AO472" s="494">
        <v>796</v>
      </c>
      <c r="AP472" s="494" t="s">
        <v>368</v>
      </c>
      <c r="AQ472" s="494">
        <v>1</v>
      </c>
      <c r="AR472" s="494">
        <v>46</v>
      </c>
      <c r="AS472" s="496" t="s">
        <v>605</v>
      </c>
      <c r="AT472" s="495">
        <v>41907</v>
      </c>
      <c r="AU472" s="495">
        <v>41907</v>
      </c>
      <c r="AV472" s="495">
        <v>42165</v>
      </c>
      <c r="AW472" s="494" t="s">
        <v>99</v>
      </c>
      <c r="AX472" s="496"/>
      <c r="AY472" s="494" t="s">
        <v>186</v>
      </c>
      <c r="AZ472" s="494"/>
      <c r="BA472" s="494">
        <v>2014</v>
      </c>
      <c r="BB472" s="494" t="s">
        <v>2378</v>
      </c>
      <c r="BC472" s="496" t="s">
        <v>2379</v>
      </c>
      <c r="BD472" s="496" t="s">
        <v>1818</v>
      </c>
      <c r="BE472" s="497">
        <v>42215</v>
      </c>
      <c r="BF472" s="498">
        <v>6074.9219074598668</v>
      </c>
      <c r="BG472" s="488">
        <v>6074.9219074598668</v>
      </c>
      <c r="BH472" s="488">
        <v>0</v>
      </c>
      <c r="BI472" s="488">
        <v>3.5</v>
      </c>
      <c r="BJ472" s="494" t="s">
        <v>186</v>
      </c>
      <c r="BK472" s="401"/>
    </row>
    <row r="473" spans="1:63" ht="112.5">
      <c r="A473" s="401">
        <v>2</v>
      </c>
      <c r="B473" s="494" t="s">
        <v>2380</v>
      </c>
      <c r="C473" s="401" t="s">
        <v>83</v>
      </c>
      <c r="D473" s="401" t="s">
        <v>235</v>
      </c>
      <c r="E473" s="494" t="s">
        <v>5853</v>
      </c>
      <c r="F473" s="401" t="s">
        <v>1761</v>
      </c>
      <c r="G473" s="401" t="s">
        <v>1762</v>
      </c>
      <c r="H473" s="499">
        <v>842497</v>
      </c>
      <c r="I473" s="486" t="s">
        <v>5668</v>
      </c>
      <c r="J473" s="496" t="s">
        <v>2233</v>
      </c>
      <c r="K473" s="496" t="s">
        <v>2233</v>
      </c>
      <c r="L473" s="496" t="s">
        <v>2325</v>
      </c>
      <c r="M473" s="500" t="s">
        <v>1755</v>
      </c>
      <c r="N473" s="496" t="s">
        <v>1773</v>
      </c>
      <c r="O473" s="496" t="s">
        <v>2234</v>
      </c>
      <c r="P473" s="489">
        <v>2837.23</v>
      </c>
      <c r="Q473" s="489">
        <f t="shared" si="91"/>
        <v>3347.9313999999999</v>
      </c>
      <c r="R473" s="489">
        <v>1904.8869999999999</v>
      </c>
      <c r="S473" s="401" t="s">
        <v>1774</v>
      </c>
      <c r="T473" s="501">
        <v>1.087</v>
      </c>
      <c r="U473" s="501">
        <v>1.077</v>
      </c>
      <c r="V473" s="501">
        <v>1.073</v>
      </c>
      <c r="W473" s="501">
        <v>1.071</v>
      </c>
      <c r="X473" s="596">
        <v>0.9</v>
      </c>
      <c r="Y473" s="502">
        <v>2305.8649999999998</v>
      </c>
      <c r="Z473" s="489">
        <f t="shared" si="92"/>
        <v>2720.9206999999997</v>
      </c>
      <c r="AA473" s="489">
        <v>2172.8241902051445</v>
      </c>
      <c r="AB473" s="488">
        <f t="shared" si="88"/>
        <v>2563.9325444420706</v>
      </c>
      <c r="AC473" s="492">
        <f t="shared" si="93"/>
        <v>2172.8241902051445</v>
      </c>
      <c r="AD473" s="493">
        <f t="shared" si="94"/>
        <v>2563.9325444420706</v>
      </c>
      <c r="AE473" s="494" t="s">
        <v>1775</v>
      </c>
      <c r="AF473" s="494" t="s">
        <v>83</v>
      </c>
      <c r="AG473" s="494" t="s">
        <v>211</v>
      </c>
      <c r="AH473" s="494" t="s">
        <v>545</v>
      </c>
      <c r="AI473" s="495">
        <v>41852</v>
      </c>
      <c r="AJ473" s="495">
        <v>41887</v>
      </c>
      <c r="AK473" s="494" t="s">
        <v>96</v>
      </c>
      <c r="AL473" s="494" t="s">
        <v>96</v>
      </c>
      <c r="AM473" s="496" t="s">
        <v>1793</v>
      </c>
      <c r="AN473" s="496" t="s">
        <v>1757</v>
      </c>
      <c r="AO473" s="494">
        <v>796</v>
      </c>
      <c r="AP473" s="494" t="s">
        <v>368</v>
      </c>
      <c r="AQ473" s="494">
        <v>1</v>
      </c>
      <c r="AR473" s="494">
        <v>46</v>
      </c>
      <c r="AS473" s="496" t="s">
        <v>605</v>
      </c>
      <c r="AT473" s="495">
        <v>41907</v>
      </c>
      <c r="AU473" s="495">
        <v>41907</v>
      </c>
      <c r="AV473" s="495">
        <v>42319</v>
      </c>
      <c r="AW473" s="494" t="s">
        <v>99</v>
      </c>
      <c r="AX473" s="496"/>
      <c r="AY473" s="494" t="s">
        <v>186</v>
      </c>
      <c r="AZ473" s="494"/>
      <c r="BA473" s="494">
        <v>2014</v>
      </c>
      <c r="BB473" s="494" t="s">
        <v>2381</v>
      </c>
      <c r="BC473" s="496" t="s">
        <v>2382</v>
      </c>
      <c r="BD473" s="496" t="s">
        <v>1818</v>
      </c>
      <c r="BE473" s="497">
        <v>42369</v>
      </c>
      <c r="BF473" s="498">
        <v>19739.551444759207</v>
      </c>
      <c r="BG473" s="488">
        <v>19739.551444759207</v>
      </c>
      <c r="BH473" s="488">
        <v>0.25</v>
      </c>
      <c r="BI473" s="488">
        <v>9.3000000000000007</v>
      </c>
      <c r="BJ473" s="494" t="s">
        <v>186</v>
      </c>
      <c r="BK473" s="401"/>
    </row>
    <row r="474" spans="1:63" ht="112.5">
      <c r="A474" s="401">
        <v>2</v>
      </c>
      <c r="B474" s="494" t="s">
        <v>2383</v>
      </c>
      <c r="C474" s="401" t="s">
        <v>83</v>
      </c>
      <c r="D474" s="401" t="s">
        <v>235</v>
      </c>
      <c r="E474" s="494" t="s">
        <v>5853</v>
      </c>
      <c r="F474" s="401" t="s">
        <v>1768</v>
      </c>
      <c r="G474" s="401" t="s">
        <v>1769</v>
      </c>
      <c r="H474" s="499">
        <v>842498</v>
      </c>
      <c r="I474" s="486" t="s">
        <v>5669</v>
      </c>
      <c r="J474" s="496" t="s">
        <v>2237</v>
      </c>
      <c r="K474" s="496" t="s">
        <v>2237</v>
      </c>
      <c r="L474" s="496" t="s">
        <v>2325</v>
      </c>
      <c r="M474" s="500" t="s">
        <v>1755</v>
      </c>
      <c r="N474" s="496" t="s">
        <v>1773</v>
      </c>
      <c r="O474" s="496" t="s">
        <v>2234</v>
      </c>
      <c r="P474" s="489">
        <v>18890.800999999999</v>
      </c>
      <c r="Q474" s="489">
        <f t="shared" si="91"/>
        <v>22291.14518</v>
      </c>
      <c r="R474" s="489">
        <v>15040.445</v>
      </c>
      <c r="S474" s="401" t="s">
        <v>1774</v>
      </c>
      <c r="T474" s="501">
        <v>1.087</v>
      </c>
      <c r="U474" s="501">
        <v>1.077</v>
      </c>
      <c r="V474" s="501">
        <v>1.073</v>
      </c>
      <c r="W474" s="501">
        <v>1.071</v>
      </c>
      <c r="X474" s="596">
        <v>0.9</v>
      </c>
      <c r="Y474" s="502">
        <v>18296.458999999999</v>
      </c>
      <c r="Z474" s="489">
        <f t="shared" si="92"/>
        <v>21589.821619999999</v>
      </c>
      <c r="AA474" s="489">
        <v>18262.780254202662</v>
      </c>
      <c r="AB474" s="488">
        <f t="shared" si="88"/>
        <v>21550.08069995914</v>
      </c>
      <c r="AC474" s="492">
        <f t="shared" si="93"/>
        <v>18262.780254202662</v>
      </c>
      <c r="AD474" s="493">
        <f t="shared" si="94"/>
        <v>21550.08069995914</v>
      </c>
      <c r="AE474" s="494" t="s">
        <v>1775</v>
      </c>
      <c r="AF474" s="494" t="s">
        <v>83</v>
      </c>
      <c r="AG474" s="494" t="s">
        <v>211</v>
      </c>
      <c r="AH474" s="494" t="s">
        <v>545</v>
      </c>
      <c r="AI474" s="495">
        <v>41671</v>
      </c>
      <c r="AJ474" s="495">
        <v>41706</v>
      </c>
      <c r="AK474" s="494" t="s">
        <v>96</v>
      </c>
      <c r="AL474" s="494" t="s">
        <v>96</v>
      </c>
      <c r="AM474" s="496" t="s">
        <v>2238</v>
      </c>
      <c r="AN474" s="496" t="s">
        <v>1757</v>
      </c>
      <c r="AO474" s="494">
        <v>796</v>
      </c>
      <c r="AP474" s="494" t="s">
        <v>368</v>
      </c>
      <c r="AQ474" s="494">
        <v>1</v>
      </c>
      <c r="AR474" s="494">
        <v>46</v>
      </c>
      <c r="AS474" s="496" t="s">
        <v>605</v>
      </c>
      <c r="AT474" s="495">
        <v>41726</v>
      </c>
      <c r="AU474" s="495">
        <v>41726</v>
      </c>
      <c r="AV474" s="495">
        <v>41924</v>
      </c>
      <c r="AW474" s="494">
        <v>2014</v>
      </c>
      <c r="AX474" s="496"/>
      <c r="AY474" s="494" t="s">
        <v>186</v>
      </c>
      <c r="AZ474" s="494"/>
      <c r="BA474" s="494">
        <v>2014</v>
      </c>
      <c r="BB474" s="494" t="s">
        <v>2384</v>
      </c>
      <c r="BC474" s="496" t="s">
        <v>2385</v>
      </c>
      <c r="BD474" s="496" t="s">
        <v>1818</v>
      </c>
      <c r="BE474" s="497">
        <v>41974</v>
      </c>
      <c r="BF474" s="498">
        <v>23124.412581227996</v>
      </c>
      <c r="BG474" s="488">
        <v>23124.412581227996</v>
      </c>
      <c r="BH474" s="488">
        <v>0</v>
      </c>
      <c r="BI474" s="488">
        <v>0</v>
      </c>
      <c r="BJ474" s="494" t="s">
        <v>186</v>
      </c>
      <c r="BK474" s="401"/>
    </row>
    <row r="475" spans="1:63" ht="112.5">
      <c r="A475" s="401">
        <v>2</v>
      </c>
      <c r="B475" s="494" t="s">
        <v>2386</v>
      </c>
      <c r="C475" s="401" t="s">
        <v>83</v>
      </c>
      <c r="D475" s="401" t="s">
        <v>235</v>
      </c>
      <c r="E475" s="494" t="s">
        <v>5853</v>
      </c>
      <c r="F475" s="401" t="s">
        <v>1761</v>
      </c>
      <c r="G475" s="401" t="s">
        <v>1762</v>
      </c>
      <c r="H475" s="499">
        <v>842499</v>
      </c>
      <c r="I475" s="486" t="s">
        <v>5670</v>
      </c>
      <c r="J475" s="496" t="s">
        <v>2233</v>
      </c>
      <c r="K475" s="496" t="s">
        <v>2233</v>
      </c>
      <c r="L475" s="496" t="s">
        <v>2325</v>
      </c>
      <c r="M475" s="500" t="s">
        <v>1755</v>
      </c>
      <c r="N475" s="496" t="s">
        <v>1773</v>
      </c>
      <c r="O475" s="496" t="s">
        <v>2234</v>
      </c>
      <c r="P475" s="489">
        <v>1654.4929999999999</v>
      </c>
      <c r="Q475" s="489">
        <f t="shared" si="91"/>
        <v>1952.3017399999999</v>
      </c>
      <c r="R475" s="489">
        <v>1317.2719999999999</v>
      </c>
      <c r="S475" s="401" t="s">
        <v>1774</v>
      </c>
      <c r="T475" s="501">
        <v>1.087</v>
      </c>
      <c r="U475" s="501">
        <v>1.077</v>
      </c>
      <c r="V475" s="501">
        <v>1.073</v>
      </c>
      <c r="W475" s="501">
        <v>1.071</v>
      </c>
      <c r="X475" s="596">
        <v>0.9</v>
      </c>
      <c r="Y475" s="502">
        <v>1594.558</v>
      </c>
      <c r="Z475" s="489">
        <f t="shared" si="92"/>
        <v>1881.57844</v>
      </c>
      <c r="AA475" s="489">
        <v>779.93406310339299</v>
      </c>
      <c r="AB475" s="488">
        <f t="shared" si="88"/>
        <v>920.32219446200372</v>
      </c>
      <c r="AC475" s="492">
        <f t="shared" si="93"/>
        <v>779.93406310339299</v>
      </c>
      <c r="AD475" s="493">
        <f t="shared" si="94"/>
        <v>920.32219446200372</v>
      </c>
      <c r="AE475" s="494" t="s">
        <v>1775</v>
      </c>
      <c r="AF475" s="494" t="s">
        <v>83</v>
      </c>
      <c r="AG475" s="494" t="s">
        <v>211</v>
      </c>
      <c r="AH475" s="494" t="s">
        <v>545</v>
      </c>
      <c r="AI475" s="495">
        <v>41671</v>
      </c>
      <c r="AJ475" s="495">
        <v>41706</v>
      </c>
      <c r="AK475" s="494" t="s">
        <v>96</v>
      </c>
      <c r="AL475" s="494" t="s">
        <v>96</v>
      </c>
      <c r="AM475" s="496" t="s">
        <v>1793</v>
      </c>
      <c r="AN475" s="496" t="s">
        <v>1757</v>
      </c>
      <c r="AO475" s="494">
        <v>796</v>
      </c>
      <c r="AP475" s="494" t="s">
        <v>368</v>
      </c>
      <c r="AQ475" s="494">
        <v>1</v>
      </c>
      <c r="AR475" s="494">
        <v>46</v>
      </c>
      <c r="AS475" s="496" t="s">
        <v>605</v>
      </c>
      <c r="AT475" s="495">
        <v>41726</v>
      </c>
      <c r="AU475" s="495">
        <v>41726</v>
      </c>
      <c r="AV475" s="495">
        <v>42319</v>
      </c>
      <c r="AW475" s="494" t="s">
        <v>99</v>
      </c>
      <c r="AX475" s="496"/>
      <c r="AY475" s="494" t="s">
        <v>186</v>
      </c>
      <c r="AZ475" s="494"/>
      <c r="BA475" s="494">
        <v>2014</v>
      </c>
      <c r="BB475" s="494" t="s">
        <v>2387</v>
      </c>
      <c r="BC475" s="496" t="s">
        <v>2388</v>
      </c>
      <c r="BD475" s="496" t="s">
        <v>1818</v>
      </c>
      <c r="BE475" s="497">
        <v>42369</v>
      </c>
      <c r="BF475" s="498">
        <v>26107.799750552975</v>
      </c>
      <c r="BG475" s="488">
        <v>26107.799750552975</v>
      </c>
      <c r="BH475" s="488">
        <v>0</v>
      </c>
      <c r="BI475" s="488">
        <v>0</v>
      </c>
      <c r="BJ475" s="494" t="s">
        <v>186</v>
      </c>
      <c r="BK475" s="401"/>
    </row>
    <row r="476" spans="1:63" ht="150">
      <c r="A476" s="401">
        <v>2</v>
      </c>
      <c r="B476" s="494" t="s">
        <v>2389</v>
      </c>
      <c r="C476" s="401" t="s">
        <v>83</v>
      </c>
      <c r="D476" s="401" t="s">
        <v>235</v>
      </c>
      <c r="E476" s="494" t="s">
        <v>5853</v>
      </c>
      <c r="F476" s="401" t="s">
        <v>1752</v>
      </c>
      <c r="G476" s="401" t="s">
        <v>2344</v>
      </c>
      <c r="H476" s="499">
        <v>842500</v>
      </c>
      <c r="I476" s="486" t="s">
        <v>5671</v>
      </c>
      <c r="J476" s="496" t="s">
        <v>5433</v>
      </c>
      <c r="K476" s="496" t="s">
        <v>5433</v>
      </c>
      <c r="L476" s="496" t="s">
        <v>2325</v>
      </c>
      <c r="M476" s="500" t="s">
        <v>1755</v>
      </c>
      <c r="N476" s="496" t="s">
        <v>1773</v>
      </c>
      <c r="O476" s="496" t="s">
        <v>2234</v>
      </c>
      <c r="P476" s="489">
        <v>945.21100000000001</v>
      </c>
      <c r="Q476" s="489">
        <f t="shared" si="91"/>
        <v>1115.34898</v>
      </c>
      <c r="R476" s="489">
        <v>702.75900000000001</v>
      </c>
      <c r="S476" s="401" t="s">
        <v>1774</v>
      </c>
      <c r="T476" s="501">
        <v>1.087</v>
      </c>
      <c r="U476" s="501">
        <v>1.077</v>
      </c>
      <c r="V476" s="501">
        <v>1.073</v>
      </c>
      <c r="W476" s="501">
        <v>1.071</v>
      </c>
      <c r="X476" s="596">
        <v>0.9</v>
      </c>
      <c r="Y476" s="502">
        <v>850.69</v>
      </c>
      <c r="Z476" s="489">
        <f t="shared" si="92"/>
        <v>1003.8142</v>
      </c>
      <c r="AA476" s="489">
        <v>777.98155134886304</v>
      </c>
      <c r="AB476" s="488">
        <f t="shared" si="88"/>
        <v>918.01823059165838</v>
      </c>
      <c r="AC476" s="492">
        <f t="shared" si="93"/>
        <v>777.98155134886304</v>
      </c>
      <c r="AD476" s="493">
        <f t="shared" si="94"/>
        <v>918.01823059165838</v>
      </c>
      <c r="AE476" s="494" t="s">
        <v>1775</v>
      </c>
      <c r="AF476" s="494" t="s">
        <v>83</v>
      </c>
      <c r="AG476" s="494" t="s">
        <v>211</v>
      </c>
      <c r="AH476" s="494" t="s">
        <v>545</v>
      </c>
      <c r="AI476" s="495">
        <v>41669</v>
      </c>
      <c r="AJ476" s="495">
        <v>41704</v>
      </c>
      <c r="AK476" s="494" t="s">
        <v>96</v>
      </c>
      <c r="AL476" s="494" t="s">
        <v>96</v>
      </c>
      <c r="AM476" s="496" t="s">
        <v>5565</v>
      </c>
      <c r="AN476" s="496" t="s">
        <v>1757</v>
      </c>
      <c r="AO476" s="494">
        <v>796</v>
      </c>
      <c r="AP476" s="494" t="s">
        <v>368</v>
      </c>
      <c r="AQ476" s="494">
        <v>1</v>
      </c>
      <c r="AR476" s="494">
        <v>46</v>
      </c>
      <c r="AS476" s="496" t="s">
        <v>605</v>
      </c>
      <c r="AT476" s="495">
        <v>41724</v>
      </c>
      <c r="AU476" s="495">
        <v>41724</v>
      </c>
      <c r="AV476" s="583">
        <v>41912</v>
      </c>
      <c r="AW476" s="494">
        <v>2014</v>
      </c>
      <c r="AX476" s="496"/>
      <c r="AY476" s="494" t="s">
        <v>186</v>
      </c>
      <c r="AZ476" s="494"/>
      <c r="BA476" s="494">
        <v>2014</v>
      </c>
      <c r="BB476" s="494" t="s">
        <v>2390</v>
      </c>
      <c r="BC476" s="496" t="s">
        <v>2391</v>
      </c>
      <c r="BD476" s="496" t="s">
        <v>1818</v>
      </c>
      <c r="BE476" s="497">
        <v>41912</v>
      </c>
      <c r="BF476" s="498">
        <v>1116.7302853257793</v>
      </c>
      <c r="BG476" s="488">
        <v>1116.7302853257793</v>
      </c>
      <c r="BH476" s="488">
        <v>0.4</v>
      </c>
      <c r="BI476" s="488">
        <v>0</v>
      </c>
      <c r="BJ476" s="494" t="s">
        <v>186</v>
      </c>
      <c r="BK476" s="401"/>
    </row>
    <row r="477" spans="1:63" ht="150">
      <c r="A477" s="401">
        <v>2</v>
      </c>
      <c r="B477" s="494" t="s">
        <v>2392</v>
      </c>
      <c r="C477" s="401" t="s">
        <v>83</v>
      </c>
      <c r="D477" s="401" t="s">
        <v>235</v>
      </c>
      <c r="E477" s="494" t="s">
        <v>5853</v>
      </c>
      <c r="F477" s="401" t="s">
        <v>1752</v>
      </c>
      <c r="G477" s="401" t="s">
        <v>2344</v>
      </c>
      <c r="H477" s="499">
        <v>842501</v>
      </c>
      <c r="I477" s="486" t="s">
        <v>5672</v>
      </c>
      <c r="J477" s="496" t="s">
        <v>5433</v>
      </c>
      <c r="K477" s="496" t="s">
        <v>5433</v>
      </c>
      <c r="L477" s="496" t="s">
        <v>2325</v>
      </c>
      <c r="M477" s="500" t="s">
        <v>1755</v>
      </c>
      <c r="N477" s="496" t="s">
        <v>1773</v>
      </c>
      <c r="O477" s="496" t="s">
        <v>2234</v>
      </c>
      <c r="P477" s="489">
        <v>878.64800000000002</v>
      </c>
      <c r="Q477" s="489">
        <f t="shared" si="91"/>
        <v>1036.8046400000001</v>
      </c>
      <c r="R477" s="489">
        <v>653.27</v>
      </c>
      <c r="S477" s="401" t="s">
        <v>1774</v>
      </c>
      <c r="T477" s="501">
        <v>1.087</v>
      </c>
      <c r="U477" s="501">
        <v>1.077</v>
      </c>
      <c r="V477" s="501">
        <v>1.073</v>
      </c>
      <c r="W477" s="501">
        <v>1.071</v>
      </c>
      <c r="X477" s="596">
        <v>0.9</v>
      </c>
      <c r="Y477" s="502">
        <v>790.78300000000002</v>
      </c>
      <c r="Z477" s="489">
        <f t="shared" si="92"/>
        <v>933.12393999999995</v>
      </c>
      <c r="AA477" s="489">
        <v>723.30912208302709</v>
      </c>
      <c r="AB477" s="488">
        <f t="shared" si="88"/>
        <v>853.5047640579719</v>
      </c>
      <c r="AC477" s="492">
        <f t="shared" si="93"/>
        <v>723.30912208302709</v>
      </c>
      <c r="AD477" s="493">
        <f t="shared" si="94"/>
        <v>853.5047640579719</v>
      </c>
      <c r="AE477" s="494" t="s">
        <v>1775</v>
      </c>
      <c r="AF477" s="494" t="s">
        <v>83</v>
      </c>
      <c r="AG477" s="494" t="s">
        <v>211</v>
      </c>
      <c r="AH477" s="494" t="s">
        <v>545</v>
      </c>
      <c r="AI477" s="495">
        <v>41669</v>
      </c>
      <c r="AJ477" s="495">
        <v>41704</v>
      </c>
      <c r="AK477" s="494" t="s">
        <v>96</v>
      </c>
      <c r="AL477" s="494" t="s">
        <v>96</v>
      </c>
      <c r="AM477" s="496" t="s">
        <v>5565</v>
      </c>
      <c r="AN477" s="496" t="s">
        <v>1757</v>
      </c>
      <c r="AO477" s="494">
        <v>796</v>
      </c>
      <c r="AP477" s="494" t="s">
        <v>368</v>
      </c>
      <c r="AQ477" s="494">
        <v>1</v>
      </c>
      <c r="AR477" s="494">
        <v>46</v>
      </c>
      <c r="AS477" s="496" t="s">
        <v>605</v>
      </c>
      <c r="AT477" s="495">
        <v>41724</v>
      </c>
      <c r="AU477" s="495">
        <v>41724</v>
      </c>
      <c r="AV477" s="495">
        <v>41800</v>
      </c>
      <c r="AW477" s="494">
        <v>2014</v>
      </c>
      <c r="AX477" s="496"/>
      <c r="AY477" s="494" t="s">
        <v>186</v>
      </c>
      <c r="AZ477" s="494"/>
      <c r="BA477" s="494">
        <v>2014</v>
      </c>
      <c r="BB477" s="494" t="s">
        <v>2393</v>
      </c>
      <c r="BC477" s="496" t="s">
        <v>2394</v>
      </c>
      <c r="BD477" s="496" t="s">
        <v>1818</v>
      </c>
      <c r="BE477" s="497">
        <v>41850</v>
      </c>
      <c r="BF477" s="498">
        <v>1036.899686270066</v>
      </c>
      <c r="BG477" s="488">
        <v>1036.899686270066</v>
      </c>
      <c r="BH477" s="488">
        <v>0.25</v>
      </c>
      <c r="BI477" s="488">
        <v>0</v>
      </c>
      <c r="BJ477" s="494" t="s">
        <v>186</v>
      </c>
      <c r="BK477" s="401"/>
    </row>
    <row r="478" spans="1:63" s="613" customFormat="1" ht="112.5">
      <c r="A478" s="555">
        <v>2</v>
      </c>
      <c r="B478" s="562" t="s">
        <v>2395</v>
      </c>
      <c r="C478" s="555" t="s">
        <v>83</v>
      </c>
      <c r="D478" s="555" t="s">
        <v>235</v>
      </c>
      <c r="E478" s="562" t="s">
        <v>5853</v>
      </c>
      <c r="F478" s="555" t="s">
        <v>1768</v>
      </c>
      <c r="G478" s="555" t="s">
        <v>1769</v>
      </c>
      <c r="H478" s="556">
        <v>842502</v>
      </c>
      <c r="I478" s="486" t="s">
        <v>5673</v>
      </c>
      <c r="J478" s="486" t="s">
        <v>2237</v>
      </c>
      <c r="K478" s="486" t="s">
        <v>2237</v>
      </c>
      <c r="L478" s="486" t="s">
        <v>2325</v>
      </c>
      <c r="M478" s="576" t="s">
        <v>1755</v>
      </c>
      <c r="N478" s="486" t="s">
        <v>1773</v>
      </c>
      <c r="O478" s="486" t="s">
        <v>2234</v>
      </c>
      <c r="P478" s="492">
        <f>R478*T478*U478*V478*W478</f>
        <v>38635.670775962237</v>
      </c>
      <c r="Q478" s="492">
        <f t="shared" si="91"/>
        <v>45590.091515635439</v>
      </c>
      <c r="R478" s="492">
        <v>29703.391</v>
      </c>
      <c r="S478" s="555" t="s">
        <v>5970</v>
      </c>
      <c r="T478" s="630">
        <v>1.087</v>
      </c>
      <c r="U478" s="630">
        <v>1.0680000000000001</v>
      </c>
      <c r="V478" s="630">
        <v>1.0589999999999999</v>
      </c>
      <c r="W478" s="630">
        <v>1.0580000000000001</v>
      </c>
      <c r="X478" s="560">
        <v>0.9</v>
      </c>
      <c r="Y478" s="514">
        <v>34772.103000000003</v>
      </c>
      <c r="Z478" s="492">
        <f t="shared" si="92"/>
        <v>41031.081539999999</v>
      </c>
      <c r="AA478" s="492">
        <v>34484.942999999999</v>
      </c>
      <c r="AB478" s="493">
        <f t="shared" si="88"/>
        <v>40692.232739999999</v>
      </c>
      <c r="AC478" s="492">
        <f t="shared" si="93"/>
        <v>34484.942999999999</v>
      </c>
      <c r="AD478" s="493">
        <f t="shared" si="94"/>
        <v>40692.232739999999</v>
      </c>
      <c r="AE478" s="562" t="s">
        <v>1775</v>
      </c>
      <c r="AF478" s="562" t="s">
        <v>83</v>
      </c>
      <c r="AG478" s="562" t="s">
        <v>211</v>
      </c>
      <c r="AH478" s="562" t="s">
        <v>545</v>
      </c>
      <c r="AI478" s="561">
        <v>41671</v>
      </c>
      <c r="AJ478" s="561">
        <v>41706</v>
      </c>
      <c r="AK478" s="562" t="s">
        <v>96</v>
      </c>
      <c r="AL478" s="562" t="s">
        <v>96</v>
      </c>
      <c r="AM478" s="486" t="s">
        <v>2238</v>
      </c>
      <c r="AN478" s="486" t="s">
        <v>1757</v>
      </c>
      <c r="AO478" s="562">
        <v>796</v>
      </c>
      <c r="AP478" s="562" t="s">
        <v>368</v>
      </c>
      <c r="AQ478" s="562">
        <v>1</v>
      </c>
      <c r="AR478" s="562">
        <v>46</v>
      </c>
      <c r="AS478" s="486" t="s">
        <v>605</v>
      </c>
      <c r="AT478" s="561">
        <v>41726</v>
      </c>
      <c r="AU478" s="561">
        <v>41726</v>
      </c>
      <c r="AV478" s="561">
        <v>41892</v>
      </c>
      <c r="AW478" s="562">
        <v>2014</v>
      </c>
      <c r="AX478" s="486"/>
      <c r="AY478" s="562" t="s">
        <v>186</v>
      </c>
      <c r="AZ478" s="562"/>
      <c r="BA478" s="562">
        <v>2014</v>
      </c>
      <c r="BB478" s="562" t="s">
        <v>2396</v>
      </c>
      <c r="BC478" s="486" t="s">
        <v>2397</v>
      </c>
      <c r="BD478" s="486" t="s">
        <v>1818</v>
      </c>
      <c r="BE478" s="575">
        <v>41942</v>
      </c>
      <c r="BF478" s="580">
        <v>44267.155455960012</v>
      </c>
      <c r="BG478" s="493">
        <v>44267.155455960012</v>
      </c>
      <c r="BH478" s="493">
        <v>0</v>
      </c>
      <c r="BI478" s="493">
        <v>11</v>
      </c>
      <c r="BJ478" s="562" t="s">
        <v>186</v>
      </c>
      <c r="BK478" s="555"/>
    </row>
    <row r="479" spans="1:63" ht="112.5">
      <c r="A479" s="401">
        <v>2</v>
      </c>
      <c r="B479" s="494" t="s">
        <v>2582</v>
      </c>
      <c r="C479" s="401" t="s">
        <v>83</v>
      </c>
      <c r="D479" s="401" t="s">
        <v>231</v>
      </c>
      <c r="E479" s="494" t="s">
        <v>5853</v>
      </c>
      <c r="F479" s="401" t="s">
        <v>1795</v>
      </c>
      <c r="G479" s="401" t="s">
        <v>1769</v>
      </c>
      <c r="H479" s="499">
        <v>833977</v>
      </c>
      <c r="I479" s="486" t="s">
        <v>5674</v>
      </c>
      <c r="J479" s="496" t="s">
        <v>3898</v>
      </c>
      <c r="K479" s="496" t="s">
        <v>3898</v>
      </c>
      <c r="L479" s="496" t="s">
        <v>1772</v>
      </c>
      <c r="M479" s="500" t="s">
        <v>1755</v>
      </c>
      <c r="N479" s="496" t="s">
        <v>1773</v>
      </c>
      <c r="O479" s="496" t="s">
        <v>2234</v>
      </c>
      <c r="P479" s="489">
        <v>159382.14669714734</v>
      </c>
      <c r="Q479" s="489">
        <f t="shared" si="91"/>
        <v>188070.93310263386</v>
      </c>
      <c r="R479" s="489">
        <v>113521.193</v>
      </c>
      <c r="S479" s="401" t="s">
        <v>1774</v>
      </c>
      <c r="T479" s="501">
        <v>1.087</v>
      </c>
      <c r="U479" s="501">
        <v>1.077</v>
      </c>
      <c r="V479" s="501">
        <v>1.073</v>
      </c>
      <c r="W479" s="501">
        <v>1.071</v>
      </c>
      <c r="X479" s="596">
        <v>0.9</v>
      </c>
      <c r="Y479" s="502">
        <v>143443.9320274326</v>
      </c>
      <c r="Z479" s="489">
        <f t="shared" si="92"/>
        <v>169263.83979237045</v>
      </c>
      <c r="AA479" s="489">
        <v>131462.66831312983</v>
      </c>
      <c r="AB479" s="488">
        <f t="shared" si="88"/>
        <v>155125.94860949321</v>
      </c>
      <c r="AC479" s="492">
        <f t="shared" si="93"/>
        <v>131462.66831312983</v>
      </c>
      <c r="AD479" s="493">
        <f t="shared" si="94"/>
        <v>155125.94860949321</v>
      </c>
      <c r="AE479" s="494" t="s">
        <v>218</v>
      </c>
      <c r="AF479" s="494" t="s">
        <v>83</v>
      </c>
      <c r="AG479" s="494" t="s">
        <v>211</v>
      </c>
      <c r="AH479" s="494" t="s">
        <v>545</v>
      </c>
      <c r="AI479" s="495">
        <v>41897</v>
      </c>
      <c r="AJ479" s="495">
        <v>41957</v>
      </c>
      <c r="AK479" s="494" t="s">
        <v>96</v>
      </c>
      <c r="AL479" s="494" t="s">
        <v>96</v>
      </c>
      <c r="AM479" s="496" t="s">
        <v>3899</v>
      </c>
      <c r="AN479" s="496" t="s">
        <v>1757</v>
      </c>
      <c r="AO479" s="494">
        <v>796</v>
      </c>
      <c r="AP479" s="494" t="s">
        <v>368</v>
      </c>
      <c r="AQ479" s="494">
        <v>1</v>
      </c>
      <c r="AR479" s="494">
        <v>46</v>
      </c>
      <c r="AS479" s="496" t="s">
        <v>605</v>
      </c>
      <c r="AT479" s="495">
        <v>41977</v>
      </c>
      <c r="AU479" s="495">
        <v>41977</v>
      </c>
      <c r="AV479" s="495">
        <v>43455</v>
      </c>
      <c r="AW479" s="494" t="s">
        <v>1796</v>
      </c>
      <c r="AX479" s="496"/>
      <c r="AY479" s="494" t="s">
        <v>186</v>
      </c>
      <c r="AZ479" s="494"/>
      <c r="BA479" s="494">
        <v>2014</v>
      </c>
      <c r="BB479" s="494" t="s">
        <v>2583</v>
      </c>
      <c r="BC479" s="496" t="s">
        <v>2584</v>
      </c>
      <c r="BD479" s="496" t="s">
        <v>1818</v>
      </c>
      <c r="BE479" s="497">
        <v>43455</v>
      </c>
      <c r="BF479" s="498">
        <v>272552.08</v>
      </c>
      <c r="BG479" s="488">
        <v>272552.08</v>
      </c>
      <c r="BH479" s="488">
        <v>0</v>
      </c>
      <c r="BI479" s="488">
        <v>0</v>
      </c>
      <c r="BJ479" s="494" t="s">
        <v>186</v>
      </c>
      <c r="BK479" s="401"/>
    </row>
    <row r="480" spans="1:63" ht="120" customHeight="1">
      <c r="A480" s="401">
        <v>2</v>
      </c>
      <c r="B480" s="494" t="s">
        <v>7464</v>
      </c>
      <c r="C480" s="401" t="s">
        <v>83</v>
      </c>
      <c r="D480" s="401" t="s">
        <v>231</v>
      </c>
      <c r="E480" s="494" t="s">
        <v>5853</v>
      </c>
      <c r="F480" s="401" t="s">
        <v>1795</v>
      </c>
      <c r="G480" s="401" t="s">
        <v>1769</v>
      </c>
      <c r="H480" s="499">
        <v>831490</v>
      </c>
      <c r="I480" s="486" t="s">
        <v>6029</v>
      </c>
      <c r="J480" s="496" t="s">
        <v>3898</v>
      </c>
      <c r="K480" s="496" t="s">
        <v>3898</v>
      </c>
      <c r="L480" s="496" t="s">
        <v>1772</v>
      </c>
      <c r="M480" s="500" t="s">
        <v>1755</v>
      </c>
      <c r="N480" s="496" t="s">
        <v>1773</v>
      </c>
      <c r="O480" s="496" t="s">
        <v>1786</v>
      </c>
      <c r="P480" s="489">
        <v>42122.531999999999</v>
      </c>
      <c r="Q480" s="489">
        <f t="shared" si="91"/>
        <v>49704.587759999995</v>
      </c>
      <c r="R480" s="489">
        <v>30566.24627474467</v>
      </c>
      <c r="S480" s="401" t="s">
        <v>1774</v>
      </c>
      <c r="T480" s="501">
        <v>1.087</v>
      </c>
      <c r="U480" s="501">
        <v>1.077</v>
      </c>
      <c r="V480" s="501">
        <v>1.073</v>
      </c>
      <c r="W480" s="501">
        <v>1.071</v>
      </c>
      <c r="X480" s="596">
        <v>0.9</v>
      </c>
      <c r="Y480" s="502">
        <v>37902.683728275922</v>
      </c>
      <c r="Z480" s="489">
        <f t="shared" si="92"/>
        <v>44725.166799365586</v>
      </c>
      <c r="AA480" s="489">
        <v>35987.702497296406</v>
      </c>
      <c r="AB480" s="488">
        <f t="shared" si="88"/>
        <v>42465.488946809761</v>
      </c>
      <c r="AC480" s="492">
        <f t="shared" si="93"/>
        <v>35987.702497296406</v>
      </c>
      <c r="AD480" s="493">
        <f t="shared" si="94"/>
        <v>42465.488946809761</v>
      </c>
      <c r="AE480" s="494" t="s">
        <v>218</v>
      </c>
      <c r="AF480" s="494" t="s">
        <v>83</v>
      </c>
      <c r="AG480" s="494" t="s">
        <v>211</v>
      </c>
      <c r="AH480" s="494" t="s">
        <v>545</v>
      </c>
      <c r="AI480" s="495">
        <v>41685</v>
      </c>
      <c r="AJ480" s="495">
        <v>41745</v>
      </c>
      <c r="AK480" s="494" t="s">
        <v>96</v>
      </c>
      <c r="AL480" s="494" t="s">
        <v>96</v>
      </c>
      <c r="AM480" s="496" t="s">
        <v>3899</v>
      </c>
      <c r="AN480" s="496" t="s">
        <v>1757</v>
      </c>
      <c r="AO480" s="494">
        <v>796</v>
      </c>
      <c r="AP480" s="494" t="s">
        <v>368</v>
      </c>
      <c r="AQ480" s="494">
        <v>1</v>
      </c>
      <c r="AR480" s="494">
        <v>46</v>
      </c>
      <c r="AS480" s="496" t="s">
        <v>605</v>
      </c>
      <c r="AT480" s="495">
        <v>41765</v>
      </c>
      <c r="AU480" s="495">
        <v>41765</v>
      </c>
      <c r="AV480" s="495">
        <v>42369</v>
      </c>
      <c r="AW480" s="494" t="s">
        <v>99</v>
      </c>
      <c r="AX480" s="496"/>
      <c r="AY480" s="494" t="s">
        <v>186</v>
      </c>
      <c r="AZ480" s="494"/>
      <c r="BA480" s="494">
        <v>2014</v>
      </c>
      <c r="BB480" s="494" t="s">
        <v>4946</v>
      </c>
      <c r="BC480" s="496" t="s">
        <v>5675</v>
      </c>
      <c r="BD480" s="496" t="s">
        <v>6030</v>
      </c>
      <c r="BE480" s="497">
        <v>42369</v>
      </c>
      <c r="BF480" s="498">
        <v>104503.95059999998</v>
      </c>
      <c r="BG480" s="488">
        <v>129494.77375001107</v>
      </c>
      <c r="BH480" s="488">
        <v>12.6</v>
      </c>
      <c r="BI480" s="488">
        <v>0</v>
      </c>
      <c r="BJ480" s="494" t="s">
        <v>186</v>
      </c>
      <c r="BK480" s="401"/>
    </row>
    <row r="481" spans="1:63" s="613" customFormat="1" ht="112.5">
      <c r="A481" s="555">
        <v>2</v>
      </c>
      <c r="B481" s="562" t="s">
        <v>2599</v>
      </c>
      <c r="C481" s="555" t="s">
        <v>83</v>
      </c>
      <c r="D481" s="555" t="s">
        <v>231</v>
      </c>
      <c r="E481" s="562" t="s">
        <v>5853</v>
      </c>
      <c r="F481" s="555" t="s">
        <v>1795</v>
      </c>
      <c r="G481" s="555" t="s">
        <v>1769</v>
      </c>
      <c r="H481" s="556">
        <v>834029</v>
      </c>
      <c r="I481" s="486" t="s">
        <v>5676</v>
      </c>
      <c r="J481" s="486" t="s">
        <v>3898</v>
      </c>
      <c r="K481" s="486" t="s">
        <v>3898</v>
      </c>
      <c r="L481" s="486" t="s">
        <v>1772</v>
      </c>
      <c r="M481" s="576" t="s">
        <v>1755</v>
      </c>
      <c r="N481" s="486" t="s">
        <v>1773</v>
      </c>
      <c r="O481" s="486" t="s">
        <v>2234</v>
      </c>
      <c r="P481" s="492">
        <v>276307.29914270004</v>
      </c>
      <c r="Q481" s="492">
        <f t="shared" si="91"/>
        <v>326042.61298838601</v>
      </c>
      <c r="R481" s="492">
        <v>200077.69699999999</v>
      </c>
      <c r="S481" s="555" t="s">
        <v>1774</v>
      </c>
      <c r="T481" s="630">
        <v>1.087</v>
      </c>
      <c r="U481" s="630">
        <v>1.077</v>
      </c>
      <c r="V481" s="630">
        <v>1.073</v>
      </c>
      <c r="W481" s="630">
        <v>1.071</v>
      </c>
      <c r="X481" s="560">
        <v>0.9</v>
      </c>
      <c r="Y481" s="514">
        <v>250079.29718553007</v>
      </c>
      <c r="Z481" s="492">
        <f t="shared" si="92"/>
        <v>295093.57067892549</v>
      </c>
      <c r="AA481" s="492">
        <v>241842.23136357704</v>
      </c>
      <c r="AB481" s="493">
        <f t="shared" si="88"/>
        <v>285373.83300902089</v>
      </c>
      <c r="AC481" s="492">
        <f t="shared" si="93"/>
        <v>241842.23136357704</v>
      </c>
      <c r="AD481" s="493">
        <f t="shared" si="94"/>
        <v>285373.83300902089</v>
      </c>
      <c r="AE481" s="562" t="s">
        <v>218</v>
      </c>
      <c r="AF481" s="562" t="s">
        <v>83</v>
      </c>
      <c r="AG481" s="562" t="s">
        <v>211</v>
      </c>
      <c r="AH481" s="562" t="s">
        <v>545</v>
      </c>
      <c r="AI481" s="561">
        <v>41922</v>
      </c>
      <c r="AJ481" s="561">
        <f>AI481+60</f>
        <v>41982</v>
      </c>
      <c r="AK481" s="562" t="s">
        <v>96</v>
      </c>
      <c r="AL481" s="562" t="s">
        <v>96</v>
      </c>
      <c r="AM481" s="486" t="s">
        <v>3899</v>
      </c>
      <c r="AN481" s="486" t="s">
        <v>1757</v>
      </c>
      <c r="AO481" s="562">
        <v>796</v>
      </c>
      <c r="AP481" s="562" t="s">
        <v>368</v>
      </c>
      <c r="AQ481" s="562">
        <v>1</v>
      </c>
      <c r="AR481" s="562">
        <v>46</v>
      </c>
      <c r="AS481" s="486" t="s">
        <v>605</v>
      </c>
      <c r="AT481" s="561">
        <f>AJ481+20</f>
        <v>42002</v>
      </c>
      <c r="AU481" s="561">
        <f>AT481</f>
        <v>42002</v>
      </c>
      <c r="AV481" s="561">
        <v>43465</v>
      </c>
      <c r="AW481" s="562" t="s">
        <v>1796</v>
      </c>
      <c r="AX481" s="486"/>
      <c r="AY481" s="562" t="s">
        <v>186</v>
      </c>
      <c r="AZ481" s="562"/>
      <c r="BA481" s="562">
        <v>2014</v>
      </c>
      <c r="BB481" s="562" t="s">
        <v>2600</v>
      </c>
      <c r="BC481" s="486" t="s">
        <v>2601</v>
      </c>
      <c r="BD481" s="486" t="s">
        <v>1818</v>
      </c>
      <c r="BE481" s="575" t="s">
        <v>7288</v>
      </c>
      <c r="BF481" s="580">
        <v>1131128.3293999997</v>
      </c>
      <c r="BG481" s="493">
        <f>BF481</f>
        <v>1131128.3293999997</v>
      </c>
      <c r="BH481" s="493">
        <v>160</v>
      </c>
      <c r="BI481" s="493">
        <v>0</v>
      </c>
      <c r="BJ481" s="562" t="s">
        <v>186</v>
      </c>
      <c r="BK481" s="555"/>
    </row>
    <row r="482" spans="1:63" ht="112.5">
      <c r="A482" s="401">
        <v>2</v>
      </c>
      <c r="B482" s="494" t="s">
        <v>2607</v>
      </c>
      <c r="C482" s="401" t="s">
        <v>83</v>
      </c>
      <c r="D482" s="401" t="s">
        <v>231</v>
      </c>
      <c r="E482" s="494" t="s">
        <v>5853</v>
      </c>
      <c r="F482" s="401" t="s">
        <v>1795</v>
      </c>
      <c r="G482" s="401" t="s">
        <v>1769</v>
      </c>
      <c r="H482" s="499">
        <v>834046</v>
      </c>
      <c r="I482" s="486" t="s">
        <v>5677</v>
      </c>
      <c r="J482" s="496" t="s">
        <v>3898</v>
      </c>
      <c r="K482" s="496" t="s">
        <v>3898</v>
      </c>
      <c r="L482" s="496" t="s">
        <v>1772</v>
      </c>
      <c r="M482" s="500" t="s">
        <v>1755</v>
      </c>
      <c r="N482" s="496" t="s">
        <v>1773</v>
      </c>
      <c r="O482" s="496" t="s">
        <v>2234</v>
      </c>
      <c r="P482" s="489">
        <v>47755.940004497701</v>
      </c>
      <c r="Q482" s="489">
        <f t="shared" si="91"/>
        <v>56352.009205307288</v>
      </c>
      <c r="R482" s="489">
        <v>38022.24522651091</v>
      </c>
      <c r="S482" s="401" t="s">
        <v>1774</v>
      </c>
      <c r="T482" s="501">
        <v>1.087</v>
      </c>
      <c r="U482" s="501">
        <v>1.077</v>
      </c>
      <c r="V482" s="501">
        <v>1.073</v>
      </c>
      <c r="W482" s="501">
        <v>1.071</v>
      </c>
      <c r="X482" s="596">
        <v>0.9</v>
      </c>
      <c r="Y482" s="502">
        <v>42980.346004047933</v>
      </c>
      <c r="Z482" s="489">
        <f t="shared" si="92"/>
        <v>50716.808284776562</v>
      </c>
      <c r="AA482" s="489">
        <v>39174.018354491782</v>
      </c>
      <c r="AB482" s="488">
        <f t="shared" si="88"/>
        <v>46225.341658300298</v>
      </c>
      <c r="AC482" s="492">
        <f t="shared" si="93"/>
        <v>39174.018354491782</v>
      </c>
      <c r="AD482" s="493">
        <f t="shared" si="94"/>
        <v>46225.341658300298</v>
      </c>
      <c r="AE482" s="494" t="s">
        <v>218</v>
      </c>
      <c r="AF482" s="494" t="s">
        <v>83</v>
      </c>
      <c r="AG482" s="494" t="s">
        <v>211</v>
      </c>
      <c r="AH482" s="494" t="s">
        <v>545</v>
      </c>
      <c r="AI482" s="495">
        <v>41805</v>
      </c>
      <c r="AJ482" s="495">
        <v>41865</v>
      </c>
      <c r="AK482" s="494" t="s">
        <v>96</v>
      </c>
      <c r="AL482" s="494" t="s">
        <v>96</v>
      </c>
      <c r="AM482" s="496" t="s">
        <v>3899</v>
      </c>
      <c r="AN482" s="496" t="s">
        <v>1757</v>
      </c>
      <c r="AO482" s="494">
        <v>796</v>
      </c>
      <c r="AP482" s="494" t="s">
        <v>368</v>
      </c>
      <c r="AQ482" s="494">
        <v>1</v>
      </c>
      <c r="AR482" s="494">
        <v>46</v>
      </c>
      <c r="AS482" s="496" t="s">
        <v>605</v>
      </c>
      <c r="AT482" s="495">
        <v>41885</v>
      </c>
      <c r="AU482" s="495">
        <v>41885</v>
      </c>
      <c r="AV482" s="495">
        <v>42551</v>
      </c>
      <c r="AW482" s="494" t="s">
        <v>1789</v>
      </c>
      <c r="AX482" s="496"/>
      <c r="AY482" s="494" t="s">
        <v>186</v>
      </c>
      <c r="AZ482" s="494"/>
      <c r="BA482" s="494">
        <v>2014</v>
      </c>
      <c r="BB482" s="494" t="s">
        <v>2608</v>
      </c>
      <c r="BC482" s="496" t="s">
        <v>2609</v>
      </c>
      <c r="BD482" s="496" t="s">
        <v>1818</v>
      </c>
      <c r="BE482" s="497">
        <v>42551</v>
      </c>
      <c r="BF482" s="498">
        <v>68898.477199999994</v>
      </c>
      <c r="BG482" s="488">
        <v>68898.477199999994</v>
      </c>
      <c r="BH482" s="488">
        <v>0</v>
      </c>
      <c r="BI482" s="488">
        <v>0</v>
      </c>
      <c r="BJ482" s="494" t="s">
        <v>186</v>
      </c>
      <c r="BK482" s="401"/>
    </row>
    <row r="483" spans="1:63" s="613" customFormat="1" ht="112.5">
      <c r="A483" s="555">
        <v>2</v>
      </c>
      <c r="B483" s="562" t="s">
        <v>2585</v>
      </c>
      <c r="C483" s="555" t="s">
        <v>83</v>
      </c>
      <c r="D483" s="555" t="s">
        <v>231</v>
      </c>
      <c r="E483" s="562" t="s">
        <v>5853</v>
      </c>
      <c r="F483" s="555" t="s">
        <v>1761</v>
      </c>
      <c r="G483" s="555" t="s">
        <v>1762</v>
      </c>
      <c r="H483" s="556">
        <v>833980</v>
      </c>
      <c r="I483" s="486" t="s">
        <v>2586</v>
      </c>
      <c r="J483" s="486" t="s">
        <v>2233</v>
      </c>
      <c r="K483" s="486" t="s">
        <v>2233</v>
      </c>
      <c r="L483" s="486" t="s">
        <v>1772</v>
      </c>
      <c r="M483" s="576" t="s">
        <v>1755</v>
      </c>
      <c r="N483" s="486" t="s">
        <v>1773</v>
      </c>
      <c r="O483" s="486" t="s">
        <v>7289</v>
      </c>
      <c r="P483" s="492">
        <v>6679.6801297490001</v>
      </c>
      <c r="Q483" s="492">
        <v>7882.0225531038195</v>
      </c>
      <c r="R483" s="492">
        <v>5134.2660489999998</v>
      </c>
      <c r="S483" s="555" t="s">
        <v>1774</v>
      </c>
      <c r="T483" s="630">
        <v>1.087</v>
      </c>
      <c r="U483" s="630">
        <v>1.077</v>
      </c>
      <c r="V483" s="630">
        <v>1.073</v>
      </c>
      <c r="W483" s="630">
        <v>1.071</v>
      </c>
      <c r="X483" s="560">
        <v>0.9</v>
      </c>
      <c r="Y483" s="514">
        <v>6011.7121167740997</v>
      </c>
      <c r="Z483" s="492">
        <v>7093.820297793437</v>
      </c>
      <c r="AA483" s="492">
        <v>5846.7568197920937</v>
      </c>
      <c r="AB483" s="493">
        <v>6899.1730473546704</v>
      </c>
      <c r="AC483" s="492">
        <v>5846.7568197920937</v>
      </c>
      <c r="AD483" s="493">
        <v>6899.1730473546704</v>
      </c>
      <c r="AE483" s="562" t="s">
        <v>1775</v>
      </c>
      <c r="AF483" s="562" t="s">
        <v>83</v>
      </c>
      <c r="AG483" s="562" t="s">
        <v>211</v>
      </c>
      <c r="AH483" s="562" t="s">
        <v>545</v>
      </c>
      <c r="AI483" s="561">
        <v>41713</v>
      </c>
      <c r="AJ483" s="561">
        <v>41748</v>
      </c>
      <c r="AK483" s="562" t="s">
        <v>96</v>
      </c>
      <c r="AL483" s="562" t="s">
        <v>96</v>
      </c>
      <c r="AM483" s="486" t="s">
        <v>1793</v>
      </c>
      <c r="AN483" s="486" t="s">
        <v>1757</v>
      </c>
      <c r="AO483" s="562">
        <v>796</v>
      </c>
      <c r="AP483" s="562" t="s">
        <v>368</v>
      </c>
      <c r="AQ483" s="562">
        <v>1</v>
      </c>
      <c r="AR483" s="562">
        <v>46</v>
      </c>
      <c r="AS483" s="486" t="s">
        <v>605</v>
      </c>
      <c r="AT483" s="561">
        <v>41768</v>
      </c>
      <c r="AU483" s="561">
        <v>41768</v>
      </c>
      <c r="AV483" s="561">
        <v>42004</v>
      </c>
      <c r="AW483" s="562">
        <v>2014</v>
      </c>
      <c r="AX483" s="486"/>
      <c r="AY483" s="562" t="s">
        <v>186</v>
      </c>
      <c r="AZ483" s="562"/>
      <c r="BA483" s="562">
        <v>2014</v>
      </c>
      <c r="BB483" s="562" t="s">
        <v>2587</v>
      </c>
      <c r="BC483" s="486" t="s">
        <v>2588</v>
      </c>
      <c r="BD483" s="486" t="s">
        <v>1818</v>
      </c>
      <c r="BE483" s="575" t="s">
        <v>7290</v>
      </c>
      <c r="BF483" s="580">
        <v>1006162.6742803799</v>
      </c>
      <c r="BG483" s="493">
        <f>BF483</f>
        <v>1006162.6742803799</v>
      </c>
      <c r="BH483" s="493">
        <v>80</v>
      </c>
      <c r="BI483" s="493">
        <v>9.17</v>
      </c>
      <c r="BJ483" s="562" t="s">
        <v>186</v>
      </c>
      <c r="BK483" s="555"/>
    </row>
    <row r="484" spans="1:63" ht="112.5">
      <c r="A484" s="631">
        <v>2</v>
      </c>
      <c r="B484" s="700" t="s">
        <v>6634</v>
      </c>
      <c r="C484" s="631" t="s">
        <v>83</v>
      </c>
      <c r="D484" s="631" t="s">
        <v>231</v>
      </c>
      <c r="E484" s="632" t="s">
        <v>5853</v>
      </c>
      <c r="F484" s="631" t="s">
        <v>1768</v>
      </c>
      <c r="G484" s="631" t="s">
        <v>1769</v>
      </c>
      <c r="H484" s="633">
        <v>835077</v>
      </c>
      <c r="I484" s="634" t="s">
        <v>5678</v>
      </c>
      <c r="J484" s="635" t="s">
        <v>5442</v>
      </c>
      <c r="K484" s="635" t="s">
        <v>5442</v>
      </c>
      <c r="L484" s="635" t="s">
        <v>1772</v>
      </c>
      <c r="M484" s="636" t="s">
        <v>1755</v>
      </c>
      <c r="N484" s="635" t="s">
        <v>1773</v>
      </c>
      <c r="O484" s="635" t="s">
        <v>2234</v>
      </c>
      <c r="P484" s="637">
        <v>6000.67967866667</v>
      </c>
      <c r="Q484" s="637">
        <f t="shared" ref="Q484:Q547" si="95">P484*1.18</f>
        <v>7080.8020208266698</v>
      </c>
      <c r="R484" s="637">
        <v>5146.1040000000003</v>
      </c>
      <c r="S484" s="631" t="s">
        <v>1774</v>
      </c>
      <c r="T484" s="638">
        <v>1.087</v>
      </c>
      <c r="U484" s="638">
        <v>1.077</v>
      </c>
      <c r="V484" s="638">
        <v>1.073</v>
      </c>
      <c r="W484" s="638">
        <v>1.071</v>
      </c>
      <c r="X484" s="639">
        <v>0.9</v>
      </c>
      <c r="Y484" s="640">
        <v>5692.1056029304491</v>
      </c>
      <c r="Z484" s="637">
        <f t="shared" ref="Z484:Z547" si="96">Y484*1.18</f>
        <v>6716.6846114579293</v>
      </c>
      <c r="AA484" s="637">
        <v>5949.551192184359</v>
      </c>
      <c r="AB484" s="641">
        <f t="shared" ref="AB484:AB547" si="97">AA484*1.18</f>
        <v>7020.4704067775428</v>
      </c>
      <c r="AC484" s="642">
        <f t="shared" ref="AC484:AC547" si="98">IF(Y484&lt;AA484,Y484,AA484)</f>
        <v>5692.1056029304491</v>
      </c>
      <c r="AD484" s="643">
        <f t="shared" ref="AD484:AD547" si="99">AC484*1.18</f>
        <v>6716.6846114579293</v>
      </c>
      <c r="AE484" s="632" t="s">
        <v>173</v>
      </c>
      <c r="AF484" s="632" t="s">
        <v>83</v>
      </c>
      <c r="AG484" s="632" t="s">
        <v>211</v>
      </c>
      <c r="AH484" s="632" t="s">
        <v>545</v>
      </c>
      <c r="AI484" s="644">
        <v>41922</v>
      </c>
      <c r="AJ484" s="644">
        <v>41962</v>
      </c>
      <c r="AK484" s="632" t="s">
        <v>96</v>
      </c>
      <c r="AL484" s="632" t="s">
        <v>96</v>
      </c>
      <c r="AM484" s="635" t="s">
        <v>2326</v>
      </c>
      <c r="AN484" s="635" t="s">
        <v>1757</v>
      </c>
      <c r="AO484" s="632">
        <v>796</v>
      </c>
      <c r="AP484" s="632" t="s">
        <v>368</v>
      </c>
      <c r="AQ484" s="632">
        <v>1</v>
      </c>
      <c r="AR484" s="632">
        <v>46</v>
      </c>
      <c r="AS484" s="635" t="s">
        <v>605</v>
      </c>
      <c r="AT484" s="644">
        <v>41982</v>
      </c>
      <c r="AU484" s="644">
        <v>41982</v>
      </c>
      <c r="AV484" s="644">
        <v>42216</v>
      </c>
      <c r="AW484" s="632" t="s">
        <v>99</v>
      </c>
      <c r="AX484" s="635"/>
      <c r="AY484" s="632" t="s">
        <v>186</v>
      </c>
      <c r="AZ484" s="632"/>
      <c r="BA484" s="632">
        <v>2014</v>
      </c>
      <c r="BB484" s="632" t="s">
        <v>5679</v>
      </c>
      <c r="BC484" s="635" t="s">
        <v>5680</v>
      </c>
      <c r="BD484" s="635" t="s">
        <v>1818</v>
      </c>
      <c r="BE484" s="645">
        <v>42216</v>
      </c>
      <c r="BF484" s="646">
        <v>7670.4388301999998</v>
      </c>
      <c r="BG484" s="641">
        <v>7210.2125003879992</v>
      </c>
      <c r="BH484" s="641">
        <v>0</v>
      </c>
      <c r="BI484" s="641">
        <v>0</v>
      </c>
      <c r="BJ484" s="632" t="s">
        <v>186</v>
      </c>
      <c r="BK484" s="631"/>
    </row>
    <row r="485" spans="1:63" ht="112.5">
      <c r="A485" s="401">
        <v>2</v>
      </c>
      <c r="B485" s="581" t="s">
        <v>6635</v>
      </c>
      <c r="C485" s="401" t="s">
        <v>83</v>
      </c>
      <c r="D485" s="401" t="s">
        <v>231</v>
      </c>
      <c r="E485" s="494" t="s">
        <v>5853</v>
      </c>
      <c r="F485" s="401" t="s">
        <v>1768</v>
      </c>
      <c r="G485" s="401" t="s">
        <v>1769</v>
      </c>
      <c r="H485" s="499">
        <v>835076</v>
      </c>
      <c r="I485" s="486" t="s">
        <v>5681</v>
      </c>
      <c r="J485" s="496" t="s">
        <v>5442</v>
      </c>
      <c r="K485" s="496" t="s">
        <v>5442</v>
      </c>
      <c r="L485" s="496" t="s">
        <v>1772</v>
      </c>
      <c r="M485" s="500" t="s">
        <v>1755</v>
      </c>
      <c r="N485" s="496" t="s">
        <v>1773</v>
      </c>
      <c r="O485" s="496" t="s">
        <v>2234</v>
      </c>
      <c r="P485" s="489">
        <v>5078.8210349999999</v>
      </c>
      <c r="Q485" s="489">
        <f t="shared" si="95"/>
        <v>5993.0088212999999</v>
      </c>
      <c r="R485" s="489">
        <v>3683.9929999999999</v>
      </c>
      <c r="S485" s="401" t="s">
        <v>1774</v>
      </c>
      <c r="T485" s="501">
        <v>1.087</v>
      </c>
      <c r="U485" s="501">
        <v>1.077</v>
      </c>
      <c r="V485" s="501">
        <v>1.073</v>
      </c>
      <c r="W485" s="501">
        <v>1.071</v>
      </c>
      <c r="X485" s="596">
        <v>0.9</v>
      </c>
      <c r="Y485" s="502">
        <v>4313.5875314345449</v>
      </c>
      <c r="Z485" s="489">
        <f t="shared" si="96"/>
        <v>5090.0332870927623</v>
      </c>
      <c r="AA485" s="489">
        <v>4479.2105621079099</v>
      </c>
      <c r="AB485" s="488">
        <f t="shared" si="97"/>
        <v>5285.4684632873332</v>
      </c>
      <c r="AC485" s="492">
        <f t="shared" si="98"/>
        <v>4313.5875314345449</v>
      </c>
      <c r="AD485" s="493">
        <f t="shared" si="99"/>
        <v>5090.0332870927623</v>
      </c>
      <c r="AE485" s="494" t="s">
        <v>173</v>
      </c>
      <c r="AF485" s="494" t="s">
        <v>83</v>
      </c>
      <c r="AG485" s="494" t="s">
        <v>211</v>
      </c>
      <c r="AH485" s="494" t="s">
        <v>545</v>
      </c>
      <c r="AI485" s="495">
        <v>41685</v>
      </c>
      <c r="AJ485" s="495">
        <v>41725</v>
      </c>
      <c r="AK485" s="494" t="s">
        <v>96</v>
      </c>
      <c r="AL485" s="494" t="s">
        <v>96</v>
      </c>
      <c r="AM485" s="496" t="s">
        <v>2326</v>
      </c>
      <c r="AN485" s="496" t="s">
        <v>1757</v>
      </c>
      <c r="AO485" s="494">
        <v>796</v>
      </c>
      <c r="AP485" s="494" t="s">
        <v>368</v>
      </c>
      <c r="AQ485" s="494">
        <v>1</v>
      </c>
      <c r="AR485" s="494">
        <v>46</v>
      </c>
      <c r="AS485" s="496" t="s">
        <v>605</v>
      </c>
      <c r="AT485" s="495">
        <v>41745</v>
      </c>
      <c r="AU485" s="495">
        <v>41745</v>
      </c>
      <c r="AV485" s="495">
        <v>41882</v>
      </c>
      <c r="AW485" s="494">
        <v>2014</v>
      </c>
      <c r="AX485" s="496"/>
      <c r="AY485" s="494" t="s">
        <v>186</v>
      </c>
      <c r="AZ485" s="494"/>
      <c r="BA485" s="494">
        <v>2014</v>
      </c>
      <c r="BB485" s="494" t="s">
        <v>5682</v>
      </c>
      <c r="BC485" s="496" t="s">
        <v>5683</v>
      </c>
      <c r="BD485" s="496" t="s">
        <v>1818</v>
      </c>
      <c r="BE485" s="497">
        <v>41882</v>
      </c>
      <c r="BF485" s="498">
        <v>6000</v>
      </c>
      <c r="BG485" s="488">
        <v>6000</v>
      </c>
      <c r="BH485" s="488">
        <v>0</v>
      </c>
      <c r="BI485" s="488">
        <v>0</v>
      </c>
      <c r="BJ485" s="494" t="s">
        <v>186</v>
      </c>
      <c r="BK485" s="401"/>
    </row>
    <row r="486" spans="1:63" ht="112.5">
      <c r="A486" s="401">
        <v>2</v>
      </c>
      <c r="B486" s="494" t="s">
        <v>2579</v>
      </c>
      <c r="C486" s="401" t="s">
        <v>83</v>
      </c>
      <c r="D486" s="401" t="s">
        <v>231</v>
      </c>
      <c r="E486" s="494" t="s">
        <v>5853</v>
      </c>
      <c r="F486" s="401" t="s">
        <v>1768</v>
      </c>
      <c r="G486" s="401" t="s">
        <v>1769</v>
      </c>
      <c r="H486" s="499">
        <v>833974</v>
      </c>
      <c r="I486" s="486" t="s">
        <v>2580</v>
      </c>
      <c r="J486" s="496" t="s">
        <v>5442</v>
      </c>
      <c r="K486" s="496" t="s">
        <v>5442</v>
      </c>
      <c r="L486" s="496" t="s">
        <v>1772</v>
      </c>
      <c r="M486" s="500" t="s">
        <v>1755</v>
      </c>
      <c r="N486" s="496" t="s">
        <v>1773</v>
      </c>
      <c r="O486" s="496" t="s">
        <v>2234</v>
      </c>
      <c r="P486" s="489">
        <v>39384.802866240003</v>
      </c>
      <c r="Q486" s="489">
        <f t="shared" si="95"/>
        <v>46474.067382163201</v>
      </c>
      <c r="R486" s="489">
        <v>31357.327122802548</v>
      </c>
      <c r="S486" s="401" t="s">
        <v>1774</v>
      </c>
      <c r="T486" s="501">
        <v>1.087</v>
      </c>
      <c r="U486" s="501">
        <v>1.077</v>
      </c>
      <c r="V486" s="501">
        <v>1.073</v>
      </c>
      <c r="W486" s="501">
        <v>1.071</v>
      </c>
      <c r="X486" s="596">
        <v>0.9</v>
      </c>
      <c r="Y486" s="502">
        <v>35446.322579616004</v>
      </c>
      <c r="Z486" s="489">
        <f t="shared" si="96"/>
        <v>41826.660643946881</v>
      </c>
      <c r="AA486" s="489">
        <v>37777.252084189218</v>
      </c>
      <c r="AB486" s="488">
        <f t="shared" si="97"/>
        <v>44577.157459343274</v>
      </c>
      <c r="AC486" s="492">
        <f t="shared" si="98"/>
        <v>35446.322579616004</v>
      </c>
      <c r="AD486" s="493">
        <f t="shared" si="99"/>
        <v>41826.660643946881</v>
      </c>
      <c r="AE486" s="494" t="s">
        <v>1775</v>
      </c>
      <c r="AF486" s="494" t="s">
        <v>83</v>
      </c>
      <c r="AG486" s="494" t="s">
        <v>211</v>
      </c>
      <c r="AH486" s="494" t="s">
        <v>545</v>
      </c>
      <c r="AI486" s="495">
        <v>41835</v>
      </c>
      <c r="AJ486" s="495">
        <v>41870</v>
      </c>
      <c r="AK486" s="494" t="s">
        <v>96</v>
      </c>
      <c r="AL486" s="494" t="s">
        <v>96</v>
      </c>
      <c r="AM486" s="496" t="s">
        <v>2326</v>
      </c>
      <c r="AN486" s="496" t="s">
        <v>1757</v>
      </c>
      <c r="AO486" s="494">
        <v>796</v>
      </c>
      <c r="AP486" s="494" t="s">
        <v>368</v>
      </c>
      <c r="AQ486" s="494">
        <v>1</v>
      </c>
      <c r="AR486" s="494">
        <v>46</v>
      </c>
      <c r="AS486" s="496" t="s">
        <v>605</v>
      </c>
      <c r="AT486" s="495">
        <v>41890</v>
      </c>
      <c r="AU486" s="495">
        <v>41890</v>
      </c>
      <c r="AV486" s="495">
        <v>42004</v>
      </c>
      <c r="AW486" s="494">
        <v>2014</v>
      </c>
      <c r="AX486" s="496"/>
      <c r="AY486" s="494" t="s">
        <v>186</v>
      </c>
      <c r="AZ486" s="494"/>
      <c r="BA486" s="494">
        <v>2014</v>
      </c>
      <c r="BB486" s="494" t="s">
        <v>2577</v>
      </c>
      <c r="BC486" s="496" t="s">
        <v>2578</v>
      </c>
      <c r="BD486" s="496" t="s">
        <v>1818</v>
      </c>
      <c r="BE486" s="497">
        <v>42004</v>
      </c>
      <c r="BF486" s="498">
        <v>52335.661466399994</v>
      </c>
      <c r="BG486" s="488">
        <v>52335.661466399994</v>
      </c>
      <c r="BH486" s="488">
        <v>0</v>
      </c>
      <c r="BI486" s="488">
        <v>4.5</v>
      </c>
      <c r="BJ486" s="494" t="s">
        <v>186</v>
      </c>
      <c r="BK486" s="401"/>
    </row>
    <row r="487" spans="1:63" ht="112.5">
      <c r="A487" s="401">
        <v>2</v>
      </c>
      <c r="B487" s="494" t="s">
        <v>5684</v>
      </c>
      <c r="C487" s="401" t="s">
        <v>83</v>
      </c>
      <c r="D487" s="401" t="s">
        <v>231</v>
      </c>
      <c r="E487" s="494" t="s">
        <v>5853</v>
      </c>
      <c r="F487" s="401" t="s">
        <v>1768</v>
      </c>
      <c r="G487" s="401" t="s">
        <v>1769</v>
      </c>
      <c r="H487" s="499">
        <v>832646</v>
      </c>
      <c r="I487" s="486" t="s">
        <v>5685</v>
      </c>
      <c r="J487" s="496" t="s">
        <v>2237</v>
      </c>
      <c r="K487" s="496" t="s">
        <v>2237</v>
      </c>
      <c r="L487" s="496" t="s">
        <v>1772</v>
      </c>
      <c r="M487" s="500" t="s">
        <v>1755</v>
      </c>
      <c r="N487" s="496" t="s">
        <v>1773</v>
      </c>
      <c r="O487" s="496" t="s">
        <v>2234</v>
      </c>
      <c r="P487" s="489">
        <v>5021.3109999999997</v>
      </c>
      <c r="Q487" s="489">
        <f t="shared" si="95"/>
        <v>5925.1469799999995</v>
      </c>
      <c r="R487" s="489">
        <v>4665.4390000000003</v>
      </c>
      <c r="S487" s="401" t="s">
        <v>1774</v>
      </c>
      <c r="T487" s="501">
        <v>1.087</v>
      </c>
      <c r="U487" s="501">
        <v>1.077</v>
      </c>
      <c r="V487" s="501">
        <v>1.073</v>
      </c>
      <c r="W487" s="501">
        <v>1.071</v>
      </c>
      <c r="X487" s="596">
        <v>0.9</v>
      </c>
      <c r="Y487" s="502">
        <v>4916.906462815994</v>
      </c>
      <c r="Z487" s="489">
        <f t="shared" si="96"/>
        <v>5801.9496261228724</v>
      </c>
      <c r="AA487" s="489">
        <v>5093.1746783048839</v>
      </c>
      <c r="AB487" s="488">
        <f t="shared" si="97"/>
        <v>6009.9461203997625</v>
      </c>
      <c r="AC487" s="492">
        <f t="shared" si="98"/>
        <v>4916.906462815994</v>
      </c>
      <c r="AD487" s="493">
        <f t="shared" si="99"/>
        <v>5801.9496261228724</v>
      </c>
      <c r="AE487" s="494" t="s">
        <v>1775</v>
      </c>
      <c r="AF487" s="494" t="s">
        <v>83</v>
      </c>
      <c r="AG487" s="494" t="s">
        <v>211</v>
      </c>
      <c r="AH487" s="494" t="s">
        <v>545</v>
      </c>
      <c r="AI487" s="495">
        <v>41713</v>
      </c>
      <c r="AJ487" s="495">
        <v>41748</v>
      </c>
      <c r="AK487" s="494" t="s">
        <v>96</v>
      </c>
      <c r="AL487" s="494" t="s">
        <v>96</v>
      </c>
      <c r="AM487" s="496" t="s">
        <v>2238</v>
      </c>
      <c r="AN487" s="496" t="s">
        <v>1757</v>
      </c>
      <c r="AO487" s="494">
        <v>796</v>
      </c>
      <c r="AP487" s="494" t="s">
        <v>368</v>
      </c>
      <c r="AQ487" s="494">
        <v>1</v>
      </c>
      <c r="AR487" s="494">
        <v>46</v>
      </c>
      <c r="AS487" s="496" t="s">
        <v>605</v>
      </c>
      <c r="AT487" s="495">
        <v>41768</v>
      </c>
      <c r="AU487" s="495">
        <v>41768</v>
      </c>
      <c r="AV487" s="495">
        <v>42004</v>
      </c>
      <c r="AW487" s="494">
        <v>2014</v>
      </c>
      <c r="AX487" s="496"/>
      <c r="AY487" s="494" t="s">
        <v>186</v>
      </c>
      <c r="AZ487" s="494"/>
      <c r="BA487" s="494">
        <v>2014</v>
      </c>
      <c r="BB487" s="494" t="s">
        <v>2612</v>
      </c>
      <c r="BC487" s="496" t="s">
        <v>2613</v>
      </c>
      <c r="BD487" s="496" t="s">
        <v>1818</v>
      </c>
      <c r="BE487" s="497">
        <v>42004</v>
      </c>
      <c r="BF487" s="498">
        <v>6091.0621001199997</v>
      </c>
      <c r="BG487" s="488">
        <v>6091.0621001199997</v>
      </c>
      <c r="BH487" s="488">
        <v>0.63</v>
      </c>
      <c r="BI487" s="488">
        <v>1.8</v>
      </c>
      <c r="BJ487" s="494" t="s">
        <v>186</v>
      </c>
      <c r="BK487" s="401"/>
    </row>
    <row r="488" spans="1:63" ht="112.5">
      <c r="A488" s="401">
        <v>2</v>
      </c>
      <c r="B488" s="494" t="s">
        <v>5686</v>
      </c>
      <c r="C488" s="401" t="s">
        <v>83</v>
      </c>
      <c r="D488" s="401" t="s">
        <v>231</v>
      </c>
      <c r="E488" s="494" t="s">
        <v>5853</v>
      </c>
      <c r="F488" s="401" t="s">
        <v>1768</v>
      </c>
      <c r="G488" s="401" t="s">
        <v>1769</v>
      </c>
      <c r="H488" s="499">
        <v>831793</v>
      </c>
      <c r="I488" s="486" t="s">
        <v>5687</v>
      </c>
      <c r="J488" s="496" t="s">
        <v>2237</v>
      </c>
      <c r="K488" s="496" t="s">
        <v>2237</v>
      </c>
      <c r="L488" s="496" t="s">
        <v>1772</v>
      </c>
      <c r="M488" s="500" t="s">
        <v>1755</v>
      </c>
      <c r="N488" s="496" t="s">
        <v>1773</v>
      </c>
      <c r="O488" s="496" t="s">
        <v>2234</v>
      </c>
      <c r="P488" s="489">
        <v>16399.09</v>
      </c>
      <c r="Q488" s="489">
        <f t="shared" si="95"/>
        <v>19350.926199999998</v>
      </c>
      <c r="R488" s="489">
        <v>14657.691999999999</v>
      </c>
      <c r="S488" s="401" t="s">
        <v>1774</v>
      </c>
      <c r="T488" s="501">
        <v>1.087</v>
      </c>
      <c r="U488" s="501">
        <v>1.077</v>
      </c>
      <c r="V488" s="501">
        <v>1.073</v>
      </c>
      <c r="W488" s="501">
        <v>1.071</v>
      </c>
      <c r="X488" s="596">
        <v>0.9</v>
      </c>
      <c r="Y488" s="502">
        <v>15328.221542604882</v>
      </c>
      <c r="Z488" s="489">
        <f t="shared" si="96"/>
        <v>18087.301420273761</v>
      </c>
      <c r="AA488" s="489">
        <v>17767.591982583643</v>
      </c>
      <c r="AB488" s="488">
        <f t="shared" si="97"/>
        <v>20965.758539448696</v>
      </c>
      <c r="AC488" s="492">
        <f t="shared" si="98"/>
        <v>15328.221542604882</v>
      </c>
      <c r="AD488" s="493">
        <f t="shared" si="99"/>
        <v>18087.301420273761</v>
      </c>
      <c r="AE488" s="494" t="s">
        <v>1775</v>
      </c>
      <c r="AF488" s="494" t="s">
        <v>83</v>
      </c>
      <c r="AG488" s="494" t="s">
        <v>211</v>
      </c>
      <c r="AH488" s="494" t="s">
        <v>545</v>
      </c>
      <c r="AI488" s="495">
        <v>41713</v>
      </c>
      <c r="AJ488" s="495">
        <v>41748</v>
      </c>
      <c r="AK488" s="494" t="s">
        <v>96</v>
      </c>
      <c r="AL488" s="494" t="s">
        <v>96</v>
      </c>
      <c r="AM488" s="496" t="s">
        <v>2238</v>
      </c>
      <c r="AN488" s="496" t="s">
        <v>1757</v>
      </c>
      <c r="AO488" s="494">
        <v>796</v>
      </c>
      <c r="AP488" s="494" t="s">
        <v>368</v>
      </c>
      <c r="AQ488" s="494">
        <v>1</v>
      </c>
      <c r="AR488" s="494">
        <v>46</v>
      </c>
      <c r="AS488" s="496" t="s">
        <v>605</v>
      </c>
      <c r="AT488" s="495">
        <v>41768</v>
      </c>
      <c r="AU488" s="495">
        <v>41768</v>
      </c>
      <c r="AV488" s="495">
        <v>42035</v>
      </c>
      <c r="AW488" s="494" t="s">
        <v>99</v>
      </c>
      <c r="AX488" s="496"/>
      <c r="AY488" s="494" t="s">
        <v>186</v>
      </c>
      <c r="AZ488" s="494"/>
      <c r="BA488" s="494">
        <v>2014</v>
      </c>
      <c r="BB488" s="494" t="s">
        <v>5688</v>
      </c>
      <c r="BC488" s="496" t="s">
        <v>5689</v>
      </c>
      <c r="BD488" s="496" t="s">
        <v>1818</v>
      </c>
      <c r="BE488" s="497">
        <v>42035</v>
      </c>
      <c r="BF488" s="498">
        <v>20709.136541608204</v>
      </c>
      <c r="BG488" s="488">
        <v>20709.136541608204</v>
      </c>
      <c r="BH488" s="488">
        <v>0.4</v>
      </c>
      <c r="BI488" s="488">
        <v>0</v>
      </c>
      <c r="BJ488" s="494" t="s">
        <v>186</v>
      </c>
      <c r="BK488" s="401"/>
    </row>
    <row r="489" spans="1:63" ht="112.5">
      <c r="A489" s="401">
        <v>2</v>
      </c>
      <c r="B489" s="494" t="s">
        <v>5690</v>
      </c>
      <c r="C489" s="401" t="s">
        <v>83</v>
      </c>
      <c r="D489" s="401" t="s">
        <v>231</v>
      </c>
      <c r="E489" s="494" t="s">
        <v>5853</v>
      </c>
      <c r="F489" s="401" t="s">
        <v>1768</v>
      </c>
      <c r="G489" s="401" t="s">
        <v>1769</v>
      </c>
      <c r="H489" s="499">
        <v>831794</v>
      </c>
      <c r="I489" s="486" t="s">
        <v>5691</v>
      </c>
      <c r="J489" s="496" t="s">
        <v>2237</v>
      </c>
      <c r="K489" s="496" t="s">
        <v>2237</v>
      </c>
      <c r="L489" s="496" t="s">
        <v>1772</v>
      </c>
      <c r="M489" s="500" t="s">
        <v>1755</v>
      </c>
      <c r="N489" s="496" t="s">
        <v>1773</v>
      </c>
      <c r="O489" s="496" t="s">
        <v>2234</v>
      </c>
      <c r="P489" s="489">
        <v>16399.09</v>
      </c>
      <c r="Q489" s="489">
        <f t="shared" si="95"/>
        <v>19350.926199999998</v>
      </c>
      <c r="R489" s="489">
        <v>14657.691999999999</v>
      </c>
      <c r="S489" s="401" t="s">
        <v>1774</v>
      </c>
      <c r="T489" s="501">
        <v>1.087</v>
      </c>
      <c r="U489" s="501">
        <v>1.077</v>
      </c>
      <c r="V489" s="501">
        <v>1.073</v>
      </c>
      <c r="W489" s="501">
        <v>1.071</v>
      </c>
      <c r="X489" s="596">
        <v>0.9</v>
      </c>
      <c r="Y489" s="502">
        <v>15328.221542604882</v>
      </c>
      <c r="Z489" s="489">
        <f t="shared" si="96"/>
        <v>18087.301420273761</v>
      </c>
      <c r="AA489" s="489">
        <v>17767.591982583643</v>
      </c>
      <c r="AB489" s="488">
        <f t="shared" si="97"/>
        <v>20965.758539448696</v>
      </c>
      <c r="AC489" s="492">
        <f t="shared" si="98"/>
        <v>15328.221542604882</v>
      </c>
      <c r="AD489" s="493">
        <f t="shared" si="99"/>
        <v>18087.301420273761</v>
      </c>
      <c r="AE489" s="494" t="s">
        <v>1775</v>
      </c>
      <c r="AF489" s="494" t="s">
        <v>83</v>
      </c>
      <c r="AG489" s="494" t="s">
        <v>211</v>
      </c>
      <c r="AH489" s="494" t="s">
        <v>545</v>
      </c>
      <c r="AI489" s="495">
        <v>41713</v>
      </c>
      <c r="AJ489" s="495">
        <v>41748</v>
      </c>
      <c r="AK489" s="494" t="s">
        <v>96</v>
      </c>
      <c r="AL489" s="494" t="s">
        <v>96</v>
      </c>
      <c r="AM489" s="496" t="s">
        <v>2238</v>
      </c>
      <c r="AN489" s="496" t="s">
        <v>1757</v>
      </c>
      <c r="AO489" s="494">
        <v>796</v>
      </c>
      <c r="AP489" s="494" t="s">
        <v>368</v>
      </c>
      <c r="AQ489" s="494">
        <v>1</v>
      </c>
      <c r="AR489" s="494">
        <v>46</v>
      </c>
      <c r="AS489" s="496" t="s">
        <v>605</v>
      </c>
      <c r="AT489" s="495">
        <v>41768</v>
      </c>
      <c r="AU489" s="495">
        <v>41768</v>
      </c>
      <c r="AV489" s="495">
        <v>42035</v>
      </c>
      <c r="AW489" s="494" t="s">
        <v>99</v>
      </c>
      <c r="AX489" s="496"/>
      <c r="AY489" s="494" t="s">
        <v>186</v>
      </c>
      <c r="AZ489" s="494"/>
      <c r="BA489" s="494">
        <v>2014</v>
      </c>
      <c r="BB489" s="494" t="s">
        <v>5692</v>
      </c>
      <c r="BC489" s="496" t="s">
        <v>5693</v>
      </c>
      <c r="BD489" s="496" t="s">
        <v>1818</v>
      </c>
      <c r="BE489" s="497">
        <v>42035</v>
      </c>
      <c r="BF489" s="498">
        <v>20709.136541608204</v>
      </c>
      <c r="BG489" s="488">
        <v>20709.136541608204</v>
      </c>
      <c r="BH489" s="488">
        <v>0.5</v>
      </c>
      <c r="BI489" s="488">
        <v>0</v>
      </c>
      <c r="BJ489" s="494" t="s">
        <v>186</v>
      </c>
      <c r="BK489" s="401"/>
    </row>
    <row r="490" spans="1:63" ht="112.5">
      <c r="A490" s="401">
        <v>2</v>
      </c>
      <c r="B490" s="494" t="s">
        <v>5694</v>
      </c>
      <c r="C490" s="401" t="s">
        <v>83</v>
      </c>
      <c r="D490" s="401" t="s">
        <v>231</v>
      </c>
      <c r="E490" s="494" t="s">
        <v>5853</v>
      </c>
      <c r="F490" s="401" t="s">
        <v>1768</v>
      </c>
      <c r="G490" s="401" t="s">
        <v>1769</v>
      </c>
      <c r="H490" s="499">
        <v>831795</v>
      </c>
      <c r="I490" s="486" t="s">
        <v>5695</v>
      </c>
      <c r="J490" s="496" t="s">
        <v>2237</v>
      </c>
      <c r="K490" s="496" t="s">
        <v>2237</v>
      </c>
      <c r="L490" s="496" t="s">
        <v>1772</v>
      </c>
      <c r="M490" s="500" t="s">
        <v>1755</v>
      </c>
      <c r="N490" s="496" t="s">
        <v>1773</v>
      </c>
      <c r="O490" s="496" t="s">
        <v>2234</v>
      </c>
      <c r="P490" s="489">
        <v>16399.09</v>
      </c>
      <c r="Q490" s="489">
        <f t="shared" si="95"/>
        <v>19350.926199999998</v>
      </c>
      <c r="R490" s="489">
        <v>14657.691999999999</v>
      </c>
      <c r="S490" s="401" t="s">
        <v>1774</v>
      </c>
      <c r="T490" s="501">
        <v>1.087</v>
      </c>
      <c r="U490" s="501">
        <v>1.077</v>
      </c>
      <c r="V490" s="501">
        <v>1.073</v>
      </c>
      <c r="W490" s="501">
        <v>1.071</v>
      </c>
      <c r="X490" s="596">
        <v>0.9</v>
      </c>
      <c r="Y490" s="502">
        <v>15328.221542604882</v>
      </c>
      <c r="Z490" s="489">
        <f t="shared" si="96"/>
        <v>18087.301420273761</v>
      </c>
      <c r="AA490" s="489">
        <v>17767.591982583643</v>
      </c>
      <c r="AB490" s="488">
        <f t="shared" si="97"/>
        <v>20965.758539448696</v>
      </c>
      <c r="AC490" s="492">
        <f t="shared" si="98"/>
        <v>15328.221542604882</v>
      </c>
      <c r="AD490" s="493">
        <f t="shared" si="99"/>
        <v>18087.301420273761</v>
      </c>
      <c r="AE490" s="494" t="s">
        <v>1775</v>
      </c>
      <c r="AF490" s="494" t="s">
        <v>83</v>
      </c>
      <c r="AG490" s="494" t="s">
        <v>211</v>
      </c>
      <c r="AH490" s="494" t="s">
        <v>545</v>
      </c>
      <c r="AI490" s="495">
        <v>41713</v>
      </c>
      <c r="AJ490" s="495">
        <v>41748</v>
      </c>
      <c r="AK490" s="494" t="s">
        <v>96</v>
      </c>
      <c r="AL490" s="494" t="s">
        <v>96</v>
      </c>
      <c r="AM490" s="496" t="s">
        <v>2238</v>
      </c>
      <c r="AN490" s="496" t="s">
        <v>1757</v>
      </c>
      <c r="AO490" s="494">
        <v>796</v>
      </c>
      <c r="AP490" s="494" t="s">
        <v>368</v>
      </c>
      <c r="AQ490" s="494">
        <v>1</v>
      </c>
      <c r="AR490" s="494">
        <v>46</v>
      </c>
      <c r="AS490" s="496" t="s">
        <v>605</v>
      </c>
      <c r="AT490" s="495">
        <v>41768</v>
      </c>
      <c r="AU490" s="495">
        <v>41768</v>
      </c>
      <c r="AV490" s="495">
        <v>42035</v>
      </c>
      <c r="AW490" s="494" t="s">
        <v>99</v>
      </c>
      <c r="AX490" s="496"/>
      <c r="AY490" s="494" t="s">
        <v>186</v>
      </c>
      <c r="AZ490" s="494"/>
      <c r="BA490" s="494">
        <v>2014</v>
      </c>
      <c r="BB490" s="494" t="s">
        <v>5696</v>
      </c>
      <c r="BC490" s="496" t="s">
        <v>5697</v>
      </c>
      <c r="BD490" s="496" t="s">
        <v>1818</v>
      </c>
      <c r="BE490" s="497">
        <v>42035</v>
      </c>
      <c r="BF490" s="498">
        <v>20709.136541608204</v>
      </c>
      <c r="BG490" s="488">
        <v>20709.136541608204</v>
      </c>
      <c r="BH490" s="488">
        <v>0.25</v>
      </c>
      <c r="BI490" s="488">
        <v>0</v>
      </c>
      <c r="BJ490" s="494" t="s">
        <v>186</v>
      </c>
      <c r="BK490" s="401"/>
    </row>
    <row r="491" spans="1:63" ht="150">
      <c r="A491" s="401">
        <v>2</v>
      </c>
      <c r="B491" s="494" t="s">
        <v>2610</v>
      </c>
      <c r="C491" s="401" t="s">
        <v>83</v>
      </c>
      <c r="D491" s="401" t="s">
        <v>231</v>
      </c>
      <c r="E491" s="494" t="s">
        <v>5853</v>
      </c>
      <c r="F491" s="401" t="s">
        <v>1752</v>
      </c>
      <c r="G491" s="401" t="s">
        <v>2344</v>
      </c>
      <c r="H491" s="499">
        <v>834071</v>
      </c>
      <c r="I491" s="486" t="s">
        <v>2611</v>
      </c>
      <c r="J491" s="496" t="s">
        <v>5698</v>
      </c>
      <c r="K491" s="496" t="s">
        <v>5698</v>
      </c>
      <c r="L491" s="496" t="s">
        <v>1772</v>
      </c>
      <c r="M491" s="500" t="s">
        <v>1755</v>
      </c>
      <c r="N491" s="496" t="s">
        <v>1773</v>
      </c>
      <c r="O491" s="496" t="s">
        <v>2234</v>
      </c>
      <c r="P491" s="489">
        <v>3002.84</v>
      </c>
      <c r="Q491" s="489">
        <f t="shared" si="95"/>
        <v>3543.3512000000001</v>
      </c>
      <c r="R491" s="489">
        <v>2390.7919999999999</v>
      </c>
      <c r="S491" s="401" t="s">
        <v>1774</v>
      </c>
      <c r="T491" s="501">
        <v>1.087</v>
      </c>
      <c r="U491" s="501">
        <v>1.077</v>
      </c>
      <c r="V491" s="501">
        <v>1.073</v>
      </c>
      <c r="W491" s="501">
        <v>1.071</v>
      </c>
      <c r="X491" s="596">
        <v>0.9</v>
      </c>
      <c r="Y491" s="502">
        <v>2894.0540000000001</v>
      </c>
      <c r="Z491" s="489">
        <f t="shared" si="96"/>
        <v>3414.9837199999997</v>
      </c>
      <c r="AA491" s="489">
        <v>2748.6303324038631</v>
      </c>
      <c r="AB491" s="488">
        <f t="shared" si="97"/>
        <v>3243.3837922365583</v>
      </c>
      <c r="AC491" s="492">
        <f t="shared" si="98"/>
        <v>2748.6303324038631</v>
      </c>
      <c r="AD491" s="493">
        <f t="shared" si="99"/>
        <v>3243.3837922365583</v>
      </c>
      <c r="AE491" s="494" t="s">
        <v>1775</v>
      </c>
      <c r="AF491" s="494" t="s">
        <v>83</v>
      </c>
      <c r="AG491" s="494" t="s">
        <v>211</v>
      </c>
      <c r="AH491" s="494" t="s">
        <v>545</v>
      </c>
      <c r="AI491" s="495">
        <v>41744</v>
      </c>
      <c r="AJ491" s="495">
        <v>41779</v>
      </c>
      <c r="AK491" s="494" t="s">
        <v>96</v>
      </c>
      <c r="AL491" s="494" t="s">
        <v>96</v>
      </c>
      <c r="AM491" s="496" t="s">
        <v>5699</v>
      </c>
      <c r="AN491" s="496" t="s">
        <v>1757</v>
      </c>
      <c r="AO491" s="494">
        <v>796</v>
      </c>
      <c r="AP491" s="494" t="s">
        <v>368</v>
      </c>
      <c r="AQ491" s="494">
        <v>1</v>
      </c>
      <c r="AR491" s="494">
        <v>46</v>
      </c>
      <c r="AS491" s="496" t="s">
        <v>605</v>
      </c>
      <c r="AT491" s="495">
        <v>41799</v>
      </c>
      <c r="AU491" s="495">
        <v>41799</v>
      </c>
      <c r="AV491" s="495">
        <v>42004</v>
      </c>
      <c r="AW491" s="494">
        <v>2014</v>
      </c>
      <c r="AX491" s="496"/>
      <c r="AY491" s="494" t="s">
        <v>186</v>
      </c>
      <c r="AZ491" s="494"/>
      <c r="BA491" s="494">
        <v>2014</v>
      </c>
      <c r="BB491" s="494" t="s">
        <v>2612</v>
      </c>
      <c r="BC491" s="496" t="s">
        <v>2613</v>
      </c>
      <c r="BD491" s="496" t="s">
        <v>1818</v>
      </c>
      <c r="BE491" s="497">
        <v>42004</v>
      </c>
      <c r="BF491" s="498">
        <v>6091.0621001199997</v>
      </c>
      <c r="BG491" s="488">
        <v>6091.0621001199997</v>
      </c>
      <c r="BH491" s="488">
        <v>0.63</v>
      </c>
      <c r="BI491" s="488">
        <v>1.8</v>
      </c>
      <c r="BJ491" s="494" t="s">
        <v>186</v>
      </c>
      <c r="BK491" s="401"/>
    </row>
    <row r="492" spans="1:63" ht="150">
      <c r="A492" s="401">
        <v>2</v>
      </c>
      <c r="B492" s="494" t="s">
        <v>2614</v>
      </c>
      <c r="C492" s="401" t="s">
        <v>83</v>
      </c>
      <c r="D492" s="401" t="s">
        <v>231</v>
      </c>
      <c r="E492" s="494" t="s">
        <v>5853</v>
      </c>
      <c r="F492" s="401" t="s">
        <v>1752</v>
      </c>
      <c r="G492" s="401" t="s">
        <v>2344</v>
      </c>
      <c r="H492" s="499">
        <v>834111</v>
      </c>
      <c r="I492" s="486" t="s">
        <v>2615</v>
      </c>
      <c r="J492" s="496" t="s">
        <v>5698</v>
      </c>
      <c r="K492" s="496" t="s">
        <v>5698</v>
      </c>
      <c r="L492" s="496" t="s">
        <v>1772</v>
      </c>
      <c r="M492" s="500" t="s">
        <v>1755</v>
      </c>
      <c r="N492" s="496" t="s">
        <v>1773</v>
      </c>
      <c r="O492" s="496" t="s">
        <v>2234</v>
      </c>
      <c r="P492" s="489">
        <v>1951.84</v>
      </c>
      <c r="Q492" s="489">
        <f t="shared" si="95"/>
        <v>2303.1711999999998</v>
      </c>
      <c r="R492" s="489">
        <v>1554.0150000000001</v>
      </c>
      <c r="S492" s="401" t="s">
        <v>1774</v>
      </c>
      <c r="T492" s="501">
        <v>1.087</v>
      </c>
      <c r="U492" s="501">
        <v>1.077</v>
      </c>
      <c r="V492" s="501">
        <v>1.073</v>
      </c>
      <c r="W492" s="501">
        <v>1.071</v>
      </c>
      <c r="X492" s="596">
        <v>0.9</v>
      </c>
      <c r="Y492" s="502">
        <v>1881.135</v>
      </c>
      <c r="Z492" s="489">
        <f t="shared" si="96"/>
        <v>2219.7392999999997</v>
      </c>
      <c r="AA492" s="489">
        <v>1744.1949322593339</v>
      </c>
      <c r="AB492" s="488">
        <f t="shared" si="97"/>
        <v>2058.1500200660139</v>
      </c>
      <c r="AC492" s="492">
        <f t="shared" si="98"/>
        <v>1744.1949322593339</v>
      </c>
      <c r="AD492" s="493">
        <f t="shared" si="99"/>
        <v>2058.1500200660139</v>
      </c>
      <c r="AE492" s="494" t="s">
        <v>1775</v>
      </c>
      <c r="AF492" s="494" t="s">
        <v>83</v>
      </c>
      <c r="AG492" s="494" t="s">
        <v>211</v>
      </c>
      <c r="AH492" s="494" t="s">
        <v>545</v>
      </c>
      <c r="AI492" s="495">
        <v>41927</v>
      </c>
      <c r="AJ492" s="495">
        <v>41962</v>
      </c>
      <c r="AK492" s="494" t="s">
        <v>96</v>
      </c>
      <c r="AL492" s="494" t="s">
        <v>96</v>
      </c>
      <c r="AM492" s="496" t="s">
        <v>5699</v>
      </c>
      <c r="AN492" s="496" t="s">
        <v>1757</v>
      </c>
      <c r="AO492" s="494">
        <v>796</v>
      </c>
      <c r="AP492" s="494" t="s">
        <v>368</v>
      </c>
      <c r="AQ492" s="494">
        <v>1</v>
      </c>
      <c r="AR492" s="494">
        <v>46</v>
      </c>
      <c r="AS492" s="496" t="s">
        <v>605</v>
      </c>
      <c r="AT492" s="495">
        <v>41982</v>
      </c>
      <c r="AU492" s="495">
        <v>41982</v>
      </c>
      <c r="AV492" s="495">
        <v>42185</v>
      </c>
      <c r="AW492" s="494" t="s">
        <v>99</v>
      </c>
      <c r="AX492" s="496"/>
      <c r="AY492" s="494" t="s">
        <v>186</v>
      </c>
      <c r="AZ492" s="494"/>
      <c r="BA492" s="494">
        <v>2014</v>
      </c>
      <c r="BB492" s="494" t="s">
        <v>2616</v>
      </c>
      <c r="BC492" s="496" t="s">
        <v>2617</v>
      </c>
      <c r="BD492" s="496" t="s">
        <v>1818</v>
      </c>
      <c r="BE492" s="497">
        <v>42185</v>
      </c>
      <c r="BF492" s="498">
        <v>2271.5488283676059</v>
      </c>
      <c r="BG492" s="488">
        <v>2271.5488283676059</v>
      </c>
      <c r="BH492" s="488">
        <v>0</v>
      </c>
      <c r="BI492" s="488">
        <v>1.3</v>
      </c>
      <c r="BJ492" s="494" t="s">
        <v>186</v>
      </c>
      <c r="BK492" s="401"/>
    </row>
    <row r="493" spans="1:63" ht="150">
      <c r="A493" s="401">
        <v>2</v>
      </c>
      <c r="B493" s="494" t="s">
        <v>2618</v>
      </c>
      <c r="C493" s="401" t="s">
        <v>83</v>
      </c>
      <c r="D493" s="401" t="s">
        <v>231</v>
      </c>
      <c r="E493" s="494" t="s">
        <v>5853</v>
      </c>
      <c r="F493" s="401" t="s">
        <v>1752</v>
      </c>
      <c r="G493" s="401" t="s">
        <v>2344</v>
      </c>
      <c r="H493" s="499">
        <v>834124</v>
      </c>
      <c r="I493" s="486" t="s">
        <v>2619</v>
      </c>
      <c r="J493" s="496" t="s">
        <v>5698</v>
      </c>
      <c r="K493" s="496" t="s">
        <v>5698</v>
      </c>
      <c r="L493" s="496" t="s">
        <v>1772</v>
      </c>
      <c r="M493" s="500" t="s">
        <v>1755</v>
      </c>
      <c r="N493" s="496" t="s">
        <v>1773</v>
      </c>
      <c r="O493" s="496" t="s">
        <v>2234</v>
      </c>
      <c r="P493" s="489">
        <v>2132.0100000000002</v>
      </c>
      <c r="Q493" s="489">
        <f t="shared" si="95"/>
        <v>2515.7718</v>
      </c>
      <c r="R493" s="489">
        <v>1697.4621030303031</v>
      </c>
      <c r="S493" s="401" t="s">
        <v>1774</v>
      </c>
      <c r="T493" s="501">
        <v>1.087</v>
      </c>
      <c r="U493" s="501">
        <v>1.077</v>
      </c>
      <c r="V493" s="501">
        <v>1.073</v>
      </c>
      <c r="W493" s="501">
        <v>1.071</v>
      </c>
      <c r="X493" s="596">
        <v>0.9</v>
      </c>
      <c r="Y493" s="502">
        <v>2054.7778757181818</v>
      </c>
      <c r="Z493" s="489">
        <f t="shared" si="96"/>
        <v>2424.6378933474543</v>
      </c>
      <c r="AA493" s="489">
        <v>1905.1975783160669</v>
      </c>
      <c r="AB493" s="488">
        <f t="shared" si="97"/>
        <v>2248.1331424129589</v>
      </c>
      <c r="AC493" s="492">
        <f t="shared" si="98"/>
        <v>1905.1975783160669</v>
      </c>
      <c r="AD493" s="493">
        <f t="shared" si="99"/>
        <v>2248.1331424129589</v>
      </c>
      <c r="AE493" s="494" t="s">
        <v>1775</v>
      </c>
      <c r="AF493" s="494" t="s">
        <v>83</v>
      </c>
      <c r="AG493" s="494" t="s">
        <v>211</v>
      </c>
      <c r="AH493" s="494" t="s">
        <v>545</v>
      </c>
      <c r="AI493" s="495">
        <v>41927</v>
      </c>
      <c r="AJ493" s="495">
        <v>41962</v>
      </c>
      <c r="AK493" s="494" t="s">
        <v>96</v>
      </c>
      <c r="AL493" s="494" t="s">
        <v>96</v>
      </c>
      <c r="AM493" s="496" t="s">
        <v>5699</v>
      </c>
      <c r="AN493" s="496" t="s">
        <v>1757</v>
      </c>
      <c r="AO493" s="494">
        <v>796</v>
      </c>
      <c r="AP493" s="494" t="s">
        <v>368</v>
      </c>
      <c r="AQ493" s="494">
        <v>1</v>
      </c>
      <c r="AR493" s="494">
        <v>46</v>
      </c>
      <c r="AS493" s="496" t="s">
        <v>605</v>
      </c>
      <c r="AT493" s="495">
        <v>41982</v>
      </c>
      <c r="AU493" s="495">
        <v>41982</v>
      </c>
      <c r="AV493" s="495">
        <v>42185</v>
      </c>
      <c r="AW493" s="494" t="s">
        <v>99</v>
      </c>
      <c r="AX493" s="496"/>
      <c r="AY493" s="494" t="s">
        <v>186</v>
      </c>
      <c r="AZ493" s="494"/>
      <c r="BA493" s="494">
        <v>2014</v>
      </c>
      <c r="BB493" s="494" t="s">
        <v>2620</v>
      </c>
      <c r="BC493" s="496" t="s">
        <v>2621</v>
      </c>
      <c r="BD493" s="496" t="s">
        <v>1818</v>
      </c>
      <c r="BE493" s="497">
        <v>42185</v>
      </c>
      <c r="BF493" s="498">
        <v>2481.2302586784617</v>
      </c>
      <c r="BG493" s="488">
        <v>2481.2302586784617</v>
      </c>
      <c r="BH493" s="488">
        <v>0</v>
      </c>
      <c r="BI493" s="488">
        <v>1.42</v>
      </c>
      <c r="BJ493" s="494" t="s">
        <v>186</v>
      </c>
      <c r="BK493" s="401"/>
    </row>
    <row r="494" spans="1:63" ht="150">
      <c r="A494" s="401">
        <v>2</v>
      </c>
      <c r="B494" s="494" t="s">
        <v>2622</v>
      </c>
      <c r="C494" s="401" t="s">
        <v>83</v>
      </c>
      <c r="D494" s="401" t="s">
        <v>231</v>
      </c>
      <c r="E494" s="494" t="s">
        <v>5853</v>
      </c>
      <c r="F494" s="401" t="s">
        <v>1752</v>
      </c>
      <c r="G494" s="401" t="s">
        <v>2344</v>
      </c>
      <c r="H494" s="499">
        <v>834122</v>
      </c>
      <c r="I494" s="486" t="s">
        <v>2623</v>
      </c>
      <c r="J494" s="496" t="s">
        <v>5698</v>
      </c>
      <c r="K494" s="496" t="s">
        <v>5698</v>
      </c>
      <c r="L494" s="496" t="s">
        <v>1772</v>
      </c>
      <c r="M494" s="500" t="s">
        <v>1755</v>
      </c>
      <c r="N494" s="496" t="s">
        <v>1773</v>
      </c>
      <c r="O494" s="496" t="s">
        <v>2234</v>
      </c>
      <c r="P494" s="489">
        <v>540.51</v>
      </c>
      <c r="Q494" s="489">
        <f t="shared" si="95"/>
        <v>637.80179999999996</v>
      </c>
      <c r="R494" s="489">
        <v>430.34100000000001</v>
      </c>
      <c r="S494" s="401" t="s">
        <v>1774</v>
      </c>
      <c r="T494" s="501">
        <v>1.087</v>
      </c>
      <c r="U494" s="501">
        <v>1.077</v>
      </c>
      <c r="V494" s="501">
        <v>1.073</v>
      </c>
      <c r="W494" s="501">
        <v>1.071</v>
      </c>
      <c r="X494" s="596">
        <v>0.9</v>
      </c>
      <c r="Y494" s="502">
        <v>520.928</v>
      </c>
      <c r="Z494" s="489">
        <f t="shared" si="96"/>
        <v>614.69503999999995</v>
      </c>
      <c r="AA494" s="489">
        <v>483.00787569664914</v>
      </c>
      <c r="AB494" s="488">
        <f t="shared" si="97"/>
        <v>569.94929332204595</v>
      </c>
      <c r="AC494" s="492">
        <f t="shared" si="98"/>
        <v>483.00787569664914</v>
      </c>
      <c r="AD494" s="493">
        <f t="shared" si="99"/>
        <v>569.94929332204595</v>
      </c>
      <c r="AE494" s="494" t="s">
        <v>1775</v>
      </c>
      <c r="AF494" s="494" t="s">
        <v>83</v>
      </c>
      <c r="AG494" s="494" t="s">
        <v>211</v>
      </c>
      <c r="AH494" s="494" t="s">
        <v>545</v>
      </c>
      <c r="AI494" s="495">
        <v>41927</v>
      </c>
      <c r="AJ494" s="495">
        <v>41962</v>
      </c>
      <c r="AK494" s="494" t="s">
        <v>96</v>
      </c>
      <c r="AL494" s="494" t="s">
        <v>96</v>
      </c>
      <c r="AM494" s="496" t="s">
        <v>5699</v>
      </c>
      <c r="AN494" s="496" t="s">
        <v>1757</v>
      </c>
      <c r="AO494" s="494">
        <v>796</v>
      </c>
      <c r="AP494" s="494" t="s">
        <v>368</v>
      </c>
      <c r="AQ494" s="494">
        <v>1</v>
      </c>
      <c r="AR494" s="494">
        <v>46</v>
      </c>
      <c r="AS494" s="496" t="s">
        <v>605</v>
      </c>
      <c r="AT494" s="495">
        <v>41982</v>
      </c>
      <c r="AU494" s="495">
        <v>41982</v>
      </c>
      <c r="AV494" s="495">
        <v>42185</v>
      </c>
      <c r="AW494" s="494" t="s">
        <v>99</v>
      </c>
      <c r="AX494" s="496"/>
      <c r="AY494" s="494" t="s">
        <v>186</v>
      </c>
      <c r="AZ494" s="494"/>
      <c r="BA494" s="494">
        <v>2014</v>
      </c>
      <c r="BB494" s="494" t="s">
        <v>2624</v>
      </c>
      <c r="BC494" s="496" t="s">
        <v>2625</v>
      </c>
      <c r="BD494" s="496" t="s">
        <v>1818</v>
      </c>
      <c r="BE494" s="497">
        <v>42185</v>
      </c>
      <c r="BF494" s="498">
        <v>629.04429093256761</v>
      </c>
      <c r="BG494" s="488">
        <v>629.04429093256761</v>
      </c>
      <c r="BH494" s="488">
        <v>0</v>
      </c>
      <c r="BI494" s="488">
        <v>0.36</v>
      </c>
      <c r="BJ494" s="494" t="s">
        <v>186</v>
      </c>
      <c r="BK494" s="401"/>
    </row>
    <row r="495" spans="1:63" ht="150">
      <c r="A495" s="401">
        <v>2</v>
      </c>
      <c r="B495" s="494" t="s">
        <v>2626</v>
      </c>
      <c r="C495" s="401" t="s">
        <v>83</v>
      </c>
      <c r="D495" s="401" t="s">
        <v>231</v>
      </c>
      <c r="E495" s="494" t="s">
        <v>5853</v>
      </c>
      <c r="F495" s="401" t="s">
        <v>1752</v>
      </c>
      <c r="G495" s="401" t="s">
        <v>2344</v>
      </c>
      <c r="H495" s="499">
        <v>834114</v>
      </c>
      <c r="I495" s="486" t="s">
        <v>2627</v>
      </c>
      <c r="J495" s="496" t="s">
        <v>5698</v>
      </c>
      <c r="K495" s="496" t="s">
        <v>5698</v>
      </c>
      <c r="L495" s="496" t="s">
        <v>1772</v>
      </c>
      <c r="M495" s="500" t="s">
        <v>1755</v>
      </c>
      <c r="N495" s="496" t="s">
        <v>1773</v>
      </c>
      <c r="O495" s="496" t="s">
        <v>2234</v>
      </c>
      <c r="P495" s="489">
        <v>2612.4699999999998</v>
      </c>
      <c r="Q495" s="489">
        <f t="shared" si="95"/>
        <v>3082.7145999999998</v>
      </c>
      <c r="R495" s="489">
        <v>2079.991</v>
      </c>
      <c r="S495" s="401" t="s">
        <v>1774</v>
      </c>
      <c r="T495" s="501">
        <v>1.087</v>
      </c>
      <c r="U495" s="501">
        <v>1.077</v>
      </c>
      <c r="V495" s="501">
        <v>1.073</v>
      </c>
      <c r="W495" s="501">
        <v>1.071</v>
      </c>
      <c r="X495" s="596">
        <v>0.9</v>
      </c>
      <c r="Y495" s="502">
        <v>2517.8290000000002</v>
      </c>
      <c r="Z495" s="489">
        <f t="shared" si="96"/>
        <v>2971.0382199999999</v>
      </c>
      <c r="AA495" s="489">
        <v>2334.5377246123685</v>
      </c>
      <c r="AB495" s="488">
        <f t="shared" si="97"/>
        <v>2754.7545150425949</v>
      </c>
      <c r="AC495" s="492">
        <f t="shared" si="98"/>
        <v>2334.5377246123685</v>
      </c>
      <c r="AD495" s="493">
        <f t="shared" si="99"/>
        <v>2754.7545150425949</v>
      </c>
      <c r="AE495" s="494" t="s">
        <v>1775</v>
      </c>
      <c r="AF495" s="494" t="s">
        <v>83</v>
      </c>
      <c r="AG495" s="494" t="s">
        <v>211</v>
      </c>
      <c r="AH495" s="494" t="s">
        <v>545</v>
      </c>
      <c r="AI495" s="495">
        <v>41927</v>
      </c>
      <c r="AJ495" s="495">
        <v>41962</v>
      </c>
      <c r="AK495" s="494" t="s">
        <v>96</v>
      </c>
      <c r="AL495" s="494" t="s">
        <v>96</v>
      </c>
      <c r="AM495" s="496" t="s">
        <v>5699</v>
      </c>
      <c r="AN495" s="496" t="s">
        <v>1757</v>
      </c>
      <c r="AO495" s="494">
        <v>796</v>
      </c>
      <c r="AP495" s="494" t="s">
        <v>368</v>
      </c>
      <c r="AQ495" s="494">
        <v>1</v>
      </c>
      <c r="AR495" s="494">
        <v>46</v>
      </c>
      <c r="AS495" s="496" t="s">
        <v>605</v>
      </c>
      <c r="AT495" s="495">
        <v>41982</v>
      </c>
      <c r="AU495" s="495">
        <v>41982</v>
      </c>
      <c r="AV495" s="495">
        <v>42185</v>
      </c>
      <c r="AW495" s="494" t="s">
        <v>99</v>
      </c>
      <c r="AX495" s="496"/>
      <c r="AY495" s="494" t="s">
        <v>186</v>
      </c>
      <c r="AZ495" s="494"/>
      <c r="BA495" s="494">
        <v>2014</v>
      </c>
      <c r="BB495" s="494" t="s">
        <v>2628</v>
      </c>
      <c r="BC495" s="496" t="s">
        <v>2629</v>
      </c>
      <c r="BD495" s="496" t="s">
        <v>1818</v>
      </c>
      <c r="BE495" s="497">
        <v>42185</v>
      </c>
      <c r="BF495" s="498">
        <v>3040.3807395074105</v>
      </c>
      <c r="BG495" s="488">
        <v>3040.3807395074105</v>
      </c>
      <c r="BH495" s="488">
        <v>0</v>
      </c>
      <c r="BI495" s="488">
        <v>1.74</v>
      </c>
      <c r="BJ495" s="494" t="s">
        <v>186</v>
      </c>
      <c r="BK495" s="401"/>
    </row>
    <row r="496" spans="1:63" ht="150">
      <c r="A496" s="401">
        <v>2</v>
      </c>
      <c r="B496" s="494" t="s">
        <v>2633</v>
      </c>
      <c r="C496" s="401" t="s">
        <v>83</v>
      </c>
      <c r="D496" s="401" t="s">
        <v>231</v>
      </c>
      <c r="E496" s="494" t="s">
        <v>5853</v>
      </c>
      <c r="F496" s="401" t="s">
        <v>1752</v>
      </c>
      <c r="G496" s="401" t="s">
        <v>2344</v>
      </c>
      <c r="H496" s="499">
        <v>834112</v>
      </c>
      <c r="I496" s="486" t="s">
        <v>2630</v>
      </c>
      <c r="J496" s="496" t="s">
        <v>5698</v>
      </c>
      <c r="K496" s="496" t="s">
        <v>5698</v>
      </c>
      <c r="L496" s="496" t="s">
        <v>1772</v>
      </c>
      <c r="M496" s="500" t="s">
        <v>1755</v>
      </c>
      <c r="N496" s="496" t="s">
        <v>1773</v>
      </c>
      <c r="O496" s="496" t="s">
        <v>2234</v>
      </c>
      <c r="P496" s="489">
        <v>480.45</v>
      </c>
      <c r="Q496" s="489">
        <f t="shared" si="95"/>
        <v>566.93099999999993</v>
      </c>
      <c r="R496" s="489">
        <v>382.52600000000001</v>
      </c>
      <c r="S496" s="401" t="s">
        <v>1774</v>
      </c>
      <c r="T496" s="501">
        <v>1.087</v>
      </c>
      <c r="U496" s="501">
        <v>1.077</v>
      </c>
      <c r="V496" s="501">
        <v>1.073</v>
      </c>
      <c r="W496" s="501">
        <v>1.071</v>
      </c>
      <c r="X496" s="596">
        <v>0.9</v>
      </c>
      <c r="Y496" s="502">
        <v>463.04700000000003</v>
      </c>
      <c r="Z496" s="489">
        <f t="shared" si="96"/>
        <v>546.39545999999996</v>
      </c>
      <c r="AA496" s="489">
        <v>429.34031297583374</v>
      </c>
      <c r="AB496" s="488">
        <f t="shared" si="97"/>
        <v>506.62156931148377</v>
      </c>
      <c r="AC496" s="492">
        <f t="shared" si="98"/>
        <v>429.34031297583374</v>
      </c>
      <c r="AD496" s="493">
        <f t="shared" si="99"/>
        <v>506.62156931148377</v>
      </c>
      <c r="AE496" s="494" t="s">
        <v>1775</v>
      </c>
      <c r="AF496" s="494" t="s">
        <v>83</v>
      </c>
      <c r="AG496" s="494" t="s">
        <v>211</v>
      </c>
      <c r="AH496" s="494" t="s">
        <v>545</v>
      </c>
      <c r="AI496" s="495">
        <v>41927</v>
      </c>
      <c r="AJ496" s="495">
        <v>41962</v>
      </c>
      <c r="AK496" s="494" t="s">
        <v>96</v>
      </c>
      <c r="AL496" s="494" t="s">
        <v>96</v>
      </c>
      <c r="AM496" s="496" t="s">
        <v>5699</v>
      </c>
      <c r="AN496" s="496" t="s">
        <v>1757</v>
      </c>
      <c r="AO496" s="494">
        <v>796</v>
      </c>
      <c r="AP496" s="494" t="s">
        <v>368</v>
      </c>
      <c r="AQ496" s="494">
        <v>1</v>
      </c>
      <c r="AR496" s="494">
        <v>46</v>
      </c>
      <c r="AS496" s="496" t="s">
        <v>605</v>
      </c>
      <c r="AT496" s="495">
        <v>41982</v>
      </c>
      <c r="AU496" s="495">
        <v>41982</v>
      </c>
      <c r="AV496" s="495">
        <v>42185</v>
      </c>
      <c r="AW496" s="494" t="s">
        <v>99</v>
      </c>
      <c r="AX496" s="496"/>
      <c r="AY496" s="494" t="s">
        <v>186</v>
      </c>
      <c r="AZ496" s="494"/>
      <c r="BA496" s="494">
        <v>2014</v>
      </c>
      <c r="BB496" s="494" t="s">
        <v>2631</v>
      </c>
      <c r="BC496" s="496" t="s">
        <v>2632</v>
      </c>
      <c r="BD496" s="496" t="s">
        <v>1818</v>
      </c>
      <c r="BE496" s="497">
        <v>42185</v>
      </c>
      <c r="BF496" s="498">
        <v>559.15048082894907</v>
      </c>
      <c r="BG496" s="488">
        <v>559.15048082894907</v>
      </c>
      <c r="BH496" s="488">
        <v>0</v>
      </c>
      <c r="BI496" s="488">
        <v>0.32</v>
      </c>
      <c r="BJ496" s="494" t="s">
        <v>186</v>
      </c>
      <c r="BK496" s="401"/>
    </row>
    <row r="497" spans="1:63" ht="150">
      <c r="A497" s="401">
        <v>2</v>
      </c>
      <c r="B497" s="494" t="s">
        <v>2637</v>
      </c>
      <c r="C497" s="401" t="s">
        <v>83</v>
      </c>
      <c r="D497" s="401" t="s">
        <v>231</v>
      </c>
      <c r="E497" s="494" t="s">
        <v>5853</v>
      </c>
      <c r="F497" s="401" t="s">
        <v>1752</v>
      </c>
      <c r="G497" s="401" t="s">
        <v>2344</v>
      </c>
      <c r="H497" s="499">
        <v>834110</v>
      </c>
      <c r="I497" s="486" t="s">
        <v>2634</v>
      </c>
      <c r="J497" s="496" t="s">
        <v>5698</v>
      </c>
      <c r="K497" s="496" t="s">
        <v>5698</v>
      </c>
      <c r="L497" s="496" t="s">
        <v>1772</v>
      </c>
      <c r="M497" s="500" t="s">
        <v>1755</v>
      </c>
      <c r="N497" s="496" t="s">
        <v>1773</v>
      </c>
      <c r="O497" s="496" t="s">
        <v>2234</v>
      </c>
      <c r="P497" s="489">
        <v>540.51</v>
      </c>
      <c r="Q497" s="489">
        <f t="shared" si="95"/>
        <v>637.80179999999996</v>
      </c>
      <c r="R497" s="489">
        <v>430.34100000000001</v>
      </c>
      <c r="S497" s="401" t="s">
        <v>1774</v>
      </c>
      <c r="T497" s="501">
        <v>1.087</v>
      </c>
      <c r="U497" s="501">
        <v>1.077</v>
      </c>
      <c r="V497" s="501">
        <v>1.073</v>
      </c>
      <c r="W497" s="501">
        <v>1.071</v>
      </c>
      <c r="X497" s="596">
        <v>0.9</v>
      </c>
      <c r="Y497" s="502">
        <v>520.928</v>
      </c>
      <c r="Z497" s="489">
        <f t="shared" si="96"/>
        <v>614.69503999999995</v>
      </c>
      <c r="AA497" s="489">
        <v>483.00787569664914</v>
      </c>
      <c r="AB497" s="488">
        <f t="shared" si="97"/>
        <v>569.94929332204595</v>
      </c>
      <c r="AC497" s="492">
        <f t="shared" si="98"/>
        <v>483.00787569664914</v>
      </c>
      <c r="AD497" s="493">
        <f t="shared" si="99"/>
        <v>569.94929332204595</v>
      </c>
      <c r="AE497" s="494" t="s">
        <v>1775</v>
      </c>
      <c r="AF497" s="494" t="s">
        <v>83</v>
      </c>
      <c r="AG497" s="494" t="s">
        <v>211</v>
      </c>
      <c r="AH497" s="494" t="s">
        <v>545</v>
      </c>
      <c r="AI497" s="495">
        <v>41927</v>
      </c>
      <c r="AJ497" s="495">
        <v>41962</v>
      </c>
      <c r="AK497" s="494" t="s">
        <v>96</v>
      </c>
      <c r="AL497" s="494" t="s">
        <v>96</v>
      </c>
      <c r="AM497" s="496" t="s">
        <v>5699</v>
      </c>
      <c r="AN497" s="496" t="s">
        <v>1757</v>
      </c>
      <c r="AO497" s="494">
        <v>796</v>
      </c>
      <c r="AP497" s="494" t="s">
        <v>368</v>
      </c>
      <c r="AQ497" s="494">
        <v>1</v>
      </c>
      <c r="AR497" s="494">
        <v>46</v>
      </c>
      <c r="AS497" s="496" t="s">
        <v>605</v>
      </c>
      <c r="AT497" s="495">
        <v>41982</v>
      </c>
      <c r="AU497" s="495">
        <v>41982</v>
      </c>
      <c r="AV497" s="495">
        <v>42185</v>
      </c>
      <c r="AW497" s="494" t="s">
        <v>99</v>
      </c>
      <c r="AX497" s="496"/>
      <c r="AY497" s="494" t="s">
        <v>186</v>
      </c>
      <c r="AZ497" s="494"/>
      <c r="BA497" s="494">
        <v>2014</v>
      </c>
      <c r="BB497" s="494" t="s">
        <v>2635</v>
      </c>
      <c r="BC497" s="496" t="s">
        <v>2636</v>
      </c>
      <c r="BD497" s="496" t="s">
        <v>1818</v>
      </c>
      <c r="BE497" s="497">
        <v>42185</v>
      </c>
      <c r="BF497" s="498">
        <v>629.04429093256761</v>
      </c>
      <c r="BG497" s="488">
        <v>629.04429093256761</v>
      </c>
      <c r="BH497" s="488">
        <v>0</v>
      </c>
      <c r="BI497" s="488">
        <v>0.36</v>
      </c>
      <c r="BJ497" s="494" t="s">
        <v>186</v>
      </c>
      <c r="BK497" s="401"/>
    </row>
    <row r="498" spans="1:63" ht="150">
      <c r="A498" s="401">
        <v>2</v>
      </c>
      <c r="B498" s="494" t="s">
        <v>2641</v>
      </c>
      <c r="C498" s="401" t="s">
        <v>83</v>
      </c>
      <c r="D498" s="401" t="s">
        <v>231</v>
      </c>
      <c r="E498" s="494" t="s">
        <v>5853</v>
      </c>
      <c r="F498" s="401" t="s">
        <v>1752</v>
      </c>
      <c r="G498" s="401" t="s">
        <v>2344</v>
      </c>
      <c r="H498" s="499">
        <v>834108</v>
      </c>
      <c r="I498" s="486" t="s">
        <v>2638</v>
      </c>
      <c r="J498" s="496" t="s">
        <v>5698</v>
      </c>
      <c r="K498" s="496" t="s">
        <v>5698</v>
      </c>
      <c r="L498" s="496" t="s">
        <v>1772</v>
      </c>
      <c r="M498" s="500" t="s">
        <v>1755</v>
      </c>
      <c r="N498" s="496" t="s">
        <v>1773</v>
      </c>
      <c r="O498" s="496" t="s">
        <v>2234</v>
      </c>
      <c r="P498" s="489">
        <v>720.68</v>
      </c>
      <c r="Q498" s="489">
        <f t="shared" si="95"/>
        <v>850.40239999999994</v>
      </c>
      <c r="R498" s="489">
        <v>573.79</v>
      </c>
      <c r="S498" s="401" t="s">
        <v>1774</v>
      </c>
      <c r="T498" s="501">
        <v>1.087</v>
      </c>
      <c r="U498" s="501">
        <v>1.077</v>
      </c>
      <c r="V498" s="501">
        <v>1.073</v>
      </c>
      <c r="W498" s="501">
        <v>1.071</v>
      </c>
      <c r="X498" s="596">
        <v>0.9</v>
      </c>
      <c r="Y498" s="502">
        <v>694.572</v>
      </c>
      <c r="Z498" s="489">
        <f t="shared" si="96"/>
        <v>819.59496000000001</v>
      </c>
      <c r="AA498" s="489">
        <v>644.010521753386</v>
      </c>
      <c r="AB498" s="488">
        <f t="shared" si="97"/>
        <v>759.93241566899542</v>
      </c>
      <c r="AC498" s="492">
        <f t="shared" si="98"/>
        <v>644.010521753386</v>
      </c>
      <c r="AD498" s="493">
        <f t="shared" si="99"/>
        <v>759.93241566899542</v>
      </c>
      <c r="AE498" s="494" t="s">
        <v>1775</v>
      </c>
      <c r="AF498" s="494" t="s">
        <v>83</v>
      </c>
      <c r="AG498" s="494" t="s">
        <v>211</v>
      </c>
      <c r="AH498" s="494" t="s">
        <v>545</v>
      </c>
      <c r="AI498" s="495">
        <v>41927</v>
      </c>
      <c r="AJ498" s="495">
        <v>41962</v>
      </c>
      <c r="AK498" s="494" t="s">
        <v>96</v>
      </c>
      <c r="AL498" s="494" t="s">
        <v>96</v>
      </c>
      <c r="AM498" s="496" t="s">
        <v>5699</v>
      </c>
      <c r="AN498" s="496" t="s">
        <v>1757</v>
      </c>
      <c r="AO498" s="494">
        <v>796</v>
      </c>
      <c r="AP498" s="494" t="s">
        <v>368</v>
      </c>
      <c r="AQ498" s="494">
        <v>1</v>
      </c>
      <c r="AR498" s="494">
        <v>46</v>
      </c>
      <c r="AS498" s="496" t="s">
        <v>605</v>
      </c>
      <c r="AT498" s="495">
        <v>41982</v>
      </c>
      <c r="AU498" s="495">
        <v>41982</v>
      </c>
      <c r="AV498" s="495">
        <v>42185</v>
      </c>
      <c r="AW498" s="494" t="s">
        <v>99</v>
      </c>
      <c r="AX498" s="496"/>
      <c r="AY498" s="494" t="s">
        <v>186</v>
      </c>
      <c r="AZ498" s="494"/>
      <c r="BA498" s="494">
        <v>2014</v>
      </c>
      <c r="BB498" s="494" t="s">
        <v>2639</v>
      </c>
      <c r="BC498" s="496" t="s">
        <v>2640</v>
      </c>
      <c r="BD498" s="496" t="s">
        <v>1818</v>
      </c>
      <c r="BE498" s="497">
        <v>42185</v>
      </c>
      <c r="BF498" s="498">
        <v>838.72572124342355</v>
      </c>
      <c r="BG498" s="488">
        <v>838.72572124342355</v>
      </c>
      <c r="BH498" s="488">
        <v>0</v>
      </c>
      <c r="BI498" s="488">
        <v>0.48</v>
      </c>
      <c r="BJ498" s="494" t="s">
        <v>186</v>
      </c>
      <c r="BK498" s="401"/>
    </row>
    <row r="499" spans="1:63" ht="150">
      <c r="A499" s="401">
        <v>2</v>
      </c>
      <c r="B499" s="494" t="s">
        <v>2645</v>
      </c>
      <c r="C499" s="401" t="s">
        <v>83</v>
      </c>
      <c r="D499" s="401" t="s">
        <v>231</v>
      </c>
      <c r="E499" s="494" t="s">
        <v>5853</v>
      </c>
      <c r="F499" s="401" t="s">
        <v>1752</v>
      </c>
      <c r="G499" s="401" t="s">
        <v>2344</v>
      </c>
      <c r="H499" s="499">
        <v>834101</v>
      </c>
      <c r="I499" s="486" t="s">
        <v>2642</v>
      </c>
      <c r="J499" s="496" t="s">
        <v>5698</v>
      </c>
      <c r="K499" s="496" t="s">
        <v>5698</v>
      </c>
      <c r="L499" s="496" t="s">
        <v>1772</v>
      </c>
      <c r="M499" s="500" t="s">
        <v>1755</v>
      </c>
      <c r="N499" s="496" t="s">
        <v>1773</v>
      </c>
      <c r="O499" s="496" t="s">
        <v>2234</v>
      </c>
      <c r="P499" s="489">
        <v>570.54</v>
      </c>
      <c r="Q499" s="489">
        <f t="shared" si="95"/>
        <v>673.23719999999992</v>
      </c>
      <c r="R499" s="489">
        <v>454.24900000000002</v>
      </c>
      <c r="S499" s="401" t="s">
        <v>1774</v>
      </c>
      <c r="T499" s="501">
        <v>1.087</v>
      </c>
      <c r="U499" s="501">
        <v>1.077</v>
      </c>
      <c r="V499" s="501">
        <v>1.073</v>
      </c>
      <c r="W499" s="501">
        <v>1.071</v>
      </c>
      <c r="X499" s="596">
        <v>0.9</v>
      </c>
      <c r="Y499" s="502">
        <v>549.86800000000005</v>
      </c>
      <c r="Z499" s="489">
        <f t="shared" si="96"/>
        <v>648.84424000000001</v>
      </c>
      <c r="AA499" s="489">
        <v>509.84165385549949</v>
      </c>
      <c r="AB499" s="488">
        <f t="shared" si="97"/>
        <v>601.61315154948932</v>
      </c>
      <c r="AC499" s="492">
        <f t="shared" si="98"/>
        <v>509.84165385549949</v>
      </c>
      <c r="AD499" s="493">
        <f t="shared" si="99"/>
        <v>601.61315154948932</v>
      </c>
      <c r="AE499" s="494" t="s">
        <v>1775</v>
      </c>
      <c r="AF499" s="494" t="s">
        <v>83</v>
      </c>
      <c r="AG499" s="494" t="s">
        <v>211</v>
      </c>
      <c r="AH499" s="494" t="s">
        <v>545</v>
      </c>
      <c r="AI499" s="495">
        <v>41927</v>
      </c>
      <c r="AJ499" s="495">
        <v>41962</v>
      </c>
      <c r="AK499" s="494" t="s">
        <v>96</v>
      </c>
      <c r="AL499" s="494" t="s">
        <v>96</v>
      </c>
      <c r="AM499" s="496" t="s">
        <v>5699</v>
      </c>
      <c r="AN499" s="496" t="s">
        <v>1757</v>
      </c>
      <c r="AO499" s="494">
        <v>796</v>
      </c>
      <c r="AP499" s="494" t="s">
        <v>368</v>
      </c>
      <c r="AQ499" s="494">
        <v>1</v>
      </c>
      <c r="AR499" s="494">
        <v>46</v>
      </c>
      <c r="AS499" s="496" t="s">
        <v>605</v>
      </c>
      <c r="AT499" s="495">
        <v>41982</v>
      </c>
      <c r="AU499" s="495">
        <v>41982</v>
      </c>
      <c r="AV499" s="495">
        <v>42185</v>
      </c>
      <c r="AW499" s="494" t="s">
        <v>99</v>
      </c>
      <c r="AX499" s="496"/>
      <c r="AY499" s="494" t="s">
        <v>186</v>
      </c>
      <c r="AZ499" s="494"/>
      <c r="BA499" s="494">
        <v>2014</v>
      </c>
      <c r="BB499" s="494" t="s">
        <v>2643</v>
      </c>
      <c r="BC499" s="496" t="s">
        <v>2644</v>
      </c>
      <c r="BD499" s="496" t="s">
        <v>1818</v>
      </c>
      <c r="BE499" s="497">
        <v>42185</v>
      </c>
      <c r="BF499" s="498">
        <v>663.99119598437687</v>
      </c>
      <c r="BG499" s="488">
        <v>663.99119598437687</v>
      </c>
      <c r="BH499" s="488">
        <v>0</v>
      </c>
      <c r="BI499" s="488">
        <v>0.38</v>
      </c>
      <c r="BJ499" s="494" t="s">
        <v>186</v>
      </c>
      <c r="BK499" s="401"/>
    </row>
    <row r="500" spans="1:63" ht="150">
      <c r="A500" s="401">
        <v>2</v>
      </c>
      <c r="B500" s="494" t="s">
        <v>2649</v>
      </c>
      <c r="C500" s="401" t="s">
        <v>83</v>
      </c>
      <c r="D500" s="401" t="s">
        <v>231</v>
      </c>
      <c r="E500" s="494" t="s">
        <v>5853</v>
      </c>
      <c r="F500" s="401" t="s">
        <v>1752</v>
      </c>
      <c r="G500" s="401" t="s">
        <v>2344</v>
      </c>
      <c r="H500" s="499">
        <v>834096</v>
      </c>
      <c r="I500" s="486" t="s">
        <v>2646</v>
      </c>
      <c r="J500" s="496" t="s">
        <v>5698</v>
      </c>
      <c r="K500" s="496" t="s">
        <v>5698</v>
      </c>
      <c r="L500" s="496" t="s">
        <v>1772</v>
      </c>
      <c r="M500" s="500" t="s">
        <v>1755</v>
      </c>
      <c r="N500" s="496" t="s">
        <v>1773</v>
      </c>
      <c r="O500" s="496" t="s">
        <v>2234</v>
      </c>
      <c r="P500" s="489">
        <v>1141.08</v>
      </c>
      <c r="Q500" s="489">
        <f t="shared" si="95"/>
        <v>1346.4743999999998</v>
      </c>
      <c r="R500" s="489">
        <v>908.49900000000002</v>
      </c>
      <c r="S500" s="401" t="s">
        <v>1774</v>
      </c>
      <c r="T500" s="501">
        <v>1.087</v>
      </c>
      <c r="U500" s="501">
        <v>1.077</v>
      </c>
      <c r="V500" s="501">
        <v>1.073</v>
      </c>
      <c r="W500" s="501">
        <v>1.071</v>
      </c>
      <c r="X500" s="596">
        <v>0.9</v>
      </c>
      <c r="Y500" s="502">
        <v>1099.7380000000001</v>
      </c>
      <c r="Z500" s="489">
        <f t="shared" si="96"/>
        <v>1297.69084</v>
      </c>
      <c r="AA500" s="489">
        <v>1019.6831053288705</v>
      </c>
      <c r="AB500" s="488">
        <f t="shared" si="97"/>
        <v>1203.2260642880672</v>
      </c>
      <c r="AC500" s="492">
        <f t="shared" si="98"/>
        <v>1019.6831053288705</v>
      </c>
      <c r="AD500" s="493">
        <f t="shared" si="99"/>
        <v>1203.2260642880672</v>
      </c>
      <c r="AE500" s="494" t="s">
        <v>1775</v>
      </c>
      <c r="AF500" s="494" t="s">
        <v>83</v>
      </c>
      <c r="AG500" s="494" t="s">
        <v>211</v>
      </c>
      <c r="AH500" s="494" t="s">
        <v>545</v>
      </c>
      <c r="AI500" s="495">
        <v>41927</v>
      </c>
      <c r="AJ500" s="495">
        <v>41962</v>
      </c>
      <c r="AK500" s="494" t="s">
        <v>96</v>
      </c>
      <c r="AL500" s="494" t="s">
        <v>96</v>
      </c>
      <c r="AM500" s="496" t="s">
        <v>5699</v>
      </c>
      <c r="AN500" s="496" t="s">
        <v>1757</v>
      </c>
      <c r="AO500" s="494">
        <v>796</v>
      </c>
      <c r="AP500" s="494" t="s">
        <v>368</v>
      </c>
      <c r="AQ500" s="494">
        <v>1</v>
      </c>
      <c r="AR500" s="494">
        <v>46</v>
      </c>
      <c r="AS500" s="496" t="s">
        <v>605</v>
      </c>
      <c r="AT500" s="495">
        <v>41982</v>
      </c>
      <c r="AU500" s="495">
        <v>41982</v>
      </c>
      <c r="AV500" s="495">
        <v>42185</v>
      </c>
      <c r="AW500" s="494" t="s">
        <v>99</v>
      </c>
      <c r="AX500" s="496"/>
      <c r="AY500" s="494" t="s">
        <v>186</v>
      </c>
      <c r="AZ500" s="494"/>
      <c r="BA500" s="494">
        <v>2014</v>
      </c>
      <c r="BB500" s="494" t="s">
        <v>2647</v>
      </c>
      <c r="BC500" s="496" t="s">
        <v>2648</v>
      </c>
      <c r="BD500" s="496" t="s">
        <v>1818</v>
      </c>
      <c r="BE500" s="497">
        <v>42185</v>
      </c>
      <c r="BF500" s="498">
        <v>1327.9823921786588</v>
      </c>
      <c r="BG500" s="488">
        <v>1327.9823921786588</v>
      </c>
      <c r="BH500" s="488">
        <v>0</v>
      </c>
      <c r="BI500" s="488">
        <v>0.76</v>
      </c>
      <c r="BJ500" s="494" t="s">
        <v>186</v>
      </c>
      <c r="BK500" s="401"/>
    </row>
    <row r="501" spans="1:63" ht="150">
      <c r="A501" s="401">
        <v>2</v>
      </c>
      <c r="B501" s="494" t="s">
        <v>4128</v>
      </c>
      <c r="C501" s="401" t="s">
        <v>83</v>
      </c>
      <c r="D501" s="401" t="s">
        <v>231</v>
      </c>
      <c r="E501" s="494" t="s">
        <v>5853</v>
      </c>
      <c r="F501" s="401" t="s">
        <v>1752</v>
      </c>
      <c r="G501" s="401" t="s">
        <v>2344</v>
      </c>
      <c r="H501" s="499">
        <v>834094</v>
      </c>
      <c r="I501" s="486" t="s">
        <v>2650</v>
      </c>
      <c r="J501" s="496" t="s">
        <v>5698</v>
      </c>
      <c r="K501" s="496" t="s">
        <v>5698</v>
      </c>
      <c r="L501" s="496" t="s">
        <v>1772</v>
      </c>
      <c r="M501" s="500" t="s">
        <v>1755</v>
      </c>
      <c r="N501" s="496" t="s">
        <v>1773</v>
      </c>
      <c r="O501" s="496" t="s">
        <v>2234</v>
      </c>
      <c r="P501" s="489">
        <v>1441.36</v>
      </c>
      <c r="Q501" s="489">
        <f t="shared" si="95"/>
        <v>1700.8047999999999</v>
      </c>
      <c r="R501" s="489">
        <v>1147.58</v>
      </c>
      <c r="S501" s="401" t="s">
        <v>1774</v>
      </c>
      <c r="T501" s="501">
        <v>1.087</v>
      </c>
      <c r="U501" s="501">
        <v>1.077</v>
      </c>
      <c r="V501" s="501">
        <v>1.073</v>
      </c>
      <c r="W501" s="501">
        <v>1.071</v>
      </c>
      <c r="X501" s="596">
        <v>0.9</v>
      </c>
      <c r="Y501" s="502">
        <v>1389.146</v>
      </c>
      <c r="Z501" s="489">
        <f t="shared" si="96"/>
        <v>1639.1922799999998</v>
      </c>
      <c r="AA501" s="489">
        <v>1288.0208079505576</v>
      </c>
      <c r="AB501" s="488">
        <f t="shared" si="97"/>
        <v>1519.864553381658</v>
      </c>
      <c r="AC501" s="492">
        <f t="shared" si="98"/>
        <v>1288.0208079505576</v>
      </c>
      <c r="AD501" s="493">
        <f t="shared" si="99"/>
        <v>1519.864553381658</v>
      </c>
      <c r="AE501" s="494" t="s">
        <v>1775</v>
      </c>
      <c r="AF501" s="494" t="s">
        <v>83</v>
      </c>
      <c r="AG501" s="494" t="s">
        <v>211</v>
      </c>
      <c r="AH501" s="494" t="s">
        <v>545</v>
      </c>
      <c r="AI501" s="495">
        <v>41927</v>
      </c>
      <c r="AJ501" s="495">
        <v>41962</v>
      </c>
      <c r="AK501" s="494" t="s">
        <v>96</v>
      </c>
      <c r="AL501" s="494" t="s">
        <v>96</v>
      </c>
      <c r="AM501" s="496" t="s">
        <v>5699</v>
      </c>
      <c r="AN501" s="496" t="s">
        <v>1757</v>
      </c>
      <c r="AO501" s="494">
        <v>796</v>
      </c>
      <c r="AP501" s="494" t="s">
        <v>368</v>
      </c>
      <c r="AQ501" s="494">
        <v>1</v>
      </c>
      <c r="AR501" s="494">
        <v>46</v>
      </c>
      <c r="AS501" s="496" t="s">
        <v>605</v>
      </c>
      <c r="AT501" s="495">
        <v>41982</v>
      </c>
      <c r="AU501" s="495">
        <v>41982</v>
      </c>
      <c r="AV501" s="495">
        <v>42185</v>
      </c>
      <c r="AW501" s="494" t="s">
        <v>99</v>
      </c>
      <c r="AX501" s="496"/>
      <c r="AY501" s="494" t="s">
        <v>186</v>
      </c>
      <c r="AZ501" s="494"/>
      <c r="BA501" s="494">
        <v>2014</v>
      </c>
      <c r="BB501" s="494" t="s">
        <v>2651</v>
      </c>
      <c r="BC501" s="496" t="s">
        <v>2652</v>
      </c>
      <c r="BD501" s="496" t="s">
        <v>1818</v>
      </c>
      <c r="BE501" s="497">
        <v>42185</v>
      </c>
      <c r="BF501" s="498">
        <v>1677.4514424868471</v>
      </c>
      <c r="BG501" s="488">
        <v>1677.4514424868471</v>
      </c>
      <c r="BH501" s="488">
        <v>0</v>
      </c>
      <c r="BI501" s="488">
        <v>0.96</v>
      </c>
      <c r="BJ501" s="494" t="s">
        <v>186</v>
      </c>
      <c r="BK501" s="401"/>
    </row>
    <row r="502" spans="1:63" ht="150">
      <c r="A502" s="401">
        <v>2</v>
      </c>
      <c r="B502" s="494" t="s">
        <v>3371</v>
      </c>
      <c r="C502" s="401" t="s">
        <v>83</v>
      </c>
      <c r="D502" s="401" t="s">
        <v>231</v>
      </c>
      <c r="E502" s="494" t="s">
        <v>5853</v>
      </c>
      <c r="F502" s="401" t="s">
        <v>1752</v>
      </c>
      <c r="G502" s="401" t="s">
        <v>2344</v>
      </c>
      <c r="H502" s="499">
        <v>834093</v>
      </c>
      <c r="I502" s="486" t="s">
        <v>2653</v>
      </c>
      <c r="J502" s="496" t="s">
        <v>5698</v>
      </c>
      <c r="K502" s="496" t="s">
        <v>5698</v>
      </c>
      <c r="L502" s="496" t="s">
        <v>1772</v>
      </c>
      <c r="M502" s="500" t="s">
        <v>1755</v>
      </c>
      <c r="N502" s="496" t="s">
        <v>1773</v>
      </c>
      <c r="O502" s="496" t="s">
        <v>2234</v>
      </c>
      <c r="P502" s="489">
        <v>1381.3</v>
      </c>
      <c r="Q502" s="489">
        <f t="shared" si="95"/>
        <v>1629.934</v>
      </c>
      <c r="R502" s="489">
        <v>1099.7639999999999</v>
      </c>
      <c r="S502" s="401" t="s">
        <v>1774</v>
      </c>
      <c r="T502" s="501">
        <v>1.087</v>
      </c>
      <c r="U502" s="501">
        <v>1.077</v>
      </c>
      <c r="V502" s="501">
        <v>1.073</v>
      </c>
      <c r="W502" s="501">
        <v>1.071</v>
      </c>
      <c r="X502" s="596">
        <v>0.9</v>
      </c>
      <c r="Y502" s="502">
        <v>1331.2639999999999</v>
      </c>
      <c r="Z502" s="489">
        <f t="shared" si="96"/>
        <v>1570.8915199999999</v>
      </c>
      <c r="AA502" s="489">
        <v>1234.3533141064238</v>
      </c>
      <c r="AB502" s="488">
        <f t="shared" si="97"/>
        <v>1456.5369106455801</v>
      </c>
      <c r="AC502" s="492">
        <f t="shared" si="98"/>
        <v>1234.3533141064238</v>
      </c>
      <c r="AD502" s="493">
        <f t="shared" si="99"/>
        <v>1456.5369106455801</v>
      </c>
      <c r="AE502" s="494" t="s">
        <v>1775</v>
      </c>
      <c r="AF502" s="494" t="s">
        <v>83</v>
      </c>
      <c r="AG502" s="494" t="s">
        <v>211</v>
      </c>
      <c r="AH502" s="494" t="s">
        <v>545</v>
      </c>
      <c r="AI502" s="495">
        <v>41927</v>
      </c>
      <c r="AJ502" s="495">
        <v>41962</v>
      </c>
      <c r="AK502" s="494" t="s">
        <v>96</v>
      </c>
      <c r="AL502" s="494" t="s">
        <v>96</v>
      </c>
      <c r="AM502" s="496" t="s">
        <v>5699</v>
      </c>
      <c r="AN502" s="496" t="s">
        <v>1757</v>
      </c>
      <c r="AO502" s="494">
        <v>796</v>
      </c>
      <c r="AP502" s="494" t="s">
        <v>368</v>
      </c>
      <c r="AQ502" s="494">
        <v>1</v>
      </c>
      <c r="AR502" s="494">
        <v>46</v>
      </c>
      <c r="AS502" s="496" t="s">
        <v>605</v>
      </c>
      <c r="AT502" s="495">
        <v>41982</v>
      </c>
      <c r="AU502" s="495">
        <v>41982</v>
      </c>
      <c r="AV502" s="495">
        <v>42185</v>
      </c>
      <c r="AW502" s="494" t="s">
        <v>99</v>
      </c>
      <c r="AX502" s="496"/>
      <c r="AY502" s="494" t="s">
        <v>186</v>
      </c>
      <c r="AZ502" s="494"/>
      <c r="BA502" s="494">
        <v>2014</v>
      </c>
      <c r="BB502" s="494" t="s">
        <v>2654</v>
      </c>
      <c r="BC502" s="496" t="s">
        <v>2655</v>
      </c>
      <c r="BD502" s="496" t="s">
        <v>1818</v>
      </c>
      <c r="BE502" s="497">
        <v>42185</v>
      </c>
      <c r="BF502" s="498">
        <v>1607.5576323832283</v>
      </c>
      <c r="BG502" s="488">
        <v>1607.5576323832283</v>
      </c>
      <c r="BH502" s="488">
        <v>0</v>
      </c>
      <c r="BI502" s="488">
        <v>0.92</v>
      </c>
      <c r="BJ502" s="494" t="s">
        <v>186</v>
      </c>
      <c r="BK502" s="401"/>
    </row>
    <row r="503" spans="1:63" ht="150">
      <c r="A503" s="401">
        <v>2</v>
      </c>
      <c r="B503" s="494" t="s">
        <v>2656</v>
      </c>
      <c r="C503" s="401" t="s">
        <v>83</v>
      </c>
      <c r="D503" s="401" t="s">
        <v>231</v>
      </c>
      <c r="E503" s="494" t="s">
        <v>5853</v>
      </c>
      <c r="F503" s="401" t="s">
        <v>1752</v>
      </c>
      <c r="G503" s="401" t="s">
        <v>2344</v>
      </c>
      <c r="H503" s="499">
        <v>834092</v>
      </c>
      <c r="I503" s="486" t="s">
        <v>2657</v>
      </c>
      <c r="J503" s="496" t="s">
        <v>5698</v>
      </c>
      <c r="K503" s="496" t="s">
        <v>5698</v>
      </c>
      <c r="L503" s="496" t="s">
        <v>1772</v>
      </c>
      <c r="M503" s="500" t="s">
        <v>1755</v>
      </c>
      <c r="N503" s="496" t="s">
        <v>1773</v>
      </c>
      <c r="O503" s="496" t="s">
        <v>2234</v>
      </c>
      <c r="P503" s="489">
        <v>1711.62</v>
      </c>
      <c r="Q503" s="489">
        <f t="shared" si="95"/>
        <v>2019.7115999999999</v>
      </c>
      <c r="R503" s="489">
        <v>1362.752</v>
      </c>
      <c r="S503" s="401" t="s">
        <v>1774</v>
      </c>
      <c r="T503" s="501">
        <v>1.087</v>
      </c>
      <c r="U503" s="501">
        <v>1.077</v>
      </c>
      <c r="V503" s="501">
        <v>1.073</v>
      </c>
      <c r="W503" s="501">
        <v>1.071</v>
      </c>
      <c r="X503" s="596">
        <v>0.9</v>
      </c>
      <c r="Y503" s="502">
        <v>1649.6110000000001</v>
      </c>
      <c r="Z503" s="489">
        <f t="shared" si="96"/>
        <v>1946.54098</v>
      </c>
      <c r="AA503" s="489">
        <v>1529.5247591843749</v>
      </c>
      <c r="AB503" s="488">
        <f t="shared" si="97"/>
        <v>1804.8392158375623</v>
      </c>
      <c r="AC503" s="492">
        <f t="shared" si="98"/>
        <v>1529.5247591843749</v>
      </c>
      <c r="AD503" s="493">
        <f t="shared" si="99"/>
        <v>1804.8392158375623</v>
      </c>
      <c r="AE503" s="494" t="s">
        <v>1775</v>
      </c>
      <c r="AF503" s="494" t="s">
        <v>83</v>
      </c>
      <c r="AG503" s="494" t="s">
        <v>211</v>
      </c>
      <c r="AH503" s="494" t="s">
        <v>545</v>
      </c>
      <c r="AI503" s="495">
        <v>41927</v>
      </c>
      <c r="AJ503" s="495">
        <v>41962</v>
      </c>
      <c r="AK503" s="494" t="s">
        <v>96</v>
      </c>
      <c r="AL503" s="494" t="s">
        <v>96</v>
      </c>
      <c r="AM503" s="496" t="s">
        <v>5699</v>
      </c>
      <c r="AN503" s="496" t="s">
        <v>1757</v>
      </c>
      <c r="AO503" s="494">
        <v>796</v>
      </c>
      <c r="AP503" s="494" t="s">
        <v>368</v>
      </c>
      <c r="AQ503" s="494">
        <v>1</v>
      </c>
      <c r="AR503" s="494">
        <v>46</v>
      </c>
      <c r="AS503" s="496" t="s">
        <v>605</v>
      </c>
      <c r="AT503" s="495">
        <v>41982</v>
      </c>
      <c r="AU503" s="495">
        <v>41982</v>
      </c>
      <c r="AV503" s="495">
        <v>42185</v>
      </c>
      <c r="AW503" s="494" t="s">
        <v>99</v>
      </c>
      <c r="AX503" s="496"/>
      <c r="AY503" s="494" t="s">
        <v>186</v>
      </c>
      <c r="AZ503" s="494"/>
      <c r="BA503" s="494">
        <v>2014</v>
      </c>
      <c r="BB503" s="494" t="s">
        <v>2658</v>
      </c>
      <c r="BC503" s="496" t="s">
        <v>2659</v>
      </c>
      <c r="BD503" s="496" t="s">
        <v>1818</v>
      </c>
      <c r="BE503" s="497">
        <v>42185</v>
      </c>
      <c r="BF503" s="498">
        <v>1991.9735879531308</v>
      </c>
      <c r="BG503" s="488">
        <v>1991.9735879531308</v>
      </c>
      <c r="BH503" s="488">
        <v>0</v>
      </c>
      <c r="BI503" s="488">
        <v>1.1399999999999999</v>
      </c>
      <c r="BJ503" s="494" t="s">
        <v>186</v>
      </c>
      <c r="BK503" s="401"/>
    </row>
    <row r="504" spans="1:63" ht="150">
      <c r="A504" s="401">
        <v>2</v>
      </c>
      <c r="B504" s="494" t="s">
        <v>2660</v>
      </c>
      <c r="C504" s="401" t="s">
        <v>83</v>
      </c>
      <c r="D504" s="401" t="s">
        <v>231</v>
      </c>
      <c r="E504" s="494" t="s">
        <v>5853</v>
      </c>
      <c r="F504" s="401" t="s">
        <v>1752</v>
      </c>
      <c r="G504" s="401" t="s">
        <v>2344</v>
      </c>
      <c r="H504" s="499">
        <v>834090</v>
      </c>
      <c r="I504" s="486" t="s">
        <v>2661</v>
      </c>
      <c r="J504" s="496" t="s">
        <v>5698</v>
      </c>
      <c r="K504" s="496" t="s">
        <v>5698</v>
      </c>
      <c r="L504" s="496" t="s">
        <v>1772</v>
      </c>
      <c r="M504" s="500" t="s">
        <v>1755</v>
      </c>
      <c r="N504" s="496" t="s">
        <v>1773</v>
      </c>
      <c r="O504" s="496" t="s">
        <v>2234</v>
      </c>
      <c r="P504" s="489">
        <v>2492.35</v>
      </c>
      <c r="Q504" s="489">
        <f t="shared" si="95"/>
        <v>2940.973</v>
      </c>
      <c r="R504" s="489">
        <v>1984.3579999999999</v>
      </c>
      <c r="S504" s="401" t="s">
        <v>1774</v>
      </c>
      <c r="T504" s="501">
        <v>1.087</v>
      </c>
      <c r="U504" s="501">
        <v>1.077</v>
      </c>
      <c r="V504" s="501">
        <v>1.073</v>
      </c>
      <c r="W504" s="501">
        <v>1.071</v>
      </c>
      <c r="X504" s="596">
        <v>0.9</v>
      </c>
      <c r="Y504" s="502">
        <v>2402.0659999999998</v>
      </c>
      <c r="Z504" s="489">
        <f t="shared" si="96"/>
        <v>2834.4378799999995</v>
      </c>
      <c r="AA504" s="489">
        <v>2227.2026680474141</v>
      </c>
      <c r="AB504" s="488">
        <f t="shared" si="97"/>
        <v>2628.0991482959485</v>
      </c>
      <c r="AC504" s="492">
        <f t="shared" si="98"/>
        <v>2227.2026680474141</v>
      </c>
      <c r="AD504" s="493">
        <f t="shared" si="99"/>
        <v>2628.0991482959485</v>
      </c>
      <c r="AE504" s="494" t="s">
        <v>1775</v>
      </c>
      <c r="AF504" s="494" t="s">
        <v>83</v>
      </c>
      <c r="AG504" s="494" t="s">
        <v>211</v>
      </c>
      <c r="AH504" s="494" t="s">
        <v>545</v>
      </c>
      <c r="AI504" s="495">
        <v>41927</v>
      </c>
      <c r="AJ504" s="495">
        <v>41962</v>
      </c>
      <c r="AK504" s="494" t="s">
        <v>96</v>
      </c>
      <c r="AL504" s="494" t="s">
        <v>96</v>
      </c>
      <c r="AM504" s="496" t="s">
        <v>5699</v>
      </c>
      <c r="AN504" s="496" t="s">
        <v>1757</v>
      </c>
      <c r="AO504" s="494">
        <v>796</v>
      </c>
      <c r="AP504" s="494" t="s">
        <v>368</v>
      </c>
      <c r="AQ504" s="494">
        <v>1</v>
      </c>
      <c r="AR504" s="494">
        <v>46</v>
      </c>
      <c r="AS504" s="496" t="s">
        <v>605</v>
      </c>
      <c r="AT504" s="495">
        <v>41982</v>
      </c>
      <c r="AU504" s="495">
        <v>41982</v>
      </c>
      <c r="AV504" s="495">
        <v>42185</v>
      </c>
      <c r="AW504" s="494" t="s">
        <v>99</v>
      </c>
      <c r="AX504" s="496"/>
      <c r="AY504" s="494" t="s">
        <v>186</v>
      </c>
      <c r="AZ504" s="494"/>
      <c r="BA504" s="494">
        <v>2014</v>
      </c>
      <c r="BB504" s="494" t="s">
        <v>2662</v>
      </c>
      <c r="BC504" s="496" t="s">
        <v>2663</v>
      </c>
      <c r="BD504" s="496" t="s">
        <v>1818</v>
      </c>
      <c r="BE504" s="497">
        <v>42185</v>
      </c>
      <c r="BF504" s="498">
        <v>2900.5931193001729</v>
      </c>
      <c r="BG504" s="488">
        <v>2900.5931193001729</v>
      </c>
      <c r="BH504" s="488">
        <v>0</v>
      </c>
      <c r="BI504" s="488">
        <v>1.66</v>
      </c>
      <c r="BJ504" s="494" t="s">
        <v>186</v>
      </c>
      <c r="BK504" s="401"/>
    </row>
    <row r="505" spans="1:63" ht="150">
      <c r="A505" s="401">
        <v>2</v>
      </c>
      <c r="B505" s="494" t="s">
        <v>2664</v>
      </c>
      <c r="C505" s="401" t="s">
        <v>83</v>
      </c>
      <c r="D505" s="401" t="s">
        <v>231</v>
      </c>
      <c r="E505" s="494" t="s">
        <v>5853</v>
      </c>
      <c r="F505" s="401" t="s">
        <v>1752</v>
      </c>
      <c r="G505" s="401" t="s">
        <v>2344</v>
      </c>
      <c r="H505" s="499">
        <v>834088</v>
      </c>
      <c r="I505" s="486" t="s">
        <v>2665</v>
      </c>
      <c r="J505" s="496" t="s">
        <v>5698</v>
      </c>
      <c r="K505" s="496" t="s">
        <v>5698</v>
      </c>
      <c r="L505" s="496" t="s">
        <v>1772</v>
      </c>
      <c r="M505" s="500" t="s">
        <v>1755</v>
      </c>
      <c r="N505" s="496" t="s">
        <v>1773</v>
      </c>
      <c r="O505" s="496" t="s">
        <v>2234</v>
      </c>
      <c r="P505" s="489">
        <v>2462.3200000000002</v>
      </c>
      <c r="Q505" s="489">
        <f t="shared" si="95"/>
        <v>2905.5376000000001</v>
      </c>
      <c r="R505" s="489">
        <v>1960.45</v>
      </c>
      <c r="S505" s="401" t="s">
        <v>1774</v>
      </c>
      <c r="T505" s="501">
        <v>1.087</v>
      </c>
      <c r="U505" s="501">
        <v>1.077</v>
      </c>
      <c r="V505" s="501">
        <v>1.073</v>
      </c>
      <c r="W505" s="501">
        <v>1.071</v>
      </c>
      <c r="X505" s="596">
        <v>0.9</v>
      </c>
      <c r="Y505" s="502">
        <v>2373.125</v>
      </c>
      <c r="Z505" s="489">
        <f t="shared" si="96"/>
        <v>2800.2874999999999</v>
      </c>
      <c r="AA505" s="489">
        <v>2200.3688567144841</v>
      </c>
      <c r="AB505" s="488">
        <f t="shared" si="97"/>
        <v>2596.4352509230912</v>
      </c>
      <c r="AC505" s="492">
        <f t="shared" si="98"/>
        <v>2200.3688567144841</v>
      </c>
      <c r="AD505" s="493">
        <f t="shared" si="99"/>
        <v>2596.4352509230912</v>
      </c>
      <c r="AE505" s="494" t="s">
        <v>1775</v>
      </c>
      <c r="AF505" s="494" t="s">
        <v>83</v>
      </c>
      <c r="AG505" s="494" t="s">
        <v>211</v>
      </c>
      <c r="AH505" s="494" t="s">
        <v>545</v>
      </c>
      <c r="AI505" s="495">
        <v>41927</v>
      </c>
      <c r="AJ505" s="495">
        <v>41962</v>
      </c>
      <c r="AK505" s="494" t="s">
        <v>96</v>
      </c>
      <c r="AL505" s="494" t="s">
        <v>96</v>
      </c>
      <c r="AM505" s="496" t="s">
        <v>5699</v>
      </c>
      <c r="AN505" s="496" t="s">
        <v>1757</v>
      </c>
      <c r="AO505" s="494">
        <v>796</v>
      </c>
      <c r="AP505" s="494" t="s">
        <v>368</v>
      </c>
      <c r="AQ505" s="494">
        <v>1</v>
      </c>
      <c r="AR505" s="494">
        <v>46</v>
      </c>
      <c r="AS505" s="496" t="s">
        <v>605</v>
      </c>
      <c r="AT505" s="495">
        <v>41982</v>
      </c>
      <c r="AU505" s="495">
        <v>41982</v>
      </c>
      <c r="AV505" s="495">
        <v>42185</v>
      </c>
      <c r="AW505" s="494" t="s">
        <v>99</v>
      </c>
      <c r="AX505" s="496"/>
      <c r="AY505" s="494" t="s">
        <v>186</v>
      </c>
      <c r="AZ505" s="494"/>
      <c r="BA505" s="494">
        <v>2014</v>
      </c>
      <c r="BB505" s="494" t="s">
        <v>2666</v>
      </c>
      <c r="BC505" s="496" t="s">
        <v>2667</v>
      </c>
      <c r="BD505" s="496" t="s">
        <v>1818</v>
      </c>
      <c r="BE505" s="497">
        <v>42185</v>
      </c>
      <c r="BF505" s="498">
        <v>2865.6462142483642</v>
      </c>
      <c r="BG505" s="488">
        <v>2865.6462142483642</v>
      </c>
      <c r="BH505" s="488">
        <v>0</v>
      </c>
      <c r="BI505" s="488">
        <v>1.64</v>
      </c>
      <c r="BJ505" s="494" t="s">
        <v>186</v>
      </c>
      <c r="BK505" s="401"/>
    </row>
    <row r="506" spans="1:63" ht="150">
      <c r="A506" s="401">
        <v>2</v>
      </c>
      <c r="B506" s="494" t="s">
        <v>2668</v>
      </c>
      <c r="C506" s="401" t="s">
        <v>83</v>
      </c>
      <c r="D506" s="401" t="s">
        <v>231</v>
      </c>
      <c r="E506" s="494" t="s">
        <v>5853</v>
      </c>
      <c r="F506" s="401" t="s">
        <v>1752</v>
      </c>
      <c r="G506" s="401" t="s">
        <v>2344</v>
      </c>
      <c r="H506" s="499">
        <v>834087</v>
      </c>
      <c r="I506" s="486" t="s">
        <v>2669</v>
      </c>
      <c r="J506" s="496" t="s">
        <v>5698</v>
      </c>
      <c r="K506" s="496" t="s">
        <v>5698</v>
      </c>
      <c r="L506" s="496" t="s">
        <v>1772</v>
      </c>
      <c r="M506" s="500" t="s">
        <v>1755</v>
      </c>
      <c r="N506" s="496" t="s">
        <v>1773</v>
      </c>
      <c r="O506" s="496" t="s">
        <v>2234</v>
      </c>
      <c r="P506" s="489">
        <v>1561.47</v>
      </c>
      <c r="Q506" s="489">
        <f t="shared" si="95"/>
        <v>1842.5346</v>
      </c>
      <c r="R506" s="489">
        <v>1243.212</v>
      </c>
      <c r="S506" s="401" t="s">
        <v>1774</v>
      </c>
      <c r="T506" s="501">
        <v>1.087</v>
      </c>
      <c r="U506" s="501">
        <v>1.077</v>
      </c>
      <c r="V506" s="501">
        <v>1.073</v>
      </c>
      <c r="W506" s="501">
        <v>1.071</v>
      </c>
      <c r="X506" s="596">
        <v>0.9</v>
      </c>
      <c r="Y506" s="502">
        <v>1504.9079999999999</v>
      </c>
      <c r="Z506" s="489">
        <f t="shared" si="96"/>
        <v>1775.7914399999997</v>
      </c>
      <c r="AA506" s="489">
        <v>1395.3559244605624</v>
      </c>
      <c r="AB506" s="488">
        <f t="shared" si="97"/>
        <v>1646.5199908634636</v>
      </c>
      <c r="AC506" s="492">
        <f t="shared" si="98"/>
        <v>1395.3559244605624</v>
      </c>
      <c r="AD506" s="493">
        <f t="shared" si="99"/>
        <v>1646.5199908634636</v>
      </c>
      <c r="AE506" s="494" t="s">
        <v>1775</v>
      </c>
      <c r="AF506" s="494" t="s">
        <v>83</v>
      </c>
      <c r="AG506" s="494" t="s">
        <v>211</v>
      </c>
      <c r="AH506" s="494" t="s">
        <v>545</v>
      </c>
      <c r="AI506" s="495">
        <v>41927</v>
      </c>
      <c r="AJ506" s="495">
        <v>41962</v>
      </c>
      <c r="AK506" s="494" t="s">
        <v>96</v>
      </c>
      <c r="AL506" s="494" t="s">
        <v>96</v>
      </c>
      <c r="AM506" s="496" t="s">
        <v>5699</v>
      </c>
      <c r="AN506" s="496" t="s">
        <v>1757</v>
      </c>
      <c r="AO506" s="494">
        <v>796</v>
      </c>
      <c r="AP506" s="494" t="s">
        <v>368</v>
      </c>
      <c r="AQ506" s="494">
        <v>1</v>
      </c>
      <c r="AR506" s="494">
        <v>46</v>
      </c>
      <c r="AS506" s="496" t="s">
        <v>605</v>
      </c>
      <c r="AT506" s="495">
        <v>41982</v>
      </c>
      <c r="AU506" s="495">
        <v>41982</v>
      </c>
      <c r="AV506" s="495">
        <v>42185</v>
      </c>
      <c r="AW506" s="494" t="s">
        <v>99</v>
      </c>
      <c r="AX506" s="496"/>
      <c r="AY506" s="494" t="s">
        <v>186</v>
      </c>
      <c r="AZ506" s="494"/>
      <c r="BA506" s="494">
        <v>2014</v>
      </c>
      <c r="BB506" s="494" t="s">
        <v>2670</v>
      </c>
      <c r="BC506" s="496" t="s">
        <v>2671</v>
      </c>
      <c r="BD506" s="496" t="s">
        <v>1818</v>
      </c>
      <c r="BE506" s="497">
        <v>42185</v>
      </c>
      <c r="BF506" s="498">
        <v>1817.2390626940844</v>
      </c>
      <c r="BG506" s="488">
        <v>1817.2390626940844</v>
      </c>
      <c r="BH506" s="488">
        <v>0</v>
      </c>
      <c r="BI506" s="488">
        <v>1.04</v>
      </c>
      <c r="BJ506" s="494" t="s">
        <v>186</v>
      </c>
      <c r="BK506" s="401"/>
    </row>
    <row r="507" spans="1:63" ht="150">
      <c r="A507" s="401">
        <v>2</v>
      </c>
      <c r="B507" s="494" t="s">
        <v>2672</v>
      </c>
      <c r="C507" s="401" t="s">
        <v>83</v>
      </c>
      <c r="D507" s="401" t="s">
        <v>231</v>
      </c>
      <c r="E507" s="494" t="s">
        <v>5853</v>
      </c>
      <c r="F507" s="401" t="s">
        <v>1752</v>
      </c>
      <c r="G507" s="401" t="s">
        <v>2344</v>
      </c>
      <c r="H507" s="499">
        <v>834086</v>
      </c>
      <c r="I507" s="486" t="s">
        <v>2673</v>
      </c>
      <c r="J507" s="496" t="s">
        <v>5698</v>
      </c>
      <c r="K507" s="496" t="s">
        <v>5698</v>
      </c>
      <c r="L507" s="496" t="s">
        <v>1772</v>
      </c>
      <c r="M507" s="500" t="s">
        <v>1755</v>
      </c>
      <c r="N507" s="496" t="s">
        <v>1773</v>
      </c>
      <c r="O507" s="496" t="s">
        <v>2234</v>
      </c>
      <c r="P507" s="489">
        <v>2522.38</v>
      </c>
      <c r="Q507" s="489">
        <f t="shared" si="95"/>
        <v>2976.4083999999998</v>
      </c>
      <c r="R507" s="489">
        <v>2008.2660000000001</v>
      </c>
      <c r="S507" s="401" t="s">
        <v>1774</v>
      </c>
      <c r="T507" s="501">
        <v>1.087</v>
      </c>
      <c r="U507" s="501">
        <v>1.077</v>
      </c>
      <c r="V507" s="501">
        <v>1.073</v>
      </c>
      <c r="W507" s="501">
        <v>1.071</v>
      </c>
      <c r="X507" s="596">
        <v>0.9</v>
      </c>
      <c r="Y507" s="502">
        <v>2431.0050000000001</v>
      </c>
      <c r="Z507" s="489">
        <f t="shared" si="96"/>
        <v>2868.5859</v>
      </c>
      <c r="AA507" s="489">
        <v>2254.0364194352942</v>
      </c>
      <c r="AB507" s="488">
        <f t="shared" si="97"/>
        <v>2659.762974933647</v>
      </c>
      <c r="AC507" s="492">
        <f t="shared" si="98"/>
        <v>2254.0364194352942</v>
      </c>
      <c r="AD507" s="493">
        <f t="shared" si="99"/>
        <v>2659.762974933647</v>
      </c>
      <c r="AE507" s="494" t="s">
        <v>1775</v>
      </c>
      <c r="AF507" s="494" t="s">
        <v>83</v>
      </c>
      <c r="AG507" s="494" t="s">
        <v>211</v>
      </c>
      <c r="AH507" s="494" t="s">
        <v>545</v>
      </c>
      <c r="AI507" s="495">
        <v>41927</v>
      </c>
      <c r="AJ507" s="495">
        <v>41962</v>
      </c>
      <c r="AK507" s="494" t="s">
        <v>96</v>
      </c>
      <c r="AL507" s="494" t="s">
        <v>96</v>
      </c>
      <c r="AM507" s="496" t="s">
        <v>5699</v>
      </c>
      <c r="AN507" s="496" t="s">
        <v>1757</v>
      </c>
      <c r="AO507" s="494">
        <v>796</v>
      </c>
      <c r="AP507" s="494" t="s">
        <v>368</v>
      </c>
      <c r="AQ507" s="494">
        <v>1</v>
      </c>
      <c r="AR507" s="494">
        <v>46</v>
      </c>
      <c r="AS507" s="496" t="s">
        <v>605</v>
      </c>
      <c r="AT507" s="495">
        <v>41982</v>
      </c>
      <c r="AU507" s="495">
        <v>41982</v>
      </c>
      <c r="AV507" s="495">
        <v>42185</v>
      </c>
      <c r="AW507" s="494" t="s">
        <v>99</v>
      </c>
      <c r="AX507" s="496"/>
      <c r="AY507" s="494" t="s">
        <v>186</v>
      </c>
      <c r="AZ507" s="494"/>
      <c r="BA507" s="494">
        <v>2014</v>
      </c>
      <c r="BB507" s="494" t="s">
        <v>2674</v>
      </c>
      <c r="BC507" s="496" t="s">
        <v>2675</v>
      </c>
      <c r="BD507" s="496" t="s">
        <v>1818</v>
      </c>
      <c r="BE507" s="497">
        <v>42185</v>
      </c>
      <c r="BF507" s="498">
        <v>2935.5400243519821</v>
      </c>
      <c r="BG507" s="488">
        <v>2935.5400243519821</v>
      </c>
      <c r="BH507" s="488">
        <v>0</v>
      </c>
      <c r="BI507" s="488">
        <v>1.68</v>
      </c>
      <c r="BJ507" s="494" t="s">
        <v>186</v>
      </c>
      <c r="BK507" s="401"/>
    </row>
    <row r="508" spans="1:63" ht="150">
      <c r="A508" s="401">
        <v>2</v>
      </c>
      <c r="B508" s="494" t="s">
        <v>2676</v>
      </c>
      <c r="C508" s="401" t="s">
        <v>83</v>
      </c>
      <c r="D508" s="401" t="s">
        <v>231</v>
      </c>
      <c r="E508" s="494" t="s">
        <v>5853</v>
      </c>
      <c r="F508" s="401" t="s">
        <v>1752</v>
      </c>
      <c r="G508" s="401" t="s">
        <v>2344</v>
      </c>
      <c r="H508" s="499">
        <v>834085</v>
      </c>
      <c r="I508" s="486" t="s">
        <v>2677</v>
      </c>
      <c r="J508" s="496" t="s">
        <v>5698</v>
      </c>
      <c r="K508" s="496" t="s">
        <v>5698</v>
      </c>
      <c r="L508" s="496" t="s">
        <v>1772</v>
      </c>
      <c r="M508" s="500" t="s">
        <v>1755</v>
      </c>
      <c r="N508" s="496" t="s">
        <v>1773</v>
      </c>
      <c r="O508" s="496" t="s">
        <v>2234</v>
      </c>
      <c r="P508" s="489">
        <v>1381.3</v>
      </c>
      <c r="Q508" s="489">
        <f t="shared" si="95"/>
        <v>1629.934</v>
      </c>
      <c r="R508" s="489">
        <v>1099.7639999999999</v>
      </c>
      <c r="S508" s="401" t="s">
        <v>1774</v>
      </c>
      <c r="T508" s="501">
        <v>1.087</v>
      </c>
      <c r="U508" s="501">
        <v>1.077</v>
      </c>
      <c r="V508" s="501">
        <v>1.073</v>
      </c>
      <c r="W508" s="501">
        <v>1.071</v>
      </c>
      <c r="X508" s="596">
        <v>0.9</v>
      </c>
      <c r="Y508" s="502">
        <v>1331.2639999999999</v>
      </c>
      <c r="Z508" s="489">
        <f t="shared" si="96"/>
        <v>1570.8915199999999</v>
      </c>
      <c r="AA508" s="489">
        <v>1234.3533141064238</v>
      </c>
      <c r="AB508" s="488">
        <f t="shared" si="97"/>
        <v>1456.5369106455801</v>
      </c>
      <c r="AC508" s="492">
        <f t="shared" si="98"/>
        <v>1234.3533141064238</v>
      </c>
      <c r="AD508" s="493">
        <f t="shared" si="99"/>
        <v>1456.5369106455801</v>
      </c>
      <c r="AE508" s="494" t="s">
        <v>1775</v>
      </c>
      <c r="AF508" s="494" t="s">
        <v>83</v>
      </c>
      <c r="AG508" s="494" t="s">
        <v>211</v>
      </c>
      <c r="AH508" s="494" t="s">
        <v>545</v>
      </c>
      <c r="AI508" s="495">
        <v>41927</v>
      </c>
      <c r="AJ508" s="495">
        <v>41962</v>
      </c>
      <c r="AK508" s="494" t="s">
        <v>96</v>
      </c>
      <c r="AL508" s="494" t="s">
        <v>96</v>
      </c>
      <c r="AM508" s="496" t="s">
        <v>5699</v>
      </c>
      <c r="AN508" s="496" t="s">
        <v>1757</v>
      </c>
      <c r="AO508" s="494">
        <v>796</v>
      </c>
      <c r="AP508" s="494" t="s">
        <v>368</v>
      </c>
      <c r="AQ508" s="494">
        <v>1</v>
      </c>
      <c r="AR508" s="494">
        <v>46</v>
      </c>
      <c r="AS508" s="496" t="s">
        <v>605</v>
      </c>
      <c r="AT508" s="495">
        <v>41982</v>
      </c>
      <c r="AU508" s="495">
        <v>41982</v>
      </c>
      <c r="AV508" s="495">
        <v>42185</v>
      </c>
      <c r="AW508" s="494" t="s">
        <v>99</v>
      </c>
      <c r="AX508" s="496"/>
      <c r="AY508" s="494" t="s">
        <v>186</v>
      </c>
      <c r="AZ508" s="494"/>
      <c r="BA508" s="494">
        <v>2014</v>
      </c>
      <c r="BB508" s="494" t="s">
        <v>2678</v>
      </c>
      <c r="BC508" s="496" t="s">
        <v>2679</v>
      </c>
      <c r="BD508" s="496" t="s">
        <v>1818</v>
      </c>
      <c r="BE508" s="497">
        <v>42185</v>
      </c>
      <c r="BF508" s="498">
        <v>1607.5576323832283</v>
      </c>
      <c r="BG508" s="488">
        <v>1607.5576323832283</v>
      </c>
      <c r="BH508" s="488">
        <v>0</v>
      </c>
      <c r="BI508" s="488">
        <v>0.92</v>
      </c>
      <c r="BJ508" s="494" t="s">
        <v>186</v>
      </c>
      <c r="BK508" s="401"/>
    </row>
    <row r="509" spans="1:63" ht="150">
      <c r="A509" s="401">
        <v>2</v>
      </c>
      <c r="B509" s="494" t="s">
        <v>2680</v>
      </c>
      <c r="C509" s="401" t="s">
        <v>83</v>
      </c>
      <c r="D509" s="401" t="s">
        <v>231</v>
      </c>
      <c r="E509" s="494" t="s">
        <v>5853</v>
      </c>
      <c r="F509" s="401" t="s">
        <v>1752</v>
      </c>
      <c r="G509" s="401" t="s">
        <v>2344</v>
      </c>
      <c r="H509" s="499">
        <v>834084</v>
      </c>
      <c r="I509" s="486" t="s">
        <v>2681</v>
      </c>
      <c r="J509" s="496" t="s">
        <v>5698</v>
      </c>
      <c r="K509" s="496" t="s">
        <v>5698</v>
      </c>
      <c r="L509" s="496" t="s">
        <v>1772</v>
      </c>
      <c r="M509" s="500" t="s">
        <v>1755</v>
      </c>
      <c r="N509" s="496" t="s">
        <v>1773</v>
      </c>
      <c r="O509" s="496" t="s">
        <v>2234</v>
      </c>
      <c r="P509" s="489">
        <v>900.85</v>
      </c>
      <c r="Q509" s="489">
        <f t="shared" si="95"/>
        <v>1063.0029999999999</v>
      </c>
      <c r="R509" s="489">
        <v>717.23599999999999</v>
      </c>
      <c r="S509" s="401" t="s">
        <v>1774</v>
      </c>
      <c r="T509" s="501">
        <v>1.087</v>
      </c>
      <c r="U509" s="501">
        <v>1.077</v>
      </c>
      <c r="V509" s="501">
        <v>1.073</v>
      </c>
      <c r="W509" s="501">
        <v>1.071</v>
      </c>
      <c r="X509" s="596">
        <v>0.9</v>
      </c>
      <c r="Y509" s="502">
        <v>868.21400000000006</v>
      </c>
      <c r="Z509" s="489">
        <f t="shared" si="96"/>
        <v>1024.49252</v>
      </c>
      <c r="AA509" s="489">
        <v>805.01300113059006</v>
      </c>
      <c r="AB509" s="488">
        <f t="shared" si="97"/>
        <v>949.91534133409618</v>
      </c>
      <c r="AC509" s="492">
        <f t="shared" si="98"/>
        <v>805.01300113059006</v>
      </c>
      <c r="AD509" s="493">
        <f t="shared" si="99"/>
        <v>949.91534133409618</v>
      </c>
      <c r="AE509" s="494" t="s">
        <v>1775</v>
      </c>
      <c r="AF509" s="494" t="s">
        <v>83</v>
      </c>
      <c r="AG509" s="494" t="s">
        <v>211</v>
      </c>
      <c r="AH509" s="494" t="s">
        <v>545</v>
      </c>
      <c r="AI509" s="495">
        <v>41927</v>
      </c>
      <c r="AJ509" s="495">
        <v>41962</v>
      </c>
      <c r="AK509" s="494" t="s">
        <v>96</v>
      </c>
      <c r="AL509" s="494" t="s">
        <v>96</v>
      </c>
      <c r="AM509" s="496" t="s">
        <v>5699</v>
      </c>
      <c r="AN509" s="496" t="s">
        <v>1757</v>
      </c>
      <c r="AO509" s="494">
        <v>796</v>
      </c>
      <c r="AP509" s="494" t="s">
        <v>368</v>
      </c>
      <c r="AQ509" s="494">
        <v>1</v>
      </c>
      <c r="AR509" s="494">
        <v>46</v>
      </c>
      <c r="AS509" s="496" t="s">
        <v>605</v>
      </c>
      <c r="AT509" s="495">
        <v>41982</v>
      </c>
      <c r="AU509" s="495">
        <v>41982</v>
      </c>
      <c r="AV509" s="495">
        <v>42185</v>
      </c>
      <c r="AW509" s="494" t="s">
        <v>99</v>
      </c>
      <c r="AX509" s="496"/>
      <c r="AY509" s="494" t="s">
        <v>186</v>
      </c>
      <c r="AZ509" s="494"/>
      <c r="BA509" s="494">
        <v>2014</v>
      </c>
      <c r="BB509" s="494" t="s">
        <v>2682</v>
      </c>
      <c r="BC509" s="496" t="s">
        <v>2683</v>
      </c>
      <c r="BD509" s="496" t="s">
        <v>1818</v>
      </c>
      <c r="BE509" s="497">
        <v>42185</v>
      </c>
      <c r="BF509" s="498">
        <v>1048.4071515542792</v>
      </c>
      <c r="BG509" s="488">
        <v>1048.4071515542792</v>
      </c>
      <c r="BH509" s="488">
        <v>0</v>
      </c>
      <c r="BI509" s="488">
        <v>0.6</v>
      </c>
      <c r="BJ509" s="494" t="s">
        <v>186</v>
      </c>
      <c r="BK509" s="401"/>
    </row>
    <row r="510" spans="1:63" ht="150">
      <c r="A510" s="401">
        <v>2</v>
      </c>
      <c r="B510" s="494" t="s">
        <v>2684</v>
      </c>
      <c r="C510" s="401" t="s">
        <v>83</v>
      </c>
      <c r="D510" s="401" t="s">
        <v>231</v>
      </c>
      <c r="E510" s="494" t="s">
        <v>5853</v>
      </c>
      <c r="F510" s="401" t="s">
        <v>1752</v>
      </c>
      <c r="G510" s="401" t="s">
        <v>2344</v>
      </c>
      <c r="H510" s="499">
        <v>834083</v>
      </c>
      <c r="I510" s="486" t="s">
        <v>2685</v>
      </c>
      <c r="J510" s="496" t="s">
        <v>5698</v>
      </c>
      <c r="K510" s="496" t="s">
        <v>5698</v>
      </c>
      <c r="L510" s="496" t="s">
        <v>1772</v>
      </c>
      <c r="M510" s="500" t="s">
        <v>1755</v>
      </c>
      <c r="N510" s="496" t="s">
        <v>1773</v>
      </c>
      <c r="O510" s="496" t="s">
        <v>2234</v>
      </c>
      <c r="P510" s="489">
        <v>960.91</v>
      </c>
      <c r="Q510" s="489">
        <f t="shared" si="95"/>
        <v>1133.8737999999998</v>
      </c>
      <c r="R510" s="489">
        <v>765.05200000000002</v>
      </c>
      <c r="S510" s="401" t="s">
        <v>1774</v>
      </c>
      <c r="T510" s="501">
        <v>1.087</v>
      </c>
      <c r="U510" s="501">
        <v>1.077</v>
      </c>
      <c r="V510" s="501">
        <v>1.073</v>
      </c>
      <c r="W510" s="501">
        <v>1.071</v>
      </c>
      <c r="X510" s="596">
        <v>0.9</v>
      </c>
      <c r="Y510" s="502">
        <v>926.096</v>
      </c>
      <c r="Z510" s="489">
        <f t="shared" si="96"/>
        <v>1092.7932799999999</v>
      </c>
      <c r="AA510" s="489">
        <v>858.68045927213359</v>
      </c>
      <c r="AB510" s="488">
        <f t="shared" si="97"/>
        <v>1013.2429419411176</v>
      </c>
      <c r="AC510" s="492">
        <f t="shared" si="98"/>
        <v>858.68045927213359</v>
      </c>
      <c r="AD510" s="493">
        <f t="shared" si="99"/>
        <v>1013.2429419411176</v>
      </c>
      <c r="AE510" s="494" t="s">
        <v>1775</v>
      </c>
      <c r="AF510" s="494" t="s">
        <v>83</v>
      </c>
      <c r="AG510" s="494" t="s">
        <v>211</v>
      </c>
      <c r="AH510" s="494" t="s">
        <v>545</v>
      </c>
      <c r="AI510" s="495">
        <v>41927</v>
      </c>
      <c r="AJ510" s="495">
        <v>41962</v>
      </c>
      <c r="AK510" s="494" t="s">
        <v>96</v>
      </c>
      <c r="AL510" s="494" t="s">
        <v>96</v>
      </c>
      <c r="AM510" s="496" t="s">
        <v>5699</v>
      </c>
      <c r="AN510" s="496" t="s">
        <v>1757</v>
      </c>
      <c r="AO510" s="494">
        <v>796</v>
      </c>
      <c r="AP510" s="494" t="s">
        <v>368</v>
      </c>
      <c r="AQ510" s="494">
        <v>1</v>
      </c>
      <c r="AR510" s="494">
        <v>46</v>
      </c>
      <c r="AS510" s="496" t="s">
        <v>605</v>
      </c>
      <c r="AT510" s="495">
        <v>41982</v>
      </c>
      <c r="AU510" s="495">
        <v>41982</v>
      </c>
      <c r="AV510" s="495">
        <v>42185</v>
      </c>
      <c r="AW510" s="494" t="s">
        <v>99</v>
      </c>
      <c r="AX510" s="496"/>
      <c r="AY510" s="494" t="s">
        <v>186</v>
      </c>
      <c r="AZ510" s="494"/>
      <c r="BA510" s="494">
        <v>2014</v>
      </c>
      <c r="BB510" s="494" t="s">
        <v>2686</v>
      </c>
      <c r="BC510" s="496" t="s">
        <v>2687</v>
      </c>
      <c r="BD510" s="496" t="s">
        <v>1818</v>
      </c>
      <c r="BE510" s="497">
        <v>42185</v>
      </c>
      <c r="BF510" s="498">
        <v>1118.3009616578981</v>
      </c>
      <c r="BG510" s="488">
        <v>1118.3009616578981</v>
      </c>
      <c r="BH510" s="488">
        <v>0</v>
      </c>
      <c r="BI510" s="488">
        <v>0.64</v>
      </c>
      <c r="BJ510" s="494" t="s">
        <v>186</v>
      </c>
      <c r="BK510" s="401"/>
    </row>
    <row r="511" spans="1:63" ht="150">
      <c r="A511" s="401">
        <v>2</v>
      </c>
      <c r="B511" s="494" t="s">
        <v>2688</v>
      </c>
      <c r="C511" s="401" t="s">
        <v>83</v>
      </c>
      <c r="D511" s="401" t="s">
        <v>231</v>
      </c>
      <c r="E511" s="494" t="s">
        <v>5853</v>
      </c>
      <c r="F511" s="401" t="s">
        <v>1752</v>
      </c>
      <c r="G511" s="401" t="s">
        <v>2344</v>
      </c>
      <c r="H511" s="499">
        <v>834082</v>
      </c>
      <c r="I511" s="486" t="s">
        <v>2689</v>
      </c>
      <c r="J511" s="496" t="s">
        <v>5698</v>
      </c>
      <c r="K511" s="496" t="s">
        <v>5698</v>
      </c>
      <c r="L511" s="496" t="s">
        <v>1772</v>
      </c>
      <c r="M511" s="500" t="s">
        <v>1755</v>
      </c>
      <c r="N511" s="496" t="s">
        <v>1773</v>
      </c>
      <c r="O511" s="496" t="s">
        <v>2234</v>
      </c>
      <c r="P511" s="489">
        <v>3633.43</v>
      </c>
      <c r="Q511" s="489">
        <f t="shared" si="95"/>
        <v>4287.4474</v>
      </c>
      <c r="R511" s="489">
        <v>2892.8589999999999</v>
      </c>
      <c r="S511" s="401" t="s">
        <v>1774</v>
      </c>
      <c r="T511" s="501">
        <v>1.087</v>
      </c>
      <c r="U511" s="501">
        <v>1.077</v>
      </c>
      <c r="V511" s="501">
        <v>1.073</v>
      </c>
      <c r="W511" s="501">
        <v>1.071</v>
      </c>
      <c r="X511" s="596">
        <v>0.9</v>
      </c>
      <c r="Y511" s="502">
        <v>3501.806</v>
      </c>
      <c r="Z511" s="489">
        <f t="shared" si="96"/>
        <v>4132.1310800000001</v>
      </c>
      <c r="AA511" s="489">
        <v>3246.8859757584132</v>
      </c>
      <c r="AB511" s="488">
        <f t="shared" si="97"/>
        <v>3831.3254513949273</v>
      </c>
      <c r="AC511" s="492">
        <f t="shared" si="98"/>
        <v>3246.8859757584132</v>
      </c>
      <c r="AD511" s="493">
        <f t="shared" si="99"/>
        <v>3831.3254513949273</v>
      </c>
      <c r="AE511" s="494" t="s">
        <v>1775</v>
      </c>
      <c r="AF511" s="494" t="s">
        <v>83</v>
      </c>
      <c r="AG511" s="494" t="s">
        <v>211</v>
      </c>
      <c r="AH511" s="494" t="s">
        <v>545</v>
      </c>
      <c r="AI511" s="495">
        <v>41927</v>
      </c>
      <c r="AJ511" s="495">
        <v>41962</v>
      </c>
      <c r="AK511" s="494" t="s">
        <v>96</v>
      </c>
      <c r="AL511" s="494" t="s">
        <v>96</v>
      </c>
      <c r="AM511" s="496" t="s">
        <v>5699</v>
      </c>
      <c r="AN511" s="496" t="s">
        <v>1757</v>
      </c>
      <c r="AO511" s="494">
        <v>796</v>
      </c>
      <c r="AP511" s="494" t="s">
        <v>368</v>
      </c>
      <c r="AQ511" s="494">
        <v>1</v>
      </c>
      <c r="AR511" s="494">
        <v>46</v>
      </c>
      <c r="AS511" s="496" t="s">
        <v>605</v>
      </c>
      <c r="AT511" s="495">
        <v>41982</v>
      </c>
      <c r="AU511" s="495">
        <v>41982</v>
      </c>
      <c r="AV511" s="495">
        <v>42185</v>
      </c>
      <c r="AW511" s="494" t="s">
        <v>99</v>
      </c>
      <c r="AX511" s="496"/>
      <c r="AY511" s="494" t="s">
        <v>186</v>
      </c>
      <c r="AZ511" s="494"/>
      <c r="BA511" s="494">
        <v>2014</v>
      </c>
      <c r="BB511" s="494" t="s">
        <v>2690</v>
      </c>
      <c r="BC511" s="496" t="s">
        <v>2691</v>
      </c>
      <c r="BD511" s="496" t="s">
        <v>1818</v>
      </c>
      <c r="BE511" s="497">
        <v>42185</v>
      </c>
      <c r="BF511" s="498">
        <v>4228.5755112689267</v>
      </c>
      <c r="BG511" s="488">
        <v>4228.5755112689267</v>
      </c>
      <c r="BH511" s="488">
        <v>0</v>
      </c>
      <c r="BI511" s="488">
        <v>2.42</v>
      </c>
      <c r="BJ511" s="494" t="s">
        <v>186</v>
      </c>
      <c r="BK511" s="401"/>
    </row>
    <row r="512" spans="1:63" ht="150">
      <c r="A512" s="401">
        <v>2</v>
      </c>
      <c r="B512" s="494" t="s">
        <v>2692</v>
      </c>
      <c r="C512" s="401" t="s">
        <v>83</v>
      </c>
      <c r="D512" s="401" t="s">
        <v>231</v>
      </c>
      <c r="E512" s="494" t="s">
        <v>5853</v>
      </c>
      <c r="F512" s="401" t="s">
        <v>1752</v>
      </c>
      <c r="G512" s="401" t="s">
        <v>2344</v>
      </c>
      <c r="H512" s="499">
        <v>834081</v>
      </c>
      <c r="I512" s="486" t="s">
        <v>2693</v>
      </c>
      <c r="J512" s="496" t="s">
        <v>5698</v>
      </c>
      <c r="K512" s="496" t="s">
        <v>5698</v>
      </c>
      <c r="L512" s="496" t="s">
        <v>1772</v>
      </c>
      <c r="M512" s="500" t="s">
        <v>1755</v>
      </c>
      <c r="N512" s="496" t="s">
        <v>1773</v>
      </c>
      <c r="O512" s="496" t="s">
        <v>2234</v>
      </c>
      <c r="P512" s="489">
        <v>1771.67</v>
      </c>
      <c r="Q512" s="489">
        <f t="shared" si="95"/>
        <v>2090.5706</v>
      </c>
      <c r="R512" s="489">
        <v>1410.566</v>
      </c>
      <c r="S512" s="401" t="s">
        <v>1774</v>
      </c>
      <c r="T512" s="501">
        <v>1.087</v>
      </c>
      <c r="U512" s="501">
        <v>1.077</v>
      </c>
      <c r="V512" s="501">
        <v>1.073</v>
      </c>
      <c r="W512" s="501">
        <v>1.071</v>
      </c>
      <c r="X512" s="596">
        <v>0.9</v>
      </c>
      <c r="Y512" s="502">
        <v>1707.491</v>
      </c>
      <c r="Z512" s="489">
        <f t="shared" si="96"/>
        <v>2014.8393799999999</v>
      </c>
      <c r="AA512" s="489">
        <v>1583.1923219051853</v>
      </c>
      <c r="AB512" s="488">
        <f t="shared" si="97"/>
        <v>1868.1669398481185</v>
      </c>
      <c r="AC512" s="492">
        <f t="shared" si="98"/>
        <v>1583.1923219051853</v>
      </c>
      <c r="AD512" s="493">
        <f t="shared" si="99"/>
        <v>1868.1669398481185</v>
      </c>
      <c r="AE512" s="494" t="s">
        <v>1775</v>
      </c>
      <c r="AF512" s="494" t="s">
        <v>83</v>
      </c>
      <c r="AG512" s="494" t="s">
        <v>211</v>
      </c>
      <c r="AH512" s="494" t="s">
        <v>545</v>
      </c>
      <c r="AI512" s="495">
        <v>41927</v>
      </c>
      <c r="AJ512" s="495">
        <v>41962</v>
      </c>
      <c r="AK512" s="494" t="s">
        <v>96</v>
      </c>
      <c r="AL512" s="494" t="s">
        <v>96</v>
      </c>
      <c r="AM512" s="496" t="s">
        <v>5699</v>
      </c>
      <c r="AN512" s="496" t="s">
        <v>1757</v>
      </c>
      <c r="AO512" s="494">
        <v>796</v>
      </c>
      <c r="AP512" s="494" t="s">
        <v>368</v>
      </c>
      <c r="AQ512" s="494">
        <v>1</v>
      </c>
      <c r="AR512" s="494">
        <v>46</v>
      </c>
      <c r="AS512" s="496" t="s">
        <v>605</v>
      </c>
      <c r="AT512" s="495">
        <v>41982</v>
      </c>
      <c r="AU512" s="495">
        <v>41982</v>
      </c>
      <c r="AV512" s="495">
        <v>42185</v>
      </c>
      <c r="AW512" s="494" t="s">
        <v>99</v>
      </c>
      <c r="AX512" s="496"/>
      <c r="AY512" s="494" t="s">
        <v>186</v>
      </c>
      <c r="AZ512" s="494"/>
      <c r="BA512" s="494">
        <v>2014</v>
      </c>
      <c r="BB512" s="494" t="s">
        <v>2694</v>
      </c>
      <c r="BC512" s="496" t="s">
        <v>2695</v>
      </c>
      <c r="BD512" s="496" t="s">
        <v>1818</v>
      </c>
      <c r="BE512" s="497">
        <v>42185</v>
      </c>
      <c r="BF512" s="498">
        <v>2061.8673980567496</v>
      </c>
      <c r="BG512" s="488">
        <v>2061.8673980567496</v>
      </c>
      <c r="BH512" s="488">
        <v>0</v>
      </c>
      <c r="BI512" s="488">
        <v>1.18</v>
      </c>
      <c r="BJ512" s="494" t="s">
        <v>186</v>
      </c>
      <c r="BK512" s="401"/>
    </row>
    <row r="513" spans="1:63" ht="150">
      <c r="A513" s="401">
        <v>2</v>
      </c>
      <c r="B513" s="494" t="s">
        <v>2696</v>
      </c>
      <c r="C513" s="401" t="s">
        <v>83</v>
      </c>
      <c r="D513" s="401" t="s">
        <v>231</v>
      </c>
      <c r="E513" s="494" t="s">
        <v>5853</v>
      </c>
      <c r="F513" s="401" t="s">
        <v>1752</v>
      </c>
      <c r="G513" s="401" t="s">
        <v>2344</v>
      </c>
      <c r="H513" s="499">
        <v>834080</v>
      </c>
      <c r="I513" s="486" t="s">
        <v>2697</v>
      </c>
      <c r="J513" s="496" t="s">
        <v>5698</v>
      </c>
      <c r="K513" s="496" t="s">
        <v>5698</v>
      </c>
      <c r="L513" s="496" t="s">
        <v>1772</v>
      </c>
      <c r="M513" s="500" t="s">
        <v>1755</v>
      </c>
      <c r="N513" s="496" t="s">
        <v>1773</v>
      </c>
      <c r="O513" s="496" t="s">
        <v>2234</v>
      </c>
      <c r="P513" s="489">
        <v>2582.44</v>
      </c>
      <c r="Q513" s="489">
        <f t="shared" si="95"/>
        <v>3047.2791999999999</v>
      </c>
      <c r="R513" s="489">
        <v>2056.0830000000001</v>
      </c>
      <c r="S513" s="401" t="s">
        <v>1774</v>
      </c>
      <c r="T513" s="501">
        <v>1.087</v>
      </c>
      <c r="U513" s="501">
        <v>1.077</v>
      </c>
      <c r="V513" s="501">
        <v>1.073</v>
      </c>
      <c r="W513" s="501">
        <v>1.071</v>
      </c>
      <c r="X513" s="596">
        <v>0.9</v>
      </c>
      <c r="Y513" s="502">
        <v>2488.8879999999999</v>
      </c>
      <c r="Z513" s="489">
        <f t="shared" si="96"/>
        <v>2936.8878399999999</v>
      </c>
      <c r="AA513" s="489">
        <v>2307.7040089270831</v>
      </c>
      <c r="AB513" s="488">
        <f t="shared" si="97"/>
        <v>2723.0907305339579</v>
      </c>
      <c r="AC513" s="492">
        <f t="shared" si="98"/>
        <v>2307.7040089270831</v>
      </c>
      <c r="AD513" s="493">
        <f t="shared" si="99"/>
        <v>2723.0907305339579</v>
      </c>
      <c r="AE513" s="494" t="s">
        <v>1775</v>
      </c>
      <c r="AF513" s="494" t="s">
        <v>83</v>
      </c>
      <c r="AG513" s="494" t="s">
        <v>211</v>
      </c>
      <c r="AH513" s="494" t="s">
        <v>545</v>
      </c>
      <c r="AI513" s="495">
        <v>41927</v>
      </c>
      <c r="AJ513" s="495">
        <v>41962</v>
      </c>
      <c r="AK513" s="494" t="s">
        <v>96</v>
      </c>
      <c r="AL513" s="494" t="s">
        <v>96</v>
      </c>
      <c r="AM513" s="496" t="s">
        <v>5699</v>
      </c>
      <c r="AN513" s="496" t="s">
        <v>1757</v>
      </c>
      <c r="AO513" s="494">
        <v>796</v>
      </c>
      <c r="AP513" s="494" t="s">
        <v>368</v>
      </c>
      <c r="AQ513" s="494">
        <v>1</v>
      </c>
      <c r="AR513" s="494">
        <v>46</v>
      </c>
      <c r="AS513" s="496" t="s">
        <v>605</v>
      </c>
      <c r="AT513" s="495">
        <v>41982</v>
      </c>
      <c r="AU513" s="495">
        <v>41982</v>
      </c>
      <c r="AV513" s="495">
        <v>42185</v>
      </c>
      <c r="AW513" s="494" t="s">
        <v>99</v>
      </c>
      <c r="AX513" s="496"/>
      <c r="AY513" s="494" t="s">
        <v>186</v>
      </c>
      <c r="AZ513" s="494"/>
      <c r="BA513" s="494">
        <v>2014</v>
      </c>
      <c r="BB513" s="494" t="s">
        <v>2698</v>
      </c>
      <c r="BC513" s="496" t="s">
        <v>2699</v>
      </c>
      <c r="BD513" s="496" t="s">
        <v>1818</v>
      </c>
      <c r="BE513" s="497">
        <v>42185</v>
      </c>
      <c r="BF513" s="498">
        <v>3005.4338344556013</v>
      </c>
      <c r="BG513" s="488">
        <v>3005.4338344556013</v>
      </c>
      <c r="BH513" s="488">
        <v>0</v>
      </c>
      <c r="BI513" s="488">
        <v>1.72</v>
      </c>
      <c r="BJ513" s="494" t="s">
        <v>186</v>
      </c>
      <c r="BK513" s="401"/>
    </row>
    <row r="514" spans="1:63" ht="150">
      <c r="A514" s="401">
        <v>2</v>
      </c>
      <c r="B514" s="494" t="s">
        <v>2700</v>
      </c>
      <c r="C514" s="401" t="s">
        <v>83</v>
      </c>
      <c r="D514" s="401" t="s">
        <v>231</v>
      </c>
      <c r="E514" s="494" t="s">
        <v>5853</v>
      </c>
      <c r="F514" s="401" t="s">
        <v>1752</v>
      </c>
      <c r="G514" s="401" t="s">
        <v>2344</v>
      </c>
      <c r="H514" s="499">
        <v>834079</v>
      </c>
      <c r="I514" s="486" t="s">
        <v>2701</v>
      </c>
      <c r="J514" s="496" t="s">
        <v>5698</v>
      </c>
      <c r="K514" s="496" t="s">
        <v>5698</v>
      </c>
      <c r="L514" s="496" t="s">
        <v>1772</v>
      </c>
      <c r="M514" s="500" t="s">
        <v>1755</v>
      </c>
      <c r="N514" s="496" t="s">
        <v>1773</v>
      </c>
      <c r="O514" s="496" t="s">
        <v>2234</v>
      </c>
      <c r="P514" s="489">
        <v>690.65</v>
      </c>
      <c r="Q514" s="489">
        <f t="shared" si="95"/>
        <v>814.96699999999998</v>
      </c>
      <c r="R514" s="489">
        <v>549.88099999999997</v>
      </c>
      <c r="S514" s="401" t="s">
        <v>1774</v>
      </c>
      <c r="T514" s="501">
        <v>1.087</v>
      </c>
      <c r="U514" s="501">
        <v>1.077</v>
      </c>
      <c r="V514" s="501">
        <v>1.073</v>
      </c>
      <c r="W514" s="501">
        <v>1.071</v>
      </c>
      <c r="X514" s="596">
        <v>0.9</v>
      </c>
      <c r="Y514" s="502">
        <v>665.63099999999997</v>
      </c>
      <c r="Z514" s="489">
        <f t="shared" si="96"/>
        <v>785.44457999999997</v>
      </c>
      <c r="AA514" s="489">
        <v>617.17670148882769</v>
      </c>
      <c r="AB514" s="488">
        <f t="shared" si="97"/>
        <v>728.26850775681669</v>
      </c>
      <c r="AC514" s="492">
        <f t="shared" si="98"/>
        <v>617.17670148882769</v>
      </c>
      <c r="AD514" s="493">
        <f t="shared" si="99"/>
        <v>728.26850775681669</v>
      </c>
      <c r="AE514" s="494" t="s">
        <v>1775</v>
      </c>
      <c r="AF514" s="494" t="s">
        <v>83</v>
      </c>
      <c r="AG514" s="494" t="s">
        <v>211</v>
      </c>
      <c r="AH514" s="494" t="s">
        <v>545</v>
      </c>
      <c r="AI514" s="495">
        <v>41927</v>
      </c>
      <c r="AJ514" s="495">
        <v>41962</v>
      </c>
      <c r="AK514" s="494" t="s">
        <v>96</v>
      </c>
      <c r="AL514" s="494" t="s">
        <v>96</v>
      </c>
      <c r="AM514" s="496" t="s">
        <v>5699</v>
      </c>
      <c r="AN514" s="496" t="s">
        <v>1757</v>
      </c>
      <c r="AO514" s="494">
        <v>796</v>
      </c>
      <c r="AP514" s="494" t="s">
        <v>368</v>
      </c>
      <c r="AQ514" s="494">
        <v>1</v>
      </c>
      <c r="AR514" s="494">
        <v>46</v>
      </c>
      <c r="AS514" s="496" t="s">
        <v>605</v>
      </c>
      <c r="AT514" s="495">
        <v>41982</v>
      </c>
      <c r="AU514" s="495">
        <v>41982</v>
      </c>
      <c r="AV514" s="495">
        <v>42185</v>
      </c>
      <c r="AW514" s="494" t="s">
        <v>99</v>
      </c>
      <c r="AX514" s="496"/>
      <c r="AY514" s="494" t="s">
        <v>186</v>
      </c>
      <c r="AZ514" s="494"/>
      <c r="BA514" s="494">
        <v>2014</v>
      </c>
      <c r="BB514" s="494" t="s">
        <v>2702</v>
      </c>
      <c r="BC514" s="496" t="s">
        <v>2703</v>
      </c>
      <c r="BD514" s="496" t="s">
        <v>1818</v>
      </c>
      <c r="BE514" s="497">
        <v>42185</v>
      </c>
      <c r="BF514" s="498">
        <v>803.77881619161417</v>
      </c>
      <c r="BG514" s="488">
        <v>803.77881619161417</v>
      </c>
      <c r="BH514" s="488">
        <v>0</v>
      </c>
      <c r="BI514" s="488">
        <v>0.46</v>
      </c>
      <c r="BJ514" s="494" t="s">
        <v>186</v>
      </c>
      <c r="BK514" s="401"/>
    </row>
    <row r="515" spans="1:63" ht="150">
      <c r="A515" s="401">
        <v>2</v>
      </c>
      <c r="B515" s="494" t="s">
        <v>2704</v>
      </c>
      <c r="C515" s="401" t="s">
        <v>83</v>
      </c>
      <c r="D515" s="401" t="s">
        <v>231</v>
      </c>
      <c r="E515" s="494" t="s">
        <v>5853</v>
      </c>
      <c r="F515" s="401" t="s">
        <v>1752</v>
      </c>
      <c r="G515" s="401" t="s">
        <v>2344</v>
      </c>
      <c r="H515" s="499">
        <v>834077</v>
      </c>
      <c r="I515" s="486" t="s">
        <v>2705</v>
      </c>
      <c r="J515" s="496" t="s">
        <v>5698</v>
      </c>
      <c r="K515" s="496" t="s">
        <v>5698</v>
      </c>
      <c r="L515" s="496" t="s">
        <v>1772</v>
      </c>
      <c r="M515" s="500" t="s">
        <v>1755</v>
      </c>
      <c r="N515" s="496" t="s">
        <v>1773</v>
      </c>
      <c r="O515" s="496" t="s">
        <v>2234</v>
      </c>
      <c r="P515" s="489">
        <v>1020.96</v>
      </c>
      <c r="Q515" s="489">
        <f t="shared" si="95"/>
        <v>1204.7328</v>
      </c>
      <c r="R515" s="489">
        <v>812.86800000000005</v>
      </c>
      <c r="S515" s="401" t="s">
        <v>1774</v>
      </c>
      <c r="T515" s="501">
        <v>1.087</v>
      </c>
      <c r="U515" s="501">
        <v>1.077</v>
      </c>
      <c r="V515" s="501">
        <v>1.073</v>
      </c>
      <c r="W515" s="501">
        <v>1.071</v>
      </c>
      <c r="X515" s="596">
        <v>0.9</v>
      </c>
      <c r="Y515" s="502">
        <v>983.976</v>
      </c>
      <c r="Z515" s="489">
        <f t="shared" si="96"/>
        <v>1161.09168</v>
      </c>
      <c r="AA515" s="489">
        <v>912.34804876391831</v>
      </c>
      <c r="AB515" s="488">
        <f t="shared" si="97"/>
        <v>1076.5706975414234</v>
      </c>
      <c r="AC515" s="492">
        <f t="shared" si="98"/>
        <v>912.34804876391831</v>
      </c>
      <c r="AD515" s="493">
        <f t="shared" si="99"/>
        <v>1076.5706975414234</v>
      </c>
      <c r="AE515" s="494" t="s">
        <v>1775</v>
      </c>
      <c r="AF515" s="494" t="s">
        <v>83</v>
      </c>
      <c r="AG515" s="494" t="s">
        <v>211</v>
      </c>
      <c r="AH515" s="494" t="s">
        <v>545</v>
      </c>
      <c r="AI515" s="495">
        <v>41927</v>
      </c>
      <c r="AJ515" s="495">
        <v>41962</v>
      </c>
      <c r="AK515" s="494" t="s">
        <v>96</v>
      </c>
      <c r="AL515" s="494" t="s">
        <v>96</v>
      </c>
      <c r="AM515" s="496" t="s">
        <v>5699</v>
      </c>
      <c r="AN515" s="496" t="s">
        <v>1757</v>
      </c>
      <c r="AO515" s="494">
        <v>796</v>
      </c>
      <c r="AP515" s="494" t="s">
        <v>368</v>
      </c>
      <c r="AQ515" s="494">
        <v>1</v>
      </c>
      <c r="AR515" s="494">
        <v>46</v>
      </c>
      <c r="AS515" s="496" t="s">
        <v>605</v>
      </c>
      <c r="AT515" s="495">
        <v>41982</v>
      </c>
      <c r="AU515" s="495">
        <v>41982</v>
      </c>
      <c r="AV515" s="495">
        <v>42185</v>
      </c>
      <c r="AW515" s="494" t="s">
        <v>99</v>
      </c>
      <c r="AX515" s="496"/>
      <c r="AY515" s="494" t="s">
        <v>186</v>
      </c>
      <c r="AZ515" s="494"/>
      <c r="BA515" s="494">
        <v>2014</v>
      </c>
      <c r="BB515" s="494" t="s">
        <v>2706</v>
      </c>
      <c r="BC515" s="496" t="s">
        <v>2707</v>
      </c>
      <c r="BD515" s="496" t="s">
        <v>1818</v>
      </c>
      <c r="BE515" s="497">
        <v>42185</v>
      </c>
      <c r="BF515" s="498">
        <v>1188.1947761016997</v>
      </c>
      <c r="BG515" s="488">
        <v>1188.1947761016997</v>
      </c>
      <c r="BH515" s="488">
        <v>0</v>
      </c>
      <c r="BI515" s="488">
        <v>0.68</v>
      </c>
      <c r="BJ515" s="494" t="s">
        <v>186</v>
      </c>
      <c r="BK515" s="401"/>
    </row>
    <row r="516" spans="1:63" ht="150">
      <c r="A516" s="401">
        <v>2</v>
      </c>
      <c r="B516" s="494" t="s">
        <v>2708</v>
      </c>
      <c r="C516" s="401" t="s">
        <v>83</v>
      </c>
      <c r="D516" s="401" t="s">
        <v>231</v>
      </c>
      <c r="E516" s="494" t="s">
        <v>5853</v>
      </c>
      <c r="F516" s="401" t="s">
        <v>1752</v>
      </c>
      <c r="G516" s="401" t="s">
        <v>2344</v>
      </c>
      <c r="H516" s="499">
        <v>834076</v>
      </c>
      <c r="I516" s="486" t="s">
        <v>2709</v>
      </c>
      <c r="J516" s="496" t="s">
        <v>5698</v>
      </c>
      <c r="K516" s="496" t="s">
        <v>5698</v>
      </c>
      <c r="L516" s="496" t="s">
        <v>1772</v>
      </c>
      <c r="M516" s="500" t="s">
        <v>1755</v>
      </c>
      <c r="N516" s="496" t="s">
        <v>1773</v>
      </c>
      <c r="O516" s="496" t="s">
        <v>2234</v>
      </c>
      <c r="P516" s="489">
        <v>1381.3</v>
      </c>
      <c r="Q516" s="489">
        <f t="shared" si="95"/>
        <v>1629.934</v>
      </c>
      <c r="R516" s="489">
        <v>1099.7639999999999</v>
      </c>
      <c r="S516" s="401" t="s">
        <v>1774</v>
      </c>
      <c r="T516" s="501">
        <v>1.087</v>
      </c>
      <c r="U516" s="501">
        <v>1.077</v>
      </c>
      <c r="V516" s="501">
        <v>1.073</v>
      </c>
      <c r="W516" s="501">
        <v>1.071</v>
      </c>
      <c r="X516" s="596">
        <v>0.9</v>
      </c>
      <c r="Y516" s="502">
        <v>1331.2639999999999</v>
      </c>
      <c r="Z516" s="489">
        <f t="shared" si="96"/>
        <v>1570.8915199999999</v>
      </c>
      <c r="AA516" s="489">
        <v>1234.3533141064238</v>
      </c>
      <c r="AB516" s="488">
        <f t="shared" si="97"/>
        <v>1456.5369106455801</v>
      </c>
      <c r="AC516" s="492">
        <f t="shared" si="98"/>
        <v>1234.3533141064238</v>
      </c>
      <c r="AD516" s="493">
        <f t="shared" si="99"/>
        <v>1456.5369106455801</v>
      </c>
      <c r="AE516" s="494" t="s">
        <v>1775</v>
      </c>
      <c r="AF516" s="494" t="s">
        <v>83</v>
      </c>
      <c r="AG516" s="494" t="s">
        <v>211</v>
      </c>
      <c r="AH516" s="494" t="s">
        <v>545</v>
      </c>
      <c r="AI516" s="495">
        <v>41927</v>
      </c>
      <c r="AJ516" s="495">
        <v>41962</v>
      </c>
      <c r="AK516" s="494" t="s">
        <v>96</v>
      </c>
      <c r="AL516" s="494" t="s">
        <v>96</v>
      </c>
      <c r="AM516" s="496" t="s">
        <v>5699</v>
      </c>
      <c r="AN516" s="496" t="s">
        <v>1757</v>
      </c>
      <c r="AO516" s="494">
        <v>796</v>
      </c>
      <c r="AP516" s="494" t="s">
        <v>368</v>
      </c>
      <c r="AQ516" s="494">
        <v>1</v>
      </c>
      <c r="AR516" s="494">
        <v>46</v>
      </c>
      <c r="AS516" s="496" t="s">
        <v>605</v>
      </c>
      <c r="AT516" s="495">
        <v>41982</v>
      </c>
      <c r="AU516" s="495">
        <v>41982</v>
      </c>
      <c r="AV516" s="495">
        <v>42185</v>
      </c>
      <c r="AW516" s="494" t="s">
        <v>99</v>
      </c>
      <c r="AX516" s="496"/>
      <c r="AY516" s="494" t="s">
        <v>186</v>
      </c>
      <c r="AZ516" s="494"/>
      <c r="BA516" s="494">
        <v>2014</v>
      </c>
      <c r="BB516" s="494" t="s">
        <v>2710</v>
      </c>
      <c r="BC516" s="496" t="s">
        <v>2711</v>
      </c>
      <c r="BD516" s="496" t="s">
        <v>1818</v>
      </c>
      <c r="BE516" s="497">
        <v>42185</v>
      </c>
      <c r="BF516" s="498">
        <v>1607.5576323832283</v>
      </c>
      <c r="BG516" s="488">
        <v>1607.5576323832283</v>
      </c>
      <c r="BH516" s="488">
        <v>0</v>
      </c>
      <c r="BI516" s="488">
        <v>0.92</v>
      </c>
      <c r="BJ516" s="494" t="s">
        <v>186</v>
      </c>
      <c r="BK516" s="401"/>
    </row>
    <row r="517" spans="1:63" ht="150">
      <c r="A517" s="401">
        <v>2</v>
      </c>
      <c r="B517" s="494" t="s">
        <v>2712</v>
      </c>
      <c r="C517" s="401" t="s">
        <v>83</v>
      </c>
      <c r="D517" s="401" t="s">
        <v>231</v>
      </c>
      <c r="E517" s="494" t="s">
        <v>5853</v>
      </c>
      <c r="F517" s="401" t="s">
        <v>1752</v>
      </c>
      <c r="G517" s="401" t="s">
        <v>2344</v>
      </c>
      <c r="H517" s="499">
        <v>834075</v>
      </c>
      <c r="I517" s="486" t="s">
        <v>2713</v>
      </c>
      <c r="J517" s="496" t="s">
        <v>5698</v>
      </c>
      <c r="K517" s="496" t="s">
        <v>5698</v>
      </c>
      <c r="L517" s="496" t="s">
        <v>1772</v>
      </c>
      <c r="M517" s="500" t="s">
        <v>1755</v>
      </c>
      <c r="N517" s="496" t="s">
        <v>1773</v>
      </c>
      <c r="O517" s="496" t="s">
        <v>2234</v>
      </c>
      <c r="P517" s="489">
        <v>1171.1099999999999</v>
      </c>
      <c r="Q517" s="489">
        <f t="shared" si="95"/>
        <v>1381.9097999999999</v>
      </c>
      <c r="R517" s="489">
        <v>932.40700000000004</v>
      </c>
      <c r="S517" s="401" t="s">
        <v>1774</v>
      </c>
      <c r="T517" s="501">
        <v>1.087</v>
      </c>
      <c r="U517" s="501">
        <v>1.077</v>
      </c>
      <c r="V517" s="501">
        <v>1.073</v>
      </c>
      <c r="W517" s="501">
        <v>1.071</v>
      </c>
      <c r="X517" s="596">
        <v>0.9</v>
      </c>
      <c r="Y517" s="502">
        <v>1128.6790000000001</v>
      </c>
      <c r="Z517" s="489">
        <f t="shared" si="96"/>
        <v>1331.84122</v>
      </c>
      <c r="AA517" s="489">
        <v>1046.5168834877188</v>
      </c>
      <c r="AB517" s="488">
        <f t="shared" si="97"/>
        <v>1234.889922515508</v>
      </c>
      <c r="AC517" s="492">
        <f t="shared" si="98"/>
        <v>1046.5168834877188</v>
      </c>
      <c r="AD517" s="493">
        <f t="shared" si="99"/>
        <v>1234.889922515508</v>
      </c>
      <c r="AE517" s="494" t="s">
        <v>1775</v>
      </c>
      <c r="AF517" s="494" t="s">
        <v>83</v>
      </c>
      <c r="AG517" s="494" t="s">
        <v>211</v>
      </c>
      <c r="AH517" s="494" t="s">
        <v>545</v>
      </c>
      <c r="AI517" s="495">
        <v>41927</v>
      </c>
      <c r="AJ517" s="495">
        <v>41962</v>
      </c>
      <c r="AK517" s="494" t="s">
        <v>96</v>
      </c>
      <c r="AL517" s="494" t="s">
        <v>96</v>
      </c>
      <c r="AM517" s="496" t="s">
        <v>5699</v>
      </c>
      <c r="AN517" s="496" t="s">
        <v>1757</v>
      </c>
      <c r="AO517" s="494">
        <v>796</v>
      </c>
      <c r="AP517" s="494" t="s">
        <v>368</v>
      </c>
      <c r="AQ517" s="494">
        <v>1</v>
      </c>
      <c r="AR517" s="494">
        <v>46</v>
      </c>
      <c r="AS517" s="496" t="s">
        <v>605</v>
      </c>
      <c r="AT517" s="495">
        <v>41982</v>
      </c>
      <c r="AU517" s="495">
        <v>41982</v>
      </c>
      <c r="AV517" s="495">
        <v>42185</v>
      </c>
      <c r="AW517" s="494" t="s">
        <v>99</v>
      </c>
      <c r="AX517" s="496"/>
      <c r="AY517" s="494" t="s">
        <v>186</v>
      </c>
      <c r="AZ517" s="494"/>
      <c r="BA517" s="494">
        <v>2014</v>
      </c>
      <c r="BB517" s="494" t="s">
        <v>2714</v>
      </c>
      <c r="BC517" s="496" t="s">
        <v>2715</v>
      </c>
      <c r="BD517" s="496" t="s">
        <v>1818</v>
      </c>
      <c r="BE517" s="497">
        <v>42185</v>
      </c>
      <c r="BF517" s="498">
        <v>1362.9292970205636</v>
      </c>
      <c r="BG517" s="488">
        <v>1362.9292970205636</v>
      </c>
      <c r="BH517" s="488">
        <v>0</v>
      </c>
      <c r="BI517" s="488">
        <v>0.78</v>
      </c>
      <c r="BJ517" s="494" t="s">
        <v>186</v>
      </c>
      <c r="BK517" s="401"/>
    </row>
    <row r="518" spans="1:63" ht="150">
      <c r="A518" s="401">
        <v>2</v>
      </c>
      <c r="B518" s="494" t="s">
        <v>2716</v>
      </c>
      <c r="C518" s="401" t="s">
        <v>83</v>
      </c>
      <c r="D518" s="401" t="s">
        <v>231</v>
      </c>
      <c r="E518" s="494" t="s">
        <v>5853</v>
      </c>
      <c r="F518" s="401" t="s">
        <v>1752</v>
      </c>
      <c r="G518" s="401" t="s">
        <v>2344</v>
      </c>
      <c r="H518" s="499">
        <v>834074</v>
      </c>
      <c r="I518" s="486" t="s">
        <v>2717</v>
      </c>
      <c r="J518" s="496" t="s">
        <v>5698</v>
      </c>
      <c r="K518" s="496" t="s">
        <v>5698</v>
      </c>
      <c r="L518" s="496" t="s">
        <v>1772</v>
      </c>
      <c r="M518" s="500" t="s">
        <v>1755</v>
      </c>
      <c r="N518" s="496" t="s">
        <v>1773</v>
      </c>
      <c r="O518" s="496" t="s">
        <v>2234</v>
      </c>
      <c r="P518" s="489">
        <v>990.93</v>
      </c>
      <c r="Q518" s="489">
        <f t="shared" si="95"/>
        <v>1169.2973999999999</v>
      </c>
      <c r="R518" s="489">
        <v>788.96100000000001</v>
      </c>
      <c r="S518" s="401" t="s">
        <v>1774</v>
      </c>
      <c r="T518" s="501">
        <v>1.087</v>
      </c>
      <c r="U518" s="501">
        <v>1.077</v>
      </c>
      <c r="V518" s="501">
        <v>1.073</v>
      </c>
      <c r="W518" s="501">
        <v>1.071</v>
      </c>
      <c r="X518" s="596">
        <v>0.9</v>
      </c>
      <c r="Y518" s="502">
        <v>955.03700000000003</v>
      </c>
      <c r="Z518" s="489">
        <f t="shared" si="96"/>
        <v>1126.9436599999999</v>
      </c>
      <c r="AA518" s="489">
        <v>885.51430630766129</v>
      </c>
      <c r="AB518" s="488">
        <f t="shared" si="97"/>
        <v>1044.9068814430402</v>
      </c>
      <c r="AC518" s="492">
        <f t="shared" si="98"/>
        <v>885.51430630766129</v>
      </c>
      <c r="AD518" s="493">
        <f t="shared" si="99"/>
        <v>1044.9068814430402</v>
      </c>
      <c r="AE518" s="494" t="s">
        <v>1775</v>
      </c>
      <c r="AF518" s="494" t="s">
        <v>83</v>
      </c>
      <c r="AG518" s="494" t="s">
        <v>211</v>
      </c>
      <c r="AH518" s="494" t="s">
        <v>545</v>
      </c>
      <c r="AI518" s="495">
        <v>41927</v>
      </c>
      <c r="AJ518" s="495">
        <v>41962</v>
      </c>
      <c r="AK518" s="494" t="s">
        <v>96</v>
      </c>
      <c r="AL518" s="494" t="s">
        <v>96</v>
      </c>
      <c r="AM518" s="496" t="s">
        <v>5699</v>
      </c>
      <c r="AN518" s="496" t="s">
        <v>1757</v>
      </c>
      <c r="AO518" s="494">
        <v>796</v>
      </c>
      <c r="AP518" s="494" t="s">
        <v>368</v>
      </c>
      <c r="AQ518" s="494">
        <v>1</v>
      </c>
      <c r="AR518" s="494">
        <v>46</v>
      </c>
      <c r="AS518" s="496" t="s">
        <v>605</v>
      </c>
      <c r="AT518" s="495">
        <v>41982</v>
      </c>
      <c r="AU518" s="495">
        <v>41982</v>
      </c>
      <c r="AV518" s="495">
        <v>42185</v>
      </c>
      <c r="AW518" s="494" t="s">
        <v>99</v>
      </c>
      <c r="AX518" s="496"/>
      <c r="AY518" s="494" t="s">
        <v>186</v>
      </c>
      <c r="AZ518" s="494"/>
      <c r="BA518" s="494">
        <v>2014</v>
      </c>
      <c r="BB518" s="494" t="s">
        <v>2718</v>
      </c>
      <c r="BC518" s="496" t="s">
        <v>2719</v>
      </c>
      <c r="BD518" s="496" t="s">
        <v>1818</v>
      </c>
      <c r="BE518" s="497">
        <v>42185</v>
      </c>
      <c r="BF518" s="498">
        <v>1153.2478667097078</v>
      </c>
      <c r="BG518" s="488">
        <v>1153.2478667097078</v>
      </c>
      <c r="BH518" s="488">
        <v>0</v>
      </c>
      <c r="BI518" s="488">
        <v>0.66</v>
      </c>
      <c r="BJ518" s="494" t="s">
        <v>186</v>
      </c>
      <c r="BK518" s="401"/>
    </row>
    <row r="519" spans="1:63" ht="150">
      <c r="A519" s="401">
        <v>2</v>
      </c>
      <c r="B519" s="494" t="s">
        <v>2720</v>
      </c>
      <c r="C519" s="401" t="s">
        <v>83</v>
      </c>
      <c r="D519" s="401" t="s">
        <v>231</v>
      </c>
      <c r="E519" s="494" t="s">
        <v>5853</v>
      </c>
      <c r="F519" s="401" t="s">
        <v>1752</v>
      </c>
      <c r="G519" s="401" t="s">
        <v>2344</v>
      </c>
      <c r="H519" s="499">
        <v>834073</v>
      </c>
      <c r="I519" s="486" t="s">
        <v>2721</v>
      </c>
      <c r="J519" s="496" t="s">
        <v>5698</v>
      </c>
      <c r="K519" s="496" t="s">
        <v>5698</v>
      </c>
      <c r="L519" s="496" t="s">
        <v>1772</v>
      </c>
      <c r="M519" s="500" t="s">
        <v>1755</v>
      </c>
      <c r="N519" s="496" t="s">
        <v>1773</v>
      </c>
      <c r="O519" s="496" t="s">
        <v>2234</v>
      </c>
      <c r="P519" s="489">
        <v>900.85</v>
      </c>
      <c r="Q519" s="489">
        <f t="shared" si="95"/>
        <v>1063.0029999999999</v>
      </c>
      <c r="R519" s="489">
        <v>717.23599999999999</v>
      </c>
      <c r="S519" s="401" t="s">
        <v>1774</v>
      </c>
      <c r="T519" s="501">
        <v>1.087</v>
      </c>
      <c r="U519" s="501">
        <v>1.077</v>
      </c>
      <c r="V519" s="501">
        <v>1.073</v>
      </c>
      <c r="W519" s="501">
        <v>1.071</v>
      </c>
      <c r="X519" s="596">
        <v>0.9</v>
      </c>
      <c r="Y519" s="502">
        <v>868.21400000000006</v>
      </c>
      <c r="Z519" s="489">
        <f t="shared" si="96"/>
        <v>1024.49252</v>
      </c>
      <c r="AA519" s="489">
        <v>805.01300113059006</v>
      </c>
      <c r="AB519" s="488">
        <f t="shared" si="97"/>
        <v>949.91534133409618</v>
      </c>
      <c r="AC519" s="492">
        <f t="shared" si="98"/>
        <v>805.01300113059006</v>
      </c>
      <c r="AD519" s="493">
        <f t="shared" si="99"/>
        <v>949.91534133409618</v>
      </c>
      <c r="AE519" s="494" t="s">
        <v>1775</v>
      </c>
      <c r="AF519" s="494" t="s">
        <v>83</v>
      </c>
      <c r="AG519" s="494" t="s">
        <v>211</v>
      </c>
      <c r="AH519" s="494" t="s">
        <v>545</v>
      </c>
      <c r="AI519" s="495">
        <v>41927</v>
      </c>
      <c r="AJ519" s="495">
        <v>41962</v>
      </c>
      <c r="AK519" s="494" t="s">
        <v>96</v>
      </c>
      <c r="AL519" s="494" t="s">
        <v>96</v>
      </c>
      <c r="AM519" s="496" t="s">
        <v>5699</v>
      </c>
      <c r="AN519" s="496" t="s">
        <v>1757</v>
      </c>
      <c r="AO519" s="494">
        <v>796</v>
      </c>
      <c r="AP519" s="494" t="s">
        <v>368</v>
      </c>
      <c r="AQ519" s="494">
        <v>1</v>
      </c>
      <c r="AR519" s="494">
        <v>46</v>
      </c>
      <c r="AS519" s="496" t="s">
        <v>605</v>
      </c>
      <c r="AT519" s="495">
        <v>41982</v>
      </c>
      <c r="AU519" s="495">
        <v>41982</v>
      </c>
      <c r="AV519" s="495">
        <v>42185</v>
      </c>
      <c r="AW519" s="494" t="s">
        <v>99</v>
      </c>
      <c r="AX519" s="496"/>
      <c r="AY519" s="494" t="s">
        <v>186</v>
      </c>
      <c r="AZ519" s="494"/>
      <c r="BA519" s="494">
        <v>2014</v>
      </c>
      <c r="BB519" s="494" t="s">
        <v>2722</v>
      </c>
      <c r="BC519" s="496" t="s">
        <v>2723</v>
      </c>
      <c r="BD519" s="496" t="s">
        <v>1818</v>
      </c>
      <c r="BE519" s="497">
        <v>42185</v>
      </c>
      <c r="BF519" s="498">
        <v>1048.4071515542792</v>
      </c>
      <c r="BG519" s="488">
        <v>1048.4071515542792</v>
      </c>
      <c r="BH519" s="488">
        <v>0</v>
      </c>
      <c r="BI519" s="488">
        <v>0.6</v>
      </c>
      <c r="BJ519" s="494" t="s">
        <v>186</v>
      </c>
      <c r="BK519" s="401"/>
    </row>
    <row r="520" spans="1:63" ht="150">
      <c r="A520" s="401">
        <v>2</v>
      </c>
      <c r="B520" s="494" t="s">
        <v>2724</v>
      </c>
      <c r="C520" s="401" t="s">
        <v>83</v>
      </c>
      <c r="D520" s="401" t="s">
        <v>231</v>
      </c>
      <c r="E520" s="494" t="s">
        <v>5853</v>
      </c>
      <c r="F520" s="401" t="s">
        <v>1752</v>
      </c>
      <c r="G520" s="401" t="s">
        <v>2344</v>
      </c>
      <c r="H520" s="499">
        <v>834072</v>
      </c>
      <c r="I520" s="486" t="s">
        <v>2725</v>
      </c>
      <c r="J520" s="496" t="s">
        <v>5698</v>
      </c>
      <c r="K520" s="496" t="s">
        <v>5698</v>
      </c>
      <c r="L520" s="496" t="s">
        <v>1772</v>
      </c>
      <c r="M520" s="500" t="s">
        <v>1755</v>
      </c>
      <c r="N520" s="496" t="s">
        <v>1773</v>
      </c>
      <c r="O520" s="496" t="s">
        <v>2234</v>
      </c>
      <c r="P520" s="489">
        <v>1396.32</v>
      </c>
      <c r="Q520" s="489">
        <f t="shared" si="95"/>
        <v>1647.6575999999998</v>
      </c>
      <c r="R520" s="489">
        <v>1111.7180000000001</v>
      </c>
      <c r="S520" s="401" t="s">
        <v>1774</v>
      </c>
      <c r="T520" s="501">
        <v>1.087</v>
      </c>
      <c r="U520" s="501">
        <v>1.077</v>
      </c>
      <c r="V520" s="501">
        <v>1.073</v>
      </c>
      <c r="W520" s="501">
        <v>1.071</v>
      </c>
      <c r="X520" s="596">
        <v>0.9</v>
      </c>
      <c r="Y520" s="502">
        <v>1345.7339999999999</v>
      </c>
      <c r="Z520" s="489">
        <f t="shared" si="96"/>
        <v>1587.9661199999998</v>
      </c>
      <c r="AA520" s="489">
        <v>1247.7701508962175</v>
      </c>
      <c r="AB520" s="488">
        <f t="shared" si="97"/>
        <v>1472.3687780575365</v>
      </c>
      <c r="AC520" s="492">
        <f t="shared" si="98"/>
        <v>1247.7701508962175</v>
      </c>
      <c r="AD520" s="493">
        <f t="shared" si="99"/>
        <v>1472.3687780575365</v>
      </c>
      <c r="AE520" s="494" t="s">
        <v>1775</v>
      </c>
      <c r="AF520" s="494" t="s">
        <v>83</v>
      </c>
      <c r="AG520" s="494" t="s">
        <v>211</v>
      </c>
      <c r="AH520" s="494" t="s">
        <v>545</v>
      </c>
      <c r="AI520" s="495">
        <v>41927</v>
      </c>
      <c r="AJ520" s="495">
        <v>41962</v>
      </c>
      <c r="AK520" s="494" t="s">
        <v>96</v>
      </c>
      <c r="AL520" s="494" t="s">
        <v>96</v>
      </c>
      <c r="AM520" s="496" t="s">
        <v>5699</v>
      </c>
      <c r="AN520" s="496" t="s">
        <v>1757</v>
      </c>
      <c r="AO520" s="494">
        <v>796</v>
      </c>
      <c r="AP520" s="494" t="s">
        <v>368</v>
      </c>
      <c r="AQ520" s="494">
        <v>1</v>
      </c>
      <c r="AR520" s="494">
        <v>46</v>
      </c>
      <c r="AS520" s="496" t="s">
        <v>605</v>
      </c>
      <c r="AT520" s="495">
        <v>41982</v>
      </c>
      <c r="AU520" s="495">
        <v>41982</v>
      </c>
      <c r="AV520" s="495">
        <v>42185</v>
      </c>
      <c r="AW520" s="494" t="s">
        <v>99</v>
      </c>
      <c r="AX520" s="496"/>
      <c r="AY520" s="494" t="s">
        <v>186</v>
      </c>
      <c r="AZ520" s="494"/>
      <c r="BA520" s="494">
        <v>2014</v>
      </c>
      <c r="BB520" s="494" t="s">
        <v>2726</v>
      </c>
      <c r="BC520" s="496" t="s">
        <v>2727</v>
      </c>
      <c r="BD520" s="496" t="s">
        <v>1818</v>
      </c>
      <c r="BE520" s="497">
        <v>42185</v>
      </c>
      <c r="BF520" s="498">
        <v>1625.0310849091336</v>
      </c>
      <c r="BG520" s="488">
        <v>1625.0310849091336</v>
      </c>
      <c r="BH520" s="488">
        <v>0</v>
      </c>
      <c r="BI520" s="488">
        <v>0.93</v>
      </c>
      <c r="BJ520" s="494" t="s">
        <v>186</v>
      </c>
      <c r="BK520" s="401"/>
    </row>
    <row r="521" spans="1:63" ht="150">
      <c r="A521" s="401">
        <v>2</v>
      </c>
      <c r="B521" s="494" t="s">
        <v>2728</v>
      </c>
      <c r="C521" s="401" t="s">
        <v>83</v>
      </c>
      <c r="D521" s="401" t="s">
        <v>231</v>
      </c>
      <c r="E521" s="494" t="s">
        <v>5853</v>
      </c>
      <c r="F521" s="401" t="s">
        <v>1752</v>
      </c>
      <c r="G521" s="401" t="s">
        <v>2344</v>
      </c>
      <c r="H521" s="499">
        <v>834067</v>
      </c>
      <c r="I521" s="486" t="s">
        <v>2729</v>
      </c>
      <c r="J521" s="496" t="s">
        <v>5698</v>
      </c>
      <c r="K521" s="496" t="s">
        <v>5698</v>
      </c>
      <c r="L521" s="496" t="s">
        <v>1772</v>
      </c>
      <c r="M521" s="500" t="s">
        <v>1755</v>
      </c>
      <c r="N521" s="496" t="s">
        <v>1773</v>
      </c>
      <c r="O521" s="496" t="s">
        <v>2234</v>
      </c>
      <c r="P521" s="489">
        <v>1664.08</v>
      </c>
      <c r="Q521" s="489">
        <f t="shared" si="95"/>
        <v>1963.6143999999997</v>
      </c>
      <c r="R521" s="489">
        <v>1332.867</v>
      </c>
      <c r="S521" s="401" t="s">
        <v>1774</v>
      </c>
      <c r="T521" s="501">
        <v>1.087</v>
      </c>
      <c r="U521" s="501">
        <v>1.077</v>
      </c>
      <c r="V521" s="501">
        <v>1.073</v>
      </c>
      <c r="W521" s="501">
        <v>1.071</v>
      </c>
      <c r="X521" s="596">
        <v>0.9</v>
      </c>
      <c r="Y521" s="502">
        <v>1613.4349999999999</v>
      </c>
      <c r="Z521" s="489">
        <f t="shared" si="96"/>
        <v>1903.8532999999998</v>
      </c>
      <c r="AA521" s="489">
        <v>1495.9824582380038</v>
      </c>
      <c r="AB521" s="488">
        <f t="shared" si="97"/>
        <v>1765.2593007208443</v>
      </c>
      <c r="AC521" s="492">
        <f t="shared" si="98"/>
        <v>1495.9824582380038</v>
      </c>
      <c r="AD521" s="493">
        <f t="shared" si="99"/>
        <v>1765.2593007208443</v>
      </c>
      <c r="AE521" s="494" t="s">
        <v>1775</v>
      </c>
      <c r="AF521" s="494" t="s">
        <v>83</v>
      </c>
      <c r="AG521" s="494" t="s">
        <v>211</v>
      </c>
      <c r="AH521" s="494" t="s">
        <v>545</v>
      </c>
      <c r="AI521" s="495">
        <v>41927</v>
      </c>
      <c r="AJ521" s="495">
        <v>41962</v>
      </c>
      <c r="AK521" s="494" t="s">
        <v>96</v>
      </c>
      <c r="AL521" s="494" t="s">
        <v>96</v>
      </c>
      <c r="AM521" s="496" t="s">
        <v>5699</v>
      </c>
      <c r="AN521" s="496" t="s">
        <v>1757</v>
      </c>
      <c r="AO521" s="494">
        <v>796</v>
      </c>
      <c r="AP521" s="494" t="s">
        <v>368</v>
      </c>
      <c r="AQ521" s="494">
        <v>1</v>
      </c>
      <c r="AR521" s="494">
        <v>46</v>
      </c>
      <c r="AS521" s="496" t="s">
        <v>605</v>
      </c>
      <c r="AT521" s="495">
        <v>41982</v>
      </c>
      <c r="AU521" s="495">
        <v>41982</v>
      </c>
      <c r="AV521" s="495">
        <v>42185</v>
      </c>
      <c r="AW521" s="494" t="s">
        <v>99</v>
      </c>
      <c r="AX521" s="496"/>
      <c r="AY521" s="494" t="s">
        <v>186</v>
      </c>
      <c r="AZ521" s="494"/>
      <c r="BA521" s="494">
        <v>2014</v>
      </c>
      <c r="BB521" s="494" t="s">
        <v>2730</v>
      </c>
      <c r="BC521" s="496" t="s">
        <v>2731</v>
      </c>
      <c r="BD521" s="496" t="s">
        <v>1818</v>
      </c>
      <c r="BE521" s="497">
        <v>42185</v>
      </c>
      <c r="BF521" s="498">
        <v>1948.2899566383694</v>
      </c>
      <c r="BG521" s="488">
        <v>1948.2899566383694</v>
      </c>
      <c r="BH521" s="488">
        <v>0</v>
      </c>
      <c r="BI521" s="488">
        <v>1.115</v>
      </c>
      <c r="BJ521" s="494" t="s">
        <v>186</v>
      </c>
      <c r="BK521" s="401"/>
    </row>
    <row r="522" spans="1:63" ht="150">
      <c r="A522" s="401">
        <v>2</v>
      </c>
      <c r="B522" s="494" t="s">
        <v>2732</v>
      </c>
      <c r="C522" s="401" t="s">
        <v>83</v>
      </c>
      <c r="D522" s="401" t="s">
        <v>231</v>
      </c>
      <c r="E522" s="494" t="s">
        <v>5853</v>
      </c>
      <c r="F522" s="401" t="s">
        <v>1752</v>
      </c>
      <c r="G522" s="401" t="s">
        <v>2344</v>
      </c>
      <c r="H522" s="499">
        <v>834066</v>
      </c>
      <c r="I522" s="486" t="s">
        <v>2733</v>
      </c>
      <c r="J522" s="496" t="s">
        <v>5698</v>
      </c>
      <c r="K522" s="496" t="s">
        <v>5698</v>
      </c>
      <c r="L522" s="496" t="s">
        <v>1772</v>
      </c>
      <c r="M522" s="500" t="s">
        <v>1755</v>
      </c>
      <c r="N522" s="496" t="s">
        <v>1773</v>
      </c>
      <c r="O522" s="496" t="s">
        <v>2234</v>
      </c>
      <c r="P522" s="489">
        <v>1831.73</v>
      </c>
      <c r="Q522" s="489">
        <f t="shared" si="95"/>
        <v>2161.4413999999997</v>
      </c>
      <c r="R522" s="489">
        <v>1458.384</v>
      </c>
      <c r="S522" s="401" t="s">
        <v>1774</v>
      </c>
      <c r="T522" s="501">
        <v>1.087</v>
      </c>
      <c r="U522" s="501">
        <v>1.077</v>
      </c>
      <c r="V522" s="501">
        <v>1.073</v>
      </c>
      <c r="W522" s="501">
        <v>1.071</v>
      </c>
      <c r="X522" s="596">
        <v>0.9</v>
      </c>
      <c r="Y522" s="502">
        <v>1765.374</v>
      </c>
      <c r="Z522" s="489">
        <f t="shared" si="96"/>
        <v>2083.1413199999997</v>
      </c>
      <c r="AA522" s="489">
        <v>1636.859911396974</v>
      </c>
      <c r="AB522" s="488">
        <f t="shared" si="97"/>
        <v>1931.4946954484292</v>
      </c>
      <c r="AC522" s="492">
        <f t="shared" si="98"/>
        <v>1636.859911396974</v>
      </c>
      <c r="AD522" s="493">
        <f t="shared" si="99"/>
        <v>1931.4946954484292</v>
      </c>
      <c r="AE522" s="494" t="s">
        <v>1775</v>
      </c>
      <c r="AF522" s="494" t="s">
        <v>83</v>
      </c>
      <c r="AG522" s="494" t="s">
        <v>211</v>
      </c>
      <c r="AH522" s="494" t="s">
        <v>545</v>
      </c>
      <c r="AI522" s="495">
        <v>41927</v>
      </c>
      <c r="AJ522" s="495">
        <v>41962</v>
      </c>
      <c r="AK522" s="494" t="s">
        <v>96</v>
      </c>
      <c r="AL522" s="494" t="s">
        <v>96</v>
      </c>
      <c r="AM522" s="496" t="s">
        <v>5699</v>
      </c>
      <c r="AN522" s="496" t="s">
        <v>1757</v>
      </c>
      <c r="AO522" s="494">
        <v>796</v>
      </c>
      <c r="AP522" s="494" t="s">
        <v>368</v>
      </c>
      <c r="AQ522" s="494">
        <v>1</v>
      </c>
      <c r="AR522" s="494">
        <v>46</v>
      </c>
      <c r="AS522" s="496" t="s">
        <v>605</v>
      </c>
      <c r="AT522" s="495">
        <v>41982</v>
      </c>
      <c r="AU522" s="495">
        <v>41982</v>
      </c>
      <c r="AV522" s="495">
        <v>42185</v>
      </c>
      <c r="AW522" s="494" t="s">
        <v>99</v>
      </c>
      <c r="AX522" s="496"/>
      <c r="AY522" s="494" t="s">
        <v>186</v>
      </c>
      <c r="AZ522" s="494"/>
      <c r="BA522" s="494">
        <v>2014</v>
      </c>
      <c r="BB522" s="494" t="s">
        <v>2734</v>
      </c>
      <c r="BC522" s="496" t="s">
        <v>2735</v>
      </c>
      <c r="BD522" s="496" t="s">
        <v>1818</v>
      </c>
      <c r="BE522" s="497">
        <v>42185</v>
      </c>
      <c r="BF522" s="498">
        <v>2131.7612081603679</v>
      </c>
      <c r="BG522" s="488">
        <v>2131.7612081603679</v>
      </c>
      <c r="BH522" s="488">
        <v>0</v>
      </c>
      <c r="BI522" s="488">
        <v>1.22</v>
      </c>
      <c r="BJ522" s="494" t="s">
        <v>186</v>
      </c>
      <c r="BK522" s="401"/>
    </row>
    <row r="523" spans="1:63" ht="150">
      <c r="A523" s="401">
        <v>2</v>
      </c>
      <c r="B523" s="494" t="s">
        <v>2736</v>
      </c>
      <c r="C523" s="401" t="s">
        <v>83</v>
      </c>
      <c r="D523" s="401" t="s">
        <v>231</v>
      </c>
      <c r="E523" s="494" t="s">
        <v>5853</v>
      </c>
      <c r="F523" s="401" t="s">
        <v>1752</v>
      </c>
      <c r="G523" s="401" t="s">
        <v>2344</v>
      </c>
      <c r="H523" s="499">
        <v>834065</v>
      </c>
      <c r="I523" s="486" t="s">
        <v>2737</v>
      </c>
      <c r="J523" s="496" t="s">
        <v>5698</v>
      </c>
      <c r="K523" s="496" t="s">
        <v>5698</v>
      </c>
      <c r="L523" s="496" t="s">
        <v>1772</v>
      </c>
      <c r="M523" s="500" t="s">
        <v>1755</v>
      </c>
      <c r="N523" s="496" t="s">
        <v>1773</v>
      </c>
      <c r="O523" s="496" t="s">
        <v>2234</v>
      </c>
      <c r="P523" s="489">
        <v>480.45</v>
      </c>
      <c r="Q523" s="489">
        <f t="shared" si="95"/>
        <v>566.93099999999993</v>
      </c>
      <c r="R523" s="489">
        <v>382.52600000000001</v>
      </c>
      <c r="S523" s="401" t="s">
        <v>1774</v>
      </c>
      <c r="T523" s="501">
        <v>1.087</v>
      </c>
      <c r="U523" s="501">
        <v>1.077</v>
      </c>
      <c r="V523" s="501">
        <v>1.073</v>
      </c>
      <c r="W523" s="501">
        <v>1.071</v>
      </c>
      <c r="X523" s="596">
        <v>0.9</v>
      </c>
      <c r="Y523" s="502">
        <v>463.04700000000003</v>
      </c>
      <c r="Z523" s="489">
        <f t="shared" si="96"/>
        <v>546.39545999999996</v>
      </c>
      <c r="AA523" s="489">
        <v>429.34031297583374</v>
      </c>
      <c r="AB523" s="488">
        <f t="shared" si="97"/>
        <v>506.62156931148377</v>
      </c>
      <c r="AC523" s="492">
        <f t="shared" si="98"/>
        <v>429.34031297583374</v>
      </c>
      <c r="AD523" s="493">
        <f t="shared" si="99"/>
        <v>506.62156931148377</v>
      </c>
      <c r="AE523" s="494" t="s">
        <v>1775</v>
      </c>
      <c r="AF523" s="494" t="s">
        <v>83</v>
      </c>
      <c r="AG523" s="494" t="s">
        <v>211</v>
      </c>
      <c r="AH523" s="494" t="s">
        <v>545</v>
      </c>
      <c r="AI523" s="495">
        <v>41927</v>
      </c>
      <c r="AJ523" s="495">
        <v>41962</v>
      </c>
      <c r="AK523" s="494" t="s">
        <v>96</v>
      </c>
      <c r="AL523" s="494" t="s">
        <v>96</v>
      </c>
      <c r="AM523" s="496" t="s">
        <v>5699</v>
      </c>
      <c r="AN523" s="496" t="s">
        <v>1757</v>
      </c>
      <c r="AO523" s="494">
        <v>796</v>
      </c>
      <c r="AP523" s="494" t="s">
        <v>368</v>
      </c>
      <c r="AQ523" s="494">
        <v>1</v>
      </c>
      <c r="AR523" s="494">
        <v>46</v>
      </c>
      <c r="AS523" s="496" t="s">
        <v>605</v>
      </c>
      <c r="AT523" s="495">
        <v>41982</v>
      </c>
      <c r="AU523" s="495">
        <v>41982</v>
      </c>
      <c r="AV523" s="495">
        <v>42185</v>
      </c>
      <c r="AW523" s="494" t="s">
        <v>99</v>
      </c>
      <c r="AX523" s="496"/>
      <c r="AY523" s="494" t="s">
        <v>186</v>
      </c>
      <c r="AZ523" s="494"/>
      <c r="BA523" s="494">
        <v>2014</v>
      </c>
      <c r="BB523" s="494" t="s">
        <v>2738</v>
      </c>
      <c r="BC523" s="496" t="s">
        <v>2739</v>
      </c>
      <c r="BD523" s="496" t="s">
        <v>1818</v>
      </c>
      <c r="BE523" s="497">
        <v>42185</v>
      </c>
      <c r="BF523" s="498">
        <v>559.15047557856462</v>
      </c>
      <c r="BG523" s="488">
        <v>559.15047557856462</v>
      </c>
      <c r="BH523" s="488">
        <v>0</v>
      </c>
      <c r="BI523" s="488">
        <v>0.32</v>
      </c>
      <c r="BJ523" s="494" t="s">
        <v>186</v>
      </c>
      <c r="BK523" s="401"/>
    </row>
    <row r="524" spans="1:63" ht="150">
      <c r="A524" s="401">
        <v>2</v>
      </c>
      <c r="B524" s="494" t="s">
        <v>2740</v>
      </c>
      <c r="C524" s="401" t="s">
        <v>83</v>
      </c>
      <c r="D524" s="401" t="s">
        <v>231</v>
      </c>
      <c r="E524" s="494" t="s">
        <v>5853</v>
      </c>
      <c r="F524" s="401" t="s">
        <v>1752</v>
      </c>
      <c r="G524" s="401" t="s">
        <v>2344</v>
      </c>
      <c r="H524" s="499">
        <v>834064</v>
      </c>
      <c r="I524" s="486" t="s">
        <v>2741</v>
      </c>
      <c r="J524" s="496" t="s">
        <v>5698</v>
      </c>
      <c r="K524" s="496" t="s">
        <v>5698</v>
      </c>
      <c r="L524" s="496" t="s">
        <v>1772</v>
      </c>
      <c r="M524" s="500" t="s">
        <v>1755</v>
      </c>
      <c r="N524" s="496" t="s">
        <v>1773</v>
      </c>
      <c r="O524" s="496" t="s">
        <v>2234</v>
      </c>
      <c r="P524" s="489">
        <v>2282.16</v>
      </c>
      <c r="Q524" s="489">
        <f t="shared" si="95"/>
        <v>2692.9487999999997</v>
      </c>
      <c r="R524" s="489">
        <v>1817.002</v>
      </c>
      <c r="S524" s="401" t="s">
        <v>1774</v>
      </c>
      <c r="T524" s="501">
        <v>1.087</v>
      </c>
      <c r="U524" s="501">
        <v>1.077</v>
      </c>
      <c r="V524" s="501">
        <v>1.073</v>
      </c>
      <c r="W524" s="501">
        <v>1.071</v>
      </c>
      <c r="X524" s="596">
        <v>0.9</v>
      </c>
      <c r="Y524" s="502">
        <v>2199.48</v>
      </c>
      <c r="Z524" s="489">
        <f t="shared" si="96"/>
        <v>2595.3863999999999</v>
      </c>
      <c r="AA524" s="489">
        <v>2039.366210657741</v>
      </c>
      <c r="AB524" s="488">
        <f t="shared" si="97"/>
        <v>2406.4521285761343</v>
      </c>
      <c r="AC524" s="492">
        <f t="shared" si="98"/>
        <v>2039.366210657741</v>
      </c>
      <c r="AD524" s="493">
        <f t="shared" si="99"/>
        <v>2406.4521285761343</v>
      </c>
      <c r="AE524" s="494" t="s">
        <v>1775</v>
      </c>
      <c r="AF524" s="494" t="s">
        <v>83</v>
      </c>
      <c r="AG524" s="494" t="s">
        <v>211</v>
      </c>
      <c r="AH524" s="494" t="s">
        <v>545</v>
      </c>
      <c r="AI524" s="495">
        <v>41927</v>
      </c>
      <c r="AJ524" s="495">
        <v>41962</v>
      </c>
      <c r="AK524" s="494" t="s">
        <v>96</v>
      </c>
      <c r="AL524" s="494" t="s">
        <v>96</v>
      </c>
      <c r="AM524" s="496" t="s">
        <v>5699</v>
      </c>
      <c r="AN524" s="496" t="s">
        <v>1757</v>
      </c>
      <c r="AO524" s="494">
        <v>796</v>
      </c>
      <c r="AP524" s="494" t="s">
        <v>368</v>
      </c>
      <c r="AQ524" s="494">
        <v>1</v>
      </c>
      <c r="AR524" s="494">
        <v>46</v>
      </c>
      <c r="AS524" s="496" t="s">
        <v>605</v>
      </c>
      <c r="AT524" s="495">
        <v>41982</v>
      </c>
      <c r="AU524" s="495">
        <v>41982</v>
      </c>
      <c r="AV524" s="495">
        <v>42185</v>
      </c>
      <c r="AW524" s="494" t="s">
        <v>99</v>
      </c>
      <c r="AX524" s="496"/>
      <c r="AY524" s="494" t="s">
        <v>186</v>
      </c>
      <c r="AZ524" s="494"/>
      <c r="BA524" s="494">
        <v>2014</v>
      </c>
      <c r="BB524" s="494" t="s">
        <v>2742</v>
      </c>
      <c r="BC524" s="496" t="s">
        <v>2743</v>
      </c>
      <c r="BD524" s="496" t="s">
        <v>1818</v>
      </c>
      <c r="BE524" s="497">
        <v>42185</v>
      </c>
      <c r="BF524" s="498">
        <v>2655.9647839375075</v>
      </c>
      <c r="BG524" s="488">
        <v>2655.9647839375075</v>
      </c>
      <c r="BH524" s="488">
        <v>0</v>
      </c>
      <c r="BI524" s="488">
        <v>1.52</v>
      </c>
      <c r="BJ524" s="494" t="s">
        <v>186</v>
      </c>
      <c r="BK524" s="401"/>
    </row>
    <row r="525" spans="1:63" ht="150">
      <c r="A525" s="401">
        <v>2</v>
      </c>
      <c r="B525" s="494" t="s">
        <v>2744</v>
      </c>
      <c r="C525" s="401" t="s">
        <v>83</v>
      </c>
      <c r="D525" s="401" t="s">
        <v>231</v>
      </c>
      <c r="E525" s="494" t="s">
        <v>5853</v>
      </c>
      <c r="F525" s="401" t="s">
        <v>1752</v>
      </c>
      <c r="G525" s="401" t="s">
        <v>2344</v>
      </c>
      <c r="H525" s="499">
        <v>834063</v>
      </c>
      <c r="I525" s="486" t="s">
        <v>2745</v>
      </c>
      <c r="J525" s="496" t="s">
        <v>5698</v>
      </c>
      <c r="K525" s="496" t="s">
        <v>5698</v>
      </c>
      <c r="L525" s="496" t="s">
        <v>1772</v>
      </c>
      <c r="M525" s="500" t="s">
        <v>1755</v>
      </c>
      <c r="N525" s="496" t="s">
        <v>1773</v>
      </c>
      <c r="O525" s="496" t="s">
        <v>2234</v>
      </c>
      <c r="P525" s="489">
        <v>1591.5</v>
      </c>
      <c r="Q525" s="489">
        <f t="shared" si="95"/>
        <v>1877.9699999999998</v>
      </c>
      <c r="R525" s="489">
        <v>1267.1199999999999</v>
      </c>
      <c r="S525" s="401" t="s">
        <v>1774</v>
      </c>
      <c r="T525" s="501">
        <v>1.087</v>
      </c>
      <c r="U525" s="501">
        <v>1.077</v>
      </c>
      <c r="V525" s="501">
        <v>1.073</v>
      </c>
      <c r="W525" s="501">
        <v>1.071</v>
      </c>
      <c r="X525" s="596">
        <v>0.9</v>
      </c>
      <c r="Y525" s="502">
        <v>1533.8489999999999</v>
      </c>
      <c r="Z525" s="489">
        <f t="shared" si="96"/>
        <v>1809.9418199999998</v>
      </c>
      <c r="AA525" s="489">
        <v>1422.1897026194208</v>
      </c>
      <c r="AB525" s="488">
        <f t="shared" si="97"/>
        <v>1678.1838490909165</v>
      </c>
      <c r="AC525" s="492">
        <f t="shared" si="98"/>
        <v>1422.1897026194208</v>
      </c>
      <c r="AD525" s="493">
        <f t="shared" si="99"/>
        <v>1678.1838490909165</v>
      </c>
      <c r="AE525" s="494" t="s">
        <v>1775</v>
      </c>
      <c r="AF525" s="494" t="s">
        <v>83</v>
      </c>
      <c r="AG525" s="494" t="s">
        <v>211</v>
      </c>
      <c r="AH525" s="494" t="s">
        <v>545</v>
      </c>
      <c r="AI525" s="495">
        <v>41927</v>
      </c>
      <c r="AJ525" s="495">
        <v>41962</v>
      </c>
      <c r="AK525" s="494" t="s">
        <v>96</v>
      </c>
      <c r="AL525" s="494" t="s">
        <v>96</v>
      </c>
      <c r="AM525" s="496" t="s">
        <v>5699</v>
      </c>
      <c r="AN525" s="496" t="s">
        <v>1757</v>
      </c>
      <c r="AO525" s="494">
        <v>796</v>
      </c>
      <c r="AP525" s="494" t="s">
        <v>368</v>
      </c>
      <c r="AQ525" s="494">
        <v>1</v>
      </c>
      <c r="AR525" s="494">
        <v>46</v>
      </c>
      <c r="AS525" s="496" t="s">
        <v>605</v>
      </c>
      <c r="AT525" s="495">
        <v>41982</v>
      </c>
      <c r="AU525" s="495">
        <v>41982</v>
      </c>
      <c r="AV525" s="495">
        <v>42185</v>
      </c>
      <c r="AW525" s="494" t="s">
        <v>99</v>
      </c>
      <c r="AX525" s="496"/>
      <c r="AY525" s="494" t="s">
        <v>186</v>
      </c>
      <c r="AZ525" s="494"/>
      <c r="BA525" s="494">
        <v>2014</v>
      </c>
      <c r="BB525" s="494" t="s">
        <v>2746</v>
      </c>
      <c r="BC525" s="496" t="s">
        <v>2747</v>
      </c>
      <c r="BD525" s="496" t="s">
        <v>1818</v>
      </c>
      <c r="BE525" s="497">
        <v>42185</v>
      </c>
      <c r="BF525" s="498">
        <v>1852.1859721910291</v>
      </c>
      <c r="BG525" s="488">
        <v>1852.1859721910291</v>
      </c>
      <c r="BH525" s="488">
        <v>0</v>
      </c>
      <c r="BI525" s="488">
        <v>1.06</v>
      </c>
      <c r="BJ525" s="494" t="s">
        <v>186</v>
      </c>
      <c r="BK525" s="401"/>
    </row>
    <row r="526" spans="1:63" ht="150">
      <c r="A526" s="401">
        <v>2</v>
      </c>
      <c r="B526" s="494" t="s">
        <v>2748</v>
      </c>
      <c r="C526" s="401" t="s">
        <v>83</v>
      </c>
      <c r="D526" s="401" t="s">
        <v>231</v>
      </c>
      <c r="E526" s="494" t="s">
        <v>5853</v>
      </c>
      <c r="F526" s="401" t="s">
        <v>1752</v>
      </c>
      <c r="G526" s="401" t="s">
        <v>2344</v>
      </c>
      <c r="H526" s="499">
        <v>834062</v>
      </c>
      <c r="I526" s="486" t="s">
        <v>2749</v>
      </c>
      <c r="J526" s="496" t="s">
        <v>5698</v>
      </c>
      <c r="K526" s="496" t="s">
        <v>5698</v>
      </c>
      <c r="L526" s="496" t="s">
        <v>1772</v>
      </c>
      <c r="M526" s="500" t="s">
        <v>1755</v>
      </c>
      <c r="N526" s="496" t="s">
        <v>1773</v>
      </c>
      <c r="O526" s="496" t="s">
        <v>2234</v>
      </c>
      <c r="P526" s="489">
        <v>1831.73</v>
      </c>
      <c r="Q526" s="489">
        <f t="shared" si="95"/>
        <v>2161.4413999999997</v>
      </c>
      <c r="R526" s="489">
        <v>1458.384</v>
      </c>
      <c r="S526" s="401" t="s">
        <v>1774</v>
      </c>
      <c r="T526" s="501">
        <v>1.087</v>
      </c>
      <c r="U526" s="501">
        <v>1.077</v>
      </c>
      <c r="V526" s="501">
        <v>1.073</v>
      </c>
      <c r="W526" s="501">
        <v>1.071</v>
      </c>
      <c r="X526" s="596">
        <v>0.9</v>
      </c>
      <c r="Y526" s="502">
        <v>1765.374</v>
      </c>
      <c r="Z526" s="489">
        <f t="shared" si="96"/>
        <v>2083.1413199999997</v>
      </c>
      <c r="AA526" s="489">
        <v>1636.859911396974</v>
      </c>
      <c r="AB526" s="488">
        <f t="shared" si="97"/>
        <v>1931.4946954484292</v>
      </c>
      <c r="AC526" s="492">
        <f t="shared" si="98"/>
        <v>1636.859911396974</v>
      </c>
      <c r="AD526" s="493">
        <f t="shared" si="99"/>
        <v>1931.4946954484292</v>
      </c>
      <c r="AE526" s="494" t="s">
        <v>1775</v>
      </c>
      <c r="AF526" s="494" t="s">
        <v>83</v>
      </c>
      <c r="AG526" s="494" t="s">
        <v>211</v>
      </c>
      <c r="AH526" s="494" t="s">
        <v>545</v>
      </c>
      <c r="AI526" s="495">
        <v>41927</v>
      </c>
      <c r="AJ526" s="495">
        <v>41962</v>
      </c>
      <c r="AK526" s="494" t="s">
        <v>96</v>
      </c>
      <c r="AL526" s="494" t="s">
        <v>96</v>
      </c>
      <c r="AM526" s="496" t="s">
        <v>5699</v>
      </c>
      <c r="AN526" s="496" t="s">
        <v>1757</v>
      </c>
      <c r="AO526" s="494">
        <v>796</v>
      </c>
      <c r="AP526" s="494" t="s">
        <v>368</v>
      </c>
      <c r="AQ526" s="494">
        <v>1</v>
      </c>
      <c r="AR526" s="494">
        <v>46</v>
      </c>
      <c r="AS526" s="496" t="s">
        <v>605</v>
      </c>
      <c r="AT526" s="495">
        <v>41982</v>
      </c>
      <c r="AU526" s="495">
        <v>41982</v>
      </c>
      <c r="AV526" s="495">
        <v>42185</v>
      </c>
      <c r="AW526" s="494" t="s">
        <v>99</v>
      </c>
      <c r="AX526" s="496"/>
      <c r="AY526" s="494" t="s">
        <v>186</v>
      </c>
      <c r="AZ526" s="494"/>
      <c r="BA526" s="494">
        <v>2014</v>
      </c>
      <c r="BB526" s="494" t="s">
        <v>2750</v>
      </c>
      <c r="BC526" s="496" t="s">
        <v>2751</v>
      </c>
      <c r="BD526" s="496" t="s">
        <v>1818</v>
      </c>
      <c r="BE526" s="497">
        <v>42185</v>
      </c>
      <c r="BF526" s="498">
        <v>2131.7611029084037</v>
      </c>
      <c r="BG526" s="488">
        <v>2131.7611029084037</v>
      </c>
      <c r="BH526" s="488">
        <v>0</v>
      </c>
      <c r="BI526" s="488">
        <v>1.22</v>
      </c>
      <c r="BJ526" s="494" t="s">
        <v>186</v>
      </c>
      <c r="BK526" s="401"/>
    </row>
    <row r="527" spans="1:63" ht="150">
      <c r="A527" s="401">
        <v>2</v>
      </c>
      <c r="B527" s="494" t="s">
        <v>2752</v>
      </c>
      <c r="C527" s="401" t="s">
        <v>83</v>
      </c>
      <c r="D527" s="401" t="s">
        <v>231</v>
      </c>
      <c r="E527" s="494" t="s">
        <v>5853</v>
      </c>
      <c r="F527" s="401" t="s">
        <v>1752</v>
      </c>
      <c r="G527" s="401" t="s">
        <v>2344</v>
      </c>
      <c r="H527" s="499">
        <v>834061</v>
      </c>
      <c r="I527" s="486" t="s">
        <v>2753</v>
      </c>
      <c r="J527" s="496" t="s">
        <v>5698</v>
      </c>
      <c r="K527" s="496" t="s">
        <v>5698</v>
      </c>
      <c r="L527" s="496" t="s">
        <v>1772</v>
      </c>
      <c r="M527" s="500" t="s">
        <v>1755</v>
      </c>
      <c r="N527" s="496" t="s">
        <v>1773</v>
      </c>
      <c r="O527" s="496" t="s">
        <v>2234</v>
      </c>
      <c r="P527" s="489">
        <v>930.88</v>
      </c>
      <c r="Q527" s="489">
        <f t="shared" si="95"/>
        <v>1098.4384</v>
      </c>
      <c r="R527" s="489">
        <v>741.14400000000001</v>
      </c>
      <c r="S527" s="401" t="s">
        <v>1774</v>
      </c>
      <c r="T527" s="501">
        <v>1.087</v>
      </c>
      <c r="U527" s="501">
        <v>1.077</v>
      </c>
      <c r="V527" s="501">
        <v>1.073</v>
      </c>
      <c r="W527" s="501">
        <v>1.071</v>
      </c>
      <c r="X527" s="596">
        <v>0.9</v>
      </c>
      <c r="Y527" s="502">
        <v>897.15499999999997</v>
      </c>
      <c r="Z527" s="489">
        <f t="shared" si="96"/>
        <v>1058.6428999999998</v>
      </c>
      <c r="AA527" s="489">
        <v>831.84674358684595</v>
      </c>
      <c r="AB527" s="488">
        <f t="shared" si="97"/>
        <v>981.57915743247815</v>
      </c>
      <c r="AC527" s="492">
        <f t="shared" si="98"/>
        <v>831.84674358684595</v>
      </c>
      <c r="AD527" s="493">
        <f t="shared" si="99"/>
        <v>981.57915743247815</v>
      </c>
      <c r="AE527" s="494" t="s">
        <v>1775</v>
      </c>
      <c r="AF527" s="494" t="s">
        <v>83</v>
      </c>
      <c r="AG527" s="494" t="s">
        <v>211</v>
      </c>
      <c r="AH527" s="494" t="s">
        <v>545</v>
      </c>
      <c r="AI527" s="495">
        <v>41927</v>
      </c>
      <c r="AJ527" s="495">
        <v>41962</v>
      </c>
      <c r="AK527" s="494" t="s">
        <v>96</v>
      </c>
      <c r="AL527" s="494" t="s">
        <v>96</v>
      </c>
      <c r="AM527" s="496" t="s">
        <v>5699</v>
      </c>
      <c r="AN527" s="496" t="s">
        <v>1757</v>
      </c>
      <c r="AO527" s="494">
        <v>796</v>
      </c>
      <c r="AP527" s="494" t="s">
        <v>368</v>
      </c>
      <c r="AQ527" s="494">
        <v>1</v>
      </c>
      <c r="AR527" s="494">
        <v>46</v>
      </c>
      <c r="AS527" s="496" t="s">
        <v>605</v>
      </c>
      <c r="AT527" s="495">
        <v>41982</v>
      </c>
      <c r="AU527" s="495">
        <v>41982</v>
      </c>
      <c r="AV527" s="495">
        <v>42185</v>
      </c>
      <c r="AW527" s="494" t="s">
        <v>99</v>
      </c>
      <c r="AX527" s="496"/>
      <c r="AY527" s="494" t="s">
        <v>186</v>
      </c>
      <c r="AZ527" s="494"/>
      <c r="BA527" s="494">
        <v>2014</v>
      </c>
      <c r="BB527" s="494" t="s">
        <v>2754</v>
      </c>
      <c r="BC527" s="496" t="s">
        <v>2755</v>
      </c>
      <c r="BD527" s="496" t="s">
        <v>1818</v>
      </c>
      <c r="BE527" s="497">
        <v>42185</v>
      </c>
      <c r="BF527" s="498">
        <v>1083.3540566060888</v>
      </c>
      <c r="BG527" s="488">
        <v>1083.3540566060888</v>
      </c>
      <c r="BH527" s="488">
        <v>0</v>
      </c>
      <c r="BI527" s="488">
        <v>0.62</v>
      </c>
      <c r="BJ527" s="494" t="s">
        <v>186</v>
      </c>
      <c r="BK527" s="401"/>
    </row>
    <row r="528" spans="1:63" ht="150">
      <c r="A528" s="401">
        <v>2</v>
      </c>
      <c r="B528" s="494" t="s">
        <v>2756</v>
      </c>
      <c r="C528" s="401" t="s">
        <v>83</v>
      </c>
      <c r="D528" s="401" t="s">
        <v>231</v>
      </c>
      <c r="E528" s="494" t="s">
        <v>5853</v>
      </c>
      <c r="F528" s="401" t="s">
        <v>1752</v>
      </c>
      <c r="G528" s="401" t="s">
        <v>2344</v>
      </c>
      <c r="H528" s="499">
        <v>834060</v>
      </c>
      <c r="I528" s="486" t="s">
        <v>2757</v>
      </c>
      <c r="J528" s="496" t="s">
        <v>5698</v>
      </c>
      <c r="K528" s="496" t="s">
        <v>5698</v>
      </c>
      <c r="L528" s="496" t="s">
        <v>1772</v>
      </c>
      <c r="M528" s="500" t="s">
        <v>1755</v>
      </c>
      <c r="N528" s="496" t="s">
        <v>1773</v>
      </c>
      <c r="O528" s="496" t="s">
        <v>2234</v>
      </c>
      <c r="P528" s="489">
        <v>480.45</v>
      </c>
      <c r="Q528" s="489">
        <f t="shared" si="95"/>
        <v>566.93099999999993</v>
      </c>
      <c r="R528" s="489">
        <v>382.52600000000001</v>
      </c>
      <c r="S528" s="401" t="s">
        <v>1774</v>
      </c>
      <c r="T528" s="501">
        <v>1.087</v>
      </c>
      <c r="U528" s="501">
        <v>1.077</v>
      </c>
      <c r="V528" s="501">
        <v>1.073</v>
      </c>
      <c r="W528" s="501">
        <v>1.071</v>
      </c>
      <c r="X528" s="596">
        <v>0.9</v>
      </c>
      <c r="Y528" s="502">
        <v>463.04700000000003</v>
      </c>
      <c r="Z528" s="489">
        <f t="shared" si="96"/>
        <v>546.39545999999996</v>
      </c>
      <c r="AA528" s="489">
        <v>429.34031297583374</v>
      </c>
      <c r="AB528" s="488">
        <f t="shared" si="97"/>
        <v>506.62156931148377</v>
      </c>
      <c r="AC528" s="492">
        <f t="shared" si="98"/>
        <v>429.34031297583374</v>
      </c>
      <c r="AD528" s="493">
        <f t="shared" si="99"/>
        <v>506.62156931148377</v>
      </c>
      <c r="AE528" s="494" t="s">
        <v>1775</v>
      </c>
      <c r="AF528" s="494" t="s">
        <v>83</v>
      </c>
      <c r="AG528" s="494" t="s">
        <v>211</v>
      </c>
      <c r="AH528" s="494" t="s">
        <v>545</v>
      </c>
      <c r="AI528" s="495">
        <v>41927</v>
      </c>
      <c r="AJ528" s="495">
        <v>41962</v>
      </c>
      <c r="AK528" s="494" t="s">
        <v>96</v>
      </c>
      <c r="AL528" s="494" t="s">
        <v>96</v>
      </c>
      <c r="AM528" s="496" t="s">
        <v>5699</v>
      </c>
      <c r="AN528" s="496" t="s">
        <v>1757</v>
      </c>
      <c r="AO528" s="494">
        <v>796</v>
      </c>
      <c r="AP528" s="494" t="s">
        <v>368</v>
      </c>
      <c r="AQ528" s="494">
        <v>1</v>
      </c>
      <c r="AR528" s="494">
        <v>46</v>
      </c>
      <c r="AS528" s="496" t="s">
        <v>605</v>
      </c>
      <c r="AT528" s="495">
        <v>41982</v>
      </c>
      <c r="AU528" s="495">
        <v>41982</v>
      </c>
      <c r="AV528" s="495">
        <v>42185</v>
      </c>
      <c r="AW528" s="494" t="s">
        <v>99</v>
      </c>
      <c r="AX528" s="496"/>
      <c r="AY528" s="494" t="s">
        <v>186</v>
      </c>
      <c r="AZ528" s="494"/>
      <c r="BA528" s="494">
        <v>2014</v>
      </c>
      <c r="BB528" s="494" t="s">
        <v>2758</v>
      </c>
      <c r="BC528" s="496" t="s">
        <v>2759</v>
      </c>
      <c r="BD528" s="496" t="s">
        <v>1818</v>
      </c>
      <c r="BE528" s="497">
        <v>42185</v>
      </c>
      <c r="BF528" s="498">
        <v>559.15048082894907</v>
      </c>
      <c r="BG528" s="488">
        <v>559.15048082894907</v>
      </c>
      <c r="BH528" s="488">
        <v>0</v>
      </c>
      <c r="BI528" s="488">
        <v>0.32</v>
      </c>
      <c r="BJ528" s="494" t="s">
        <v>186</v>
      </c>
      <c r="BK528" s="401"/>
    </row>
    <row r="529" spans="1:63" ht="150">
      <c r="A529" s="401">
        <v>2</v>
      </c>
      <c r="B529" s="494" t="s">
        <v>2760</v>
      </c>
      <c r="C529" s="401" t="s">
        <v>83</v>
      </c>
      <c r="D529" s="401" t="s">
        <v>231</v>
      </c>
      <c r="E529" s="494" t="s">
        <v>5853</v>
      </c>
      <c r="F529" s="401" t="s">
        <v>1752</v>
      </c>
      <c r="G529" s="401" t="s">
        <v>2344</v>
      </c>
      <c r="H529" s="499">
        <v>834059</v>
      </c>
      <c r="I529" s="486" t="s">
        <v>2761</v>
      </c>
      <c r="J529" s="496" t="s">
        <v>5698</v>
      </c>
      <c r="K529" s="496" t="s">
        <v>5698</v>
      </c>
      <c r="L529" s="496" t="s">
        <v>1772</v>
      </c>
      <c r="M529" s="500" t="s">
        <v>1755</v>
      </c>
      <c r="N529" s="496" t="s">
        <v>1773</v>
      </c>
      <c r="O529" s="496" t="s">
        <v>2234</v>
      </c>
      <c r="P529" s="489">
        <v>1951.84</v>
      </c>
      <c r="Q529" s="489">
        <f t="shared" si="95"/>
        <v>2303.1711999999998</v>
      </c>
      <c r="R529" s="489">
        <v>1554.0150000000001</v>
      </c>
      <c r="S529" s="401" t="s">
        <v>1774</v>
      </c>
      <c r="T529" s="501">
        <v>1.087</v>
      </c>
      <c r="U529" s="501">
        <v>1.077</v>
      </c>
      <c r="V529" s="501">
        <v>1.073</v>
      </c>
      <c r="W529" s="501">
        <v>1.071</v>
      </c>
      <c r="X529" s="596">
        <v>0.9</v>
      </c>
      <c r="Y529" s="502">
        <v>1881.135</v>
      </c>
      <c r="Z529" s="489">
        <f t="shared" si="96"/>
        <v>2219.7392999999997</v>
      </c>
      <c r="AA529" s="489">
        <v>1744.1949322593339</v>
      </c>
      <c r="AB529" s="488">
        <f t="shared" si="97"/>
        <v>2058.1500200660139</v>
      </c>
      <c r="AC529" s="492">
        <f t="shared" si="98"/>
        <v>1744.1949322593339</v>
      </c>
      <c r="AD529" s="493">
        <f t="shared" si="99"/>
        <v>2058.1500200660139</v>
      </c>
      <c r="AE529" s="494" t="s">
        <v>1775</v>
      </c>
      <c r="AF529" s="494" t="s">
        <v>83</v>
      </c>
      <c r="AG529" s="494" t="s">
        <v>211</v>
      </c>
      <c r="AH529" s="494" t="s">
        <v>545</v>
      </c>
      <c r="AI529" s="495">
        <v>41927</v>
      </c>
      <c r="AJ529" s="495">
        <v>41962</v>
      </c>
      <c r="AK529" s="494" t="s">
        <v>96</v>
      </c>
      <c r="AL529" s="494" t="s">
        <v>96</v>
      </c>
      <c r="AM529" s="496" t="s">
        <v>5699</v>
      </c>
      <c r="AN529" s="496" t="s">
        <v>1757</v>
      </c>
      <c r="AO529" s="494">
        <v>796</v>
      </c>
      <c r="AP529" s="494" t="s">
        <v>368</v>
      </c>
      <c r="AQ529" s="494">
        <v>1</v>
      </c>
      <c r="AR529" s="494">
        <v>46</v>
      </c>
      <c r="AS529" s="496" t="s">
        <v>605</v>
      </c>
      <c r="AT529" s="495">
        <v>41982</v>
      </c>
      <c r="AU529" s="495">
        <v>41982</v>
      </c>
      <c r="AV529" s="495">
        <v>42185</v>
      </c>
      <c r="AW529" s="494" t="s">
        <v>99</v>
      </c>
      <c r="AX529" s="496"/>
      <c r="AY529" s="494" t="s">
        <v>186</v>
      </c>
      <c r="AZ529" s="494"/>
      <c r="BA529" s="494">
        <v>2014</v>
      </c>
      <c r="BB529" s="494" t="s">
        <v>2762</v>
      </c>
      <c r="BC529" s="496" t="s">
        <v>2763</v>
      </c>
      <c r="BD529" s="496" t="s">
        <v>1818</v>
      </c>
      <c r="BE529" s="497">
        <v>42185</v>
      </c>
      <c r="BF529" s="498">
        <v>2271.5488283676059</v>
      </c>
      <c r="BG529" s="488">
        <v>2271.5488283676059</v>
      </c>
      <c r="BH529" s="488">
        <v>0</v>
      </c>
      <c r="BI529" s="488">
        <v>1.3</v>
      </c>
      <c r="BJ529" s="494" t="s">
        <v>186</v>
      </c>
      <c r="BK529" s="401"/>
    </row>
    <row r="530" spans="1:63" ht="150">
      <c r="A530" s="401">
        <v>2</v>
      </c>
      <c r="B530" s="494" t="s">
        <v>2764</v>
      </c>
      <c r="C530" s="401" t="s">
        <v>83</v>
      </c>
      <c r="D530" s="401" t="s">
        <v>231</v>
      </c>
      <c r="E530" s="494" t="s">
        <v>5853</v>
      </c>
      <c r="F530" s="401" t="s">
        <v>1752</v>
      </c>
      <c r="G530" s="401" t="s">
        <v>2344</v>
      </c>
      <c r="H530" s="499">
        <v>834058</v>
      </c>
      <c r="I530" s="486" t="s">
        <v>2765</v>
      </c>
      <c r="J530" s="496" t="s">
        <v>5698</v>
      </c>
      <c r="K530" s="496" t="s">
        <v>5698</v>
      </c>
      <c r="L530" s="496" t="s">
        <v>1772</v>
      </c>
      <c r="M530" s="500" t="s">
        <v>1755</v>
      </c>
      <c r="N530" s="496" t="s">
        <v>1773</v>
      </c>
      <c r="O530" s="496" t="s">
        <v>2234</v>
      </c>
      <c r="P530" s="489">
        <v>2162.04</v>
      </c>
      <c r="Q530" s="489">
        <f t="shared" si="95"/>
        <v>2551.2071999999998</v>
      </c>
      <c r="R530" s="489">
        <v>1721.37</v>
      </c>
      <c r="S530" s="401" t="s">
        <v>1774</v>
      </c>
      <c r="T530" s="501">
        <v>1.087</v>
      </c>
      <c r="U530" s="501">
        <v>1.077</v>
      </c>
      <c r="V530" s="501">
        <v>1.073</v>
      </c>
      <c r="W530" s="501">
        <v>1.071</v>
      </c>
      <c r="X530" s="596">
        <v>0.9</v>
      </c>
      <c r="Y530" s="502">
        <v>2083.7179999999998</v>
      </c>
      <c r="Z530" s="489">
        <f t="shared" si="96"/>
        <v>2458.7872399999997</v>
      </c>
      <c r="AA530" s="489">
        <v>1932.0313207723207</v>
      </c>
      <c r="AB530" s="488">
        <f t="shared" si="97"/>
        <v>2279.7969585113383</v>
      </c>
      <c r="AC530" s="492">
        <f t="shared" si="98"/>
        <v>1932.0313207723207</v>
      </c>
      <c r="AD530" s="493">
        <f t="shared" si="99"/>
        <v>2279.7969585113383</v>
      </c>
      <c r="AE530" s="494" t="s">
        <v>1775</v>
      </c>
      <c r="AF530" s="494" t="s">
        <v>83</v>
      </c>
      <c r="AG530" s="494" t="s">
        <v>211</v>
      </c>
      <c r="AH530" s="494" t="s">
        <v>545</v>
      </c>
      <c r="AI530" s="495">
        <v>41927</v>
      </c>
      <c r="AJ530" s="495">
        <v>41962</v>
      </c>
      <c r="AK530" s="494" t="s">
        <v>96</v>
      </c>
      <c r="AL530" s="494" t="s">
        <v>96</v>
      </c>
      <c r="AM530" s="496" t="s">
        <v>5699</v>
      </c>
      <c r="AN530" s="496" t="s">
        <v>1757</v>
      </c>
      <c r="AO530" s="494">
        <v>796</v>
      </c>
      <c r="AP530" s="494" t="s">
        <v>368</v>
      </c>
      <c r="AQ530" s="494">
        <v>1</v>
      </c>
      <c r="AR530" s="494">
        <v>46</v>
      </c>
      <c r="AS530" s="496" t="s">
        <v>605</v>
      </c>
      <c r="AT530" s="495">
        <v>41982</v>
      </c>
      <c r="AU530" s="495">
        <v>41982</v>
      </c>
      <c r="AV530" s="495">
        <v>42185</v>
      </c>
      <c r="AW530" s="494" t="s">
        <v>99</v>
      </c>
      <c r="AX530" s="496"/>
      <c r="AY530" s="494" t="s">
        <v>186</v>
      </c>
      <c r="AZ530" s="494"/>
      <c r="BA530" s="494">
        <v>2014</v>
      </c>
      <c r="BB530" s="494" t="s">
        <v>2766</v>
      </c>
      <c r="BC530" s="496" t="s">
        <v>2767</v>
      </c>
      <c r="BD530" s="496" t="s">
        <v>1818</v>
      </c>
      <c r="BE530" s="497">
        <v>42185</v>
      </c>
      <c r="BF530" s="498">
        <v>2516.1771637302704</v>
      </c>
      <c r="BG530" s="488">
        <v>2516.1771637302704</v>
      </c>
      <c r="BH530" s="488">
        <v>0</v>
      </c>
      <c r="BI530" s="488">
        <v>1.44</v>
      </c>
      <c r="BJ530" s="494" t="s">
        <v>186</v>
      </c>
      <c r="BK530" s="401"/>
    </row>
    <row r="531" spans="1:63" ht="150">
      <c r="A531" s="401">
        <v>2</v>
      </c>
      <c r="B531" s="494" t="s">
        <v>2768</v>
      </c>
      <c r="C531" s="401" t="s">
        <v>83</v>
      </c>
      <c r="D531" s="401" t="s">
        <v>231</v>
      </c>
      <c r="E531" s="494" t="s">
        <v>5853</v>
      </c>
      <c r="F531" s="401" t="s">
        <v>1752</v>
      </c>
      <c r="G531" s="401" t="s">
        <v>2344</v>
      </c>
      <c r="H531" s="499">
        <v>834057</v>
      </c>
      <c r="I531" s="486" t="s">
        <v>2769</v>
      </c>
      <c r="J531" s="496" t="s">
        <v>5698</v>
      </c>
      <c r="K531" s="496" t="s">
        <v>5698</v>
      </c>
      <c r="L531" s="496" t="s">
        <v>1772</v>
      </c>
      <c r="M531" s="500" t="s">
        <v>1755</v>
      </c>
      <c r="N531" s="496" t="s">
        <v>1773</v>
      </c>
      <c r="O531" s="496" t="s">
        <v>2234</v>
      </c>
      <c r="P531" s="489">
        <v>750.71</v>
      </c>
      <c r="Q531" s="489">
        <f t="shared" si="95"/>
        <v>885.83780000000002</v>
      </c>
      <c r="R531" s="489">
        <v>597.697</v>
      </c>
      <c r="S531" s="401" t="s">
        <v>1774</v>
      </c>
      <c r="T531" s="501">
        <v>1.087</v>
      </c>
      <c r="U531" s="501">
        <v>1.077</v>
      </c>
      <c r="V531" s="501">
        <v>1.073</v>
      </c>
      <c r="W531" s="501">
        <v>1.071</v>
      </c>
      <c r="X531" s="596">
        <v>0.9</v>
      </c>
      <c r="Y531" s="502">
        <v>723.51199999999994</v>
      </c>
      <c r="Z531" s="489">
        <f t="shared" si="96"/>
        <v>853.74415999999985</v>
      </c>
      <c r="AA531" s="489">
        <v>670.84426420964292</v>
      </c>
      <c r="AB531" s="488">
        <f t="shared" si="97"/>
        <v>791.59623176737864</v>
      </c>
      <c r="AC531" s="492">
        <f t="shared" si="98"/>
        <v>670.84426420964292</v>
      </c>
      <c r="AD531" s="493">
        <f t="shared" si="99"/>
        <v>791.59623176737864</v>
      </c>
      <c r="AE531" s="494" t="s">
        <v>1775</v>
      </c>
      <c r="AF531" s="494" t="s">
        <v>83</v>
      </c>
      <c r="AG531" s="494" t="s">
        <v>211</v>
      </c>
      <c r="AH531" s="494" t="s">
        <v>545</v>
      </c>
      <c r="AI531" s="495">
        <v>41927</v>
      </c>
      <c r="AJ531" s="495">
        <v>41962</v>
      </c>
      <c r="AK531" s="494" t="s">
        <v>96</v>
      </c>
      <c r="AL531" s="494" t="s">
        <v>96</v>
      </c>
      <c r="AM531" s="496" t="s">
        <v>5699</v>
      </c>
      <c r="AN531" s="496" t="s">
        <v>1757</v>
      </c>
      <c r="AO531" s="494">
        <v>796</v>
      </c>
      <c r="AP531" s="494" t="s">
        <v>368</v>
      </c>
      <c r="AQ531" s="494">
        <v>1</v>
      </c>
      <c r="AR531" s="494">
        <v>46</v>
      </c>
      <c r="AS531" s="496" t="s">
        <v>605</v>
      </c>
      <c r="AT531" s="495">
        <v>41982</v>
      </c>
      <c r="AU531" s="495">
        <v>41982</v>
      </c>
      <c r="AV531" s="495">
        <v>42185</v>
      </c>
      <c r="AW531" s="494" t="s">
        <v>99</v>
      </c>
      <c r="AX531" s="496"/>
      <c r="AY531" s="494" t="s">
        <v>186</v>
      </c>
      <c r="AZ531" s="494"/>
      <c r="BA531" s="494">
        <v>2014</v>
      </c>
      <c r="BB531" s="494" t="s">
        <v>2770</v>
      </c>
      <c r="BC531" s="496" t="s">
        <v>2771</v>
      </c>
      <c r="BD531" s="496" t="s">
        <v>1818</v>
      </c>
      <c r="BE531" s="497">
        <v>42185</v>
      </c>
      <c r="BF531" s="498">
        <v>873.67262629523293</v>
      </c>
      <c r="BG531" s="488">
        <v>873.67262629523293</v>
      </c>
      <c r="BH531" s="488">
        <v>0</v>
      </c>
      <c r="BI531" s="488">
        <v>0.5</v>
      </c>
      <c r="BJ531" s="494" t="s">
        <v>186</v>
      </c>
      <c r="BK531" s="401"/>
    </row>
    <row r="532" spans="1:63" ht="150">
      <c r="A532" s="401">
        <v>2</v>
      </c>
      <c r="B532" s="494" t="s">
        <v>2772</v>
      </c>
      <c r="C532" s="401" t="s">
        <v>83</v>
      </c>
      <c r="D532" s="401" t="s">
        <v>231</v>
      </c>
      <c r="E532" s="494" t="s">
        <v>5853</v>
      </c>
      <c r="F532" s="401" t="s">
        <v>1752</v>
      </c>
      <c r="G532" s="401" t="s">
        <v>2344</v>
      </c>
      <c r="H532" s="499">
        <v>834056</v>
      </c>
      <c r="I532" s="486" t="s">
        <v>2773</v>
      </c>
      <c r="J532" s="496" t="s">
        <v>5698</v>
      </c>
      <c r="K532" s="496" t="s">
        <v>5698</v>
      </c>
      <c r="L532" s="496" t="s">
        <v>1772</v>
      </c>
      <c r="M532" s="500" t="s">
        <v>1755</v>
      </c>
      <c r="N532" s="496" t="s">
        <v>1773</v>
      </c>
      <c r="O532" s="496" t="s">
        <v>2234</v>
      </c>
      <c r="P532" s="489">
        <v>600.57000000000005</v>
      </c>
      <c r="Q532" s="489">
        <f t="shared" si="95"/>
        <v>708.67259999999999</v>
      </c>
      <c r="R532" s="489">
        <v>478.15699999999998</v>
      </c>
      <c r="S532" s="401" t="s">
        <v>1774</v>
      </c>
      <c r="T532" s="501">
        <v>1.087</v>
      </c>
      <c r="U532" s="501">
        <v>1.077</v>
      </c>
      <c r="V532" s="501">
        <v>1.073</v>
      </c>
      <c r="W532" s="501">
        <v>1.071</v>
      </c>
      <c r="X532" s="596">
        <v>0.9</v>
      </c>
      <c r="Y532" s="502">
        <v>578.80899999999997</v>
      </c>
      <c r="Z532" s="489">
        <f t="shared" si="96"/>
        <v>682.99461999999994</v>
      </c>
      <c r="AA532" s="489">
        <v>536.67539631175646</v>
      </c>
      <c r="AB532" s="488">
        <f t="shared" si="97"/>
        <v>633.27696764787254</v>
      </c>
      <c r="AC532" s="492">
        <f t="shared" si="98"/>
        <v>536.67539631175646</v>
      </c>
      <c r="AD532" s="493">
        <f t="shared" si="99"/>
        <v>633.27696764787254</v>
      </c>
      <c r="AE532" s="494" t="s">
        <v>1775</v>
      </c>
      <c r="AF532" s="494" t="s">
        <v>83</v>
      </c>
      <c r="AG532" s="494" t="s">
        <v>211</v>
      </c>
      <c r="AH532" s="494" t="s">
        <v>545</v>
      </c>
      <c r="AI532" s="495">
        <v>41927</v>
      </c>
      <c r="AJ532" s="495">
        <v>41962</v>
      </c>
      <c r="AK532" s="494" t="s">
        <v>96</v>
      </c>
      <c r="AL532" s="494" t="s">
        <v>96</v>
      </c>
      <c r="AM532" s="496" t="s">
        <v>5699</v>
      </c>
      <c r="AN532" s="496" t="s">
        <v>1757</v>
      </c>
      <c r="AO532" s="494">
        <v>796</v>
      </c>
      <c r="AP532" s="494" t="s">
        <v>368</v>
      </c>
      <c r="AQ532" s="494">
        <v>1</v>
      </c>
      <c r="AR532" s="494">
        <v>46</v>
      </c>
      <c r="AS532" s="496" t="s">
        <v>605</v>
      </c>
      <c r="AT532" s="495">
        <v>41982</v>
      </c>
      <c r="AU532" s="495">
        <v>41982</v>
      </c>
      <c r="AV532" s="495">
        <v>42185</v>
      </c>
      <c r="AW532" s="494" t="s">
        <v>99</v>
      </c>
      <c r="AX532" s="496"/>
      <c r="AY532" s="494" t="s">
        <v>186</v>
      </c>
      <c r="AZ532" s="494"/>
      <c r="BA532" s="494">
        <v>2014</v>
      </c>
      <c r="BB532" s="494" t="s">
        <v>2774</v>
      </c>
      <c r="BC532" s="496" t="s">
        <v>2775</v>
      </c>
      <c r="BD532" s="496" t="s">
        <v>1818</v>
      </c>
      <c r="BE532" s="497">
        <v>42185</v>
      </c>
      <c r="BF532" s="498">
        <v>698.93810103618625</v>
      </c>
      <c r="BG532" s="488">
        <v>698.93810103618625</v>
      </c>
      <c r="BH532" s="488">
        <v>0</v>
      </c>
      <c r="BI532" s="488">
        <v>0.4</v>
      </c>
      <c r="BJ532" s="494" t="s">
        <v>186</v>
      </c>
      <c r="BK532" s="401"/>
    </row>
    <row r="533" spans="1:63" ht="150">
      <c r="A533" s="401">
        <v>2</v>
      </c>
      <c r="B533" s="494" t="s">
        <v>2776</v>
      </c>
      <c r="C533" s="401" t="s">
        <v>83</v>
      </c>
      <c r="D533" s="401" t="s">
        <v>231</v>
      </c>
      <c r="E533" s="494" t="s">
        <v>5853</v>
      </c>
      <c r="F533" s="401" t="s">
        <v>1752</v>
      </c>
      <c r="G533" s="401" t="s">
        <v>2344</v>
      </c>
      <c r="H533" s="499">
        <v>834055</v>
      </c>
      <c r="I533" s="486" t="s">
        <v>2777</v>
      </c>
      <c r="J533" s="496" t="s">
        <v>5698</v>
      </c>
      <c r="K533" s="496" t="s">
        <v>5698</v>
      </c>
      <c r="L533" s="496" t="s">
        <v>1772</v>
      </c>
      <c r="M533" s="500" t="s">
        <v>1755</v>
      </c>
      <c r="N533" s="496" t="s">
        <v>1773</v>
      </c>
      <c r="O533" s="496" t="s">
        <v>2234</v>
      </c>
      <c r="P533" s="489">
        <v>870.82</v>
      </c>
      <c r="Q533" s="489">
        <f t="shared" si="95"/>
        <v>1027.5676000000001</v>
      </c>
      <c r="R533" s="489">
        <v>693.32899999999995</v>
      </c>
      <c r="S533" s="401" t="s">
        <v>1774</v>
      </c>
      <c r="T533" s="501">
        <v>1.087</v>
      </c>
      <c r="U533" s="501">
        <v>1.077</v>
      </c>
      <c r="V533" s="501">
        <v>1.073</v>
      </c>
      <c r="W533" s="501">
        <v>1.071</v>
      </c>
      <c r="X533" s="596">
        <v>0.9</v>
      </c>
      <c r="Y533" s="502">
        <v>839.27499999999998</v>
      </c>
      <c r="Z533" s="489">
        <f t="shared" si="96"/>
        <v>990.34449999999993</v>
      </c>
      <c r="AA533" s="489">
        <v>778.17915409506224</v>
      </c>
      <c r="AB533" s="488">
        <f t="shared" si="97"/>
        <v>918.25140183217343</v>
      </c>
      <c r="AC533" s="492">
        <f t="shared" si="98"/>
        <v>778.17915409506224</v>
      </c>
      <c r="AD533" s="493">
        <f t="shared" si="99"/>
        <v>918.25140183217343</v>
      </c>
      <c r="AE533" s="494" t="s">
        <v>1775</v>
      </c>
      <c r="AF533" s="494" t="s">
        <v>83</v>
      </c>
      <c r="AG533" s="494" t="s">
        <v>211</v>
      </c>
      <c r="AH533" s="494" t="s">
        <v>545</v>
      </c>
      <c r="AI533" s="495">
        <v>41927</v>
      </c>
      <c r="AJ533" s="495">
        <v>41962</v>
      </c>
      <c r="AK533" s="494" t="s">
        <v>96</v>
      </c>
      <c r="AL533" s="494" t="s">
        <v>96</v>
      </c>
      <c r="AM533" s="496" t="s">
        <v>5699</v>
      </c>
      <c r="AN533" s="496" t="s">
        <v>1757</v>
      </c>
      <c r="AO533" s="494">
        <v>796</v>
      </c>
      <c r="AP533" s="494" t="s">
        <v>368</v>
      </c>
      <c r="AQ533" s="494">
        <v>1</v>
      </c>
      <c r="AR533" s="494">
        <v>46</v>
      </c>
      <c r="AS533" s="496" t="s">
        <v>605</v>
      </c>
      <c r="AT533" s="495">
        <v>41982</v>
      </c>
      <c r="AU533" s="495">
        <v>41982</v>
      </c>
      <c r="AV533" s="495">
        <v>42185</v>
      </c>
      <c r="AW533" s="494" t="s">
        <v>99</v>
      </c>
      <c r="AX533" s="496"/>
      <c r="AY533" s="494" t="s">
        <v>186</v>
      </c>
      <c r="AZ533" s="494"/>
      <c r="BA533" s="494">
        <v>2014</v>
      </c>
      <c r="BB533" s="494" t="s">
        <v>2778</v>
      </c>
      <c r="BC533" s="496" t="s">
        <v>2779</v>
      </c>
      <c r="BD533" s="496" t="s">
        <v>1818</v>
      </c>
      <c r="BE533" s="497">
        <v>42185</v>
      </c>
      <c r="BF533" s="498">
        <v>1013.4602465024702</v>
      </c>
      <c r="BG533" s="488">
        <v>1013.4602465024702</v>
      </c>
      <c r="BH533" s="488">
        <v>0</v>
      </c>
      <c r="BI533" s="488">
        <v>0.57999999999999996</v>
      </c>
      <c r="BJ533" s="494" t="s">
        <v>186</v>
      </c>
      <c r="BK533" s="401"/>
    </row>
    <row r="534" spans="1:63" ht="150">
      <c r="A534" s="401">
        <v>2</v>
      </c>
      <c r="B534" s="494" t="s">
        <v>2780</v>
      </c>
      <c r="C534" s="401" t="s">
        <v>83</v>
      </c>
      <c r="D534" s="401" t="s">
        <v>231</v>
      </c>
      <c r="E534" s="494" t="s">
        <v>5853</v>
      </c>
      <c r="F534" s="401" t="s">
        <v>1752</v>
      </c>
      <c r="G534" s="401" t="s">
        <v>2344</v>
      </c>
      <c r="H534" s="499">
        <v>834054</v>
      </c>
      <c r="I534" s="486" t="s">
        <v>2781</v>
      </c>
      <c r="J534" s="496" t="s">
        <v>5698</v>
      </c>
      <c r="K534" s="496" t="s">
        <v>5698</v>
      </c>
      <c r="L534" s="496" t="s">
        <v>1772</v>
      </c>
      <c r="M534" s="500" t="s">
        <v>1755</v>
      </c>
      <c r="N534" s="496" t="s">
        <v>1773</v>
      </c>
      <c r="O534" s="496" t="s">
        <v>2234</v>
      </c>
      <c r="P534" s="489">
        <v>1561.47</v>
      </c>
      <c r="Q534" s="489">
        <f t="shared" si="95"/>
        <v>1842.5346</v>
      </c>
      <c r="R534" s="489">
        <v>1243.212</v>
      </c>
      <c r="S534" s="401" t="s">
        <v>1774</v>
      </c>
      <c r="T534" s="501">
        <v>1.087</v>
      </c>
      <c r="U534" s="501">
        <v>1.077</v>
      </c>
      <c r="V534" s="501">
        <v>1.073</v>
      </c>
      <c r="W534" s="501">
        <v>1.071</v>
      </c>
      <c r="X534" s="596">
        <v>0.9</v>
      </c>
      <c r="Y534" s="502">
        <v>1504.9079999999999</v>
      </c>
      <c r="Z534" s="489">
        <f t="shared" si="96"/>
        <v>1775.7914399999997</v>
      </c>
      <c r="AA534" s="489">
        <v>1395.3559244605624</v>
      </c>
      <c r="AB534" s="488">
        <f t="shared" si="97"/>
        <v>1646.5199908634636</v>
      </c>
      <c r="AC534" s="492">
        <f t="shared" si="98"/>
        <v>1395.3559244605624</v>
      </c>
      <c r="AD534" s="493">
        <f t="shared" si="99"/>
        <v>1646.5199908634636</v>
      </c>
      <c r="AE534" s="494" t="s">
        <v>1775</v>
      </c>
      <c r="AF534" s="494" t="s">
        <v>83</v>
      </c>
      <c r="AG534" s="494" t="s">
        <v>211</v>
      </c>
      <c r="AH534" s="494" t="s">
        <v>545</v>
      </c>
      <c r="AI534" s="495">
        <v>41927</v>
      </c>
      <c r="AJ534" s="495">
        <v>41962</v>
      </c>
      <c r="AK534" s="494" t="s">
        <v>96</v>
      </c>
      <c r="AL534" s="494" t="s">
        <v>96</v>
      </c>
      <c r="AM534" s="496" t="s">
        <v>5699</v>
      </c>
      <c r="AN534" s="496" t="s">
        <v>1757</v>
      </c>
      <c r="AO534" s="494">
        <v>796</v>
      </c>
      <c r="AP534" s="494" t="s">
        <v>368</v>
      </c>
      <c r="AQ534" s="494">
        <v>1</v>
      </c>
      <c r="AR534" s="494">
        <v>46</v>
      </c>
      <c r="AS534" s="496" t="s">
        <v>605</v>
      </c>
      <c r="AT534" s="495">
        <v>41982</v>
      </c>
      <c r="AU534" s="495">
        <v>41982</v>
      </c>
      <c r="AV534" s="495">
        <v>42185</v>
      </c>
      <c r="AW534" s="494" t="s">
        <v>99</v>
      </c>
      <c r="AX534" s="496"/>
      <c r="AY534" s="494" t="s">
        <v>186</v>
      </c>
      <c r="AZ534" s="494"/>
      <c r="BA534" s="494">
        <v>2014</v>
      </c>
      <c r="BB534" s="494" t="s">
        <v>2782</v>
      </c>
      <c r="BC534" s="496" t="s">
        <v>2783</v>
      </c>
      <c r="BD534" s="496" t="s">
        <v>1818</v>
      </c>
      <c r="BE534" s="497">
        <v>42185</v>
      </c>
      <c r="BF534" s="498">
        <v>1817.2390626940844</v>
      </c>
      <c r="BG534" s="488">
        <v>1817.2390626940844</v>
      </c>
      <c r="BH534" s="488">
        <v>0</v>
      </c>
      <c r="BI534" s="488">
        <v>1.04</v>
      </c>
      <c r="BJ534" s="494" t="s">
        <v>186</v>
      </c>
      <c r="BK534" s="401"/>
    </row>
    <row r="535" spans="1:63" ht="150">
      <c r="A535" s="401">
        <v>2</v>
      </c>
      <c r="B535" s="494" t="s">
        <v>2784</v>
      </c>
      <c r="C535" s="401" t="s">
        <v>83</v>
      </c>
      <c r="D535" s="401" t="s">
        <v>231</v>
      </c>
      <c r="E535" s="494" t="s">
        <v>5853</v>
      </c>
      <c r="F535" s="401" t="s">
        <v>1752</v>
      </c>
      <c r="G535" s="401" t="s">
        <v>2344</v>
      </c>
      <c r="H535" s="499">
        <v>834053</v>
      </c>
      <c r="I535" s="486" t="s">
        <v>2785</v>
      </c>
      <c r="J535" s="496" t="s">
        <v>5698</v>
      </c>
      <c r="K535" s="496" t="s">
        <v>5698</v>
      </c>
      <c r="L535" s="496" t="s">
        <v>1772</v>
      </c>
      <c r="M535" s="500" t="s">
        <v>1755</v>
      </c>
      <c r="N535" s="496" t="s">
        <v>1773</v>
      </c>
      <c r="O535" s="496" t="s">
        <v>2234</v>
      </c>
      <c r="P535" s="489">
        <v>585.54999999999995</v>
      </c>
      <c r="Q535" s="489">
        <f t="shared" si="95"/>
        <v>690.94899999999996</v>
      </c>
      <c r="R535" s="489">
        <v>466.20299999999997</v>
      </c>
      <c r="S535" s="401" t="s">
        <v>1774</v>
      </c>
      <c r="T535" s="501">
        <v>1.087</v>
      </c>
      <c r="U535" s="501">
        <v>1.077</v>
      </c>
      <c r="V535" s="501">
        <v>1.073</v>
      </c>
      <c r="W535" s="501">
        <v>1.071</v>
      </c>
      <c r="X535" s="596">
        <v>0.9</v>
      </c>
      <c r="Y535" s="502">
        <v>564.33799999999997</v>
      </c>
      <c r="Z535" s="489">
        <f t="shared" si="96"/>
        <v>665.91883999999993</v>
      </c>
      <c r="AA535" s="489">
        <v>523.2585595219665</v>
      </c>
      <c r="AB535" s="488">
        <f t="shared" si="97"/>
        <v>617.44510023592045</v>
      </c>
      <c r="AC535" s="492">
        <f t="shared" si="98"/>
        <v>523.2585595219665</v>
      </c>
      <c r="AD535" s="493">
        <f t="shared" si="99"/>
        <v>617.44510023592045</v>
      </c>
      <c r="AE535" s="494" t="s">
        <v>1775</v>
      </c>
      <c r="AF535" s="494" t="s">
        <v>83</v>
      </c>
      <c r="AG535" s="494" t="s">
        <v>211</v>
      </c>
      <c r="AH535" s="494" t="s">
        <v>545</v>
      </c>
      <c r="AI535" s="495">
        <v>41927</v>
      </c>
      <c r="AJ535" s="495">
        <v>41962</v>
      </c>
      <c r="AK535" s="494" t="s">
        <v>96</v>
      </c>
      <c r="AL535" s="494" t="s">
        <v>96</v>
      </c>
      <c r="AM535" s="496" t="s">
        <v>5699</v>
      </c>
      <c r="AN535" s="496" t="s">
        <v>1757</v>
      </c>
      <c r="AO535" s="494">
        <v>796</v>
      </c>
      <c r="AP535" s="494" t="s">
        <v>368</v>
      </c>
      <c r="AQ535" s="494">
        <v>1</v>
      </c>
      <c r="AR535" s="494">
        <v>46</v>
      </c>
      <c r="AS535" s="496" t="s">
        <v>605</v>
      </c>
      <c r="AT535" s="495">
        <v>41982</v>
      </c>
      <c r="AU535" s="495">
        <v>41982</v>
      </c>
      <c r="AV535" s="495">
        <v>42185</v>
      </c>
      <c r="AW535" s="494" t="s">
        <v>99</v>
      </c>
      <c r="AX535" s="496"/>
      <c r="AY535" s="494" t="s">
        <v>186</v>
      </c>
      <c r="AZ535" s="494"/>
      <c r="BA535" s="494">
        <v>2014</v>
      </c>
      <c r="BB535" s="494" t="s">
        <v>2786</v>
      </c>
      <c r="BC535" s="496" t="s">
        <v>2787</v>
      </c>
      <c r="BD535" s="496" t="s">
        <v>1818</v>
      </c>
      <c r="BE535" s="497">
        <v>42185</v>
      </c>
      <c r="BF535" s="498">
        <v>681.46464851028179</v>
      </c>
      <c r="BG535" s="488">
        <v>681.46464851028179</v>
      </c>
      <c r="BH535" s="488">
        <v>0</v>
      </c>
      <c r="BI535" s="488">
        <v>0.39</v>
      </c>
      <c r="BJ535" s="494" t="s">
        <v>186</v>
      </c>
      <c r="BK535" s="401"/>
    </row>
    <row r="536" spans="1:63" ht="150">
      <c r="A536" s="401">
        <v>2</v>
      </c>
      <c r="B536" s="494" t="s">
        <v>2788</v>
      </c>
      <c r="C536" s="401" t="s">
        <v>83</v>
      </c>
      <c r="D536" s="401" t="s">
        <v>231</v>
      </c>
      <c r="E536" s="494" t="s">
        <v>5853</v>
      </c>
      <c r="F536" s="401" t="s">
        <v>1752</v>
      </c>
      <c r="G536" s="401" t="s">
        <v>2344</v>
      </c>
      <c r="H536" s="499">
        <v>834051</v>
      </c>
      <c r="I536" s="486" t="s">
        <v>2789</v>
      </c>
      <c r="J536" s="496" t="s">
        <v>5698</v>
      </c>
      <c r="K536" s="496" t="s">
        <v>5698</v>
      </c>
      <c r="L536" s="496" t="s">
        <v>1772</v>
      </c>
      <c r="M536" s="500" t="s">
        <v>1755</v>
      </c>
      <c r="N536" s="496" t="s">
        <v>1773</v>
      </c>
      <c r="O536" s="496" t="s">
        <v>2234</v>
      </c>
      <c r="P536" s="489">
        <v>720.68</v>
      </c>
      <c r="Q536" s="489">
        <f t="shared" si="95"/>
        <v>850.40239999999994</v>
      </c>
      <c r="R536" s="489">
        <v>573.79</v>
      </c>
      <c r="S536" s="401" t="s">
        <v>1774</v>
      </c>
      <c r="T536" s="501">
        <v>1.087</v>
      </c>
      <c r="U536" s="501">
        <v>1.077</v>
      </c>
      <c r="V536" s="501">
        <v>1.073</v>
      </c>
      <c r="W536" s="501">
        <v>1.071</v>
      </c>
      <c r="X536" s="596">
        <v>0.9</v>
      </c>
      <c r="Y536" s="502">
        <v>694.572</v>
      </c>
      <c r="Z536" s="489">
        <f t="shared" si="96"/>
        <v>819.59496000000001</v>
      </c>
      <c r="AA536" s="489">
        <v>644.010521753386</v>
      </c>
      <c r="AB536" s="488">
        <f t="shared" si="97"/>
        <v>759.93241566899542</v>
      </c>
      <c r="AC536" s="492">
        <f t="shared" si="98"/>
        <v>644.010521753386</v>
      </c>
      <c r="AD536" s="493">
        <f t="shared" si="99"/>
        <v>759.93241566899542</v>
      </c>
      <c r="AE536" s="494" t="s">
        <v>1775</v>
      </c>
      <c r="AF536" s="494" t="s">
        <v>83</v>
      </c>
      <c r="AG536" s="494" t="s">
        <v>211</v>
      </c>
      <c r="AH536" s="494" t="s">
        <v>545</v>
      </c>
      <c r="AI536" s="495">
        <v>41927</v>
      </c>
      <c r="AJ536" s="495">
        <v>41962</v>
      </c>
      <c r="AK536" s="494" t="s">
        <v>96</v>
      </c>
      <c r="AL536" s="494" t="s">
        <v>96</v>
      </c>
      <c r="AM536" s="496" t="s">
        <v>5699</v>
      </c>
      <c r="AN536" s="496" t="s">
        <v>1757</v>
      </c>
      <c r="AO536" s="494">
        <v>796</v>
      </c>
      <c r="AP536" s="494" t="s">
        <v>368</v>
      </c>
      <c r="AQ536" s="494">
        <v>1</v>
      </c>
      <c r="AR536" s="494">
        <v>46</v>
      </c>
      <c r="AS536" s="496" t="s">
        <v>605</v>
      </c>
      <c r="AT536" s="495">
        <v>41982</v>
      </c>
      <c r="AU536" s="495">
        <v>41982</v>
      </c>
      <c r="AV536" s="495">
        <v>42185</v>
      </c>
      <c r="AW536" s="494" t="s">
        <v>99</v>
      </c>
      <c r="AX536" s="496"/>
      <c r="AY536" s="494" t="s">
        <v>186</v>
      </c>
      <c r="AZ536" s="494"/>
      <c r="BA536" s="494">
        <v>2014</v>
      </c>
      <c r="BB536" s="494" t="s">
        <v>2790</v>
      </c>
      <c r="BC536" s="496" t="s">
        <v>2791</v>
      </c>
      <c r="BD536" s="496" t="s">
        <v>1818</v>
      </c>
      <c r="BE536" s="497">
        <v>42185</v>
      </c>
      <c r="BF536" s="498">
        <v>838.72572124342355</v>
      </c>
      <c r="BG536" s="488">
        <v>838.72572124342355</v>
      </c>
      <c r="BH536" s="488">
        <v>0</v>
      </c>
      <c r="BI536" s="488">
        <v>0.48</v>
      </c>
      <c r="BJ536" s="494" t="s">
        <v>186</v>
      </c>
      <c r="BK536" s="401"/>
    </row>
    <row r="537" spans="1:63" ht="150">
      <c r="A537" s="401">
        <v>2</v>
      </c>
      <c r="B537" s="494" t="s">
        <v>2792</v>
      </c>
      <c r="C537" s="401" t="s">
        <v>83</v>
      </c>
      <c r="D537" s="401" t="s">
        <v>231</v>
      </c>
      <c r="E537" s="494" t="s">
        <v>5853</v>
      </c>
      <c r="F537" s="401" t="s">
        <v>1752</v>
      </c>
      <c r="G537" s="401" t="s">
        <v>2344</v>
      </c>
      <c r="H537" s="499">
        <v>834050</v>
      </c>
      <c r="I537" s="486" t="s">
        <v>2793</v>
      </c>
      <c r="J537" s="496" t="s">
        <v>5698</v>
      </c>
      <c r="K537" s="496" t="s">
        <v>5698</v>
      </c>
      <c r="L537" s="496" t="s">
        <v>1772</v>
      </c>
      <c r="M537" s="500" t="s">
        <v>1755</v>
      </c>
      <c r="N537" s="496" t="s">
        <v>1773</v>
      </c>
      <c r="O537" s="496" t="s">
        <v>2234</v>
      </c>
      <c r="P537" s="489">
        <v>2387.25</v>
      </c>
      <c r="Q537" s="489">
        <f t="shared" si="95"/>
        <v>2816.9549999999999</v>
      </c>
      <c r="R537" s="489">
        <v>1900.6790000000001</v>
      </c>
      <c r="S537" s="401" t="s">
        <v>1774</v>
      </c>
      <c r="T537" s="501">
        <v>1.087</v>
      </c>
      <c r="U537" s="501">
        <v>1.077</v>
      </c>
      <c r="V537" s="501">
        <v>1.073</v>
      </c>
      <c r="W537" s="501">
        <v>1.071</v>
      </c>
      <c r="X537" s="596">
        <v>0.9</v>
      </c>
      <c r="Y537" s="502">
        <v>2300.7719999999999</v>
      </c>
      <c r="Z537" s="489">
        <f t="shared" si="96"/>
        <v>2714.9109599999997</v>
      </c>
      <c r="AA537" s="489">
        <v>2133.2844572038798</v>
      </c>
      <c r="AB537" s="488">
        <f t="shared" si="97"/>
        <v>2517.2756595005781</v>
      </c>
      <c r="AC537" s="492">
        <f t="shared" si="98"/>
        <v>2133.2844572038798</v>
      </c>
      <c r="AD537" s="493">
        <f t="shared" si="99"/>
        <v>2517.2756595005781</v>
      </c>
      <c r="AE537" s="494" t="s">
        <v>1775</v>
      </c>
      <c r="AF537" s="494" t="s">
        <v>83</v>
      </c>
      <c r="AG537" s="494" t="s">
        <v>211</v>
      </c>
      <c r="AH537" s="494" t="s">
        <v>545</v>
      </c>
      <c r="AI537" s="495">
        <v>41927</v>
      </c>
      <c r="AJ537" s="495">
        <v>41962</v>
      </c>
      <c r="AK537" s="494" t="s">
        <v>96</v>
      </c>
      <c r="AL537" s="494" t="s">
        <v>96</v>
      </c>
      <c r="AM537" s="496" t="s">
        <v>5699</v>
      </c>
      <c r="AN537" s="496" t="s">
        <v>1757</v>
      </c>
      <c r="AO537" s="494">
        <v>796</v>
      </c>
      <c r="AP537" s="494" t="s">
        <v>368</v>
      </c>
      <c r="AQ537" s="494">
        <v>1</v>
      </c>
      <c r="AR537" s="494">
        <v>46</v>
      </c>
      <c r="AS537" s="496" t="s">
        <v>605</v>
      </c>
      <c r="AT537" s="495">
        <v>41982</v>
      </c>
      <c r="AU537" s="495">
        <v>41982</v>
      </c>
      <c r="AV537" s="495">
        <v>42185</v>
      </c>
      <c r="AW537" s="494" t="s">
        <v>99</v>
      </c>
      <c r="AX537" s="496"/>
      <c r="AY537" s="494" t="s">
        <v>186</v>
      </c>
      <c r="AZ537" s="494"/>
      <c r="BA537" s="494">
        <v>2014</v>
      </c>
      <c r="BB537" s="494" t="s">
        <v>2794</v>
      </c>
      <c r="BC537" s="496" t="s">
        <v>2795</v>
      </c>
      <c r="BD537" s="496" t="s">
        <v>1818</v>
      </c>
      <c r="BE537" s="497">
        <v>42185</v>
      </c>
      <c r="BF537" s="498">
        <v>2778.27895161884</v>
      </c>
      <c r="BG537" s="488">
        <v>2778.27895161884</v>
      </c>
      <c r="BH537" s="488">
        <v>0</v>
      </c>
      <c r="BI537" s="488">
        <v>1.59</v>
      </c>
      <c r="BJ537" s="494" t="s">
        <v>186</v>
      </c>
      <c r="BK537" s="401"/>
    </row>
    <row r="538" spans="1:63" ht="150">
      <c r="A538" s="401">
        <v>2</v>
      </c>
      <c r="B538" s="494" t="s">
        <v>2796</v>
      </c>
      <c r="C538" s="401" t="s">
        <v>83</v>
      </c>
      <c r="D538" s="401" t="s">
        <v>231</v>
      </c>
      <c r="E538" s="494" t="s">
        <v>5853</v>
      </c>
      <c r="F538" s="401" t="s">
        <v>1752</v>
      </c>
      <c r="G538" s="401" t="s">
        <v>2344</v>
      </c>
      <c r="H538" s="499">
        <v>834049</v>
      </c>
      <c r="I538" s="486" t="s">
        <v>2797</v>
      </c>
      <c r="J538" s="496" t="s">
        <v>5698</v>
      </c>
      <c r="K538" s="496" t="s">
        <v>5698</v>
      </c>
      <c r="L538" s="496" t="s">
        <v>1772</v>
      </c>
      <c r="M538" s="500" t="s">
        <v>1755</v>
      </c>
      <c r="N538" s="496" t="s">
        <v>1773</v>
      </c>
      <c r="O538" s="496" t="s">
        <v>2234</v>
      </c>
      <c r="P538" s="489">
        <v>900.85</v>
      </c>
      <c r="Q538" s="489">
        <f t="shared" si="95"/>
        <v>1063.0029999999999</v>
      </c>
      <c r="R538" s="489">
        <v>717.23599999999999</v>
      </c>
      <c r="S538" s="401" t="s">
        <v>1774</v>
      </c>
      <c r="T538" s="501">
        <v>1.087</v>
      </c>
      <c r="U538" s="501">
        <v>1.077</v>
      </c>
      <c r="V538" s="501">
        <v>1.073</v>
      </c>
      <c r="W538" s="501">
        <v>1.071</v>
      </c>
      <c r="X538" s="596">
        <v>0.9</v>
      </c>
      <c r="Y538" s="502">
        <v>868.21400000000006</v>
      </c>
      <c r="Z538" s="489">
        <f t="shared" si="96"/>
        <v>1024.49252</v>
      </c>
      <c r="AA538" s="489">
        <v>805.01300113059006</v>
      </c>
      <c r="AB538" s="488">
        <f t="shared" si="97"/>
        <v>949.91534133409618</v>
      </c>
      <c r="AC538" s="492">
        <f t="shared" si="98"/>
        <v>805.01300113059006</v>
      </c>
      <c r="AD538" s="493">
        <f t="shared" si="99"/>
        <v>949.91534133409618</v>
      </c>
      <c r="AE538" s="494" t="s">
        <v>1775</v>
      </c>
      <c r="AF538" s="494" t="s">
        <v>83</v>
      </c>
      <c r="AG538" s="494" t="s">
        <v>211</v>
      </c>
      <c r="AH538" s="494" t="s">
        <v>545</v>
      </c>
      <c r="AI538" s="495">
        <v>41927</v>
      </c>
      <c r="AJ538" s="495">
        <v>41962</v>
      </c>
      <c r="AK538" s="494" t="s">
        <v>96</v>
      </c>
      <c r="AL538" s="494" t="s">
        <v>96</v>
      </c>
      <c r="AM538" s="496" t="s">
        <v>5699</v>
      </c>
      <c r="AN538" s="496" t="s">
        <v>1757</v>
      </c>
      <c r="AO538" s="494">
        <v>796</v>
      </c>
      <c r="AP538" s="494" t="s">
        <v>368</v>
      </c>
      <c r="AQ538" s="494">
        <v>1</v>
      </c>
      <c r="AR538" s="494">
        <v>46</v>
      </c>
      <c r="AS538" s="496" t="s">
        <v>605</v>
      </c>
      <c r="AT538" s="495">
        <v>41982</v>
      </c>
      <c r="AU538" s="495">
        <v>41982</v>
      </c>
      <c r="AV538" s="495">
        <v>42185</v>
      </c>
      <c r="AW538" s="494" t="s">
        <v>99</v>
      </c>
      <c r="AX538" s="496"/>
      <c r="AY538" s="494" t="s">
        <v>186</v>
      </c>
      <c r="AZ538" s="494"/>
      <c r="BA538" s="494">
        <v>2014</v>
      </c>
      <c r="BB538" s="494" t="s">
        <v>2798</v>
      </c>
      <c r="BC538" s="496" t="s">
        <v>2799</v>
      </c>
      <c r="BD538" s="496" t="s">
        <v>1818</v>
      </c>
      <c r="BE538" s="497">
        <v>42185</v>
      </c>
      <c r="BF538" s="498">
        <v>1048.4071515542792</v>
      </c>
      <c r="BG538" s="488">
        <v>1048.4071515542792</v>
      </c>
      <c r="BH538" s="488">
        <v>0</v>
      </c>
      <c r="BI538" s="488">
        <v>0.6</v>
      </c>
      <c r="BJ538" s="494" t="s">
        <v>186</v>
      </c>
      <c r="BK538" s="401"/>
    </row>
    <row r="539" spans="1:63" ht="150">
      <c r="A539" s="401">
        <v>2</v>
      </c>
      <c r="B539" s="494" t="s">
        <v>2800</v>
      </c>
      <c r="C539" s="401" t="s">
        <v>83</v>
      </c>
      <c r="D539" s="401" t="s">
        <v>231</v>
      </c>
      <c r="E539" s="494" t="s">
        <v>5853</v>
      </c>
      <c r="F539" s="401" t="s">
        <v>1752</v>
      </c>
      <c r="G539" s="401" t="s">
        <v>2344</v>
      </c>
      <c r="H539" s="499">
        <v>834047</v>
      </c>
      <c r="I539" s="486" t="s">
        <v>2801</v>
      </c>
      <c r="J539" s="496" t="s">
        <v>5698</v>
      </c>
      <c r="K539" s="496" t="s">
        <v>5698</v>
      </c>
      <c r="L539" s="496" t="s">
        <v>1772</v>
      </c>
      <c r="M539" s="500" t="s">
        <v>1755</v>
      </c>
      <c r="N539" s="496" t="s">
        <v>1773</v>
      </c>
      <c r="O539" s="496" t="s">
        <v>2234</v>
      </c>
      <c r="P539" s="489">
        <v>1201.1300000000001</v>
      </c>
      <c r="Q539" s="489">
        <f t="shared" si="95"/>
        <v>1417.3334</v>
      </c>
      <c r="R539" s="489">
        <v>956.31500000000005</v>
      </c>
      <c r="S539" s="401" t="s">
        <v>1774</v>
      </c>
      <c r="T539" s="501">
        <v>1.087</v>
      </c>
      <c r="U539" s="501">
        <v>1.077</v>
      </c>
      <c r="V539" s="501">
        <v>1.073</v>
      </c>
      <c r="W539" s="501">
        <v>1.071</v>
      </c>
      <c r="X539" s="596">
        <v>0.9</v>
      </c>
      <c r="Y539" s="502">
        <v>1157.6199999999999</v>
      </c>
      <c r="Z539" s="489">
        <f t="shared" si="96"/>
        <v>1365.9915999999998</v>
      </c>
      <c r="AA539" s="489">
        <v>1073.350668049691</v>
      </c>
      <c r="AB539" s="488">
        <f t="shared" si="97"/>
        <v>1266.5537882986353</v>
      </c>
      <c r="AC539" s="492">
        <f t="shared" si="98"/>
        <v>1073.350668049691</v>
      </c>
      <c r="AD539" s="493">
        <f t="shared" si="99"/>
        <v>1266.5537882986353</v>
      </c>
      <c r="AE539" s="494" t="s">
        <v>1775</v>
      </c>
      <c r="AF539" s="494" t="s">
        <v>83</v>
      </c>
      <c r="AG539" s="494" t="s">
        <v>211</v>
      </c>
      <c r="AH539" s="494" t="s">
        <v>545</v>
      </c>
      <c r="AI539" s="495">
        <v>41927</v>
      </c>
      <c r="AJ539" s="495">
        <v>41962</v>
      </c>
      <c r="AK539" s="494" t="s">
        <v>96</v>
      </c>
      <c r="AL539" s="494" t="s">
        <v>96</v>
      </c>
      <c r="AM539" s="496" t="s">
        <v>5699</v>
      </c>
      <c r="AN539" s="496" t="s">
        <v>1757</v>
      </c>
      <c r="AO539" s="494">
        <v>796</v>
      </c>
      <c r="AP539" s="494" t="s">
        <v>368</v>
      </c>
      <c r="AQ539" s="494">
        <v>1</v>
      </c>
      <c r="AR539" s="494">
        <v>46</v>
      </c>
      <c r="AS539" s="496" t="s">
        <v>605</v>
      </c>
      <c r="AT539" s="495">
        <v>41982</v>
      </c>
      <c r="AU539" s="495">
        <v>41982</v>
      </c>
      <c r="AV539" s="495">
        <v>42185</v>
      </c>
      <c r="AW539" s="494" t="s">
        <v>99</v>
      </c>
      <c r="AX539" s="496"/>
      <c r="AY539" s="494" t="s">
        <v>186</v>
      </c>
      <c r="AZ539" s="494"/>
      <c r="BA539" s="494">
        <v>2014</v>
      </c>
      <c r="BB539" s="494" t="s">
        <v>2802</v>
      </c>
      <c r="BC539" s="496" t="s">
        <v>2803</v>
      </c>
      <c r="BD539" s="496" t="s">
        <v>1818</v>
      </c>
      <c r="BE539" s="497">
        <v>42185</v>
      </c>
      <c r="BF539" s="498">
        <v>1397.8762020723725</v>
      </c>
      <c r="BG539" s="488">
        <v>1397.8762020723725</v>
      </c>
      <c r="BH539" s="488">
        <v>0</v>
      </c>
      <c r="BI539" s="488">
        <v>0.8</v>
      </c>
      <c r="BJ539" s="494" t="s">
        <v>186</v>
      </c>
      <c r="BK539" s="401"/>
    </row>
    <row r="540" spans="1:63" ht="150">
      <c r="A540" s="401">
        <v>2</v>
      </c>
      <c r="B540" s="494" t="s">
        <v>2804</v>
      </c>
      <c r="C540" s="401" t="s">
        <v>83</v>
      </c>
      <c r="D540" s="401" t="s">
        <v>231</v>
      </c>
      <c r="E540" s="494" t="s">
        <v>5853</v>
      </c>
      <c r="F540" s="401" t="s">
        <v>1752</v>
      </c>
      <c r="G540" s="401" t="s">
        <v>2344</v>
      </c>
      <c r="H540" s="499">
        <v>834045</v>
      </c>
      <c r="I540" s="486" t="s">
        <v>2805</v>
      </c>
      <c r="J540" s="496" t="s">
        <v>5698</v>
      </c>
      <c r="K540" s="496" t="s">
        <v>5698</v>
      </c>
      <c r="L540" s="496" t="s">
        <v>1772</v>
      </c>
      <c r="M540" s="500" t="s">
        <v>1755</v>
      </c>
      <c r="N540" s="496" t="s">
        <v>1773</v>
      </c>
      <c r="O540" s="496" t="s">
        <v>2234</v>
      </c>
      <c r="P540" s="489">
        <v>1651.56</v>
      </c>
      <c r="Q540" s="489">
        <f t="shared" si="95"/>
        <v>1948.8407999999999</v>
      </c>
      <c r="R540" s="489">
        <v>1314.9349999999999</v>
      </c>
      <c r="S540" s="401" t="s">
        <v>1774</v>
      </c>
      <c r="T540" s="501">
        <v>1.087</v>
      </c>
      <c r="U540" s="501">
        <v>1.077</v>
      </c>
      <c r="V540" s="501">
        <v>1.073</v>
      </c>
      <c r="W540" s="501">
        <v>1.071</v>
      </c>
      <c r="X540" s="596">
        <v>0.9</v>
      </c>
      <c r="Y540" s="502">
        <v>1591.729</v>
      </c>
      <c r="Z540" s="489">
        <f t="shared" si="96"/>
        <v>1878.2402199999999</v>
      </c>
      <c r="AA540" s="489">
        <v>1475.8572653402309</v>
      </c>
      <c r="AB540" s="488">
        <f t="shared" si="97"/>
        <v>1741.5115731014723</v>
      </c>
      <c r="AC540" s="492">
        <f t="shared" si="98"/>
        <v>1475.8572653402309</v>
      </c>
      <c r="AD540" s="493">
        <f t="shared" si="99"/>
        <v>1741.5115731014723</v>
      </c>
      <c r="AE540" s="494" t="s">
        <v>1775</v>
      </c>
      <c r="AF540" s="494" t="s">
        <v>83</v>
      </c>
      <c r="AG540" s="494" t="s">
        <v>211</v>
      </c>
      <c r="AH540" s="494" t="s">
        <v>545</v>
      </c>
      <c r="AI540" s="495">
        <v>41927</v>
      </c>
      <c r="AJ540" s="495">
        <v>41962</v>
      </c>
      <c r="AK540" s="494" t="s">
        <v>96</v>
      </c>
      <c r="AL540" s="494" t="s">
        <v>96</v>
      </c>
      <c r="AM540" s="496" t="s">
        <v>5699</v>
      </c>
      <c r="AN540" s="496" t="s">
        <v>1757</v>
      </c>
      <c r="AO540" s="494">
        <v>796</v>
      </c>
      <c r="AP540" s="494" t="s">
        <v>368</v>
      </c>
      <c r="AQ540" s="494">
        <v>1</v>
      </c>
      <c r="AR540" s="494">
        <v>46</v>
      </c>
      <c r="AS540" s="496" t="s">
        <v>605</v>
      </c>
      <c r="AT540" s="495">
        <v>41982</v>
      </c>
      <c r="AU540" s="495">
        <v>41982</v>
      </c>
      <c r="AV540" s="495">
        <v>42185</v>
      </c>
      <c r="AW540" s="494" t="s">
        <v>99</v>
      </c>
      <c r="AX540" s="496"/>
      <c r="AY540" s="494" t="s">
        <v>186</v>
      </c>
      <c r="AZ540" s="494"/>
      <c r="BA540" s="494">
        <v>2014</v>
      </c>
      <c r="BB540" s="494" t="s">
        <v>2806</v>
      </c>
      <c r="BC540" s="496" t="s">
        <v>2807</v>
      </c>
      <c r="BD540" s="496" t="s">
        <v>1818</v>
      </c>
      <c r="BE540" s="497">
        <v>42185</v>
      </c>
      <c r="BF540" s="498">
        <v>2201.6550182639871</v>
      </c>
      <c r="BG540" s="488">
        <v>2201.6550182639871</v>
      </c>
      <c r="BH540" s="488">
        <v>0</v>
      </c>
      <c r="BI540" s="488">
        <v>1.1000000000000001</v>
      </c>
      <c r="BJ540" s="494" t="s">
        <v>186</v>
      </c>
      <c r="BK540" s="401"/>
    </row>
    <row r="541" spans="1:63" ht="150">
      <c r="A541" s="401">
        <v>2</v>
      </c>
      <c r="B541" s="494" t="s">
        <v>2808</v>
      </c>
      <c r="C541" s="401" t="s">
        <v>83</v>
      </c>
      <c r="D541" s="401" t="s">
        <v>231</v>
      </c>
      <c r="E541" s="494" t="s">
        <v>5853</v>
      </c>
      <c r="F541" s="401" t="s">
        <v>1752</v>
      </c>
      <c r="G541" s="401" t="s">
        <v>2344</v>
      </c>
      <c r="H541" s="499">
        <v>834044</v>
      </c>
      <c r="I541" s="486" t="s">
        <v>2809</v>
      </c>
      <c r="J541" s="496" t="s">
        <v>5698</v>
      </c>
      <c r="K541" s="496" t="s">
        <v>5698</v>
      </c>
      <c r="L541" s="496" t="s">
        <v>1772</v>
      </c>
      <c r="M541" s="500" t="s">
        <v>1755</v>
      </c>
      <c r="N541" s="496" t="s">
        <v>1773</v>
      </c>
      <c r="O541" s="496" t="s">
        <v>2234</v>
      </c>
      <c r="P541" s="489">
        <v>690.65</v>
      </c>
      <c r="Q541" s="489">
        <f t="shared" si="95"/>
        <v>814.96699999999998</v>
      </c>
      <c r="R541" s="489">
        <v>549.88099999999997</v>
      </c>
      <c r="S541" s="401" t="s">
        <v>1774</v>
      </c>
      <c r="T541" s="501">
        <v>1.087</v>
      </c>
      <c r="U541" s="501">
        <v>1.077</v>
      </c>
      <c r="V541" s="501">
        <v>1.073</v>
      </c>
      <c r="W541" s="501">
        <v>1.071</v>
      </c>
      <c r="X541" s="596">
        <v>0.9</v>
      </c>
      <c r="Y541" s="502">
        <v>665.63099999999997</v>
      </c>
      <c r="Z541" s="489">
        <f t="shared" si="96"/>
        <v>785.44457999999997</v>
      </c>
      <c r="AA541" s="489">
        <v>617.17670148882769</v>
      </c>
      <c r="AB541" s="488">
        <f t="shared" si="97"/>
        <v>728.26850775681669</v>
      </c>
      <c r="AC541" s="492">
        <f t="shared" si="98"/>
        <v>617.17670148882769</v>
      </c>
      <c r="AD541" s="493">
        <f t="shared" si="99"/>
        <v>728.26850775681669</v>
      </c>
      <c r="AE541" s="494" t="s">
        <v>1775</v>
      </c>
      <c r="AF541" s="494" t="s">
        <v>83</v>
      </c>
      <c r="AG541" s="494" t="s">
        <v>211</v>
      </c>
      <c r="AH541" s="494" t="s">
        <v>545</v>
      </c>
      <c r="AI541" s="495">
        <v>41927</v>
      </c>
      <c r="AJ541" s="495">
        <v>41962</v>
      </c>
      <c r="AK541" s="494" t="s">
        <v>96</v>
      </c>
      <c r="AL541" s="494" t="s">
        <v>96</v>
      </c>
      <c r="AM541" s="496" t="s">
        <v>5699</v>
      </c>
      <c r="AN541" s="496" t="s">
        <v>1757</v>
      </c>
      <c r="AO541" s="494">
        <v>796</v>
      </c>
      <c r="AP541" s="494" t="s">
        <v>368</v>
      </c>
      <c r="AQ541" s="494">
        <v>1</v>
      </c>
      <c r="AR541" s="494">
        <v>46</v>
      </c>
      <c r="AS541" s="496" t="s">
        <v>605</v>
      </c>
      <c r="AT541" s="495">
        <v>41982</v>
      </c>
      <c r="AU541" s="495">
        <v>41982</v>
      </c>
      <c r="AV541" s="495">
        <v>42185</v>
      </c>
      <c r="AW541" s="494" t="s">
        <v>99</v>
      </c>
      <c r="AX541" s="496"/>
      <c r="AY541" s="494" t="s">
        <v>186</v>
      </c>
      <c r="AZ541" s="494"/>
      <c r="BA541" s="494">
        <v>2014</v>
      </c>
      <c r="BB541" s="494" t="s">
        <v>2810</v>
      </c>
      <c r="BC541" s="496" t="s">
        <v>2811</v>
      </c>
      <c r="BD541" s="496" t="s">
        <v>1818</v>
      </c>
      <c r="BE541" s="497">
        <v>42185</v>
      </c>
      <c r="BF541" s="498">
        <v>803.75566572237972</v>
      </c>
      <c r="BG541" s="488">
        <v>803.75566572237972</v>
      </c>
      <c r="BH541" s="488">
        <v>0</v>
      </c>
      <c r="BI541" s="488">
        <v>0.46</v>
      </c>
      <c r="BJ541" s="494" t="s">
        <v>186</v>
      </c>
      <c r="BK541" s="401"/>
    </row>
    <row r="542" spans="1:63" ht="150">
      <c r="A542" s="401">
        <v>2</v>
      </c>
      <c r="B542" s="494" t="s">
        <v>2812</v>
      </c>
      <c r="C542" s="401" t="s">
        <v>83</v>
      </c>
      <c r="D542" s="401" t="s">
        <v>231</v>
      </c>
      <c r="E542" s="494" t="s">
        <v>5853</v>
      </c>
      <c r="F542" s="401" t="s">
        <v>1752</v>
      </c>
      <c r="G542" s="401" t="s">
        <v>2344</v>
      </c>
      <c r="H542" s="499">
        <v>834043</v>
      </c>
      <c r="I542" s="486" t="s">
        <v>2813</v>
      </c>
      <c r="J542" s="496" t="s">
        <v>5698</v>
      </c>
      <c r="K542" s="496" t="s">
        <v>5698</v>
      </c>
      <c r="L542" s="496" t="s">
        <v>1772</v>
      </c>
      <c r="M542" s="500" t="s">
        <v>1755</v>
      </c>
      <c r="N542" s="496" t="s">
        <v>1773</v>
      </c>
      <c r="O542" s="496" t="s">
        <v>2234</v>
      </c>
      <c r="P542" s="489">
        <v>1231.1600000000001</v>
      </c>
      <c r="Q542" s="489">
        <f t="shared" si="95"/>
        <v>1452.7688000000001</v>
      </c>
      <c r="R542" s="489">
        <v>980.22500000000002</v>
      </c>
      <c r="S542" s="401" t="s">
        <v>1774</v>
      </c>
      <c r="T542" s="501">
        <v>1.087</v>
      </c>
      <c r="U542" s="501">
        <v>1.077</v>
      </c>
      <c r="V542" s="501">
        <v>1.073</v>
      </c>
      <c r="W542" s="501">
        <v>1.071</v>
      </c>
      <c r="X542" s="596">
        <v>0.9</v>
      </c>
      <c r="Y542" s="502">
        <v>1186.5619999999999</v>
      </c>
      <c r="Z542" s="489">
        <f t="shared" si="96"/>
        <v>1400.1431599999999</v>
      </c>
      <c r="AA542" s="489">
        <v>1100.1844105059449</v>
      </c>
      <c r="AB542" s="488">
        <f t="shared" si="97"/>
        <v>1298.2176043970148</v>
      </c>
      <c r="AC542" s="492">
        <f t="shared" si="98"/>
        <v>1100.1844105059449</v>
      </c>
      <c r="AD542" s="493">
        <f t="shared" si="99"/>
        <v>1298.2176043970148</v>
      </c>
      <c r="AE542" s="494" t="s">
        <v>1775</v>
      </c>
      <c r="AF542" s="494" t="s">
        <v>83</v>
      </c>
      <c r="AG542" s="494" t="s">
        <v>211</v>
      </c>
      <c r="AH542" s="494" t="s">
        <v>545</v>
      </c>
      <c r="AI542" s="495">
        <v>41927</v>
      </c>
      <c r="AJ542" s="495">
        <v>41962</v>
      </c>
      <c r="AK542" s="494" t="s">
        <v>96</v>
      </c>
      <c r="AL542" s="494" t="s">
        <v>96</v>
      </c>
      <c r="AM542" s="496" t="s">
        <v>5699</v>
      </c>
      <c r="AN542" s="496" t="s">
        <v>1757</v>
      </c>
      <c r="AO542" s="494">
        <v>796</v>
      </c>
      <c r="AP542" s="494" t="s">
        <v>368</v>
      </c>
      <c r="AQ542" s="494">
        <v>1</v>
      </c>
      <c r="AR542" s="494">
        <v>46</v>
      </c>
      <c r="AS542" s="496" t="s">
        <v>605</v>
      </c>
      <c r="AT542" s="495">
        <v>41982</v>
      </c>
      <c r="AU542" s="495">
        <v>41982</v>
      </c>
      <c r="AV542" s="495">
        <v>42185</v>
      </c>
      <c r="AW542" s="494" t="s">
        <v>99</v>
      </c>
      <c r="AX542" s="496"/>
      <c r="AY542" s="494" t="s">
        <v>186</v>
      </c>
      <c r="AZ542" s="494"/>
      <c r="BA542" s="494">
        <v>2014</v>
      </c>
      <c r="BB542" s="494" t="s">
        <v>2814</v>
      </c>
      <c r="BC542" s="496" t="s">
        <v>2815</v>
      </c>
      <c r="BD542" s="496" t="s">
        <v>1818</v>
      </c>
      <c r="BE542" s="497">
        <v>42185</v>
      </c>
      <c r="BF542" s="498">
        <v>1432.8231071241821</v>
      </c>
      <c r="BG542" s="488">
        <v>1432.8231071241821</v>
      </c>
      <c r="BH542" s="488">
        <v>0</v>
      </c>
      <c r="BI542" s="488">
        <v>0.82</v>
      </c>
      <c r="BJ542" s="494" t="s">
        <v>186</v>
      </c>
      <c r="BK542" s="401"/>
    </row>
    <row r="543" spans="1:63" ht="150">
      <c r="A543" s="401">
        <v>2</v>
      </c>
      <c r="B543" s="494" t="s">
        <v>2816</v>
      </c>
      <c r="C543" s="401" t="s">
        <v>83</v>
      </c>
      <c r="D543" s="401" t="s">
        <v>231</v>
      </c>
      <c r="E543" s="494" t="s">
        <v>5853</v>
      </c>
      <c r="F543" s="401" t="s">
        <v>1752</v>
      </c>
      <c r="G543" s="401" t="s">
        <v>2344</v>
      </c>
      <c r="H543" s="499">
        <v>834042</v>
      </c>
      <c r="I543" s="486" t="s">
        <v>2817</v>
      </c>
      <c r="J543" s="496" t="s">
        <v>5698</v>
      </c>
      <c r="K543" s="496" t="s">
        <v>5698</v>
      </c>
      <c r="L543" s="496" t="s">
        <v>1772</v>
      </c>
      <c r="M543" s="500" t="s">
        <v>1755</v>
      </c>
      <c r="N543" s="496" t="s">
        <v>1773</v>
      </c>
      <c r="O543" s="496" t="s">
        <v>2234</v>
      </c>
      <c r="P543" s="489">
        <v>840.79</v>
      </c>
      <c r="Q543" s="489">
        <f t="shared" si="95"/>
        <v>992.1321999999999</v>
      </c>
      <c r="R543" s="489">
        <v>669.42100000000005</v>
      </c>
      <c r="S543" s="401" t="s">
        <v>1774</v>
      </c>
      <c r="T543" s="501">
        <v>1.087</v>
      </c>
      <c r="U543" s="501">
        <v>1.077</v>
      </c>
      <c r="V543" s="501">
        <v>1.073</v>
      </c>
      <c r="W543" s="501">
        <v>1.071</v>
      </c>
      <c r="X543" s="596">
        <v>0.9</v>
      </c>
      <c r="Y543" s="502">
        <v>810.33399999999995</v>
      </c>
      <c r="Z543" s="489">
        <f t="shared" si="96"/>
        <v>956.19411999999988</v>
      </c>
      <c r="AA543" s="489">
        <v>751.34543840977472</v>
      </c>
      <c r="AB543" s="488">
        <f t="shared" si="97"/>
        <v>886.58761732353412</v>
      </c>
      <c r="AC543" s="492">
        <f t="shared" si="98"/>
        <v>751.34543840977472</v>
      </c>
      <c r="AD543" s="493">
        <f t="shared" si="99"/>
        <v>886.58761732353412</v>
      </c>
      <c r="AE543" s="494" t="s">
        <v>1775</v>
      </c>
      <c r="AF543" s="494" t="s">
        <v>83</v>
      </c>
      <c r="AG543" s="494" t="s">
        <v>211</v>
      </c>
      <c r="AH543" s="494" t="s">
        <v>545</v>
      </c>
      <c r="AI543" s="495">
        <v>41927</v>
      </c>
      <c r="AJ543" s="495">
        <v>41962</v>
      </c>
      <c r="AK543" s="494" t="s">
        <v>96</v>
      </c>
      <c r="AL543" s="494" t="s">
        <v>96</v>
      </c>
      <c r="AM543" s="496" t="s">
        <v>5699</v>
      </c>
      <c r="AN543" s="496" t="s">
        <v>1757</v>
      </c>
      <c r="AO543" s="494">
        <v>796</v>
      </c>
      <c r="AP543" s="494" t="s">
        <v>368</v>
      </c>
      <c r="AQ543" s="494">
        <v>1</v>
      </c>
      <c r="AR543" s="494">
        <v>46</v>
      </c>
      <c r="AS543" s="496" t="s">
        <v>605</v>
      </c>
      <c r="AT543" s="495">
        <v>41982</v>
      </c>
      <c r="AU543" s="495">
        <v>41982</v>
      </c>
      <c r="AV543" s="495">
        <v>42185</v>
      </c>
      <c r="AW543" s="494" t="s">
        <v>99</v>
      </c>
      <c r="AX543" s="496"/>
      <c r="AY543" s="494" t="s">
        <v>186</v>
      </c>
      <c r="AZ543" s="494"/>
      <c r="BA543" s="494">
        <v>2014</v>
      </c>
      <c r="BB543" s="494" t="s">
        <v>2818</v>
      </c>
      <c r="BC543" s="496" t="s">
        <v>2819</v>
      </c>
      <c r="BD543" s="496" t="s">
        <v>1818</v>
      </c>
      <c r="BE543" s="497">
        <v>42185</v>
      </c>
      <c r="BF543" s="498">
        <v>978.51334145066107</v>
      </c>
      <c r="BG543" s="488">
        <v>978.51334145066107</v>
      </c>
      <c r="BH543" s="488">
        <v>0</v>
      </c>
      <c r="BI543" s="488">
        <v>0.56000000000000005</v>
      </c>
      <c r="BJ543" s="494" t="s">
        <v>186</v>
      </c>
      <c r="BK543" s="401"/>
    </row>
    <row r="544" spans="1:63" ht="150">
      <c r="A544" s="401">
        <v>2</v>
      </c>
      <c r="B544" s="494" t="s">
        <v>2820</v>
      </c>
      <c r="C544" s="401" t="s">
        <v>83</v>
      </c>
      <c r="D544" s="401" t="s">
        <v>231</v>
      </c>
      <c r="E544" s="494" t="s">
        <v>5853</v>
      </c>
      <c r="F544" s="401" t="s">
        <v>1752</v>
      </c>
      <c r="G544" s="401" t="s">
        <v>2344</v>
      </c>
      <c r="H544" s="499">
        <v>834040</v>
      </c>
      <c r="I544" s="486" t="s">
        <v>2821</v>
      </c>
      <c r="J544" s="496" t="s">
        <v>5698</v>
      </c>
      <c r="K544" s="496" t="s">
        <v>5698</v>
      </c>
      <c r="L544" s="496" t="s">
        <v>1772</v>
      </c>
      <c r="M544" s="500" t="s">
        <v>1755</v>
      </c>
      <c r="N544" s="496" t="s">
        <v>1773</v>
      </c>
      <c r="O544" s="496" t="s">
        <v>2234</v>
      </c>
      <c r="P544" s="489">
        <v>1020.96</v>
      </c>
      <c r="Q544" s="489">
        <f t="shared" si="95"/>
        <v>1204.7328</v>
      </c>
      <c r="R544" s="489">
        <v>812.86800000000005</v>
      </c>
      <c r="S544" s="401" t="s">
        <v>1774</v>
      </c>
      <c r="T544" s="501">
        <v>1.087</v>
      </c>
      <c r="U544" s="501">
        <v>1.077</v>
      </c>
      <c r="V544" s="501">
        <v>1.073</v>
      </c>
      <c r="W544" s="501">
        <v>1.071</v>
      </c>
      <c r="X544" s="596">
        <v>0.9</v>
      </c>
      <c r="Y544" s="502">
        <v>983.976</v>
      </c>
      <c r="Z544" s="489">
        <f t="shared" si="96"/>
        <v>1161.09168</v>
      </c>
      <c r="AA544" s="489">
        <v>912.34804876391831</v>
      </c>
      <c r="AB544" s="488">
        <f t="shared" si="97"/>
        <v>1076.5706975414234</v>
      </c>
      <c r="AC544" s="492">
        <f t="shared" si="98"/>
        <v>912.34804876391831</v>
      </c>
      <c r="AD544" s="493">
        <f t="shared" si="99"/>
        <v>1076.5706975414234</v>
      </c>
      <c r="AE544" s="494" t="s">
        <v>1775</v>
      </c>
      <c r="AF544" s="494" t="s">
        <v>83</v>
      </c>
      <c r="AG544" s="494" t="s">
        <v>211</v>
      </c>
      <c r="AH544" s="494" t="s">
        <v>545</v>
      </c>
      <c r="AI544" s="495">
        <v>41927</v>
      </c>
      <c r="AJ544" s="495">
        <v>41962</v>
      </c>
      <c r="AK544" s="494" t="s">
        <v>96</v>
      </c>
      <c r="AL544" s="494" t="s">
        <v>96</v>
      </c>
      <c r="AM544" s="496" t="s">
        <v>5699</v>
      </c>
      <c r="AN544" s="496" t="s">
        <v>1757</v>
      </c>
      <c r="AO544" s="494">
        <v>796</v>
      </c>
      <c r="AP544" s="494" t="s">
        <v>368</v>
      </c>
      <c r="AQ544" s="494">
        <v>1</v>
      </c>
      <c r="AR544" s="494">
        <v>46</v>
      </c>
      <c r="AS544" s="496" t="s">
        <v>605</v>
      </c>
      <c r="AT544" s="495">
        <v>41982</v>
      </c>
      <c r="AU544" s="495">
        <v>41982</v>
      </c>
      <c r="AV544" s="495">
        <v>42185</v>
      </c>
      <c r="AW544" s="494" t="s">
        <v>99</v>
      </c>
      <c r="AX544" s="496"/>
      <c r="AY544" s="494" t="s">
        <v>186</v>
      </c>
      <c r="AZ544" s="494"/>
      <c r="BA544" s="494">
        <v>2014</v>
      </c>
      <c r="BB544" s="494" t="s">
        <v>2822</v>
      </c>
      <c r="BC544" s="496" t="s">
        <v>2823</v>
      </c>
      <c r="BD544" s="496" t="s">
        <v>1818</v>
      </c>
      <c r="BE544" s="497">
        <v>42185</v>
      </c>
      <c r="BF544" s="498">
        <v>1188.1947717615169</v>
      </c>
      <c r="BG544" s="488">
        <v>1188.1947717615169</v>
      </c>
      <c r="BH544" s="488">
        <v>0</v>
      </c>
      <c r="BI544" s="488">
        <v>0.68</v>
      </c>
      <c r="BJ544" s="494" t="s">
        <v>186</v>
      </c>
      <c r="BK544" s="401"/>
    </row>
    <row r="545" spans="1:63" ht="150">
      <c r="A545" s="401">
        <v>2</v>
      </c>
      <c r="B545" s="494" t="s">
        <v>2824</v>
      </c>
      <c r="C545" s="401" t="s">
        <v>83</v>
      </c>
      <c r="D545" s="401" t="s">
        <v>231</v>
      </c>
      <c r="E545" s="494" t="s">
        <v>5853</v>
      </c>
      <c r="F545" s="401" t="s">
        <v>1752</v>
      </c>
      <c r="G545" s="401" t="s">
        <v>2344</v>
      </c>
      <c r="H545" s="499">
        <v>834039</v>
      </c>
      <c r="I545" s="486" t="s">
        <v>2825</v>
      </c>
      <c r="J545" s="496" t="s">
        <v>5698</v>
      </c>
      <c r="K545" s="496" t="s">
        <v>5698</v>
      </c>
      <c r="L545" s="496" t="s">
        <v>1772</v>
      </c>
      <c r="M545" s="500" t="s">
        <v>1755</v>
      </c>
      <c r="N545" s="496" t="s">
        <v>1773</v>
      </c>
      <c r="O545" s="496" t="s">
        <v>2234</v>
      </c>
      <c r="P545" s="489">
        <v>1201.1300000000001</v>
      </c>
      <c r="Q545" s="489">
        <f t="shared" si="95"/>
        <v>1417.3334</v>
      </c>
      <c r="R545" s="489">
        <v>956.31500000000005</v>
      </c>
      <c r="S545" s="401" t="s">
        <v>1774</v>
      </c>
      <c r="T545" s="501">
        <v>1.087</v>
      </c>
      <c r="U545" s="501">
        <v>1.077</v>
      </c>
      <c r="V545" s="501">
        <v>1.073</v>
      </c>
      <c r="W545" s="501">
        <v>1.071</v>
      </c>
      <c r="X545" s="596">
        <v>0.9</v>
      </c>
      <c r="Y545" s="502">
        <v>1157.6199999999999</v>
      </c>
      <c r="Z545" s="489">
        <f t="shared" si="96"/>
        <v>1365.9915999999998</v>
      </c>
      <c r="AA545" s="489">
        <v>1073.350668049691</v>
      </c>
      <c r="AB545" s="488">
        <f t="shared" si="97"/>
        <v>1266.5537882986353</v>
      </c>
      <c r="AC545" s="492">
        <f t="shared" si="98"/>
        <v>1073.350668049691</v>
      </c>
      <c r="AD545" s="493">
        <f t="shared" si="99"/>
        <v>1266.5537882986353</v>
      </c>
      <c r="AE545" s="494" t="s">
        <v>1775</v>
      </c>
      <c r="AF545" s="494" t="s">
        <v>83</v>
      </c>
      <c r="AG545" s="494" t="s">
        <v>211</v>
      </c>
      <c r="AH545" s="494" t="s">
        <v>545</v>
      </c>
      <c r="AI545" s="495">
        <v>41927</v>
      </c>
      <c r="AJ545" s="495">
        <v>41962</v>
      </c>
      <c r="AK545" s="494" t="s">
        <v>96</v>
      </c>
      <c r="AL545" s="494" t="s">
        <v>96</v>
      </c>
      <c r="AM545" s="496" t="s">
        <v>5699</v>
      </c>
      <c r="AN545" s="496" t="s">
        <v>1757</v>
      </c>
      <c r="AO545" s="494">
        <v>796</v>
      </c>
      <c r="AP545" s="494" t="s">
        <v>368</v>
      </c>
      <c r="AQ545" s="494">
        <v>1</v>
      </c>
      <c r="AR545" s="494">
        <v>46</v>
      </c>
      <c r="AS545" s="496" t="s">
        <v>605</v>
      </c>
      <c r="AT545" s="495">
        <v>41982</v>
      </c>
      <c r="AU545" s="495">
        <v>41982</v>
      </c>
      <c r="AV545" s="495">
        <v>42185</v>
      </c>
      <c r="AW545" s="494" t="s">
        <v>99</v>
      </c>
      <c r="AX545" s="496"/>
      <c r="AY545" s="494" t="s">
        <v>186</v>
      </c>
      <c r="AZ545" s="494"/>
      <c r="BA545" s="494">
        <v>2014</v>
      </c>
      <c r="BB545" s="494" t="s">
        <v>2826</v>
      </c>
      <c r="BC545" s="496" t="s">
        <v>2827</v>
      </c>
      <c r="BD545" s="496" t="s">
        <v>1818</v>
      </c>
      <c r="BE545" s="497">
        <v>42185</v>
      </c>
      <c r="BF545" s="498">
        <v>1397.8762058525022</v>
      </c>
      <c r="BG545" s="488">
        <v>1397.8762058525022</v>
      </c>
      <c r="BH545" s="488">
        <v>0</v>
      </c>
      <c r="BI545" s="488">
        <v>0.8</v>
      </c>
      <c r="BJ545" s="494" t="s">
        <v>186</v>
      </c>
      <c r="BK545" s="401"/>
    </row>
    <row r="546" spans="1:63" ht="150">
      <c r="A546" s="401">
        <v>2</v>
      </c>
      <c r="B546" s="494" t="s">
        <v>2828</v>
      </c>
      <c r="C546" s="401" t="s">
        <v>83</v>
      </c>
      <c r="D546" s="401" t="s">
        <v>231</v>
      </c>
      <c r="E546" s="494" t="s">
        <v>5853</v>
      </c>
      <c r="F546" s="401" t="s">
        <v>1752</v>
      </c>
      <c r="G546" s="401" t="s">
        <v>2344</v>
      </c>
      <c r="H546" s="499">
        <v>834038</v>
      </c>
      <c r="I546" s="486" t="s">
        <v>2829</v>
      </c>
      <c r="J546" s="496" t="s">
        <v>5698</v>
      </c>
      <c r="K546" s="496" t="s">
        <v>5698</v>
      </c>
      <c r="L546" s="496" t="s">
        <v>1772</v>
      </c>
      <c r="M546" s="500" t="s">
        <v>1755</v>
      </c>
      <c r="N546" s="496" t="s">
        <v>1773</v>
      </c>
      <c r="O546" s="496" t="s">
        <v>2234</v>
      </c>
      <c r="P546" s="489">
        <v>1831.73</v>
      </c>
      <c r="Q546" s="489">
        <f t="shared" si="95"/>
        <v>2161.4413999999997</v>
      </c>
      <c r="R546" s="489">
        <v>1458.384</v>
      </c>
      <c r="S546" s="401" t="s">
        <v>1774</v>
      </c>
      <c r="T546" s="501">
        <v>1.087</v>
      </c>
      <c r="U546" s="501">
        <v>1.077</v>
      </c>
      <c r="V546" s="501">
        <v>1.073</v>
      </c>
      <c r="W546" s="501">
        <v>1.071</v>
      </c>
      <c r="X546" s="596">
        <v>0.9</v>
      </c>
      <c r="Y546" s="502">
        <v>1765.374</v>
      </c>
      <c r="Z546" s="489">
        <f t="shared" si="96"/>
        <v>2083.1413199999997</v>
      </c>
      <c r="AA546" s="489">
        <v>1636.859911396974</v>
      </c>
      <c r="AB546" s="488">
        <f t="shared" si="97"/>
        <v>1931.4946954484292</v>
      </c>
      <c r="AC546" s="492">
        <f t="shared" si="98"/>
        <v>1636.859911396974</v>
      </c>
      <c r="AD546" s="493">
        <f t="shared" si="99"/>
        <v>1931.4946954484292</v>
      </c>
      <c r="AE546" s="494" t="s">
        <v>1775</v>
      </c>
      <c r="AF546" s="494" t="s">
        <v>83</v>
      </c>
      <c r="AG546" s="494" t="s">
        <v>211</v>
      </c>
      <c r="AH546" s="494" t="s">
        <v>545</v>
      </c>
      <c r="AI546" s="495">
        <v>41927</v>
      </c>
      <c r="AJ546" s="495">
        <v>41962</v>
      </c>
      <c r="AK546" s="494" t="s">
        <v>96</v>
      </c>
      <c r="AL546" s="494" t="s">
        <v>96</v>
      </c>
      <c r="AM546" s="496" t="s">
        <v>5699</v>
      </c>
      <c r="AN546" s="496" t="s">
        <v>1757</v>
      </c>
      <c r="AO546" s="494">
        <v>796</v>
      </c>
      <c r="AP546" s="494" t="s">
        <v>368</v>
      </c>
      <c r="AQ546" s="494">
        <v>1</v>
      </c>
      <c r="AR546" s="494">
        <v>46</v>
      </c>
      <c r="AS546" s="496" t="s">
        <v>605</v>
      </c>
      <c r="AT546" s="495">
        <v>41982</v>
      </c>
      <c r="AU546" s="495">
        <v>41982</v>
      </c>
      <c r="AV546" s="495">
        <v>42185</v>
      </c>
      <c r="AW546" s="494" t="s">
        <v>99</v>
      </c>
      <c r="AX546" s="496"/>
      <c r="AY546" s="494" t="s">
        <v>186</v>
      </c>
      <c r="AZ546" s="494"/>
      <c r="BA546" s="494">
        <v>2014</v>
      </c>
      <c r="BB546" s="494" t="s">
        <v>2830</v>
      </c>
      <c r="BC546" s="496" t="s">
        <v>2831</v>
      </c>
      <c r="BD546" s="496" t="s">
        <v>1818</v>
      </c>
      <c r="BE546" s="497">
        <v>42185</v>
      </c>
      <c r="BF546" s="498">
        <v>2131.7612043449481</v>
      </c>
      <c r="BG546" s="488">
        <v>2131.7612043449481</v>
      </c>
      <c r="BH546" s="488">
        <v>0</v>
      </c>
      <c r="BI546" s="488">
        <v>1.22</v>
      </c>
      <c r="BJ546" s="494" t="s">
        <v>186</v>
      </c>
      <c r="BK546" s="401"/>
    </row>
    <row r="547" spans="1:63" ht="150">
      <c r="A547" s="401">
        <v>2</v>
      </c>
      <c r="B547" s="494" t="s">
        <v>2832</v>
      </c>
      <c r="C547" s="401" t="s">
        <v>83</v>
      </c>
      <c r="D547" s="401" t="s">
        <v>231</v>
      </c>
      <c r="E547" s="494" t="s">
        <v>5853</v>
      </c>
      <c r="F547" s="401" t="s">
        <v>1752</v>
      </c>
      <c r="G547" s="401" t="s">
        <v>2344</v>
      </c>
      <c r="H547" s="499">
        <v>834036</v>
      </c>
      <c r="I547" s="486" t="s">
        <v>2833</v>
      </c>
      <c r="J547" s="496" t="s">
        <v>5698</v>
      </c>
      <c r="K547" s="496" t="s">
        <v>5698</v>
      </c>
      <c r="L547" s="496" t="s">
        <v>1772</v>
      </c>
      <c r="M547" s="500" t="s">
        <v>1755</v>
      </c>
      <c r="N547" s="496" t="s">
        <v>1773</v>
      </c>
      <c r="O547" s="496" t="s">
        <v>2234</v>
      </c>
      <c r="P547" s="489">
        <v>750.71</v>
      </c>
      <c r="Q547" s="489">
        <f t="shared" si="95"/>
        <v>885.83780000000002</v>
      </c>
      <c r="R547" s="489">
        <v>597.697</v>
      </c>
      <c r="S547" s="401" t="s">
        <v>1774</v>
      </c>
      <c r="T547" s="501">
        <v>1.087</v>
      </c>
      <c r="U547" s="501">
        <v>1.077</v>
      </c>
      <c r="V547" s="501">
        <v>1.073</v>
      </c>
      <c r="W547" s="501">
        <v>1.071</v>
      </c>
      <c r="X547" s="596">
        <v>0.9</v>
      </c>
      <c r="Y547" s="502">
        <v>723.51199999999994</v>
      </c>
      <c r="Z547" s="489">
        <f t="shared" si="96"/>
        <v>853.74415999999985</v>
      </c>
      <c r="AA547" s="489">
        <v>670.84426420964292</v>
      </c>
      <c r="AB547" s="488">
        <f t="shared" si="97"/>
        <v>791.59623176737864</v>
      </c>
      <c r="AC547" s="492">
        <f t="shared" si="98"/>
        <v>670.84426420964292</v>
      </c>
      <c r="AD547" s="493">
        <f t="shared" si="99"/>
        <v>791.59623176737864</v>
      </c>
      <c r="AE547" s="494" t="s">
        <v>1775</v>
      </c>
      <c r="AF547" s="494" t="s">
        <v>83</v>
      </c>
      <c r="AG547" s="494" t="s">
        <v>211</v>
      </c>
      <c r="AH547" s="494" t="s">
        <v>545</v>
      </c>
      <c r="AI547" s="495">
        <v>41927</v>
      </c>
      <c r="AJ547" s="495">
        <v>41962</v>
      </c>
      <c r="AK547" s="494" t="s">
        <v>96</v>
      </c>
      <c r="AL547" s="494" t="s">
        <v>96</v>
      </c>
      <c r="AM547" s="496" t="s">
        <v>5699</v>
      </c>
      <c r="AN547" s="496" t="s">
        <v>1757</v>
      </c>
      <c r="AO547" s="494">
        <v>796</v>
      </c>
      <c r="AP547" s="494" t="s">
        <v>368</v>
      </c>
      <c r="AQ547" s="494">
        <v>1</v>
      </c>
      <c r="AR547" s="494">
        <v>46</v>
      </c>
      <c r="AS547" s="496" t="s">
        <v>605</v>
      </c>
      <c r="AT547" s="495">
        <v>41982</v>
      </c>
      <c r="AU547" s="495">
        <v>41982</v>
      </c>
      <c r="AV547" s="495">
        <v>42185</v>
      </c>
      <c r="AW547" s="494" t="s">
        <v>99</v>
      </c>
      <c r="AX547" s="496"/>
      <c r="AY547" s="494" t="s">
        <v>186</v>
      </c>
      <c r="AZ547" s="494"/>
      <c r="BA547" s="494">
        <v>2014</v>
      </c>
      <c r="BB547" s="494" t="s">
        <v>2834</v>
      </c>
      <c r="BC547" s="496" t="s">
        <v>2835</v>
      </c>
      <c r="BD547" s="496" t="s">
        <v>1818</v>
      </c>
      <c r="BE547" s="497">
        <v>42185</v>
      </c>
      <c r="BF547" s="498">
        <v>873.67262629523293</v>
      </c>
      <c r="BG547" s="488">
        <v>873.67262629523293</v>
      </c>
      <c r="BH547" s="488">
        <v>0</v>
      </c>
      <c r="BI547" s="488">
        <v>0.5</v>
      </c>
      <c r="BJ547" s="494" t="s">
        <v>186</v>
      </c>
      <c r="BK547" s="401"/>
    </row>
    <row r="548" spans="1:63" ht="150">
      <c r="A548" s="401">
        <v>2</v>
      </c>
      <c r="B548" s="494" t="s">
        <v>2836</v>
      </c>
      <c r="C548" s="401" t="s">
        <v>83</v>
      </c>
      <c r="D548" s="401" t="s">
        <v>231</v>
      </c>
      <c r="E548" s="494" t="s">
        <v>5853</v>
      </c>
      <c r="F548" s="401" t="s">
        <v>1752</v>
      </c>
      <c r="G548" s="401" t="s">
        <v>2344</v>
      </c>
      <c r="H548" s="499">
        <v>834035</v>
      </c>
      <c r="I548" s="486" t="s">
        <v>2837</v>
      </c>
      <c r="J548" s="496" t="s">
        <v>5698</v>
      </c>
      <c r="K548" s="496" t="s">
        <v>5698</v>
      </c>
      <c r="L548" s="496" t="s">
        <v>1772</v>
      </c>
      <c r="M548" s="500" t="s">
        <v>1755</v>
      </c>
      <c r="N548" s="496" t="s">
        <v>1773</v>
      </c>
      <c r="O548" s="496" t="s">
        <v>2234</v>
      </c>
      <c r="P548" s="489">
        <v>510.48</v>
      </c>
      <c r="Q548" s="489">
        <f t="shared" ref="Q548:Q582" si="100">P548*1.18</f>
        <v>602.3664</v>
      </c>
      <c r="R548" s="489">
        <v>406.43299999999999</v>
      </c>
      <c r="S548" s="401" t="s">
        <v>1774</v>
      </c>
      <c r="T548" s="501">
        <v>1.087</v>
      </c>
      <c r="U548" s="501">
        <v>1.077</v>
      </c>
      <c r="V548" s="501">
        <v>1.073</v>
      </c>
      <c r="W548" s="501">
        <v>1.071</v>
      </c>
      <c r="X548" s="596">
        <v>0.9</v>
      </c>
      <c r="Y548" s="502">
        <v>491.98700000000002</v>
      </c>
      <c r="Z548" s="489">
        <f t="shared" ref="Z548:Z582" si="101">Y548*1.18</f>
        <v>580.54466000000002</v>
      </c>
      <c r="AA548" s="489">
        <v>456.17409113468511</v>
      </c>
      <c r="AB548" s="488">
        <f t="shared" ref="AB548:AB582" si="102">AA548*1.18</f>
        <v>538.28542753892839</v>
      </c>
      <c r="AC548" s="492">
        <f t="shared" ref="AC548:AC611" si="103">IF(Y548&lt;AA548,Y548,AA548)</f>
        <v>456.17409113468511</v>
      </c>
      <c r="AD548" s="493">
        <f t="shared" ref="AD548:AD582" si="104">AC548*1.18</f>
        <v>538.28542753892839</v>
      </c>
      <c r="AE548" s="494" t="s">
        <v>1775</v>
      </c>
      <c r="AF548" s="494" t="s">
        <v>83</v>
      </c>
      <c r="AG548" s="494" t="s">
        <v>211</v>
      </c>
      <c r="AH548" s="494" t="s">
        <v>545</v>
      </c>
      <c r="AI548" s="495">
        <v>41927</v>
      </c>
      <c r="AJ548" s="495">
        <v>41962</v>
      </c>
      <c r="AK548" s="494" t="s">
        <v>96</v>
      </c>
      <c r="AL548" s="494" t="s">
        <v>96</v>
      </c>
      <c r="AM548" s="496" t="s">
        <v>5699</v>
      </c>
      <c r="AN548" s="496" t="s">
        <v>1757</v>
      </c>
      <c r="AO548" s="494">
        <v>796</v>
      </c>
      <c r="AP548" s="494" t="s">
        <v>368</v>
      </c>
      <c r="AQ548" s="494">
        <v>1</v>
      </c>
      <c r="AR548" s="494">
        <v>46</v>
      </c>
      <c r="AS548" s="496" t="s">
        <v>605</v>
      </c>
      <c r="AT548" s="495">
        <v>41982</v>
      </c>
      <c r="AU548" s="495">
        <v>41982</v>
      </c>
      <c r="AV548" s="495">
        <v>42185</v>
      </c>
      <c r="AW548" s="494" t="s">
        <v>99</v>
      </c>
      <c r="AX548" s="496"/>
      <c r="AY548" s="494" t="s">
        <v>186</v>
      </c>
      <c r="AZ548" s="494"/>
      <c r="BA548" s="494">
        <v>2014</v>
      </c>
      <c r="BB548" s="494" t="s">
        <v>2838</v>
      </c>
      <c r="BC548" s="496" t="s">
        <v>2839</v>
      </c>
      <c r="BD548" s="496" t="s">
        <v>1818</v>
      </c>
      <c r="BE548" s="497">
        <v>42185</v>
      </c>
      <c r="BF548" s="498">
        <v>594.09738588075845</v>
      </c>
      <c r="BG548" s="488">
        <v>594.09738588075845</v>
      </c>
      <c r="BH548" s="488">
        <v>0</v>
      </c>
      <c r="BI548" s="488">
        <v>0.34</v>
      </c>
      <c r="BJ548" s="494" t="s">
        <v>186</v>
      </c>
      <c r="BK548" s="401"/>
    </row>
    <row r="549" spans="1:63" ht="150">
      <c r="A549" s="401">
        <v>2</v>
      </c>
      <c r="B549" s="494" t="s">
        <v>2840</v>
      </c>
      <c r="C549" s="401" t="s">
        <v>83</v>
      </c>
      <c r="D549" s="401" t="s">
        <v>231</v>
      </c>
      <c r="E549" s="494" t="s">
        <v>5853</v>
      </c>
      <c r="F549" s="401" t="s">
        <v>1752</v>
      </c>
      <c r="G549" s="401" t="s">
        <v>2344</v>
      </c>
      <c r="H549" s="499">
        <v>834034</v>
      </c>
      <c r="I549" s="486" t="s">
        <v>2841</v>
      </c>
      <c r="J549" s="496" t="s">
        <v>5698</v>
      </c>
      <c r="K549" s="496" t="s">
        <v>5698</v>
      </c>
      <c r="L549" s="496" t="s">
        <v>1772</v>
      </c>
      <c r="M549" s="500" t="s">
        <v>1755</v>
      </c>
      <c r="N549" s="496" t="s">
        <v>1773</v>
      </c>
      <c r="O549" s="496" t="s">
        <v>2234</v>
      </c>
      <c r="P549" s="489">
        <v>631.59</v>
      </c>
      <c r="Q549" s="489">
        <f t="shared" si="100"/>
        <v>745.27620000000002</v>
      </c>
      <c r="R549" s="489">
        <v>502.065</v>
      </c>
      <c r="S549" s="401" t="s">
        <v>1774</v>
      </c>
      <c r="T549" s="501">
        <v>1.087</v>
      </c>
      <c r="U549" s="501">
        <v>1.077</v>
      </c>
      <c r="V549" s="501">
        <v>1.073</v>
      </c>
      <c r="W549" s="501">
        <v>1.071</v>
      </c>
      <c r="X549" s="596">
        <v>0.9</v>
      </c>
      <c r="Y549" s="502">
        <v>607.75</v>
      </c>
      <c r="Z549" s="489">
        <f t="shared" si="101"/>
        <v>717.14499999999998</v>
      </c>
      <c r="AA549" s="489">
        <v>563.50918087372031</v>
      </c>
      <c r="AB549" s="488">
        <f t="shared" si="102"/>
        <v>664.94083343098998</v>
      </c>
      <c r="AC549" s="492">
        <f t="shared" si="103"/>
        <v>563.50918087372031</v>
      </c>
      <c r="AD549" s="493">
        <f t="shared" si="104"/>
        <v>664.94083343098998</v>
      </c>
      <c r="AE549" s="494" t="s">
        <v>1775</v>
      </c>
      <c r="AF549" s="494" t="s">
        <v>83</v>
      </c>
      <c r="AG549" s="494" t="s">
        <v>211</v>
      </c>
      <c r="AH549" s="494" t="s">
        <v>545</v>
      </c>
      <c r="AI549" s="495">
        <v>41927</v>
      </c>
      <c r="AJ549" s="495">
        <v>41962</v>
      </c>
      <c r="AK549" s="494" t="s">
        <v>96</v>
      </c>
      <c r="AL549" s="494" t="s">
        <v>96</v>
      </c>
      <c r="AM549" s="496" t="s">
        <v>5699</v>
      </c>
      <c r="AN549" s="496" t="s">
        <v>1757</v>
      </c>
      <c r="AO549" s="494">
        <v>796</v>
      </c>
      <c r="AP549" s="494" t="s">
        <v>368</v>
      </c>
      <c r="AQ549" s="494">
        <v>1</v>
      </c>
      <c r="AR549" s="494">
        <v>46</v>
      </c>
      <c r="AS549" s="496" t="s">
        <v>605</v>
      </c>
      <c r="AT549" s="495">
        <v>41982</v>
      </c>
      <c r="AU549" s="495">
        <v>41982</v>
      </c>
      <c r="AV549" s="495">
        <v>42185</v>
      </c>
      <c r="AW549" s="494" t="s">
        <v>99</v>
      </c>
      <c r="AX549" s="496"/>
      <c r="AY549" s="494" t="s">
        <v>186</v>
      </c>
      <c r="AZ549" s="494"/>
      <c r="BA549" s="494">
        <v>2014</v>
      </c>
      <c r="BB549" s="494" t="s">
        <v>2842</v>
      </c>
      <c r="BC549" s="496" t="s">
        <v>2843</v>
      </c>
      <c r="BD549" s="496" t="s">
        <v>1818</v>
      </c>
      <c r="BE549" s="497">
        <v>42185</v>
      </c>
      <c r="BF549" s="498">
        <v>733.88500608799552</v>
      </c>
      <c r="BG549" s="488">
        <v>733.88500608799552</v>
      </c>
      <c r="BH549" s="488">
        <v>0</v>
      </c>
      <c r="BI549" s="488">
        <v>0.42</v>
      </c>
      <c r="BJ549" s="494" t="s">
        <v>186</v>
      </c>
      <c r="BK549" s="401"/>
    </row>
    <row r="550" spans="1:63" ht="150">
      <c r="A550" s="401">
        <v>2</v>
      </c>
      <c r="B550" s="494" t="s">
        <v>2844</v>
      </c>
      <c r="C550" s="401" t="s">
        <v>83</v>
      </c>
      <c r="D550" s="401" t="s">
        <v>231</v>
      </c>
      <c r="E550" s="494" t="s">
        <v>5853</v>
      </c>
      <c r="F550" s="401" t="s">
        <v>1752</v>
      </c>
      <c r="G550" s="401" t="s">
        <v>2344</v>
      </c>
      <c r="H550" s="499">
        <v>834033</v>
      </c>
      <c r="I550" s="486" t="s">
        <v>2845</v>
      </c>
      <c r="J550" s="496" t="s">
        <v>5698</v>
      </c>
      <c r="K550" s="496" t="s">
        <v>5698</v>
      </c>
      <c r="L550" s="496" t="s">
        <v>1772</v>
      </c>
      <c r="M550" s="500" t="s">
        <v>1755</v>
      </c>
      <c r="N550" s="496" t="s">
        <v>1773</v>
      </c>
      <c r="O550" s="496" t="s">
        <v>2234</v>
      </c>
      <c r="P550" s="489">
        <v>1786.69</v>
      </c>
      <c r="Q550" s="489">
        <f t="shared" si="100"/>
        <v>2108.2941999999998</v>
      </c>
      <c r="R550" s="489">
        <v>1422.52</v>
      </c>
      <c r="S550" s="401" t="s">
        <v>1774</v>
      </c>
      <c r="T550" s="501">
        <v>1.087</v>
      </c>
      <c r="U550" s="501">
        <v>1.077</v>
      </c>
      <c r="V550" s="501">
        <v>1.073</v>
      </c>
      <c r="W550" s="501">
        <v>1.071</v>
      </c>
      <c r="X550" s="596">
        <v>0.9</v>
      </c>
      <c r="Y550" s="502">
        <v>1721.961</v>
      </c>
      <c r="Z550" s="489">
        <f t="shared" si="101"/>
        <v>2031.9139799999998</v>
      </c>
      <c r="AA550" s="489">
        <v>1596.6092275716555</v>
      </c>
      <c r="AB550" s="488">
        <f t="shared" si="102"/>
        <v>1883.9988885345535</v>
      </c>
      <c r="AC550" s="492">
        <f t="shared" si="103"/>
        <v>1596.6092275716555</v>
      </c>
      <c r="AD550" s="493">
        <f t="shared" si="104"/>
        <v>1883.9988885345535</v>
      </c>
      <c r="AE550" s="494" t="s">
        <v>1775</v>
      </c>
      <c r="AF550" s="494" t="s">
        <v>83</v>
      </c>
      <c r="AG550" s="494" t="s">
        <v>211</v>
      </c>
      <c r="AH550" s="494" t="s">
        <v>545</v>
      </c>
      <c r="AI550" s="495">
        <v>41927</v>
      </c>
      <c r="AJ550" s="495">
        <v>41962</v>
      </c>
      <c r="AK550" s="494" t="s">
        <v>96</v>
      </c>
      <c r="AL550" s="494" t="s">
        <v>96</v>
      </c>
      <c r="AM550" s="496" t="s">
        <v>5699</v>
      </c>
      <c r="AN550" s="496" t="s">
        <v>1757</v>
      </c>
      <c r="AO550" s="494">
        <v>796</v>
      </c>
      <c r="AP550" s="494" t="s">
        <v>368</v>
      </c>
      <c r="AQ550" s="494">
        <v>1</v>
      </c>
      <c r="AR550" s="494">
        <v>46</v>
      </c>
      <c r="AS550" s="496" t="s">
        <v>605</v>
      </c>
      <c r="AT550" s="495">
        <v>41982</v>
      </c>
      <c r="AU550" s="495">
        <v>41982</v>
      </c>
      <c r="AV550" s="495">
        <v>42185</v>
      </c>
      <c r="AW550" s="494" t="s">
        <v>99</v>
      </c>
      <c r="AX550" s="496"/>
      <c r="AY550" s="494" t="s">
        <v>186</v>
      </c>
      <c r="AZ550" s="494"/>
      <c r="BA550" s="494">
        <v>2014</v>
      </c>
      <c r="BB550" s="494" t="s">
        <v>2846</v>
      </c>
      <c r="BC550" s="496" t="s">
        <v>2847</v>
      </c>
      <c r="BD550" s="496" t="s">
        <v>1818</v>
      </c>
      <c r="BE550" s="497">
        <v>42185</v>
      </c>
      <c r="BF550" s="498">
        <v>2079.3408505826542</v>
      </c>
      <c r="BG550" s="488">
        <v>2079.3408505826542</v>
      </c>
      <c r="BH550" s="488">
        <v>0</v>
      </c>
      <c r="BI550" s="488">
        <v>1.19</v>
      </c>
      <c r="BJ550" s="494" t="s">
        <v>186</v>
      </c>
      <c r="BK550" s="401"/>
    </row>
    <row r="551" spans="1:63" ht="150">
      <c r="A551" s="401">
        <v>2</v>
      </c>
      <c r="B551" s="494" t="s">
        <v>2848</v>
      </c>
      <c r="C551" s="401" t="s">
        <v>83</v>
      </c>
      <c r="D551" s="401" t="s">
        <v>231</v>
      </c>
      <c r="E551" s="494" t="s">
        <v>5853</v>
      </c>
      <c r="F551" s="401" t="s">
        <v>1752</v>
      </c>
      <c r="G551" s="401" t="s">
        <v>2344</v>
      </c>
      <c r="H551" s="499">
        <v>834032</v>
      </c>
      <c r="I551" s="486" t="s">
        <v>2849</v>
      </c>
      <c r="J551" s="496" t="s">
        <v>5698</v>
      </c>
      <c r="K551" s="496" t="s">
        <v>5698</v>
      </c>
      <c r="L551" s="496" t="s">
        <v>1772</v>
      </c>
      <c r="M551" s="500" t="s">
        <v>1755</v>
      </c>
      <c r="N551" s="496" t="s">
        <v>1773</v>
      </c>
      <c r="O551" s="496" t="s">
        <v>2234</v>
      </c>
      <c r="P551" s="489">
        <v>1531.45</v>
      </c>
      <c r="Q551" s="489">
        <f t="shared" si="100"/>
        <v>1807.1109999999999</v>
      </c>
      <c r="R551" s="489">
        <v>1219.3040000000001</v>
      </c>
      <c r="S551" s="401" t="s">
        <v>1774</v>
      </c>
      <c r="T551" s="501">
        <v>1.087</v>
      </c>
      <c r="U551" s="501">
        <v>1.077</v>
      </c>
      <c r="V551" s="501">
        <v>1.073</v>
      </c>
      <c r="W551" s="501">
        <v>1.071</v>
      </c>
      <c r="X551" s="596">
        <v>0.9</v>
      </c>
      <c r="Y551" s="502">
        <v>1475.9670000000001</v>
      </c>
      <c r="Z551" s="489">
        <f t="shared" si="101"/>
        <v>1741.6410599999999</v>
      </c>
      <c r="AA551" s="489">
        <v>1368.5221131276319</v>
      </c>
      <c r="AB551" s="488">
        <f t="shared" si="102"/>
        <v>1614.8560934906056</v>
      </c>
      <c r="AC551" s="492">
        <f t="shared" si="103"/>
        <v>1368.5221131276319</v>
      </c>
      <c r="AD551" s="493">
        <f t="shared" si="104"/>
        <v>1614.8560934906056</v>
      </c>
      <c r="AE551" s="494" t="s">
        <v>1775</v>
      </c>
      <c r="AF551" s="494" t="s">
        <v>83</v>
      </c>
      <c r="AG551" s="494" t="s">
        <v>211</v>
      </c>
      <c r="AH551" s="494" t="s">
        <v>545</v>
      </c>
      <c r="AI551" s="495">
        <v>41927</v>
      </c>
      <c r="AJ551" s="495">
        <v>41962</v>
      </c>
      <c r="AK551" s="494" t="s">
        <v>96</v>
      </c>
      <c r="AL551" s="494" t="s">
        <v>96</v>
      </c>
      <c r="AM551" s="496" t="s">
        <v>5699</v>
      </c>
      <c r="AN551" s="496" t="s">
        <v>1757</v>
      </c>
      <c r="AO551" s="494">
        <v>796</v>
      </c>
      <c r="AP551" s="494" t="s">
        <v>368</v>
      </c>
      <c r="AQ551" s="494">
        <v>1</v>
      </c>
      <c r="AR551" s="494">
        <v>46</v>
      </c>
      <c r="AS551" s="496" t="s">
        <v>605</v>
      </c>
      <c r="AT551" s="495">
        <v>41982</v>
      </c>
      <c r="AU551" s="495">
        <v>41982</v>
      </c>
      <c r="AV551" s="495">
        <v>42185</v>
      </c>
      <c r="AW551" s="494" t="s">
        <v>99</v>
      </c>
      <c r="AX551" s="496"/>
      <c r="AY551" s="494" t="s">
        <v>186</v>
      </c>
      <c r="AZ551" s="494"/>
      <c r="BA551" s="494">
        <v>2014</v>
      </c>
      <c r="BB551" s="494" t="s">
        <v>2850</v>
      </c>
      <c r="BC551" s="496" t="s">
        <v>2851</v>
      </c>
      <c r="BD551" s="496" t="s">
        <v>1818</v>
      </c>
      <c r="BE551" s="497">
        <v>42185</v>
      </c>
      <c r="BF551" s="498">
        <v>1782.2921576422755</v>
      </c>
      <c r="BG551" s="488">
        <v>1782.2921576422755</v>
      </c>
      <c r="BH551" s="488">
        <v>0</v>
      </c>
      <c r="BI551" s="488">
        <v>1.02</v>
      </c>
      <c r="BJ551" s="494" t="s">
        <v>186</v>
      </c>
      <c r="BK551" s="401"/>
    </row>
    <row r="552" spans="1:63" ht="150">
      <c r="A552" s="401">
        <v>2</v>
      </c>
      <c r="B552" s="494" t="s">
        <v>2852</v>
      </c>
      <c r="C552" s="401" t="s">
        <v>83</v>
      </c>
      <c r="D552" s="401" t="s">
        <v>231</v>
      </c>
      <c r="E552" s="494" t="s">
        <v>5853</v>
      </c>
      <c r="F552" s="401" t="s">
        <v>1752</v>
      </c>
      <c r="G552" s="401" t="s">
        <v>2344</v>
      </c>
      <c r="H552" s="499">
        <v>834022</v>
      </c>
      <c r="I552" s="486" t="s">
        <v>2853</v>
      </c>
      <c r="J552" s="496" t="s">
        <v>5698</v>
      </c>
      <c r="K552" s="496" t="s">
        <v>5698</v>
      </c>
      <c r="L552" s="496" t="s">
        <v>1772</v>
      </c>
      <c r="M552" s="500" t="s">
        <v>1755</v>
      </c>
      <c r="N552" s="496" t="s">
        <v>1773</v>
      </c>
      <c r="O552" s="496" t="s">
        <v>2234</v>
      </c>
      <c r="P552" s="489">
        <v>2687.54</v>
      </c>
      <c r="Q552" s="489">
        <f t="shared" si="100"/>
        <v>3171.2972</v>
      </c>
      <c r="R552" s="489">
        <v>2139.7600000000002</v>
      </c>
      <c r="S552" s="401" t="s">
        <v>1774</v>
      </c>
      <c r="T552" s="501">
        <v>1.087</v>
      </c>
      <c r="U552" s="501">
        <v>1.077</v>
      </c>
      <c r="V552" s="501">
        <v>1.073</v>
      </c>
      <c r="W552" s="501">
        <v>1.071</v>
      </c>
      <c r="X552" s="596">
        <v>0.9</v>
      </c>
      <c r="Y552" s="502">
        <v>2590.1790000000001</v>
      </c>
      <c r="Z552" s="489">
        <f t="shared" si="101"/>
        <v>3056.41122</v>
      </c>
      <c r="AA552" s="489">
        <v>2401.6221241229723</v>
      </c>
      <c r="AB552" s="488">
        <f t="shared" si="102"/>
        <v>2833.9141064651071</v>
      </c>
      <c r="AC552" s="492">
        <f t="shared" si="103"/>
        <v>2401.6221241229723</v>
      </c>
      <c r="AD552" s="493">
        <f t="shared" si="104"/>
        <v>2833.9141064651071</v>
      </c>
      <c r="AE552" s="494" t="s">
        <v>1775</v>
      </c>
      <c r="AF552" s="494" t="s">
        <v>83</v>
      </c>
      <c r="AG552" s="494" t="s">
        <v>211</v>
      </c>
      <c r="AH552" s="494" t="s">
        <v>545</v>
      </c>
      <c r="AI552" s="495">
        <v>41927</v>
      </c>
      <c r="AJ552" s="495">
        <v>41962</v>
      </c>
      <c r="AK552" s="494" t="s">
        <v>96</v>
      </c>
      <c r="AL552" s="494" t="s">
        <v>96</v>
      </c>
      <c r="AM552" s="496" t="s">
        <v>5699</v>
      </c>
      <c r="AN552" s="496" t="s">
        <v>1757</v>
      </c>
      <c r="AO552" s="494">
        <v>796</v>
      </c>
      <c r="AP552" s="494" t="s">
        <v>368</v>
      </c>
      <c r="AQ552" s="494">
        <v>1</v>
      </c>
      <c r="AR552" s="494">
        <v>46</v>
      </c>
      <c r="AS552" s="496" t="s">
        <v>605</v>
      </c>
      <c r="AT552" s="495">
        <v>41982</v>
      </c>
      <c r="AU552" s="495">
        <v>41982</v>
      </c>
      <c r="AV552" s="495">
        <v>42185</v>
      </c>
      <c r="AW552" s="494" t="s">
        <v>99</v>
      </c>
      <c r="AX552" s="496"/>
      <c r="AY552" s="494" t="s">
        <v>186</v>
      </c>
      <c r="AZ552" s="494"/>
      <c r="BA552" s="494">
        <v>2014</v>
      </c>
      <c r="BB552" s="494" t="s">
        <v>2854</v>
      </c>
      <c r="BC552" s="496" t="s">
        <v>2855</v>
      </c>
      <c r="BD552" s="496" t="s">
        <v>1818</v>
      </c>
      <c r="BE552" s="497">
        <v>42185</v>
      </c>
      <c r="BF552" s="498">
        <v>3127.7480021369347</v>
      </c>
      <c r="BG552" s="488">
        <v>3127.7480021369347</v>
      </c>
      <c r="BH552" s="488">
        <v>0</v>
      </c>
      <c r="BI552" s="488">
        <v>1.79</v>
      </c>
      <c r="BJ552" s="494" t="s">
        <v>186</v>
      </c>
      <c r="BK552" s="401"/>
    </row>
    <row r="553" spans="1:63" ht="150">
      <c r="A553" s="401">
        <v>2</v>
      </c>
      <c r="B553" s="494" t="s">
        <v>2856</v>
      </c>
      <c r="C553" s="401" t="s">
        <v>83</v>
      </c>
      <c r="D553" s="401" t="s">
        <v>231</v>
      </c>
      <c r="E553" s="494" t="s">
        <v>5853</v>
      </c>
      <c r="F553" s="401" t="s">
        <v>1752</v>
      </c>
      <c r="G553" s="401" t="s">
        <v>2344</v>
      </c>
      <c r="H553" s="499">
        <v>834021</v>
      </c>
      <c r="I553" s="486" t="s">
        <v>2857</v>
      </c>
      <c r="J553" s="496" t="s">
        <v>5698</v>
      </c>
      <c r="K553" s="496" t="s">
        <v>5698</v>
      </c>
      <c r="L553" s="496" t="s">
        <v>1772</v>
      </c>
      <c r="M553" s="500" t="s">
        <v>1755</v>
      </c>
      <c r="N553" s="496" t="s">
        <v>1773</v>
      </c>
      <c r="O553" s="496" t="s">
        <v>2234</v>
      </c>
      <c r="P553" s="489">
        <v>2342.21</v>
      </c>
      <c r="Q553" s="489">
        <f t="shared" si="100"/>
        <v>2763.8078</v>
      </c>
      <c r="R553" s="489">
        <v>1864.818</v>
      </c>
      <c r="S553" s="401" t="s">
        <v>1774</v>
      </c>
      <c r="T553" s="501">
        <v>1.087</v>
      </c>
      <c r="U553" s="501">
        <v>1.077</v>
      </c>
      <c r="V553" s="501">
        <v>1.073</v>
      </c>
      <c r="W553" s="501">
        <v>1.071</v>
      </c>
      <c r="X553" s="596">
        <v>0.9</v>
      </c>
      <c r="Y553" s="502">
        <v>2257.3620000000001</v>
      </c>
      <c r="Z553" s="489">
        <f t="shared" si="101"/>
        <v>2663.6871599999999</v>
      </c>
      <c r="AA553" s="489">
        <v>2093.0337733785618</v>
      </c>
      <c r="AB553" s="488">
        <f t="shared" si="102"/>
        <v>2469.7798525867029</v>
      </c>
      <c r="AC553" s="492">
        <f t="shared" si="103"/>
        <v>2093.0337733785618</v>
      </c>
      <c r="AD553" s="493">
        <f t="shared" si="104"/>
        <v>2469.7798525867029</v>
      </c>
      <c r="AE553" s="494" t="s">
        <v>1775</v>
      </c>
      <c r="AF553" s="494" t="s">
        <v>83</v>
      </c>
      <c r="AG553" s="494" t="s">
        <v>211</v>
      </c>
      <c r="AH553" s="494" t="s">
        <v>545</v>
      </c>
      <c r="AI553" s="495">
        <v>41927</v>
      </c>
      <c r="AJ553" s="495">
        <v>41962</v>
      </c>
      <c r="AK553" s="494" t="s">
        <v>96</v>
      </c>
      <c r="AL553" s="494" t="s">
        <v>96</v>
      </c>
      <c r="AM553" s="496" t="s">
        <v>5699</v>
      </c>
      <c r="AN553" s="496" t="s">
        <v>1757</v>
      </c>
      <c r="AO553" s="494">
        <v>796</v>
      </c>
      <c r="AP553" s="494" t="s">
        <v>368</v>
      </c>
      <c r="AQ553" s="494">
        <v>1</v>
      </c>
      <c r="AR553" s="494">
        <v>46</v>
      </c>
      <c r="AS553" s="496" t="s">
        <v>605</v>
      </c>
      <c r="AT553" s="495">
        <v>41982</v>
      </c>
      <c r="AU553" s="495">
        <v>41982</v>
      </c>
      <c r="AV553" s="495">
        <v>42185</v>
      </c>
      <c r="AW553" s="494" t="s">
        <v>99</v>
      </c>
      <c r="AX553" s="496"/>
      <c r="AY553" s="494" t="s">
        <v>186</v>
      </c>
      <c r="AZ553" s="494"/>
      <c r="BA553" s="494">
        <v>2014</v>
      </c>
      <c r="BB553" s="494" t="s">
        <v>2858</v>
      </c>
      <c r="BC553" s="496" t="s">
        <v>2859</v>
      </c>
      <c r="BD553" s="496" t="s">
        <v>1818</v>
      </c>
      <c r="BE553" s="497">
        <v>42185</v>
      </c>
      <c r="BF553" s="498">
        <v>2725.8585940411272</v>
      </c>
      <c r="BG553" s="488">
        <v>2725.8585940411272</v>
      </c>
      <c r="BH553" s="488">
        <v>0</v>
      </c>
      <c r="BI553" s="488">
        <v>1.56</v>
      </c>
      <c r="BJ553" s="494" t="s">
        <v>186</v>
      </c>
      <c r="BK553" s="401"/>
    </row>
    <row r="554" spans="1:63" ht="150">
      <c r="A554" s="401">
        <v>2</v>
      </c>
      <c r="B554" s="494" t="s">
        <v>2860</v>
      </c>
      <c r="C554" s="401" t="s">
        <v>83</v>
      </c>
      <c r="D554" s="401" t="s">
        <v>231</v>
      </c>
      <c r="E554" s="494" t="s">
        <v>5853</v>
      </c>
      <c r="F554" s="401" t="s">
        <v>1752</v>
      </c>
      <c r="G554" s="401" t="s">
        <v>2344</v>
      </c>
      <c r="H554" s="499">
        <v>834020</v>
      </c>
      <c r="I554" s="486" t="s">
        <v>2861</v>
      </c>
      <c r="J554" s="496" t="s">
        <v>5698</v>
      </c>
      <c r="K554" s="496" t="s">
        <v>5698</v>
      </c>
      <c r="L554" s="496" t="s">
        <v>1772</v>
      </c>
      <c r="M554" s="500" t="s">
        <v>1755</v>
      </c>
      <c r="N554" s="496" t="s">
        <v>1773</v>
      </c>
      <c r="O554" s="496" t="s">
        <v>2234</v>
      </c>
      <c r="P554" s="489">
        <v>1831.73</v>
      </c>
      <c r="Q554" s="489">
        <f t="shared" si="100"/>
        <v>2161.4413999999997</v>
      </c>
      <c r="R554" s="489">
        <v>1458.384</v>
      </c>
      <c r="S554" s="401" t="s">
        <v>1774</v>
      </c>
      <c r="T554" s="501">
        <v>1.087</v>
      </c>
      <c r="U554" s="501">
        <v>1.077</v>
      </c>
      <c r="V554" s="501">
        <v>1.073</v>
      </c>
      <c r="W554" s="501">
        <v>1.071</v>
      </c>
      <c r="X554" s="596">
        <v>0.9</v>
      </c>
      <c r="Y554" s="502">
        <v>1765.374</v>
      </c>
      <c r="Z554" s="489">
        <f t="shared" si="101"/>
        <v>2083.1413199999997</v>
      </c>
      <c r="AA554" s="489">
        <v>1636.859911396974</v>
      </c>
      <c r="AB554" s="488">
        <f t="shared" si="102"/>
        <v>1931.4946954484292</v>
      </c>
      <c r="AC554" s="492">
        <f t="shared" si="103"/>
        <v>1636.859911396974</v>
      </c>
      <c r="AD554" s="493">
        <f t="shared" si="104"/>
        <v>1931.4946954484292</v>
      </c>
      <c r="AE554" s="494" t="s">
        <v>1775</v>
      </c>
      <c r="AF554" s="494" t="s">
        <v>83</v>
      </c>
      <c r="AG554" s="494" t="s">
        <v>211</v>
      </c>
      <c r="AH554" s="494" t="s">
        <v>545</v>
      </c>
      <c r="AI554" s="495">
        <v>41927</v>
      </c>
      <c r="AJ554" s="495">
        <v>41962</v>
      </c>
      <c r="AK554" s="494" t="s">
        <v>96</v>
      </c>
      <c r="AL554" s="494" t="s">
        <v>96</v>
      </c>
      <c r="AM554" s="496" t="s">
        <v>5699</v>
      </c>
      <c r="AN554" s="496" t="s">
        <v>1757</v>
      </c>
      <c r="AO554" s="494">
        <v>796</v>
      </c>
      <c r="AP554" s="494" t="s">
        <v>368</v>
      </c>
      <c r="AQ554" s="494">
        <v>1</v>
      </c>
      <c r="AR554" s="494">
        <v>46</v>
      </c>
      <c r="AS554" s="496" t="s">
        <v>605</v>
      </c>
      <c r="AT554" s="495">
        <v>41982</v>
      </c>
      <c r="AU554" s="495">
        <v>41982</v>
      </c>
      <c r="AV554" s="495">
        <v>42185</v>
      </c>
      <c r="AW554" s="494" t="s">
        <v>99</v>
      </c>
      <c r="AX554" s="496"/>
      <c r="AY554" s="494" t="s">
        <v>186</v>
      </c>
      <c r="AZ554" s="494"/>
      <c r="BA554" s="494">
        <v>2014</v>
      </c>
      <c r="BB554" s="494" t="s">
        <v>2862</v>
      </c>
      <c r="BC554" s="496" t="s">
        <v>2863</v>
      </c>
      <c r="BD554" s="496" t="s">
        <v>1818</v>
      </c>
      <c r="BE554" s="497">
        <v>42185</v>
      </c>
      <c r="BF554" s="498">
        <v>2131.7612081603679</v>
      </c>
      <c r="BG554" s="488">
        <v>2131.7612081603679</v>
      </c>
      <c r="BH554" s="488">
        <v>0</v>
      </c>
      <c r="BI554" s="488">
        <v>1.22</v>
      </c>
      <c r="BJ554" s="494" t="s">
        <v>186</v>
      </c>
      <c r="BK554" s="401"/>
    </row>
    <row r="555" spans="1:63" ht="150">
      <c r="A555" s="401">
        <v>2</v>
      </c>
      <c r="B555" s="494" t="s">
        <v>2864</v>
      </c>
      <c r="C555" s="401" t="s">
        <v>83</v>
      </c>
      <c r="D555" s="401" t="s">
        <v>231</v>
      </c>
      <c r="E555" s="494" t="s">
        <v>5853</v>
      </c>
      <c r="F555" s="401" t="s">
        <v>1752</v>
      </c>
      <c r="G555" s="401" t="s">
        <v>2344</v>
      </c>
      <c r="H555" s="499">
        <v>834019</v>
      </c>
      <c r="I555" s="486" t="s">
        <v>2865</v>
      </c>
      <c r="J555" s="496" t="s">
        <v>5698</v>
      </c>
      <c r="K555" s="496" t="s">
        <v>5698</v>
      </c>
      <c r="L555" s="496" t="s">
        <v>1772</v>
      </c>
      <c r="M555" s="500" t="s">
        <v>1755</v>
      </c>
      <c r="N555" s="496" t="s">
        <v>1773</v>
      </c>
      <c r="O555" s="496" t="s">
        <v>2234</v>
      </c>
      <c r="P555" s="489">
        <v>990.93</v>
      </c>
      <c r="Q555" s="489">
        <f t="shared" si="100"/>
        <v>1169.2973999999999</v>
      </c>
      <c r="R555" s="489">
        <v>788.96100000000001</v>
      </c>
      <c r="S555" s="401" t="s">
        <v>1774</v>
      </c>
      <c r="T555" s="501">
        <v>1.087</v>
      </c>
      <c r="U555" s="501">
        <v>1.077</v>
      </c>
      <c r="V555" s="501">
        <v>1.073</v>
      </c>
      <c r="W555" s="501">
        <v>1.071</v>
      </c>
      <c r="X555" s="596">
        <v>0.9</v>
      </c>
      <c r="Y555" s="502">
        <v>955.03700000000003</v>
      </c>
      <c r="Z555" s="489">
        <f t="shared" si="101"/>
        <v>1126.9436599999999</v>
      </c>
      <c r="AA555" s="489">
        <v>885.51430630766129</v>
      </c>
      <c r="AB555" s="488">
        <f t="shared" si="102"/>
        <v>1044.9068814430402</v>
      </c>
      <c r="AC555" s="492">
        <f t="shared" si="103"/>
        <v>885.51430630766129</v>
      </c>
      <c r="AD555" s="493">
        <f t="shared" si="104"/>
        <v>1044.9068814430402</v>
      </c>
      <c r="AE555" s="494" t="s">
        <v>1775</v>
      </c>
      <c r="AF555" s="494" t="s">
        <v>83</v>
      </c>
      <c r="AG555" s="494" t="s">
        <v>211</v>
      </c>
      <c r="AH555" s="494" t="s">
        <v>545</v>
      </c>
      <c r="AI555" s="495">
        <v>41927</v>
      </c>
      <c r="AJ555" s="495">
        <v>41962</v>
      </c>
      <c r="AK555" s="494" t="s">
        <v>96</v>
      </c>
      <c r="AL555" s="494" t="s">
        <v>96</v>
      </c>
      <c r="AM555" s="496" t="s">
        <v>5699</v>
      </c>
      <c r="AN555" s="496" t="s">
        <v>1757</v>
      </c>
      <c r="AO555" s="494">
        <v>796</v>
      </c>
      <c r="AP555" s="494" t="s">
        <v>368</v>
      </c>
      <c r="AQ555" s="494">
        <v>1</v>
      </c>
      <c r="AR555" s="494">
        <v>46</v>
      </c>
      <c r="AS555" s="496" t="s">
        <v>605</v>
      </c>
      <c r="AT555" s="495">
        <v>41982</v>
      </c>
      <c r="AU555" s="495">
        <v>41982</v>
      </c>
      <c r="AV555" s="495">
        <v>42185</v>
      </c>
      <c r="AW555" s="494" t="s">
        <v>99</v>
      </c>
      <c r="AX555" s="496"/>
      <c r="AY555" s="494" t="s">
        <v>186</v>
      </c>
      <c r="AZ555" s="494"/>
      <c r="BA555" s="494">
        <v>2014</v>
      </c>
      <c r="BB555" s="494" t="s">
        <v>2866</v>
      </c>
      <c r="BC555" s="496" t="s">
        <v>2867</v>
      </c>
      <c r="BD555" s="496" t="s">
        <v>1818</v>
      </c>
      <c r="BE555" s="497">
        <v>42185</v>
      </c>
      <c r="BF555" s="498">
        <v>1153.247869264778</v>
      </c>
      <c r="BG555" s="488">
        <v>1153.247869264778</v>
      </c>
      <c r="BH555" s="488">
        <v>0</v>
      </c>
      <c r="BI555" s="488">
        <v>0.66</v>
      </c>
      <c r="BJ555" s="494" t="s">
        <v>186</v>
      </c>
      <c r="BK555" s="401"/>
    </row>
    <row r="556" spans="1:63" ht="150">
      <c r="A556" s="401">
        <v>2</v>
      </c>
      <c r="B556" s="494" t="s">
        <v>2868</v>
      </c>
      <c r="C556" s="401" t="s">
        <v>83</v>
      </c>
      <c r="D556" s="401" t="s">
        <v>231</v>
      </c>
      <c r="E556" s="494" t="s">
        <v>5853</v>
      </c>
      <c r="F556" s="401" t="s">
        <v>1752</v>
      </c>
      <c r="G556" s="401" t="s">
        <v>2344</v>
      </c>
      <c r="H556" s="499">
        <v>834018</v>
      </c>
      <c r="I556" s="486" t="s">
        <v>2869</v>
      </c>
      <c r="J556" s="496" t="s">
        <v>5698</v>
      </c>
      <c r="K556" s="496" t="s">
        <v>5698</v>
      </c>
      <c r="L556" s="496" t="s">
        <v>1772</v>
      </c>
      <c r="M556" s="500" t="s">
        <v>1755</v>
      </c>
      <c r="N556" s="496" t="s">
        <v>1773</v>
      </c>
      <c r="O556" s="496" t="s">
        <v>2234</v>
      </c>
      <c r="P556" s="489">
        <v>1621.53</v>
      </c>
      <c r="Q556" s="489">
        <f t="shared" si="100"/>
        <v>1913.4053999999999</v>
      </c>
      <c r="R556" s="489">
        <v>1291.028</v>
      </c>
      <c r="S556" s="401" t="s">
        <v>1774</v>
      </c>
      <c r="T556" s="501">
        <v>1.087</v>
      </c>
      <c r="U556" s="501">
        <v>1.077</v>
      </c>
      <c r="V556" s="501">
        <v>1.073</v>
      </c>
      <c r="W556" s="501">
        <v>1.071</v>
      </c>
      <c r="X556" s="596">
        <v>0.9</v>
      </c>
      <c r="Y556" s="502">
        <v>1562.789</v>
      </c>
      <c r="Z556" s="489">
        <f t="shared" si="101"/>
        <v>1844.0910199999998</v>
      </c>
      <c r="AA556" s="489">
        <v>1449.0234183047064</v>
      </c>
      <c r="AB556" s="488">
        <f t="shared" si="102"/>
        <v>1709.8476335995535</v>
      </c>
      <c r="AC556" s="492">
        <f t="shared" si="103"/>
        <v>1449.0234183047064</v>
      </c>
      <c r="AD556" s="493">
        <f t="shared" si="104"/>
        <v>1709.8476335995535</v>
      </c>
      <c r="AE556" s="494" t="s">
        <v>1775</v>
      </c>
      <c r="AF556" s="494" t="s">
        <v>83</v>
      </c>
      <c r="AG556" s="494" t="s">
        <v>211</v>
      </c>
      <c r="AH556" s="494" t="s">
        <v>545</v>
      </c>
      <c r="AI556" s="495">
        <v>41927</v>
      </c>
      <c r="AJ556" s="495">
        <v>41962</v>
      </c>
      <c r="AK556" s="494" t="s">
        <v>96</v>
      </c>
      <c r="AL556" s="494" t="s">
        <v>96</v>
      </c>
      <c r="AM556" s="496" t="s">
        <v>5699</v>
      </c>
      <c r="AN556" s="496" t="s">
        <v>1757</v>
      </c>
      <c r="AO556" s="494">
        <v>796</v>
      </c>
      <c r="AP556" s="494" t="s">
        <v>368</v>
      </c>
      <c r="AQ556" s="494">
        <v>1</v>
      </c>
      <c r="AR556" s="494">
        <v>46</v>
      </c>
      <c r="AS556" s="496" t="s">
        <v>605</v>
      </c>
      <c r="AT556" s="495">
        <v>41982</v>
      </c>
      <c r="AU556" s="495">
        <v>41982</v>
      </c>
      <c r="AV556" s="495">
        <v>42185</v>
      </c>
      <c r="AW556" s="494" t="s">
        <v>99</v>
      </c>
      <c r="AX556" s="496"/>
      <c r="AY556" s="494" t="s">
        <v>186</v>
      </c>
      <c r="AZ556" s="494"/>
      <c r="BA556" s="494">
        <v>2014</v>
      </c>
      <c r="BB556" s="494" t="s">
        <v>2870</v>
      </c>
      <c r="BC556" s="496" t="s">
        <v>2871</v>
      </c>
      <c r="BD556" s="496" t="s">
        <v>1818</v>
      </c>
      <c r="BE556" s="497">
        <v>42185</v>
      </c>
      <c r="BF556" s="498">
        <v>1887.1328727977029</v>
      </c>
      <c r="BG556" s="488">
        <v>1887.1328727977029</v>
      </c>
      <c r="BH556" s="488">
        <v>0</v>
      </c>
      <c r="BI556" s="488">
        <v>1.08</v>
      </c>
      <c r="BJ556" s="494" t="s">
        <v>186</v>
      </c>
      <c r="BK556" s="401"/>
    </row>
    <row r="557" spans="1:63" ht="150">
      <c r="A557" s="401">
        <v>2</v>
      </c>
      <c r="B557" s="494" t="s">
        <v>2872</v>
      </c>
      <c r="C557" s="401" t="s">
        <v>83</v>
      </c>
      <c r="D557" s="401" t="s">
        <v>231</v>
      </c>
      <c r="E557" s="494" t="s">
        <v>5853</v>
      </c>
      <c r="F557" s="401" t="s">
        <v>1752</v>
      </c>
      <c r="G557" s="401" t="s">
        <v>2344</v>
      </c>
      <c r="H557" s="499">
        <v>834017</v>
      </c>
      <c r="I557" s="486" t="s">
        <v>2873</v>
      </c>
      <c r="J557" s="496" t="s">
        <v>5698</v>
      </c>
      <c r="K557" s="496" t="s">
        <v>5698</v>
      </c>
      <c r="L557" s="496" t="s">
        <v>1772</v>
      </c>
      <c r="M557" s="500" t="s">
        <v>1755</v>
      </c>
      <c r="N557" s="496" t="s">
        <v>1773</v>
      </c>
      <c r="O557" s="496" t="s">
        <v>2234</v>
      </c>
      <c r="P557" s="489">
        <v>1471.39</v>
      </c>
      <c r="Q557" s="489">
        <f t="shared" si="100"/>
        <v>1736.2402</v>
      </c>
      <c r="R557" s="489">
        <v>1171.489</v>
      </c>
      <c r="S557" s="401" t="s">
        <v>1774</v>
      </c>
      <c r="T557" s="501">
        <v>1.087</v>
      </c>
      <c r="U557" s="501">
        <v>1.077</v>
      </c>
      <c r="V557" s="501">
        <v>1.073</v>
      </c>
      <c r="W557" s="501">
        <v>1.071</v>
      </c>
      <c r="X557" s="596">
        <v>0.9</v>
      </c>
      <c r="Y557" s="502">
        <v>1418.087</v>
      </c>
      <c r="Z557" s="489">
        <f t="shared" si="101"/>
        <v>1673.3426599999998</v>
      </c>
      <c r="AA557" s="489">
        <v>1314.8546192834981</v>
      </c>
      <c r="AB557" s="488">
        <f t="shared" si="102"/>
        <v>1551.5284507545277</v>
      </c>
      <c r="AC557" s="492">
        <f t="shared" si="103"/>
        <v>1314.8546192834981</v>
      </c>
      <c r="AD557" s="493">
        <f t="shared" si="104"/>
        <v>1551.5284507545277</v>
      </c>
      <c r="AE557" s="494" t="s">
        <v>1775</v>
      </c>
      <c r="AF557" s="494" t="s">
        <v>83</v>
      </c>
      <c r="AG557" s="494" t="s">
        <v>211</v>
      </c>
      <c r="AH557" s="494" t="s">
        <v>545</v>
      </c>
      <c r="AI557" s="495">
        <v>41927</v>
      </c>
      <c r="AJ557" s="495">
        <v>41962</v>
      </c>
      <c r="AK557" s="494" t="s">
        <v>96</v>
      </c>
      <c r="AL557" s="494" t="s">
        <v>96</v>
      </c>
      <c r="AM557" s="496" t="s">
        <v>5699</v>
      </c>
      <c r="AN557" s="496" t="s">
        <v>1757</v>
      </c>
      <c r="AO557" s="494">
        <v>796</v>
      </c>
      <c r="AP557" s="494" t="s">
        <v>368</v>
      </c>
      <c r="AQ557" s="494">
        <v>1</v>
      </c>
      <c r="AR557" s="494">
        <v>46</v>
      </c>
      <c r="AS557" s="496" t="s">
        <v>605</v>
      </c>
      <c r="AT557" s="495">
        <v>41982</v>
      </c>
      <c r="AU557" s="495">
        <v>41982</v>
      </c>
      <c r="AV557" s="495">
        <v>42185</v>
      </c>
      <c r="AW557" s="494" t="s">
        <v>99</v>
      </c>
      <c r="AX557" s="496"/>
      <c r="AY557" s="494" t="s">
        <v>186</v>
      </c>
      <c r="AZ557" s="494"/>
      <c r="BA557" s="494">
        <v>2014</v>
      </c>
      <c r="BB557" s="494" t="s">
        <v>2874</v>
      </c>
      <c r="BC557" s="496" t="s">
        <v>2875</v>
      </c>
      <c r="BD557" s="496" t="s">
        <v>1818</v>
      </c>
      <c r="BE557" s="497">
        <v>42185</v>
      </c>
      <c r="BF557" s="498">
        <v>1712.3983475386565</v>
      </c>
      <c r="BG557" s="488">
        <v>1712.3983475386565</v>
      </c>
      <c r="BH557" s="488">
        <v>0</v>
      </c>
      <c r="BI557" s="488">
        <v>0.98</v>
      </c>
      <c r="BJ557" s="494" t="s">
        <v>186</v>
      </c>
      <c r="BK557" s="401"/>
    </row>
    <row r="558" spans="1:63" ht="150">
      <c r="A558" s="401">
        <v>2</v>
      </c>
      <c r="B558" s="494" t="s">
        <v>2876</v>
      </c>
      <c r="C558" s="401" t="s">
        <v>83</v>
      </c>
      <c r="D558" s="401" t="s">
        <v>231</v>
      </c>
      <c r="E558" s="494" t="s">
        <v>5853</v>
      </c>
      <c r="F558" s="401" t="s">
        <v>1752</v>
      </c>
      <c r="G558" s="401" t="s">
        <v>2344</v>
      </c>
      <c r="H558" s="499">
        <v>834016</v>
      </c>
      <c r="I558" s="486" t="s">
        <v>2877</v>
      </c>
      <c r="J558" s="496" t="s">
        <v>5698</v>
      </c>
      <c r="K558" s="496" t="s">
        <v>5698</v>
      </c>
      <c r="L558" s="496" t="s">
        <v>1772</v>
      </c>
      <c r="M558" s="500" t="s">
        <v>1755</v>
      </c>
      <c r="N558" s="496" t="s">
        <v>1773</v>
      </c>
      <c r="O558" s="496" t="s">
        <v>2234</v>
      </c>
      <c r="P558" s="489">
        <v>720.68</v>
      </c>
      <c r="Q558" s="489">
        <f t="shared" si="100"/>
        <v>850.40239999999994</v>
      </c>
      <c r="R558" s="489">
        <v>573.79</v>
      </c>
      <c r="S558" s="401" t="s">
        <v>1774</v>
      </c>
      <c r="T558" s="501">
        <v>1.087</v>
      </c>
      <c r="U558" s="501">
        <v>1.077</v>
      </c>
      <c r="V558" s="501">
        <v>1.073</v>
      </c>
      <c r="W558" s="501">
        <v>1.071</v>
      </c>
      <c r="X558" s="596">
        <v>0.9</v>
      </c>
      <c r="Y558" s="502">
        <v>694.572</v>
      </c>
      <c r="Z558" s="489">
        <f t="shared" si="101"/>
        <v>819.59496000000001</v>
      </c>
      <c r="AA558" s="489">
        <v>644.010521753386</v>
      </c>
      <c r="AB558" s="488">
        <f t="shared" si="102"/>
        <v>759.93241566899542</v>
      </c>
      <c r="AC558" s="492">
        <f t="shared" si="103"/>
        <v>644.010521753386</v>
      </c>
      <c r="AD558" s="493">
        <f t="shared" si="104"/>
        <v>759.93241566899542</v>
      </c>
      <c r="AE558" s="494" t="s">
        <v>1775</v>
      </c>
      <c r="AF558" s="494" t="s">
        <v>83</v>
      </c>
      <c r="AG558" s="494" t="s">
        <v>211</v>
      </c>
      <c r="AH558" s="494" t="s">
        <v>545</v>
      </c>
      <c r="AI558" s="495">
        <v>41927</v>
      </c>
      <c r="AJ558" s="495">
        <v>41962</v>
      </c>
      <c r="AK558" s="494" t="s">
        <v>96</v>
      </c>
      <c r="AL558" s="494" t="s">
        <v>96</v>
      </c>
      <c r="AM558" s="496" t="s">
        <v>5699</v>
      </c>
      <c r="AN558" s="496" t="s">
        <v>1757</v>
      </c>
      <c r="AO558" s="494">
        <v>796</v>
      </c>
      <c r="AP558" s="494" t="s">
        <v>368</v>
      </c>
      <c r="AQ558" s="494">
        <v>1</v>
      </c>
      <c r="AR558" s="494">
        <v>46</v>
      </c>
      <c r="AS558" s="496" t="s">
        <v>605</v>
      </c>
      <c r="AT558" s="495">
        <v>41982</v>
      </c>
      <c r="AU558" s="495">
        <v>41982</v>
      </c>
      <c r="AV558" s="495">
        <v>42185</v>
      </c>
      <c r="AW558" s="494" t="s">
        <v>99</v>
      </c>
      <c r="AX558" s="496"/>
      <c r="AY558" s="494" t="s">
        <v>186</v>
      </c>
      <c r="AZ558" s="494"/>
      <c r="BA558" s="494">
        <v>2014</v>
      </c>
      <c r="BB558" s="494" t="s">
        <v>2878</v>
      </c>
      <c r="BC558" s="496" t="s">
        <v>2879</v>
      </c>
      <c r="BD558" s="496" t="s">
        <v>1818</v>
      </c>
      <c r="BE558" s="497">
        <v>42185</v>
      </c>
      <c r="BF558" s="498">
        <v>838.72572124342355</v>
      </c>
      <c r="BG558" s="488">
        <v>838.72572124342355</v>
      </c>
      <c r="BH558" s="488">
        <v>0</v>
      </c>
      <c r="BI558" s="488">
        <v>0.48</v>
      </c>
      <c r="BJ558" s="494" t="s">
        <v>186</v>
      </c>
      <c r="BK558" s="401"/>
    </row>
    <row r="559" spans="1:63" ht="150">
      <c r="A559" s="401">
        <v>2</v>
      </c>
      <c r="B559" s="494" t="s">
        <v>2880</v>
      </c>
      <c r="C559" s="401" t="s">
        <v>83</v>
      </c>
      <c r="D559" s="401" t="s">
        <v>231</v>
      </c>
      <c r="E559" s="494" t="s">
        <v>5853</v>
      </c>
      <c r="F559" s="401" t="s">
        <v>1752</v>
      </c>
      <c r="G559" s="401" t="s">
        <v>2344</v>
      </c>
      <c r="H559" s="499">
        <v>834015</v>
      </c>
      <c r="I559" s="486" t="s">
        <v>2881</v>
      </c>
      <c r="J559" s="496" t="s">
        <v>5698</v>
      </c>
      <c r="K559" s="496" t="s">
        <v>5698</v>
      </c>
      <c r="L559" s="496" t="s">
        <v>1772</v>
      </c>
      <c r="M559" s="500" t="s">
        <v>1755</v>
      </c>
      <c r="N559" s="496" t="s">
        <v>1773</v>
      </c>
      <c r="O559" s="496" t="s">
        <v>2234</v>
      </c>
      <c r="P559" s="489">
        <v>1951.84</v>
      </c>
      <c r="Q559" s="489">
        <f t="shared" si="100"/>
        <v>2303.1711999999998</v>
      </c>
      <c r="R559" s="489">
        <v>1554.0150000000001</v>
      </c>
      <c r="S559" s="401" t="s">
        <v>1774</v>
      </c>
      <c r="T559" s="501">
        <v>1.087</v>
      </c>
      <c r="U559" s="501">
        <v>1.077</v>
      </c>
      <c r="V559" s="501">
        <v>1.073</v>
      </c>
      <c r="W559" s="501">
        <v>1.071</v>
      </c>
      <c r="X559" s="596">
        <v>0.9</v>
      </c>
      <c r="Y559" s="502">
        <v>1881.135</v>
      </c>
      <c r="Z559" s="489">
        <f t="shared" si="101"/>
        <v>2219.7392999999997</v>
      </c>
      <c r="AA559" s="489">
        <v>1744.1949322593339</v>
      </c>
      <c r="AB559" s="488">
        <f t="shared" si="102"/>
        <v>2058.1500200660139</v>
      </c>
      <c r="AC559" s="492">
        <f t="shared" si="103"/>
        <v>1744.1949322593339</v>
      </c>
      <c r="AD559" s="493">
        <f t="shared" si="104"/>
        <v>2058.1500200660139</v>
      </c>
      <c r="AE559" s="494" t="s">
        <v>1775</v>
      </c>
      <c r="AF559" s="494" t="s">
        <v>83</v>
      </c>
      <c r="AG559" s="494" t="s">
        <v>211</v>
      </c>
      <c r="AH559" s="494" t="s">
        <v>545</v>
      </c>
      <c r="AI559" s="495">
        <v>41927</v>
      </c>
      <c r="AJ559" s="495">
        <v>41962</v>
      </c>
      <c r="AK559" s="494" t="s">
        <v>96</v>
      </c>
      <c r="AL559" s="494" t="s">
        <v>96</v>
      </c>
      <c r="AM559" s="496" t="s">
        <v>5699</v>
      </c>
      <c r="AN559" s="496" t="s">
        <v>1757</v>
      </c>
      <c r="AO559" s="494">
        <v>796</v>
      </c>
      <c r="AP559" s="494" t="s">
        <v>368</v>
      </c>
      <c r="AQ559" s="494">
        <v>1</v>
      </c>
      <c r="AR559" s="494">
        <v>46</v>
      </c>
      <c r="AS559" s="496" t="s">
        <v>605</v>
      </c>
      <c r="AT559" s="495">
        <v>41982</v>
      </c>
      <c r="AU559" s="495">
        <v>41982</v>
      </c>
      <c r="AV559" s="495">
        <v>42185</v>
      </c>
      <c r="AW559" s="494" t="s">
        <v>99</v>
      </c>
      <c r="AX559" s="496"/>
      <c r="AY559" s="494" t="s">
        <v>186</v>
      </c>
      <c r="AZ559" s="494"/>
      <c r="BA559" s="494">
        <v>2014</v>
      </c>
      <c r="BB559" s="494" t="s">
        <v>2882</v>
      </c>
      <c r="BC559" s="496" t="s">
        <v>2883</v>
      </c>
      <c r="BD559" s="496" t="s">
        <v>1818</v>
      </c>
      <c r="BE559" s="497">
        <v>42185</v>
      </c>
      <c r="BF559" s="498">
        <v>2271.5488283676059</v>
      </c>
      <c r="BG559" s="488">
        <v>2271.5488283676059</v>
      </c>
      <c r="BH559" s="488">
        <v>0</v>
      </c>
      <c r="BI559" s="488">
        <v>1.3</v>
      </c>
      <c r="BJ559" s="494" t="s">
        <v>186</v>
      </c>
      <c r="BK559" s="401"/>
    </row>
    <row r="560" spans="1:63" ht="150">
      <c r="A560" s="401">
        <v>2</v>
      </c>
      <c r="B560" s="494" t="s">
        <v>2884</v>
      </c>
      <c r="C560" s="401" t="s">
        <v>83</v>
      </c>
      <c r="D560" s="401" t="s">
        <v>231</v>
      </c>
      <c r="E560" s="494" t="s">
        <v>5853</v>
      </c>
      <c r="F560" s="401" t="s">
        <v>1752</v>
      </c>
      <c r="G560" s="401" t="s">
        <v>2344</v>
      </c>
      <c r="H560" s="499">
        <v>834014</v>
      </c>
      <c r="I560" s="486" t="s">
        <v>2885</v>
      </c>
      <c r="J560" s="496" t="s">
        <v>5698</v>
      </c>
      <c r="K560" s="496" t="s">
        <v>5698</v>
      </c>
      <c r="L560" s="496" t="s">
        <v>1772</v>
      </c>
      <c r="M560" s="500" t="s">
        <v>1755</v>
      </c>
      <c r="N560" s="496" t="s">
        <v>1773</v>
      </c>
      <c r="O560" s="496" t="s">
        <v>2234</v>
      </c>
      <c r="P560" s="489">
        <v>3062.89</v>
      </c>
      <c r="Q560" s="489">
        <f t="shared" si="100"/>
        <v>3614.2101999999995</v>
      </c>
      <c r="R560" s="489">
        <v>2438.6089999999999</v>
      </c>
      <c r="S560" s="401" t="s">
        <v>1774</v>
      </c>
      <c r="T560" s="501">
        <v>1.087</v>
      </c>
      <c r="U560" s="501">
        <v>1.077</v>
      </c>
      <c r="V560" s="501">
        <v>1.073</v>
      </c>
      <c r="W560" s="501">
        <v>1.071</v>
      </c>
      <c r="X560" s="596">
        <v>0.9</v>
      </c>
      <c r="Y560" s="502">
        <v>2951.9369999999999</v>
      </c>
      <c r="Z560" s="489">
        <f t="shared" si="101"/>
        <v>3483.2856599999996</v>
      </c>
      <c r="AA560" s="489">
        <v>2737.0443219029085</v>
      </c>
      <c r="AB560" s="488">
        <f t="shared" si="102"/>
        <v>3229.712299845432</v>
      </c>
      <c r="AC560" s="492">
        <f t="shared" si="103"/>
        <v>2737.0443219029085</v>
      </c>
      <c r="AD560" s="493">
        <f t="shared" si="104"/>
        <v>3229.712299845432</v>
      </c>
      <c r="AE560" s="494" t="s">
        <v>1775</v>
      </c>
      <c r="AF560" s="494" t="s">
        <v>83</v>
      </c>
      <c r="AG560" s="494" t="s">
        <v>211</v>
      </c>
      <c r="AH560" s="494" t="s">
        <v>545</v>
      </c>
      <c r="AI560" s="495">
        <v>41927</v>
      </c>
      <c r="AJ560" s="495">
        <v>41962</v>
      </c>
      <c r="AK560" s="494" t="s">
        <v>96</v>
      </c>
      <c r="AL560" s="494" t="s">
        <v>96</v>
      </c>
      <c r="AM560" s="496" t="s">
        <v>5699</v>
      </c>
      <c r="AN560" s="496" t="s">
        <v>1757</v>
      </c>
      <c r="AO560" s="494">
        <v>796</v>
      </c>
      <c r="AP560" s="494" t="s">
        <v>368</v>
      </c>
      <c r="AQ560" s="494">
        <v>1</v>
      </c>
      <c r="AR560" s="494">
        <v>46</v>
      </c>
      <c r="AS560" s="496" t="s">
        <v>605</v>
      </c>
      <c r="AT560" s="495">
        <v>41982</v>
      </c>
      <c r="AU560" s="495">
        <v>41982</v>
      </c>
      <c r="AV560" s="495">
        <v>42185</v>
      </c>
      <c r="AW560" s="494" t="s">
        <v>99</v>
      </c>
      <c r="AX560" s="496"/>
      <c r="AY560" s="494" t="s">
        <v>186</v>
      </c>
      <c r="AZ560" s="494"/>
      <c r="BA560" s="494">
        <v>2014</v>
      </c>
      <c r="BB560" s="494" t="s">
        <v>2886</v>
      </c>
      <c r="BC560" s="496" t="s">
        <v>2887</v>
      </c>
      <c r="BD560" s="496" t="s">
        <v>1818</v>
      </c>
      <c r="BE560" s="497">
        <v>42185</v>
      </c>
      <c r="BF560" s="498">
        <v>3564.5843152845509</v>
      </c>
      <c r="BG560" s="488">
        <v>3564.5843152845509</v>
      </c>
      <c r="BH560" s="488">
        <v>0</v>
      </c>
      <c r="BI560" s="488">
        <v>2.04</v>
      </c>
      <c r="BJ560" s="494" t="s">
        <v>186</v>
      </c>
      <c r="BK560" s="401"/>
    </row>
    <row r="561" spans="1:63" ht="150">
      <c r="A561" s="401">
        <v>2</v>
      </c>
      <c r="B561" s="494" t="s">
        <v>2888</v>
      </c>
      <c r="C561" s="401" t="s">
        <v>83</v>
      </c>
      <c r="D561" s="401" t="s">
        <v>231</v>
      </c>
      <c r="E561" s="494" t="s">
        <v>5853</v>
      </c>
      <c r="F561" s="401" t="s">
        <v>1752</v>
      </c>
      <c r="G561" s="401" t="s">
        <v>2344</v>
      </c>
      <c r="H561" s="499">
        <v>834013</v>
      </c>
      <c r="I561" s="486" t="s">
        <v>2889</v>
      </c>
      <c r="J561" s="496" t="s">
        <v>5698</v>
      </c>
      <c r="K561" s="496" t="s">
        <v>5698</v>
      </c>
      <c r="L561" s="496" t="s">
        <v>1772</v>
      </c>
      <c r="M561" s="500" t="s">
        <v>1755</v>
      </c>
      <c r="N561" s="496" t="s">
        <v>1773</v>
      </c>
      <c r="O561" s="496" t="s">
        <v>2234</v>
      </c>
      <c r="P561" s="489">
        <v>720.68</v>
      </c>
      <c r="Q561" s="489">
        <f t="shared" si="100"/>
        <v>850.40239999999994</v>
      </c>
      <c r="R561" s="489">
        <v>573.79</v>
      </c>
      <c r="S561" s="401" t="s">
        <v>1774</v>
      </c>
      <c r="T561" s="501">
        <v>1.087</v>
      </c>
      <c r="U561" s="501">
        <v>1.077</v>
      </c>
      <c r="V561" s="501">
        <v>1.073</v>
      </c>
      <c r="W561" s="501">
        <v>1.071</v>
      </c>
      <c r="X561" s="596">
        <v>0.9</v>
      </c>
      <c r="Y561" s="502">
        <v>694.572</v>
      </c>
      <c r="Z561" s="489">
        <f t="shared" si="101"/>
        <v>819.59496000000001</v>
      </c>
      <c r="AA561" s="489">
        <v>644.010521753386</v>
      </c>
      <c r="AB561" s="488">
        <f t="shared" si="102"/>
        <v>759.93241566899542</v>
      </c>
      <c r="AC561" s="492">
        <f t="shared" si="103"/>
        <v>644.010521753386</v>
      </c>
      <c r="AD561" s="493">
        <f t="shared" si="104"/>
        <v>759.93241566899542</v>
      </c>
      <c r="AE561" s="494" t="s">
        <v>1775</v>
      </c>
      <c r="AF561" s="494" t="s">
        <v>83</v>
      </c>
      <c r="AG561" s="494" t="s">
        <v>211</v>
      </c>
      <c r="AH561" s="494" t="s">
        <v>545</v>
      </c>
      <c r="AI561" s="495">
        <v>41927</v>
      </c>
      <c r="AJ561" s="495">
        <v>41962</v>
      </c>
      <c r="AK561" s="494" t="s">
        <v>96</v>
      </c>
      <c r="AL561" s="494" t="s">
        <v>96</v>
      </c>
      <c r="AM561" s="496" t="s">
        <v>5699</v>
      </c>
      <c r="AN561" s="496" t="s">
        <v>1757</v>
      </c>
      <c r="AO561" s="494">
        <v>796</v>
      </c>
      <c r="AP561" s="494" t="s">
        <v>368</v>
      </c>
      <c r="AQ561" s="494">
        <v>1</v>
      </c>
      <c r="AR561" s="494">
        <v>46</v>
      </c>
      <c r="AS561" s="496" t="s">
        <v>605</v>
      </c>
      <c r="AT561" s="495">
        <v>41982</v>
      </c>
      <c r="AU561" s="495">
        <v>41982</v>
      </c>
      <c r="AV561" s="495">
        <v>42185</v>
      </c>
      <c r="AW561" s="494" t="s">
        <v>99</v>
      </c>
      <c r="AX561" s="496"/>
      <c r="AY561" s="494" t="s">
        <v>186</v>
      </c>
      <c r="AZ561" s="494"/>
      <c r="BA561" s="494">
        <v>2014</v>
      </c>
      <c r="BB561" s="494" t="s">
        <v>2890</v>
      </c>
      <c r="BC561" s="496" t="s">
        <v>2891</v>
      </c>
      <c r="BD561" s="496" t="s">
        <v>1818</v>
      </c>
      <c r="BE561" s="497">
        <v>42185</v>
      </c>
      <c r="BF561" s="498">
        <v>838.72572124342355</v>
      </c>
      <c r="BG561" s="488">
        <v>838.72572124342355</v>
      </c>
      <c r="BH561" s="488">
        <v>0</v>
      </c>
      <c r="BI561" s="488">
        <v>0.48</v>
      </c>
      <c r="BJ561" s="494" t="s">
        <v>186</v>
      </c>
      <c r="BK561" s="401"/>
    </row>
    <row r="562" spans="1:63" ht="150">
      <c r="A562" s="401">
        <v>2</v>
      </c>
      <c r="B562" s="494" t="s">
        <v>2892</v>
      </c>
      <c r="C562" s="401" t="s">
        <v>83</v>
      </c>
      <c r="D562" s="401" t="s">
        <v>231</v>
      </c>
      <c r="E562" s="494" t="s">
        <v>5853</v>
      </c>
      <c r="F562" s="401" t="s">
        <v>1752</v>
      </c>
      <c r="G562" s="401" t="s">
        <v>2344</v>
      </c>
      <c r="H562" s="499">
        <v>834011</v>
      </c>
      <c r="I562" s="486" t="s">
        <v>2893</v>
      </c>
      <c r="J562" s="496" t="s">
        <v>5698</v>
      </c>
      <c r="K562" s="496" t="s">
        <v>5698</v>
      </c>
      <c r="L562" s="496" t="s">
        <v>1772</v>
      </c>
      <c r="M562" s="500" t="s">
        <v>1755</v>
      </c>
      <c r="N562" s="496" t="s">
        <v>1773</v>
      </c>
      <c r="O562" s="496" t="s">
        <v>2234</v>
      </c>
      <c r="P562" s="489">
        <v>1321.25</v>
      </c>
      <c r="Q562" s="489">
        <f t="shared" si="100"/>
        <v>1559.0749999999998</v>
      </c>
      <c r="R562" s="489">
        <v>1051.9490000000001</v>
      </c>
      <c r="S562" s="401" t="s">
        <v>1774</v>
      </c>
      <c r="T562" s="501">
        <v>1.087</v>
      </c>
      <c r="U562" s="501">
        <v>1.077</v>
      </c>
      <c r="V562" s="501">
        <v>1.073</v>
      </c>
      <c r="W562" s="501">
        <v>1.071</v>
      </c>
      <c r="X562" s="596">
        <v>0.9</v>
      </c>
      <c r="Y562" s="502">
        <v>1273.384</v>
      </c>
      <c r="Z562" s="489">
        <f t="shared" si="101"/>
        <v>1502.59312</v>
      </c>
      <c r="AA562" s="489">
        <v>1180.6857513856135</v>
      </c>
      <c r="AB562" s="488">
        <f t="shared" si="102"/>
        <v>1393.2091866350238</v>
      </c>
      <c r="AC562" s="492">
        <f t="shared" si="103"/>
        <v>1180.6857513856135</v>
      </c>
      <c r="AD562" s="493">
        <f t="shared" si="104"/>
        <v>1393.2091866350238</v>
      </c>
      <c r="AE562" s="494" t="s">
        <v>1775</v>
      </c>
      <c r="AF562" s="494" t="s">
        <v>83</v>
      </c>
      <c r="AG562" s="494" t="s">
        <v>211</v>
      </c>
      <c r="AH562" s="494" t="s">
        <v>545</v>
      </c>
      <c r="AI562" s="495">
        <v>41927</v>
      </c>
      <c r="AJ562" s="495">
        <v>41962</v>
      </c>
      <c r="AK562" s="494" t="s">
        <v>96</v>
      </c>
      <c r="AL562" s="494" t="s">
        <v>96</v>
      </c>
      <c r="AM562" s="496" t="s">
        <v>5699</v>
      </c>
      <c r="AN562" s="496" t="s">
        <v>1757</v>
      </c>
      <c r="AO562" s="494">
        <v>796</v>
      </c>
      <c r="AP562" s="494" t="s">
        <v>368</v>
      </c>
      <c r="AQ562" s="494">
        <v>1</v>
      </c>
      <c r="AR562" s="494">
        <v>46</v>
      </c>
      <c r="AS562" s="496" t="s">
        <v>605</v>
      </c>
      <c r="AT562" s="495">
        <v>41982</v>
      </c>
      <c r="AU562" s="495">
        <v>41982</v>
      </c>
      <c r="AV562" s="495">
        <v>42185</v>
      </c>
      <c r="AW562" s="494" t="s">
        <v>99</v>
      </c>
      <c r="AX562" s="496"/>
      <c r="AY562" s="494" t="s">
        <v>186</v>
      </c>
      <c r="AZ562" s="494"/>
      <c r="BA562" s="494">
        <v>2014</v>
      </c>
      <c r="BB562" s="494" t="s">
        <v>2894</v>
      </c>
      <c r="BC562" s="496" t="s">
        <v>2895</v>
      </c>
      <c r="BD562" s="496" t="s">
        <v>1818</v>
      </c>
      <c r="BE562" s="497">
        <v>42185</v>
      </c>
      <c r="BF562" s="498">
        <v>1537.66382227961</v>
      </c>
      <c r="BG562" s="488">
        <v>1537.66382227961</v>
      </c>
      <c r="BH562" s="488">
        <v>0</v>
      </c>
      <c r="BI562" s="488">
        <v>0.88</v>
      </c>
      <c r="BJ562" s="494" t="s">
        <v>186</v>
      </c>
      <c r="BK562" s="401"/>
    </row>
    <row r="563" spans="1:63" ht="150">
      <c r="A563" s="401">
        <v>2</v>
      </c>
      <c r="B563" s="494" t="s">
        <v>2896</v>
      </c>
      <c r="C563" s="401" t="s">
        <v>83</v>
      </c>
      <c r="D563" s="401" t="s">
        <v>231</v>
      </c>
      <c r="E563" s="494" t="s">
        <v>5853</v>
      </c>
      <c r="F563" s="401" t="s">
        <v>1752</v>
      </c>
      <c r="G563" s="401" t="s">
        <v>2344</v>
      </c>
      <c r="H563" s="499">
        <v>834009</v>
      </c>
      <c r="I563" s="486" t="s">
        <v>2897</v>
      </c>
      <c r="J563" s="496" t="s">
        <v>5698</v>
      </c>
      <c r="K563" s="496" t="s">
        <v>5698</v>
      </c>
      <c r="L563" s="496" t="s">
        <v>1772</v>
      </c>
      <c r="M563" s="500" t="s">
        <v>1755</v>
      </c>
      <c r="N563" s="496" t="s">
        <v>1773</v>
      </c>
      <c r="O563" s="496" t="s">
        <v>2234</v>
      </c>
      <c r="P563" s="489">
        <v>1441.36</v>
      </c>
      <c r="Q563" s="489">
        <f t="shared" si="100"/>
        <v>1700.8047999999999</v>
      </c>
      <c r="R563" s="489">
        <v>1147.58</v>
      </c>
      <c r="S563" s="401" t="s">
        <v>1774</v>
      </c>
      <c r="T563" s="501">
        <v>1.087</v>
      </c>
      <c r="U563" s="501">
        <v>1.077</v>
      </c>
      <c r="V563" s="501">
        <v>1.073</v>
      </c>
      <c r="W563" s="501">
        <v>1.071</v>
      </c>
      <c r="X563" s="596">
        <v>0.9</v>
      </c>
      <c r="Y563" s="502">
        <v>1389.146</v>
      </c>
      <c r="Z563" s="489">
        <f t="shared" si="101"/>
        <v>1639.1922799999998</v>
      </c>
      <c r="AA563" s="489">
        <v>1288.0208079505576</v>
      </c>
      <c r="AB563" s="488">
        <f t="shared" si="102"/>
        <v>1519.864553381658</v>
      </c>
      <c r="AC563" s="492">
        <f t="shared" si="103"/>
        <v>1288.0208079505576</v>
      </c>
      <c r="AD563" s="493">
        <f t="shared" si="104"/>
        <v>1519.864553381658</v>
      </c>
      <c r="AE563" s="494" t="s">
        <v>1775</v>
      </c>
      <c r="AF563" s="494" t="s">
        <v>83</v>
      </c>
      <c r="AG563" s="494" t="s">
        <v>211</v>
      </c>
      <c r="AH563" s="494" t="s">
        <v>545</v>
      </c>
      <c r="AI563" s="495">
        <v>41927</v>
      </c>
      <c r="AJ563" s="495">
        <v>41962</v>
      </c>
      <c r="AK563" s="494" t="s">
        <v>96</v>
      </c>
      <c r="AL563" s="494" t="s">
        <v>96</v>
      </c>
      <c r="AM563" s="496" t="s">
        <v>5699</v>
      </c>
      <c r="AN563" s="496" t="s">
        <v>1757</v>
      </c>
      <c r="AO563" s="494">
        <v>796</v>
      </c>
      <c r="AP563" s="494" t="s">
        <v>368</v>
      </c>
      <c r="AQ563" s="494">
        <v>1</v>
      </c>
      <c r="AR563" s="494">
        <v>46</v>
      </c>
      <c r="AS563" s="496" t="s">
        <v>605</v>
      </c>
      <c r="AT563" s="495">
        <v>41982</v>
      </c>
      <c r="AU563" s="495">
        <v>41982</v>
      </c>
      <c r="AV563" s="495">
        <v>42185</v>
      </c>
      <c r="AW563" s="494" t="s">
        <v>99</v>
      </c>
      <c r="AX563" s="496"/>
      <c r="AY563" s="494" t="s">
        <v>186</v>
      </c>
      <c r="AZ563" s="494"/>
      <c r="BA563" s="494">
        <v>2014</v>
      </c>
      <c r="BB563" s="494" t="s">
        <v>2898</v>
      </c>
      <c r="BC563" s="496" t="s">
        <v>2899</v>
      </c>
      <c r="BD563" s="496" t="s">
        <v>1818</v>
      </c>
      <c r="BE563" s="497">
        <v>42185</v>
      </c>
      <c r="BF563" s="498">
        <v>1677.4514424868471</v>
      </c>
      <c r="BG563" s="488">
        <v>1677.4514424868471</v>
      </c>
      <c r="BH563" s="488">
        <v>0</v>
      </c>
      <c r="BI563" s="488">
        <v>0.96</v>
      </c>
      <c r="BJ563" s="494" t="s">
        <v>186</v>
      </c>
      <c r="BK563" s="401"/>
    </row>
    <row r="564" spans="1:63" ht="150">
      <c r="A564" s="401">
        <v>2</v>
      </c>
      <c r="B564" s="494" t="s">
        <v>2900</v>
      </c>
      <c r="C564" s="401" t="s">
        <v>83</v>
      </c>
      <c r="D564" s="401" t="s">
        <v>231</v>
      </c>
      <c r="E564" s="494" t="s">
        <v>5853</v>
      </c>
      <c r="F564" s="401" t="s">
        <v>1752</v>
      </c>
      <c r="G564" s="401" t="s">
        <v>2344</v>
      </c>
      <c r="H564" s="499">
        <v>834008</v>
      </c>
      <c r="I564" s="486" t="s">
        <v>2901</v>
      </c>
      <c r="J564" s="496" t="s">
        <v>5698</v>
      </c>
      <c r="K564" s="496" t="s">
        <v>5698</v>
      </c>
      <c r="L564" s="496" t="s">
        <v>1772</v>
      </c>
      <c r="M564" s="500" t="s">
        <v>1755</v>
      </c>
      <c r="N564" s="496" t="s">
        <v>1773</v>
      </c>
      <c r="O564" s="496" t="s">
        <v>2234</v>
      </c>
      <c r="P564" s="489">
        <v>1141.08</v>
      </c>
      <c r="Q564" s="489">
        <f t="shared" si="100"/>
        <v>1346.4743999999998</v>
      </c>
      <c r="R564" s="489">
        <v>908.49900000000002</v>
      </c>
      <c r="S564" s="401" t="s">
        <v>1774</v>
      </c>
      <c r="T564" s="501">
        <v>1.087</v>
      </c>
      <c r="U564" s="501">
        <v>1.077</v>
      </c>
      <c r="V564" s="501">
        <v>1.073</v>
      </c>
      <c r="W564" s="501">
        <v>1.071</v>
      </c>
      <c r="X564" s="596">
        <v>0.9</v>
      </c>
      <c r="Y564" s="502">
        <v>1099.7380000000001</v>
      </c>
      <c r="Z564" s="489">
        <f t="shared" si="101"/>
        <v>1297.69084</v>
      </c>
      <c r="AA564" s="489">
        <v>1019.6831053288705</v>
      </c>
      <c r="AB564" s="488">
        <f t="shared" si="102"/>
        <v>1203.2260642880672</v>
      </c>
      <c r="AC564" s="492">
        <f t="shared" si="103"/>
        <v>1019.6831053288705</v>
      </c>
      <c r="AD564" s="493">
        <f t="shared" si="104"/>
        <v>1203.2260642880672</v>
      </c>
      <c r="AE564" s="494" t="s">
        <v>1775</v>
      </c>
      <c r="AF564" s="494" t="s">
        <v>83</v>
      </c>
      <c r="AG564" s="494" t="s">
        <v>211</v>
      </c>
      <c r="AH564" s="494" t="s">
        <v>545</v>
      </c>
      <c r="AI564" s="495">
        <v>41927</v>
      </c>
      <c r="AJ564" s="495">
        <v>41962</v>
      </c>
      <c r="AK564" s="494" t="s">
        <v>96</v>
      </c>
      <c r="AL564" s="494" t="s">
        <v>96</v>
      </c>
      <c r="AM564" s="496" t="s">
        <v>5699</v>
      </c>
      <c r="AN564" s="496" t="s">
        <v>1757</v>
      </c>
      <c r="AO564" s="494">
        <v>796</v>
      </c>
      <c r="AP564" s="494" t="s">
        <v>368</v>
      </c>
      <c r="AQ564" s="494">
        <v>1</v>
      </c>
      <c r="AR564" s="494">
        <v>46</v>
      </c>
      <c r="AS564" s="496" t="s">
        <v>605</v>
      </c>
      <c r="AT564" s="495">
        <v>41982</v>
      </c>
      <c r="AU564" s="495">
        <v>41982</v>
      </c>
      <c r="AV564" s="495">
        <v>42185</v>
      </c>
      <c r="AW564" s="494" t="s">
        <v>99</v>
      </c>
      <c r="AX564" s="496"/>
      <c r="AY564" s="494" t="s">
        <v>186</v>
      </c>
      <c r="AZ564" s="494"/>
      <c r="BA564" s="494">
        <v>2014</v>
      </c>
      <c r="BB564" s="494" t="s">
        <v>2902</v>
      </c>
      <c r="BC564" s="496" t="s">
        <v>2903</v>
      </c>
      <c r="BD564" s="496" t="s">
        <v>1818</v>
      </c>
      <c r="BE564" s="497">
        <v>42185</v>
      </c>
      <c r="BF564" s="498">
        <v>1327.9823919687537</v>
      </c>
      <c r="BG564" s="488">
        <v>1327.9823919687537</v>
      </c>
      <c r="BH564" s="488">
        <v>0</v>
      </c>
      <c r="BI564" s="488">
        <v>0.76</v>
      </c>
      <c r="BJ564" s="494" t="s">
        <v>186</v>
      </c>
      <c r="BK564" s="401"/>
    </row>
    <row r="565" spans="1:63" ht="150">
      <c r="A565" s="401">
        <v>2</v>
      </c>
      <c r="B565" s="494" t="s">
        <v>2904</v>
      </c>
      <c r="C565" s="401" t="s">
        <v>83</v>
      </c>
      <c r="D565" s="401" t="s">
        <v>231</v>
      </c>
      <c r="E565" s="494" t="s">
        <v>5853</v>
      </c>
      <c r="F565" s="401" t="s">
        <v>1752</v>
      </c>
      <c r="G565" s="401" t="s">
        <v>2344</v>
      </c>
      <c r="H565" s="499">
        <v>834007</v>
      </c>
      <c r="I565" s="486" t="s">
        <v>2905</v>
      </c>
      <c r="J565" s="496" t="s">
        <v>5698</v>
      </c>
      <c r="K565" s="496" t="s">
        <v>5698</v>
      </c>
      <c r="L565" s="496" t="s">
        <v>1772</v>
      </c>
      <c r="M565" s="500" t="s">
        <v>1755</v>
      </c>
      <c r="N565" s="496" t="s">
        <v>1773</v>
      </c>
      <c r="O565" s="496" t="s">
        <v>2234</v>
      </c>
      <c r="P565" s="489">
        <v>540.51</v>
      </c>
      <c r="Q565" s="489">
        <f t="shared" si="100"/>
        <v>637.80179999999996</v>
      </c>
      <c r="R565" s="489">
        <v>430.34100000000001</v>
      </c>
      <c r="S565" s="401" t="s">
        <v>1774</v>
      </c>
      <c r="T565" s="501">
        <v>1.087</v>
      </c>
      <c r="U565" s="501">
        <v>1.077</v>
      </c>
      <c r="V565" s="501">
        <v>1.073</v>
      </c>
      <c r="W565" s="501">
        <v>1.071</v>
      </c>
      <c r="X565" s="596">
        <v>0.9</v>
      </c>
      <c r="Y565" s="502">
        <v>520.928</v>
      </c>
      <c r="Z565" s="489">
        <f t="shared" si="101"/>
        <v>614.69503999999995</v>
      </c>
      <c r="AA565" s="489">
        <v>483.00787569664914</v>
      </c>
      <c r="AB565" s="488">
        <f t="shared" si="102"/>
        <v>569.94929332204595</v>
      </c>
      <c r="AC565" s="492">
        <f t="shared" si="103"/>
        <v>483.00787569664914</v>
      </c>
      <c r="AD565" s="493">
        <f t="shared" si="104"/>
        <v>569.94929332204595</v>
      </c>
      <c r="AE565" s="494" t="s">
        <v>1775</v>
      </c>
      <c r="AF565" s="494" t="s">
        <v>83</v>
      </c>
      <c r="AG565" s="494" t="s">
        <v>211</v>
      </c>
      <c r="AH565" s="494" t="s">
        <v>545</v>
      </c>
      <c r="AI565" s="495">
        <v>41927</v>
      </c>
      <c r="AJ565" s="495">
        <v>41962</v>
      </c>
      <c r="AK565" s="494" t="s">
        <v>96</v>
      </c>
      <c r="AL565" s="494" t="s">
        <v>96</v>
      </c>
      <c r="AM565" s="496" t="s">
        <v>5699</v>
      </c>
      <c r="AN565" s="496" t="s">
        <v>1757</v>
      </c>
      <c r="AO565" s="494">
        <v>796</v>
      </c>
      <c r="AP565" s="494" t="s">
        <v>368</v>
      </c>
      <c r="AQ565" s="494">
        <v>1</v>
      </c>
      <c r="AR565" s="494">
        <v>46</v>
      </c>
      <c r="AS565" s="496" t="s">
        <v>605</v>
      </c>
      <c r="AT565" s="495">
        <v>41982</v>
      </c>
      <c r="AU565" s="495">
        <v>41982</v>
      </c>
      <c r="AV565" s="495">
        <v>42185</v>
      </c>
      <c r="AW565" s="494" t="s">
        <v>99</v>
      </c>
      <c r="AX565" s="496"/>
      <c r="AY565" s="494" t="s">
        <v>186</v>
      </c>
      <c r="AZ565" s="494"/>
      <c r="BA565" s="494">
        <v>2014</v>
      </c>
      <c r="BB565" s="494" t="s">
        <v>2906</v>
      </c>
      <c r="BC565" s="496" t="s">
        <v>2907</v>
      </c>
      <c r="BD565" s="496" t="s">
        <v>1818</v>
      </c>
      <c r="BE565" s="497">
        <v>42185</v>
      </c>
      <c r="BF565" s="498">
        <v>629.04429093256761</v>
      </c>
      <c r="BG565" s="488">
        <v>629.04429093256761</v>
      </c>
      <c r="BH565" s="488">
        <v>0</v>
      </c>
      <c r="BI565" s="488">
        <v>0.36</v>
      </c>
      <c r="BJ565" s="494" t="s">
        <v>186</v>
      </c>
      <c r="BK565" s="401"/>
    </row>
    <row r="566" spans="1:63" ht="150">
      <c r="A566" s="401">
        <v>2</v>
      </c>
      <c r="B566" s="494" t="s">
        <v>2908</v>
      </c>
      <c r="C566" s="401" t="s">
        <v>83</v>
      </c>
      <c r="D566" s="401" t="s">
        <v>231</v>
      </c>
      <c r="E566" s="494" t="s">
        <v>5853</v>
      </c>
      <c r="F566" s="401" t="s">
        <v>1752</v>
      </c>
      <c r="G566" s="401" t="s">
        <v>2344</v>
      </c>
      <c r="H566" s="499">
        <v>834005</v>
      </c>
      <c r="I566" s="486" t="s">
        <v>2909</v>
      </c>
      <c r="J566" s="496" t="s">
        <v>5698</v>
      </c>
      <c r="K566" s="496" t="s">
        <v>5698</v>
      </c>
      <c r="L566" s="496" t="s">
        <v>1772</v>
      </c>
      <c r="M566" s="500" t="s">
        <v>1755</v>
      </c>
      <c r="N566" s="496" t="s">
        <v>1773</v>
      </c>
      <c r="O566" s="496" t="s">
        <v>2234</v>
      </c>
      <c r="P566" s="489">
        <v>1321.25</v>
      </c>
      <c r="Q566" s="489">
        <f t="shared" si="100"/>
        <v>1559.0749999999998</v>
      </c>
      <c r="R566" s="489">
        <v>1051.9490000000001</v>
      </c>
      <c r="S566" s="401" t="s">
        <v>1774</v>
      </c>
      <c r="T566" s="501">
        <v>1.087</v>
      </c>
      <c r="U566" s="501">
        <v>1.077</v>
      </c>
      <c r="V566" s="501">
        <v>1.073</v>
      </c>
      <c r="W566" s="501">
        <v>1.071</v>
      </c>
      <c r="X566" s="596">
        <v>0.9</v>
      </c>
      <c r="Y566" s="502">
        <v>1273.384</v>
      </c>
      <c r="Z566" s="489">
        <f t="shared" si="101"/>
        <v>1502.59312</v>
      </c>
      <c r="AA566" s="489">
        <v>1180.6857513856135</v>
      </c>
      <c r="AB566" s="488">
        <f t="shared" si="102"/>
        <v>1393.2091866350238</v>
      </c>
      <c r="AC566" s="492">
        <f t="shared" si="103"/>
        <v>1180.6857513856135</v>
      </c>
      <c r="AD566" s="493">
        <f t="shared" si="104"/>
        <v>1393.2091866350238</v>
      </c>
      <c r="AE566" s="494" t="s">
        <v>1775</v>
      </c>
      <c r="AF566" s="494" t="s">
        <v>83</v>
      </c>
      <c r="AG566" s="494" t="s">
        <v>211</v>
      </c>
      <c r="AH566" s="494" t="s">
        <v>545</v>
      </c>
      <c r="AI566" s="495">
        <v>41927</v>
      </c>
      <c r="AJ566" s="495">
        <v>41962</v>
      </c>
      <c r="AK566" s="494" t="s">
        <v>96</v>
      </c>
      <c r="AL566" s="494" t="s">
        <v>96</v>
      </c>
      <c r="AM566" s="496" t="s">
        <v>5699</v>
      </c>
      <c r="AN566" s="496" t="s">
        <v>1757</v>
      </c>
      <c r="AO566" s="494">
        <v>796</v>
      </c>
      <c r="AP566" s="494" t="s">
        <v>368</v>
      </c>
      <c r="AQ566" s="494">
        <v>1</v>
      </c>
      <c r="AR566" s="494">
        <v>46</v>
      </c>
      <c r="AS566" s="496" t="s">
        <v>605</v>
      </c>
      <c r="AT566" s="495">
        <v>41982</v>
      </c>
      <c r="AU566" s="495">
        <v>41982</v>
      </c>
      <c r="AV566" s="495">
        <v>42185</v>
      </c>
      <c r="AW566" s="494" t="s">
        <v>99</v>
      </c>
      <c r="AX566" s="496"/>
      <c r="AY566" s="494" t="s">
        <v>186</v>
      </c>
      <c r="AZ566" s="494"/>
      <c r="BA566" s="494">
        <v>2014</v>
      </c>
      <c r="BB566" s="494" t="s">
        <v>2910</v>
      </c>
      <c r="BC566" s="496" t="s">
        <v>2911</v>
      </c>
      <c r="BD566" s="496" t="s">
        <v>1818</v>
      </c>
      <c r="BE566" s="497">
        <v>42185</v>
      </c>
      <c r="BF566" s="498">
        <v>1537.66382227961</v>
      </c>
      <c r="BG566" s="488">
        <v>1537.66382227961</v>
      </c>
      <c r="BH566" s="488">
        <v>0</v>
      </c>
      <c r="BI566" s="488">
        <v>0.88</v>
      </c>
      <c r="BJ566" s="494" t="s">
        <v>186</v>
      </c>
      <c r="BK566" s="401"/>
    </row>
    <row r="567" spans="1:63" ht="150">
      <c r="A567" s="401">
        <v>2</v>
      </c>
      <c r="B567" s="494" t="s">
        <v>2912</v>
      </c>
      <c r="C567" s="401" t="s">
        <v>83</v>
      </c>
      <c r="D567" s="401" t="s">
        <v>231</v>
      </c>
      <c r="E567" s="494" t="s">
        <v>5853</v>
      </c>
      <c r="F567" s="401" t="s">
        <v>1752</v>
      </c>
      <c r="G567" s="401" t="s">
        <v>2344</v>
      </c>
      <c r="H567" s="499">
        <v>834004</v>
      </c>
      <c r="I567" s="486" t="s">
        <v>2913</v>
      </c>
      <c r="J567" s="496" t="s">
        <v>5698</v>
      </c>
      <c r="K567" s="496" t="s">
        <v>5698</v>
      </c>
      <c r="L567" s="496" t="s">
        <v>1772</v>
      </c>
      <c r="M567" s="500" t="s">
        <v>1755</v>
      </c>
      <c r="N567" s="496" t="s">
        <v>1773</v>
      </c>
      <c r="O567" s="496" t="s">
        <v>2234</v>
      </c>
      <c r="P567" s="489">
        <v>1921.81</v>
      </c>
      <c r="Q567" s="489">
        <f t="shared" si="100"/>
        <v>2267.7357999999999</v>
      </c>
      <c r="R567" s="489">
        <v>1530.107</v>
      </c>
      <c r="S567" s="401" t="s">
        <v>1774</v>
      </c>
      <c r="T567" s="501">
        <v>1.087</v>
      </c>
      <c r="U567" s="501">
        <v>1.077</v>
      </c>
      <c r="V567" s="501">
        <v>1.073</v>
      </c>
      <c r="W567" s="501">
        <v>1.071</v>
      </c>
      <c r="X567" s="596">
        <v>0.9</v>
      </c>
      <c r="Y567" s="502">
        <v>1852.1949999999999</v>
      </c>
      <c r="Z567" s="489">
        <f t="shared" si="101"/>
        <v>2185.5900999999999</v>
      </c>
      <c r="AA567" s="489">
        <v>1717.3611476973617</v>
      </c>
      <c r="AB567" s="488">
        <f t="shared" si="102"/>
        <v>2026.4861542828867</v>
      </c>
      <c r="AC567" s="492">
        <f t="shared" si="103"/>
        <v>1717.3611476973617</v>
      </c>
      <c r="AD567" s="493">
        <f t="shared" si="104"/>
        <v>2026.4861542828867</v>
      </c>
      <c r="AE567" s="494" t="s">
        <v>1775</v>
      </c>
      <c r="AF567" s="494" t="s">
        <v>83</v>
      </c>
      <c r="AG567" s="494" t="s">
        <v>211</v>
      </c>
      <c r="AH567" s="494" t="s">
        <v>545</v>
      </c>
      <c r="AI567" s="495">
        <v>41927</v>
      </c>
      <c r="AJ567" s="495">
        <v>41962</v>
      </c>
      <c r="AK567" s="494" t="s">
        <v>96</v>
      </c>
      <c r="AL567" s="494" t="s">
        <v>96</v>
      </c>
      <c r="AM567" s="496" t="s">
        <v>5699</v>
      </c>
      <c r="AN567" s="496" t="s">
        <v>1757</v>
      </c>
      <c r="AO567" s="494">
        <v>796</v>
      </c>
      <c r="AP567" s="494" t="s">
        <v>368</v>
      </c>
      <c r="AQ567" s="494">
        <v>1</v>
      </c>
      <c r="AR567" s="494">
        <v>46</v>
      </c>
      <c r="AS567" s="496" t="s">
        <v>605</v>
      </c>
      <c r="AT567" s="495">
        <v>41982</v>
      </c>
      <c r="AU567" s="495">
        <v>41982</v>
      </c>
      <c r="AV567" s="495">
        <v>42185</v>
      </c>
      <c r="AW567" s="494" t="s">
        <v>99</v>
      </c>
      <c r="AX567" s="496"/>
      <c r="AY567" s="494" t="s">
        <v>186</v>
      </c>
      <c r="AZ567" s="494"/>
      <c r="BA567" s="494">
        <v>2014</v>
      </c>
      <c r="BB567" s="494" t="s">
        <v>2914</v>
      </c>
      <c r="BC567" s="496" t="s">
        <v>2915</v>
      </c>
      <c r="BD567" s="496" t="s">
        <v>1818</v>
      </c>
      <c r="BE567" s="497">
        <v>42185</v>
      </c>
      <c r="BF567" s="498">
        <v>2236.6019233157963</v>
      </c>
      <c r="BG567" s="488">
        <v>2236.6019233157963</v>
      </c>
      <c r="BH567" s="488">
        <v>0</v>
      </c>
      <c r="BI567" s="488">
        <v>1.28</v>
      </c>
      <c r="BJ567" s="494" t="s">
        <v>186</v>
      </c>
      <c r="BK567" s="401"/>
    </row>
    <row r="568" spans="1:63" ht="150">
      <c r="A568" s="401">
        <v>2</v>
      </c>
      <c r="B568" s="494" t="s">
        <v>2916</v>
      </c>
      <c r="C568" s="401" t="s">
        <v>83</v>
      </c>
      <c r="D568" s="401" t="s">
        <v>231</v>
      </c>
      <c r="E568" s="494" t="s">
        <v>5853</v>
      </c>
      <c r="F568" s="401" t="s">
        <v>1752</v>
      </c>
      <c r="G568" s="401" t="s">
        <v>2344</v>
      </c>
      <c r="H568" s="499">
        <v>834003</v>
      </c>
      <c r="I568" s="486" t="s">
        <v>2917</v>
      </c>
      <c r="J568" s="496" t="s">
        <v>5698</v>
      </c>
      <c r="K568" s="496" t="s">
        <v>5698</v>
      </c>
      <c r="L568" s="496" t="s">
        <v>1772</v>
      </c>
      <c r="M568" s="500" t="s">
        <v>1755</v>
      </c>
      <c r="N568" s="496" t="s">
        <v>1773</v>
      </c>
      <c r="O568" s="496" t="s">
        <v>2234</v>
      </c>
      <c r="P568" s="489">
        <v>660.62</v>
      </c>
      <c r="Q568" s="489">
        <f t="shared" si="100"/>
        <v>779.53159999999991</v>
      </c>
      <c r="R568" s="489">
        <v>525.97299999999996</v>
      </c>
      <c r="S568" s="401" t="s">
        <v>1774</v>
      </c>
      <c r="T568" s="501">
        <v>1.087</v>
      </c>
      <c r="U568" s="501">
        <v>1.077</v>
      </c>
      <c r="V568" s="501">
        <v>1.073</v>
      </c>
      <c r="W568" s="501">
        <v>1.071</v>
      </c>
      <c r="X568" s="596">
        <v>0.9</v>
      </c>
      <c r="Y568" s="502">
        <v>636.69100000000003</v>
      </c>
      <c r="Z568" s="489">
        <f t="shared" si="101"/>
        <v>751.29538000000002</v>
      </c>
      <c r="AA568" s="489">
        <v>608.12726596856533</v>
      </c>
      <c r="AB568" s="488">
        <f t="shared" si="102"/>
        <v>717.59017384290701</v>
      </c>
      <c r="AC568" s="492">
        <f t="shared" si="103"/>
        <v>608.12726596856533</v>
      </c>
      <c r="AD568" s="493">
        <f t="shared" si="104"/>
        <v>717.59017384290701</v>
      </c>
      <c r="AE568" s="494" t="s">
        <v>1775</v>
      </c>
      <c r="AF568" s="494" t="s">
        <v>83</v>
      </c>
      <c r="AG568" s="494" t="s">
        <v>211</v>
      </c>
      <c r="AH568" s="494" t="s">
        <v>545</v>
      </c>
      <c r="AI568" s="495">
        <v>41927</v>
      </c>
      <c r="AJ568" s="495">
        <v>41962</v>
      </c>
      <c r="AK568" s="494" t="s">
        <v>96</v>
      </c>
      <c r="AL568" s="494" t="s">
        <v>96</v>
      </c>
      <c r="AM568" s="496" t="s">
        <v>5699</v>
      </c>
      <c r="AN568" s="496" t="s">
        <v>1757</v>
      </c>
      <c r="AO568" s="494">
        <v>796</v>
      </c>
      <c r="AP568" s="494" t="s">
        <v>368</v>
      </c>
      <c r="AQ568" s="494">
        <v>1</v>
      </c>
      <c r="AR568" s="494">
        <v>46</v>
      </c>
      <c r="AS568" s="496" t="s">
        <v>605</v>
      </c>
      <c r="AT568" s="495">
        <v>41982</v>
      </c>
      <c r="AU568" s="495">
        <v>41982</v>
      </c>
      <c r="AV568" s="495">
        <v>42185</v>
      </c>
      <c r="AW568" s="494" t="s">
        <v>99</v>
      </c>
      <c r="AX568" s="496"/>
      <c r="AY568" s="494" t="s">
        <v>186</v>
      </c>
      <c r="AZ568" s="494"/>
      <c r="BA568" s="494">
        <v>2014</v>
      </c>
      <c r="BB568" s="494" t="s">
        <v>2918</v>
      </c>
      <c r="BC568" s="496" t="s">
        <v>2919</v>
      </c>
      <c r="BD568" s="496" t="s">
        <v>1818</v>
      </c>
      <c r="BE568" s="497">
        <v>42185</v>
      </c>
      <c r="BF568" s="498">
        <v>768.83191113980502</v>
      </c>
      <c r="BG568" s="488">
        <v>768.83191113980502</v>
      </c>
      <c r="BH568" s="488">
        <v>0</v>
      </c>
      <c r="BI568" s="488">
        <v>0.44</v>
      </c>
      <c r="BJ568" s="494" t="s">
        <v>186</v>
      </c>
      <c r="BK568" s="401"/>
    </row>
    <row r="569" spans="1:63" ht="150">
      <c r="A569" s="401">
        <v>2</v>
      </c>
      <c r="B569" s="494" t="s">
        <v>2920</v>
      </c>
      <c r="C569" s="401" t="s">
        <v>83</v>
      </c>
      <c r="D569" s="401" t="s">
        <v>231</v>
      </c>
      <c r="E569" s="494" t="s">
        <v>5853</v>
      </c>
      <c r="F569" s="401" t="s">
        <v>1752</v>
      </c>
      <c r="G569" s="401" t="s">
        <v>2344</v>
      </c>
      <c r="H569" s="499">
        <v>834002</v>
      </c>
      <c r="I569" s="486" t="s">
        <v>2921</v>
      </c>
      <c r="J569" s="496" t="s">
        <v>5698</v>
      </c>
      <c r="K569" s="496" t="s">
        <v>5698</v>
      </c>
      <c r="L569" s="496" t="s">
        <v>1772</v>
      </c>
      <c r="M569" s="500" t="s">
        <v>1755</v>
      </c>
      <c r="N569" s="496" t="s">
        <v>1773</v>
      </c>
      <c r="O569" s="496" t="s">
        <v>2234</v>
      </c>
      <c r="P569" s="489">
        <v>600.57000000000005</v>
      </c>
      <c r="Q569" s="489">
        <f t="shared" si="100"/>
        <v>708.67259999999999</v>
      </c>
      <c r="R569" s="489">
        <v>478.15699999999998</v>
      </c>
      <c r="S569" s="401" t="s">
        <v>1774</v>
      </c>
      <c r="T569" s="501">
        <v>1.087</v>
      </c>
      <c r="U569" s="501">
        <v>1.077</v>
      </c>
      <c r="V569" s="501">
        <v>1.073</v>
      </c>
      <c r="W569" s="501">
        <v>1.071</v>
      </c>
      <c r="X569" s="596">
        <v>0.9</v>
      </c>
      <c r="Y569" s="502">
        <v>578.80899999999997</v>
      </c>
      <c r="Z569" s="489">
        <f t="shared" si="101"/>
        <v>682.99461999999994</v>
      </c>
      <c r="AA569" s="489">
        <v>536.67539631175646</v>
      </c>
      <c r="AB569" s="488">
        <f t="shared" si="102"/>
        <v>633.27696764787254</v>
      </c>
      <c r="AC569" s="492">
        <f t="shared" si="103"/>
        <v>536.67539631175646</v>
      </c>
      <c r="AD569" s="493">
        <f t="shared" si="104"/>
        <v>633.27696764787254</v>
      </c>
      <c r="AE569" s="494" t="s">
        <v>1775</v>
      </c>
      <c r="AF569" s="494" t="s">
        <v>83</v>
      </c>
      <c r="AG569" s="494" t="s">
        <v>211</v>
      </c>
      <c r="AH569" s="494" t="s">
        <v>545</v>
      </c>
      <c r="AI569" s="495">
        <v>41927</v>
      </c>
      <c r="AJ569" s="495">
        <v>41962</v>
      </c>
      <c r="AK569" s="494" t="s">
        <v>96</v>
      </c>
      <c r="AL569" s="494" t="s">
        <v>96</v>
      </c>
      <c r="AM569" s="496" t="s">
        <v>5699</v>
      </c>
      <c r="AN569" s="496" t="s">
        <v>1757</v>
      </c>
      <c r="AO569" s="494">
        <v>796</v>
      </c>
      <c r="AP569" s="494" t="s">
        <v>368</v>
      </c>
      <c r="AQ569" s="494">
        <v>1</v>
      </c>
      <c r="AR569" s="494">
        <v>46</v>
      </c>
      <c r="AS569" s="496" t="s">
        <v>605</v>
      </c>
      <c r="AT569" s="495">
        <v>41982</v>
      </c>
      <c r="AU569" s="495">
        <v>41982</v>
      </c>
      <c r="AV569" s="495">
        <v>42185</v>
      </c>
      <c r="AW569" s="494" t="s">
        <v>99</v>
      </c>
      <c r="AX569" s="496"/>
      <c r="AY569" s="494" t="s">
        <v>186</v>
      </c>
      <c r="AZ569" s="494"/>
      <c r="BA569" s="494">
        <v>2014</v>
      </c>
      <c r="BB569" s="494" t="s">
        <v>2922</v>
      </c>
      <c r="BC569" s="496" t="s">
        <v>2923</v>
      </c>
      <c r="BD569" s="496" t="s">
        <v>1818</v>
      </c>
      <c r="BE569" s="497">
        <v>42185</v>
      </c>
      <c r="BF569" s="498">
        <v>698.93810103618625</v>
      </c>
      <c r="BG569" s="488">
        <v>698.93810103618625</v>
      </c>
      <c r="BH569" s="488">
        <v>0</v>
      </c>
      <c r="BI569" s="488">
        <v>0.4</v>
      </c>
      <c r="BJ569" s="494" t="s">
        <v>186</v>
      </c>
      <c r="BK569" s="401"/>
    </row>
    <row r="570" spans="1:63" ht="150">
      <c r="A570" s="401">
        <v>2</v>
      </c>
      <c r="B570" s="494" t="s">
        <v>2924</v>
      </c>
      <c r="C570" s="401" t="s">
        <v>83</v>
      </c>
      <c r="D570" s="401" t="s">
        <v>231</v>
      </c>
      <c r="E570" s="494" t="s">
        <v>5853</v>
      </c>
      <c r="F570" s="401" t="s">
        <v>1752</v>
      </c>
      <c r="G570" s="401" t="s">
        <v>2344</v>
      </c>
      <c r="H570" s="499">
        <v>834001</v>
      </c>
      <c r="I570" s="486" t="s">
        <v>2925</v>
      </c>
      <c r="J570" s="496" t="s">
        <v>5698</v>
      </c>
      <c r="K570" s="496" t="s">
        <v>5698</v>
      </c>
      <c r="L570" s="496" t="s">
        <v>1772</v>
      </c>
      <c r="M570" s="500" t="s">
        <v>1755</v>
      </c>
      <c r="N570" s="496" t="s">
        <v>1773</v>
      </c>
      <c r="O570" s="496" t="s">
        <v>2234</v>
      </c>
      <c r="P570" s="489">
        <v>1501.42</v>
      </c>
      <c r="Q570" s="489">
        <f t="shared" si="100"/>
        <v>1771.6756</v>
      </c>
      <c r="R570" s="489">
        <v>1195.396</v>
      </c>
      <c r="S570" s="401" t="s">
        <v>1774</v>
      </c>
      <c r="T570" s="501">
        <v>1.087</v>
      </c>
      <c r="U570" s="501">
        <v>1.077</v>
      </c>
      <c r="V570" s="501">
        <v>1.073</v>
      </c>
      <c r="W570" s="501">
        <v>1.071</v>
      </c>
      <c r="X570" s="596">
        <v>0.9</v>
      </c>
      <c r="Y570" s="502">
        <v>1447.027</v>
      </c>
      <c r="Z570" s="489">
        <f t="shared" si="101"/>
        <v>1707.4918599999999</v>
      </c>
      <c r="AA570" s="489">
        <v>1341.6883974423465</v>
      </c>
      <c r="AB570" s="488">
        <f t="shared" si="102"/>
        <v>1583.1923089819688</v>
      </c>
      <c r="AC570" s="492">
        <f t="shared" si="103"/>
        <v>1341.6883974423465</v>
      </c>
      <c r="AD570" s="493">
        <f t="shared" si="104"/>
        <v>1583.1923089819688</v>
      </c>
      <c r="AE570" s="494" t="s">
        <v>1775</v>
      </c>
      <c r="AF570" s="494" t="s">
        <v>83</v>
      </c>
      <c r="AG570" s="494" t="s">
        <v>211</v>
      </c>
      <c r="AH570" s="494" t="s">
        <v>545</v>
      </c>
      <c r="AI570" s="495">
        <v>41927</v>
      </c>
      <c r="AJ570" s="495">
        <v>41962</v>
      </c>
      <c r="AK570" s="494" t="s">
        <v>96</v>
      </c>
      <c r="AL570" s="494" t="s">
        <v>96</v>
      </c>
      <c r="AM570" s="496" t="s">
        <v>5699</v>
      </c>
      <c r="AN570" s="496" t="s">
        <v>1757</v>
      </c>
      <c r="AO570" s="494">
        <v>796</v>
      </c>
      <c r="AP570" s="494" t="s">
        <v>368</v>
      </c>
      <c r="AQ570" s="494">
        <v>1</v>
      </c>
      <c r="AR570" s="494">
        <v>46</v>
      </c>
      <c r="AS570" s="496" t="s">
        <v>605</v>
      </c>
      <c r="AT570" s="495">
        <v>41982</v>
      </c>
      <c r="AU570" s="495">
        <v>41982</v>
      </c>
      <c r="AV570" s="495">
        <v>42185</v>
      </c>
      <c r="AW570" s="494" t="s">
        <v>99</v>
      </c>
      <c r="AX570" s="496"/>
      <c r="AY570" s="494" t="s">
        <v>186</v>
      </c>
      <c r="AZ570" s="494"/>
      <c r="BA570" s="494">
        <v>2014</v>
      </c>
      <c r="BB570" s="494" t="s">
        <v>2926</v>
      </c>
      <c r="BC570" s="496" t="s">
        <v>2927</v>
      </c>
      <c r="BD570" s="496" t="s">
        <v>1818</v>
      </c>
      <c r="BE570" s="497">
        <v>42185</v>
      </c>
      <c r="BF570" s="498">
        <v>1747.3452525904659</v>
      </c>
      <c r="BG570" s="488">
        <v>1747.3452525904659</v>
      </c>
      <c r="BH570" s="488">
        <v>0</v>
      </c>
      <c r="BI570" s="488">
        <v>1</v>
      </c>
      <c r="BJ570" s="494" t="s">
        <v>186</v>
      </c>
      <c r="BK570" s="401"/>
    </row>
    <row r="571" spans="1:63" ht="150">
      <c r="A571" s="401">
        <v>2</v>
      </c>
      <c r="B571" s="494" t="s">
        <v>2928</v>
      </c>
      <c r="C571" s="401" t="s">
        <v>83</v>
      </c>
      <c r="D571" s="401" t="s">
        <v>231</v>
      </c>
      <c r="E571" s="494" t="s">
        <v>5853</v>
      </c>
      <c r="F571" s="401" t="s">
        <v>1752</v>
      </c>
      <c r="G571" s="401" t="s">
        <v>2344</v>
      </c>
      <c r="H571" s="499">
        <v>834000</v>
      </c>
      <c r="I571" s="486" t="s">
        <v>2929</v>
      </c>
      <c r="J571" s="496" t="s">
        <v>5698</v>
      </c>
      <c r="K571" s="496" t="s">
        <v>5698</v>
      </c>
      <c r="L571" s="496" t="s">
        <v>1772</v>
      </c>
      <c r="M571" s="500" t="s">
        <v>1755</v>
      </c>
      <c r="N571" s="496" t="s">
        <v>1773</v>
      </c>
      <c r="O571" s="496" t="s">
        <v>2234</v>
      </c>
      <c r="P571" s="489">
        <v>1681.59</v>
      </c>
      <c r="Q571" s="489">
        <f t="shared" si="100"/>
        <v>1984.2761999999998</v>
      </c>
      <c r="R571" s="489">
        <v>1338.8430000000001</v>
      </c>
      <c r="S571" s="401" t="s">
        <v>1774</v>
      </c>
      <c r="T571" s="501">
        <v>1.087</v>
      </c>
      <c r="U571" s="501">
        <v>1.077</v>
      </c>
      <c r="V571" s="501">
        <v>1.073</v>
      </c>
      <c r="W571" s="501">
        <v>1.071</v>
      </c>
      <c r="X571" s="596">
        <v>0.9</v>
      </c>
      <c r="Y571" s="502">
        <v>1620.67</v>
      </c>
      <c r="Z571" s="489">
        <f t="shared" si="101"/>
        <v>1912.3905999999999</v>
      </c>
      <c r="AA571" s="489">
        <v>1502.6910077964851</v>
      </c>
      <c r="AB571" s="488">
        <f t="shared" si="102"/>
        <v>1773.1753891998524</v>
      </c>
      <c r="AC571" s="492">
        <f t="shared" si="103"/>
        <v>1502.6910077964851</v>
      </c>
      <c r="AD571" s="493">
        <f t="shared" si="104"/>
        <v>1773.1753891998524</v>
      </c>
      <c r="AE571" s="494" t="s">
        <v>1775</v>
      </c>
      <c r="AF571" s="494" t="s">
        <v>83</v>
      </c>
      <c r="AG571" s="494" t="s">
        <v>211</v>
      </c>
      <c r="AH571" s="494" t="s">
        <v>545</v>
      </c>
      <c r="AI571" s="495">
        <v>41927</v>
      </c>
      <c r="AJ571" s="495">
        <v>41962</v>
      </c>
      <c r="AK571" s="494" t="s">
        <v>96</v>
      </c>
      <c r="AL571" s="494" t="s">
        <v>96</v>
      </c>
      <c r="AM571" s="496" t="s">
        <v>5699</v>
      </c>
      <c r="AN571" s="496" t="s">
        <v>1757</v>
      </c>
      <c r="AO571" s="494">
        <v>796</v>
      </c>
      <c r="AP571" s="494" t="s">
        <v>368</v>
      </c>
      <c r="AQ571" s="494">
        <v>1</v>
      </c>
      <c r="AR571" s="494">
        <v>46</v>
      </c>
      <c r="AS571" s="496" t="s">
        <v>605</v>
      </c>
      <c r="AT571" s="495">
        <v>41982</v>
      </c>
      <c r="AU571" s="495">
        <v>41982</v>
      </c>
      <c r="AV571" s="495">
        <v>42185</v>
      </c>
      <c r="AW571" s="494" t="s">
        <v>99</v>
      </c>
      <c r="AX571" s="496"/>
      <c r="AY571" s="494" t="s">
        <v>186</v>
      </c>
      <c r="AZ571" s="494"/>
      <c r="BA571" s="494">
        <v>2014</v>
      </c>
      <c r="BB571" s="494" t="s">
        <v>2930</v>
      </c>
      <c r="BC571" s="496" t="s">
        <v>2931</v>
      </c>
      <c r="BD571" s="496" t="s">
        <v>1818</v>
      </c>
      <c r="BE571" s="497">
        <v>42185</v>
      </c>
      <c r="BF571" s="498">
        <v>1957.0266829013221</v>
      </c>
      <c r="BG571" s="488">
        <v>1957.0266829013221</v>
      </c>
      <c r="BH571" s="488">
        <v>0</v>
      </c>
      <c r="BI571" s="488">
        <v>1.1200000000000001</v>
      </c>
      <c r="BJ571" s="494" t="s">
        <v>186</v>
      </c>
      <c r="BK571" s="401"/>
    </row>
    <row r="572" spans="1:63" ht="150">
      <c r="A572" s="401">
        <v>2</v>
      </c>
      <c r="B572" s="494" t="s">
        <v>2932</v>
      </c>
      <c r="C572" s="401" t="s">
        <v>83</v>
      </c>
      <c r="D572" s="401" t="s">
        <v>231</v>
      </c>
      <c r="E572" s="494" t="s">
        <v>5853</v>
      </c>
      <c r="F572" s="401" t="s">
        <v>1752</v>
      </c>
      <c r="G572" s="401" t="s">
        <v>2344</v>
      </c>
      <c r="H572" s="499">
        <v>833999</v>
      </c>
      <c r="I572" s="486" t="s">
        <v>2933</v>
      </c>
      <c r="J572" s="496" t="s">
        <v>5698</v>
      </c>
      <c r="K572" s="496" t="s">
        <v>5698</v>
      </c>
      <c r="L572" s="496" t="s">
        <v>1772</v>
      </c>
      <c r="M572" s="500" t="s">
        <v>1755</v>
      </c>
      <c r="N572" s="496" t="s">
        <v>1773</v>
      </c>
      <c r="O572" s="496" t="s">
        <v>2234</v>
      </c>
      <c r="P572" s="489">
        <v>960.91</v>
      </c>
      <c r="Q572" s="489">
        <f t="shared" si="100"/>
        <v>1133.8737999999998</v>
      </c>
      <c r="R572" s="489">
        <v>765.05200000000002</v>
      </c>
      <c r="S572" s="401" t="s">
        <v>1774</v>
      </c>
      <c r="T572" s="501">
        <v>1.087</v>
      </c>
      <c r="U572" s="501">
        <v>1.077</v>
      </c>
      <c r="V572" s="501">
        <v>1.073</v>
      </c>
      <c r="W572" s="501">
        <v>1.071</v>
      </c>
      <c r="X572" s="596">
        <v>0.9</v>
      </c>
      <c r="Y572" s="502">
        <v>926.096</v>
      </c>
      <c r="Z572" s="489">
        <f t="shared" si="101"/>
        <v>1092.7932799999999</v>
      </c>
      <c r="AA572" s="489">
        <v>858.68045927213359</v>
      </c>
      <c r="AB572" s="488">
        <f t="shared" si="102"/>
        <v>1013.2429419411176</v>
      </c>
      <c r="AC572" s="492">
        <f t="shared" si="103"/>
        <v>858.68045927213359</v>
      </c>
      <c r="AD572" s="493">
        <f t="shared" si="104"/>
        <v>1013.2429419411176</v>
      </c>
      <c r="AE572" s="494" t="s">
        <v>1775</v>
      </c>
      <c r="AF572" s="494" t="s">
        <v>83</v>
      </c>
      <c r="AG572" s="494" t="s">
        <v>211</v>
      </c>
      <c r="AH572" s="494" t="s">
        <v>545</v>
      </c>
      <c r="AI572" s="495">
        <v>41927</v>
      </c>
      <c r="AJ572" s="495">
        <v>41962</v>
      </c>
      <c r="AK572" s="494" t="s">
        <v>96</v>
      </c>
      <c r="AL572" s="494" t="s">
        <v>96</v>
      </c>
      <c r="AM572" s="496" t="s">
        <v>5699</v>
      </c>
      <c r="AN572" s="496" t="s">
        <v>1757</v>
      </c>
      <c r="AO572" s="494">
        <v>796</v>
      </c>
      <c r="AP572" s="494" t="s">
        <v>368</v>
      </c>
      <c r="AQ572" s="494">
        <v>1</v>
      </c>
      <c r="AR572" s="494">
        <v>46</v>
      </c>
      <c r="AS572" s="496" t="s">
        <v>605</v>
      </c>
      <c r="AT572" s="495">
        <v>41982</v>
      </c>
      <c r="AU572" s="495">
        <v>41982</v>
      </c>
      <c r="AV572" s="495">
        <v>42185</v>
      </c>
      <c r="AW572" s="494" t="s">
        <v>99</v>
      </c>
      <c r="AX572" s="496"/>
      <c r="AY572" s="494" t="s">
        <v>186</v>
      </c>
      <c r="AZ572" s="494"/>
      <c r="BA572" s="494">
        <v>2014</v>
      </c>
      <c r="BB572" s="494" t="s">
        <v>2934</v>
      </c>
      <c r="BC572" s="496" t="s">
        <v>2935</v>
      </c>
      <c r="BD572" s="496" t="s">
        <v>1818</v>
      </c>
      <c r="BE572" s="497">
        <v>42185</v>
      </c>
      <c r="BF572" s="498">
        <v>1118.3009616578981</v>
      </c>
      <c r="BG572" s="488">
        <v>1118.3009616578981</v>
      </c>
      <c r="BH572" s="488">
        <v>0</v>
      </c>
      <c r="BI572" s="488">
        <v>0.64</v>
      </c>
      <c r="BJ572" s="494" t="s">
        <v>186</v>
      </c>
      <c r="BK572" s="401"/>
    </row>
    <row r="573" spans="1:63" ht="150">
      <c r="A573" s="401">
        <v>2</v>
      </c>
      <c r="B573" s="494" t="s">
        <v>2936</v>
      </c>
      <c r="C573" s="401" t="s">
        <v>83</v>
      </c>
      <c r="D573" s="401" t="s">
        <v>231</v>
      </c>
      <c r="E573" s="494" t="s">
        <v>5853</v>
      </c>
      <c r="F573" s="401" t="s">
        <v>1752</v>
      </c>
      <c r="G573" s="401" t="s">
        <v>2344</v>
      </c>
      <c r="H573" s="499">
        <v>833998</v>
      </c>
      <c r="I573" s="486" t="s">
        <v>2937</v>
      </c>
      <c r="J573" s="496" t="s">
        <v>5698</v>
      </c>
      <c r="K573" s="496" t="s">
        <v>5698</v>
      </c>
      <c r="L573" s="496" t="s">
        <v>1772</v>
      </c>
      <c r="M573" s="500" t="s">
        <v>1755</v>
      </c>
      <c r="N573" s="496" t="s">
        <v>1773</v>
      </c>
      <c r="O573" s="496" t="s">
        <v>2234</v>
      </c>
      <c r="P573" s="489">
        <v>630.59</v>
      </c>
      <c r="Q573" s="489">
        <f t="shared" si="100"/>
        <v>744.09619999999995</v>
      </c>
      <c r="R573" s="489">
        <v>502.065</v>
      </c>
      <c r="S573" s="401" t="s">
        <v>1774</v>
      </c>
      <c r="T573" s="501">
        <v>1.087</v>
      </c>
      <c r="U573" s="501">
        <v>1.077</v>
      </c>
      <c r="V573" s="501">
        <v>1.073</v>
      </c>
      <c r="W573" s="501">
        <v>1.071</v>
      </c>
      <c r="X573" s="596">
        <v>0.9</v>
      </c>
      <c r="Y573" s="502">
        <v>607.75</v>
      </c>
      <c r="Z573" s="489">
        <f t="shared" si="101"/>
        <v>717.14499999999998</v>
      </c>
      <c r="AA573" s="489">
        <v>563.50918087372031</v>
      </c>
      <c r="AB573" s="488">
        <f t="shared" si="102"/>
        <v>664.94083343098998</v>
      </c>
      <c r="AC573" s="492">
        <f t="shared" si="103"/>
        <v>563.50918087372031</v>
      </c>
      <c r="AD573" s="493">
        <f t="shared" si="104"/>
        <v>664.94083343098998</v>
      </c>
      <c r="AE573" s="494" t="s">
        <v>1775</v>
      </c>
      <c r="AF573" s="494" t="s">
        <v>83</v>
      </c>
      <c r="AG573" s="494" t="s">
        <v>211</v>
      </c>
      <c r="AH573" s="494" t="s">
        <v>545</v>
      </c>
      <c r="AI573" s="495">
        <v>41927</v>
      </c>
      <c r="AJ573" s="495">
        <v>41962</v>
      </c>
      <c r="AK573" s="494" t="s">
        <v>96</v>
      </c>
      <c r="AL573" s="494" t="s">
        <v>96</v>
      </c>
      <c r="AM573" s="496" t="s">
        <v>5699</v>
      </c>
      <c r="AN573" s="496" t="s">
        <v>1757</v>
      </c>
      <c r="AO573" s="494">
        <v>796</v>
      </c>
      <c r="AP573" s="494" t="s">
        <v>368</v>
      </c>
      <c r="AQ573" s="494">
        <v>1</v>
      </c>
      <c r="AR573" s="494">
        <v>46</v>
      </c>
      <c r="AS573" s="496" t="s">
        <v>605</v>
      </c>
      <c r="AT573" s="495">
        <v>41982</v>
      </c>
      <c r="AU573" s="495">
        <v>41982</v>
      </c>
      <c r="AV573" s="495">
        <v>42185</v>
      </c>
      <c r="AW573" s="494" t="s">
        <v>99</v>
      </c>
      <c r="AX573" s="496"/>
      <c r="AY573" s="494" t="s">
        <v>186</v>
      </c>
      <c r="AZ573" s="494"/>
      <c r="BA573" s="494">
        <v>2014</v>
      </c>
      <c r="BB573" s="494" t="s">
        <v>2938</v>
      </c>
      <c r="BC573" s="496" t="s">
        <v>2939</v>
      </c>
      <c r="BD573" s="496" t="s">
        <v>1818</v>
      </c>
      <c r="BE573" s="497">
        <v>42185</v>
      </c>
      <c r="BF573" s="498">
        <v>733.88500608799552</v>
      </c>
      <c r="BG573" s="488">
        <v>733.88500608799552</v>
      </c>
      <c r="BH573" s="488">
        <v>0</v>
      </c>
      <c r="BI573" s="488">
        <v>0.42</v>
      </c>
      <c r="BJ573" s="494" t="s">
        <v>186</v>
      </c>
      <c r="BK573" s="401"/>
    </row>
    <row r="574" spans="1:63" ht="150">
      <c r="A574" s="401">
        <v>2</v>
      </c>
      <c r="B574" s="494" t="s">
        <v>2940</v>
      </c>
      <c r="C574" s="401" t="s">
        <v>83</v>
      </c>
      <c r="D574" s="401" t="s">
        <v>231</v>
      </c>
      <c r="E574" s="494" t="s">
        <v>5853</v>
      </c>
      <c r="F574" s="401" t="s">
        <v>1752</v>
      </c>
      <c r="G574" s="401" t="s">
        <v>2344</v>
      </c>
      <c r="H574" s="499">
        <v>833997</v>
      </c>
      <c r="I574" s="486" t="s">
        <v>2941</v>
      </c>
      <c r="J574" s="496" t="s">
        <v>5698</v>
      </c>
      <c r="K574" s="496" t="s">
        <v>5698</v>
      </c>
      <c r="L574" s="496" t="s">
        <v>1772</v>
      </c>
      <c r="M574" s="500" t="s">
        <v>1755</v>
      </c>
      <c r="N574" s="496" t="s">
        <v>1773</v>
      </c>
      <c r="O574" s="496" t="s">
        <v>2234</v>
      </c>
      <c r="P574" s="489">
        <v>1711.62</v>
      </c>
      <c r="Q574" s="489">
        <f t="shared" si="100"/>
        <v>2019.7115999999999</v>
      </c>
      <c r="R574" s="489">
        <v>1362.752</v>
      </c>
      <c r="S574" s="401" t="s">
        <v>1774</v>
      </c>
      <c r="T574" s="501">
        <v>1.087</v>
      </c>
      <c r="U574" s="501">
        <v>1.077</v>
      </c>
      <c r="V574" s="501">
        <v>1.073</v>
      </c>
      <c r="W574" s="501">
        <v>1.071</v>
      </c>
      <c r="X574" s="596">
        <v>0.9</v>
      </c>
      <c r="Y574" s="502">
        <v>1649.6110000000001</v>
      </c>
      <c r="Z574" s="489">
        <f t="shared" si="101"/>
        <v>1946.54098</v>
      </c>
      <c r="AA574" s="489">
        <v>1529.5247591843749</v>
      </c>
      <c r="AB574" s="488">
        <f t="shared" si="102"/>
        <v>1804.8392158375623</v>
      </c>
      <c r="AC574" s="492">
        <f t="shared" si="103"/>
        <v>1529.5247591843749</v>
      </c>
      <c r="AD574" s="493">
        <f t="shared" si="104"/>
        <v>1804.8392158375623</v>
      </c>
      <c r="AE574" s="494" t="s">
        <v>1775</v>
      </c>
      <c r="AF574" s="494" t="s">
        <v>83</v>
      </c>
      <c r="AG574" s="494" t="s">
        <v>211</v>
      </c>
      <c r="AH574" s="494" t="s">
        <v>545</v>
      </c>
      <c r="AI574" s="495">
        <v>41927</v>
      </c>
      <c r="AJ574" s="495">
        <v>41962</v>
      </c>
      <c r="AK574" s="494" t="s">
        <v>96</v>
      </c>
      <c r="AL574" s="494" t="s">
        <v>96</v>
      </c>
      <c r="AM574" s="496" t="s">
        <v>5699</v>
      </c>
      <c r="AN574" s="496" t="s">
        <v>1757</v>
      </c>
      <c r="AO574" s="494">
        <v>796</v>
      </c>
      <c r="AP574" s="494" t="s">
        <v>368</v>
      </c>
      <c r="AQ574" s="494">
        <v>1</v>
      </c>
      <c r="AR574" s="494">
        <v>46</v>
      </c>
      <c r="AS574" s="496" t="s">
        <v>605</v>
      </c>
      <c r="AT574" s="495">
        <v>41982</v>
      </c>
      <c r="AU574" s="495">
        <v>41982</v>
      </c>
      <c r="AV574" s="495">
        <v>42185</v>
      </c>
      <c r="AW574" s="494" t="s">
        <v>99</v>
      </c>
      <c r="AX574" s="496"/>
      <c r="AY574" s="494" t="s">
        <v>186</v>
      </c>
      <c r="AZ574" s="494"/>
      <c r="BA574" s="494">
        <v>2014</v>
      </c>
      <c r="BB574" s="494" t="s">
        <v>2942</v>
      </c>
      <c r="BC574" s="496" t="s">
        <v>2943</v>
      </c>
      <c r="BD574" s="496" t="s">
        <v>1818</v>
      </c>
      <c r="BE574" s="497">
        <v>42185</v>
      </c>
      <c r="BF574" s="498">
        <v>1991.9735879531308</v>
      </c>
      <c r="BG574" s="488">
        <v>1991.9735879531308</v>
      </c>
      <c r="BH574" s="488">
        <v>0</v>
      </c>
      <c r="BI574" s="488">
        <v>1.1399999999999999</v>
      </c>
      <c r="BJ574" s="494" t="s">
        <v>186</v>
      </c>
      <c r="BK574" s="401"/>
    </row>
    <row r="575" spans="1:63" ht="150">
      <c r="A575" s="401">
        <v>2</v>
      </c>
      <c r="B575" s="494" t="s">
        <v>2944</v>
      </c>
      <c r="C575" s="401" t="s">
        <v>83</v>
      </c>
      <c r="D575" s="401" t="s">
        <v>231</v>
      </c>
      <c r="E575" s="494" t="s">
        <v>5853</v>
      </c>
      <c r="F575" s="401" t="s">
        <v>1752</v>
      </c>
      <c r="G575" s="401" t="s">
        <v>2344</v>
      </c>
      <c r="H575" s="499">
        <v>833996</v>
      </c>
      <c r="I575" s="486" t="s">
        <v>2945</v>
      </c>
      <c r="J575" s="496" t="s">
        <v>5698</v>
      </c>
      <c r="K575" s="496" t="s">
        <v>5698</v>
      </c>
      <c r="L575" s="496" t="s">
        <v>1772</v>
      </c>
      <c r="M575" s="500" t="s">
        <v>1755</v>
      </c>
      <c r="N575" s="496" t="s">
        <v>1773</v>
      </c>
      <c r="O575" s="496" t="s">
        <v>2234</v>
      </c>
      <c r="P575" s="489">
        <v>930.88</v>
      </c>
      <c r="Q575" s="489">
        <f t="shared" si="100"/>
        <v>1098.4384</v>
      </c>
      <c r="R575" s="489">
        <v>741.14400000000001</v>
      </c>
      <c r="S575" s="401" t="s">
        <v>1774</v>
      </c>
      <c r="T575" s="501">
        <v>1.087</v>
      </c>
      <c r="U575" s="501">
        <v>1.077</v>
      </c>
      <c r="V575" s="501">
        <v>1.073</v>
      </c>
      <c r="W575" s="501">
        <v>1.071</v>
      </c>
      <c r="X575" s="596">
        <v>0.9</v>
      </c>
      <c r="Y575" s="502">
        <v>897.15499999999997</v>
      </c>
      <c r="Z575" s="489">
        <f t="shared" si="101"/>
        <v>1058.6428999999998</v>
      </c>
      <c r="AA575" s="489">
        <v>831.84674358684595</v>
      </c>
      <c r="AB575" s="488">
        <f t="shared" si="102"/>
        <v>981.57915743247815</v>
      </c>
      <c r="AC575" s="492">
        <f t="shared" si="103"/>
        <v>831.84674358684595</v>
      </c>
      <c r="AD575" s="493">
        <f t="shared" si="104"/>
        <v>981.57915743247815</v>
      </c>
      <c r="AE575" s="494" t="s">
        <v>1775</v>
      </c>
      <c r="AF575" s="494" t="s">
        <v>83</v>
      </c>
      <c r="AG575" s="494" t="s">
        <v>211</v>
      </c>
      <c r="AH575" s="494" t="s">
        <v>545</v>
      </c>
      <c r="AI575" s="495">
        <v>41927</v>
      </c>
      <c r="AJ575" s="495">
        <v>41962</v>
      </c>
      <c r="AK575" s="494" t="s">
        <v>96</v>
      </c>
      <c r="AL575" s="494" t="s">
        <v>96</v>
      </c>
      <c r="AM575" s="496" t="s">
        <v>5699</v>
      </c>
      <c r="AN575" s="496" t="s">
        <v>1757</v>
      </c>
      <c r="AO575" s="494">
        <v>796</v>
      </c>
      <c r="AP575" s="494" t="s">
        <v>368</v>
      </c>
      <c r="AQ575" s="494">
        <v>1</v>
      </c>
      <c r="AR575" s="494">
        <v>46</v>
      </c>
      <c r="AS575" s="496" t="s">
        <v>605</v>
      </c>
      <c r="AT575" s="495">
        <v>41982</v>
      </c>
      <c r="AU575" s="495">
        <v>41982</v>
      </c>
      <c r="AV575" s="495">
        <v>42185</v>
      </c>
      <c r="AW575" s="494" t="s">
        <v>99</v>
      </c>
      <c r="AX575" s="496"/>
      <c r="AY575" s="494" t="s">
        <v>186</v>
      </c>
      <c r="AZ575" s="494"/>
      <c r="BA575" s="494">
        <v>2014</v>
      </c>
      <c r="BB575" s="494" t="s">
        <v>2946</v>
      </c>
      <c r="BC575" s="496" t="s">
        <v>2947</v>
      </c>
      <c r="BD575" s="496" t="s">
        <v>1818</v>
      </c>
      <c r="BE575" s="497">
        <v>42185</v>
      </c>
      <c r="BF575" s="498">
        <v>1083.3540566060888</v>
      </c>
      <c r="BG575" s="488">
        <v>1083.3540566060888</v>
      </c>
      <c r="BH575" s="488">
        <v>0</v>
      </c>
      <c r="BI575" s="488">
        <v>0.62</v>
      </c>
      <c r="BJ575" s="494" t="s">
        <v>186</v>
      </c>
      <c r="BK575" s="401"/>
    </row>
    <row r="576" spans="1:63" ht="150">
      <c r="A576" s="401">
        <v>2</v>
      </c>
      <c r="B576" s="494" t="s">
        <v>2948</v>
      </c>
      <c r="C576" s="401" t="s">
        <v>83</v>
      </c>
      <c r="D576" s="401" t="s">
        <v>231</v>
      </c>
      <c r="E576" s="494" t="s">
        <v>5853</v>
      </c>
      <c r="F576" s="401" t="s">
        <v>1752</v>
      </c>
      <c r="G576" s="401" t="s">
        <v>2344</v>
      </c>
      <c r="H576" s="499">
        <v>833995</v>
      </c>
      <c r="I576" s="486" t="s">
        <v>2949</v>
      </c>
      <c r="J576" s="496" t="s">
        <v>5698</v>
      </c>
      <c r="K576" s="496" t="s">
        <v>5698</v>
      </c>
      <c r="L576" s="496" t="s">
        <v>1772</v>
      </c>
      <c r="M576" s="500" t="s">
        <v>1755</v>
      </c>
      <c r="N576" s="496" t="s">
        <v>1773</v>
      </c>
      <c r="O576" s="496" t="s">
        <v>2234</v>
      </c>
      <c r="P576" s="489">
        <v>1081.02</v>
      </c>
      <c r="Q576" s="489">
        <f t="shared" si="100"/>
        <v>1275.6035999999999</v>
      </c>
      <c r="R576" s="489">
        <v>860.68399999999997</v>
      </c>
      <c r="S576" s="401" t="s">
        <v>1774</v>
      </c>
      <c r="T576" s="501">
        <v>1.087</v>
      </c>
      <c r="U576" s="501">
        <v>1.077</v>
      </c>
      <c r="V576" s="501">
        <v>1.073</v>
      </c>
      <c r="W576" s="501">
        <v>1.071</v>
      </c>
      <c r="X576" s="596">
        <v>0.9</v>
      </c>
      <c r="Y576" s="502">
        <v>1041.8579999999999</v>
      </c>
      <c r="Z576" s="489">
        <f t="shared" si="101"/>
        <v>1229.3924399999999</v>
      </c>
      <c r="AA576" s="489">
        <v>966.01561148473263</v>
      </c>
      <c r="AB576" s="488">
        <f t="shared" si="102"/>
        <v>1139.8984215519845</v>
      </c>
      <c r="AC576" s="492">
        <f t="shared" si="103"/>
        <v>966.01561148473263</v>
      </c>
      <c r="AD576" s="493">
        <f t="shared" si="104"/>
        <v>1139.8984215519845</v>
      </c>
      <c r="AE576" s="494" t="s">
        <v>1775</v>
      </c>
      <c r="AF576" s="494" t="s">
        <v>83</v>
      </c>
      <c r="AG576" s="494" t="s">
        <v>211</v>
      </c>
      <c r="AH576" s="494" t="s">
        <v>545</v>
      </c>
      <c r="AI576" s="495">
        <v>41927</v>
      </c>
      <c r="AJ576" s="495">
        <v>41962</v>
      </c>
      <c r="AK576" s="494" t="s">
        <v>96</v>
      </c>
      <c r="AL576" s="494" t="s">
        <v>96</v>
      </c>
      <c r="AM576" s="496" t="s">
        <v>5699</v>
      </c>
      <c r="AN576" s="496" t="s">
        <v>1757</v>
      </c>
      <c r="AO576" s="494">
        <v>796</v>
      </c>
      <c r="AP576" s="494" t="s">
        <v>368</v>
      </c>
      <c r="AQ576" s="494">
        <v>1</v>
      </c>
      <c r="AR576" s="494">
        <v>46</v>
      </c>
      <c r="AS576" s="496" t="s">
        <v>605</v>
      </c>
      <c r="AT576" s="495">
        <v>41982</v>
      </c>
      <c r="AU576" s="495">
        <v>41982</v>
      </c>
      <c r="AV576" s="495">
        <v>42185</v>
      </c>
      <c r="AW576" s="494" t="s">
        <v>99</v>
      </c>
      <c r="AX576" s="496"/>
      <c r="AY576" s="494" t="s">
        <v>186</v>
      </c>
      <c r="AZ576" s="494"/>
      <c r="BA576" s="494">
        <v>2014</v>
      </c>
      <c r="BB576" s="494" t="s">
        <v>2950</v>
      </c>
      <c r="BC576" s="496" t="s">
        <v>2951</v>
      </c>
      <c r="BD576" s="496" t="s">
        <v>1818</v>
      </c>
      <c r="BE576" s="497">
        <v>42185</v>
      </c>
      <c r="BF576" s="498">
        <v>1258.0885785048156</v>
      </c>
      <c r="BG576" s="488">
        <v>1258.0885785048156</v>
      </c>
      <c r="BH576" s="488">
        <v>0</v>
      </c>
      <c r="BI576" s="488">
        <v>0.72</v>
      </c>
      <c r="BJ576" s="494" t="s">
        <v>186</v>
      </c>
      <c r="BK576" s="401"/>
    </row>
    <row r="577" spans="1:63" ht="150">
      <c r="A577" s="401">
        <v>2</v>
      </c>
      <c r="B577" s="494" t="s">
        <v>2952</v>
      </c>
      <c r="C577" s="401" t="s">
        <v>83</v>
      </c>
      <c r="D577" s="401" t="s">
        <v>231</v>
      </c>
      <c r="E577" s="494" t="s">
        <v>5853</v>
      </c>
      <c r="F577" s="401" t="s">
        <v>1752</v>
      </c>
      <c r="G577" s="401" t="s">
        <v>2344</v>
      </c>
      <c r="H577" s="499">
        <v>833993</v>
      </c>
      <c r="I577" s="486" t="s">
        <v>2953</v>
      </c>
      <c r="J577" s="496" t="s">
        <v>5698</v>
      </c>
      <c r="K577" s="496" t="s">
        <v>5698</v>
      </c>
      <c r="L577" s="496" t="s">
        <v>1772</v>
      </c>
      <c r="M577" s="500" t="s">
        <v>1755</v>
      </c>
      <c r="N577" s="496" t="s">
        <v>1773</v>
      </c>
      <c r="O577" s="496" t="s">
        <v>2234</v>
      </c>
      <c r="P577" s="489">
        <v>960.91</v>
      </c>
      <c r="Q577" s="489">
        <f t="shared" si="100"/>
        <v>1133.8737999999998</v>
      </c>
      <c r="R577" s="489">
        <v>765.05200000000002</v>
      </c>
      <c r="S577" s="401" t="s">
        <v>1774</v>
      </c>
      <c r="T577" s="501">
        <v>1.087</v>
      </c>
      <c r="U577" s="501">
        <v>1.077</v>
      </c>
      <c r="V577" s="501">
        <v>1.073</v>
      </c>
      <c r="W577" s="501">
        <v>1.071</v>
      </c>
      <c r="X577" s="596">
        <v>0.9</v>
      </c>
      <c r="Y577" s="502">
        <v>926.096</v>
      </c>
      <c r="Z577" s="489">
        <f t="shared" si="101"/>
        <v>1092.7932799999999</v>
      </c>
      <c r="AA577" s="489">
        <v>858.68045927213359</v>
      </c>
      <c r="AB577" s="488">
        <f t="shared" si="102"/>
        <v>1013.2429419411176</v>
      </c>
      <c r="AC577" s="492">
        <f t="shared" si="103"/>
        <v>858.68045927213359</v>
      </c>
      <c r="AD577" s="493">
        <f t="shared" si="104"/>
        <v>1013.2429419411176</v>
      </c>
      <c r="AE577" s="494" t="s">
        <v>1775</v>
      </c>
      <c r="AF577" s="494" t="s">
        <v>83</v>
      </c>
      <c r="AG577" s="494" t="s">
        <v>211</v>
      </c>
      <c r="AH577" s="494" t="s">
        <v>545</v>
      </c>
      <c r="AI577" s="495">
        <v>41927</v>
      </c>
      <c r="AJ577" s="495">
        <v>41962</v>
      </c>
      <c r="AK577" s="494" t="s">
        <v>96</v>
      </c>
      <c r="AL577" s="494" t="s">
        <v>96</v>
      </c>
      <c r="AM577" s="496" t="s">
        <v>5699</v>
      </c>
      <c r="AN577" s="496" t="s">
        <v>1757</v>
      </c>
      <c r="AO577" s="494">
        <v>796</v>
      </c>
      <c r="AP577" s="494" t="s">
        <v>368</v>
      </c>
      <c r="AQ577" s="494">
        <v>1</v>
      </c>
      <c r="AR577" s="494">
        <v>46</v>
      </c>
      <c r="AS577" s="496" t="s">
        <v>605</v>
      </c>
      <c r="AT577" s="495">
        <v>41982</v>
      </c>
      <c r="AU577" s="495">
        <v>41982</v>
      </c>
      <c r="AV577" s="495">
        <v>42185</v>
      </c>
      <c r="AW577" s="494" t="s">
        <v>99</v>
      </c>
      <c r="AX577" s="496"/>
      <c r="AY577" s="494" t="s">
        <v>186</v>
      </c>
      <c r="AZ577" s="494"/>
      <c r="BA577" s="494">
        <v>2014</v>
      </c>
      <c r="BB577" s="494" t="s">
        <v>2954</v>
      </c>
      <c r="BC577" s="496" t="s">
        <v>2955</v>
      </c>
      <c r="BD577" s="496" t="s">
        <v>1818</v>
      </c>
      <c r="BE577" s="497">
        <v>42185</v>
      </c>
      <c r="BF577" s="498">
        <v>1118.3009624278563</v>
      </c>
      <c r="BG577" s="488">
        <v>1118.3009624278563</v>
      </c>
      <c r="BH577" s="488">
        <v>0</v>
      </c>
      <c r="BI577" s="488">
        <v>0.64</v>
      </c>
      <c r="BJ577" s="494" t="s">
        <v>186</v>
      </c>
      <c r="BK577" s="401"/>
    </row>
    <row r="578" spans="1:63" ht="150">
      <c r="A578" s="401">
        <v>2</v>
      </c>
      <c r="B578" s="494" t="s">
        <v>2956</v>
      </c>
      <c r="C578" s="401" t="s">
        <v>83</v>
      </c>
      <c r="D578" s="401" t="s">
        <v>231</v>
      </c>
      <c r="E578" s="494" t="s">
        <v>5853</v>
      </c>
      <c r="F578" s="401" t="s">
        <v>1752</v>
      </c>
      <c r="G578" s="401" t="s">
        <v>2344</v>
      </c>
      <c r="H578" s="499">
        <v>833992</v>
      </c>
      <c r="I578" s="486" t="s">
        <v>2957</v>
      </c>
      <c r="J578" s="496" t="s">
        <v>5698</v>
      </c>
      <c r="K578" s="496" t="s">
        <v>5698</v>
      </c>
      <c r="L578" s="496" t="s">
        <v>1772</v>
      </c>
      <c r="M578" s="500" t="s">
        <v>1755</v>
      </c>
      <c r="N578" s="496" t="s">
        <v>1773</v>
      </c>
      <c r="O578" s="496" t="s">
        <v>2234</v>
      </c>
      <c r="P578" s="489">
        <v>600.57000000000005</v>
      </c>
      <c r="Q578" s="489">
        <f t="shared" si="100"/>
        <v>708.67259999999999</v>
      </c>
      <c r="R578" s="489">
        <v>478.15699999999998</v>
      </c>
      <c r="S578" s="401" t="s">
        <v>1774</v>
      </c>
      <c r="T578" s="501">
        <v>1.087</v>
      </c>
      <c r="U578" s="501">
        <v>1.077</v>
      </c>
      <c r="V578" s="501">
        <v>1.073</v>
      </c>
      <c r="W578" s="501">
        <v>1.071</v>
      </c>
      <c r="X578" s="596">
        <v>0.9</v>
      </c>
      <c r="Y578" s="502">
        <v>578.80899999999997</v>
      </c>
      <c r="Z578" s="489">
        <f t="shared" si="101"/>
        <v>682.99461999999994</v>
      </c>
      <c r="AA578" s="489">
        <v>536.67539631175646</v>
      </c>
      <c r="AB578" s="488">
        <f t="shared" si="102"/>
        <v>633.27696764787254</v>
      </c>
      <c r="AC578" s="492">
        <f t="shared" si="103"/>
        <v>536.67539631175646</v>
      </c>
      <c r="AD578" s="493">
        <f t="shared" si="104"/>
        <v>633.27696764787254</v>
      </c>
      <c r="AE578" s="494" t="s">
        <v>1775</v>
      </c>
      <c r="AF578" s="494" t="s">
        <v>83</v>
      </c>
      <c r="AG578" s="494" t="s">
        <v>211</v>
      </c>
      <c r="AH578" s="494" t="s">
        <v>545</v>
      </c>
      <c r="AI578" s="495">
        <v>41927</v>
      </c>
      <c r="AJ578" s="495">
        <v>41962</v>
      </c>
      <c r="AK578" s="494" t="s">
        <v>96</v>
      </c>
      <c r="AL578" s="494" t="s">
        <v>96</v>
      </c>
      <c r="AM578" s="496" t="s">
        <v>5699</v>
      </c>
      <c r="AN578" s="496" t="s">
        <v>1757</v>
      </c>
      <c r="AO578" s="494">
        <v>796</v>
      </c>
      <c r="AP578" s="494" t="s">
        <v>368</v>
      </c>
      <c r="AQ578" s="494">
        <v>1</v>
      </c>
      <c r="AR578" s="494">
        <v>46</v>
      </c>
      <c r="AS578" s="496" t="s">
        <v>605</v>
      </c>
      <c r="AT578" s="495">
        <v>41982</v>
      </c>
      <c r="AU578" s="495">
        <v>41982</v>
      </c>
      <c r="AV578" s="495">
        <v>42185</v>
      </c>
      <c r="AW578" s="494" t="s">
        <v>99</v>
      </c>
      <c r="AX578" s="496"/>
      <c r="AY578" s="494" t="s">
        <v>186</v>
      </c>
      <c r="AZ578" s="494"/>
      <c r="BA578" s="494">
        <v>2014</v>
      </c>
      <c r="BB578" s="494" t="s">
        <v>2958</v>
      </c>
      <c r="BC578" s="496" t="s">
        <v>2959</v>
      </c>
      <c r="BD578" s="496" t="s">
        <v>1818</v>
      </c>
      <c r="BE578" s="497">
        <v>42185</v>
      </c>
      <c r="BF578" s="498">
        <v>698.93810103618625</v>
      </c>
      <c r="BG578" s="488">
        <v>698.93810103618625</v>
      </c>
      <c r="BH578" s="488">
        <v>0</v>
      </c>
      <c r="BI578" s="488">
        <v>0.4</v>
      </c>
      <c r="BJ578" s="494" t="s">
        <v>186</v>
      </c>
      <c r="BK578" s="401"/>
    </row>
    <row r="579" spans="1:63" ht="150">
      <c r="A579" s="401">
        <v>2</v>
      </c>
      <c r="B579" s="494" t="s">
        <v>2960</v>
      </c>
      <c r="C579" s="401" t="s">
        <v>83</v>
      </c>
      <c r="D579" s="401" t="s">
        <v>231</v>
      </c>
      <c r="E579" s="494" t="s">
        <v>5853</v>
      </c>
      <c r="F579" s="401" t="s">
        <v>1752</v>
      </c>
      <c r="G579" s="401" t="s">
        <v>2344</v>
      </c>
      <c r="H579" s="499">
        <v>833990</v>
      </c>
      <c r="I579" s="486" t="s">
        <v>2961</v>
      </c>
      <c r="J579" s="496" t="s">
        <v>5698</v>
      </c>
      <c r="K579" s="496" t="s">
        <v>5698</v>
      </c>
      <c r="L579" s="496" t="s">
        <v>1772</v>
      </c>
      <c r="M579" s="500" t="s">
        <v>1755</v>
      </c>
      <c r="N579" s="496" t="s">
        <v>1773</v>
      </c>
      <c r="O579" s="496" t="s">
        <v>2234</v>
      </c>
      <c r="P579" s="489">
        <v>645.61</v>
      </c>
      <c r="Q579" s="489">
        <f t="shared" si="100"/>
        <v>761.81979999999999</v>
      </c>
      <c r="R579" s="489">
        <v>514.02</v>
      </c>
      <c r="S579" s="401" t="s">
        <v>1774</v>
      </c>
      <c r="T579" s="501">
        <v>1.087</v>
      </c>
      <c r="U579" s="501">
        <v>1.077</v>
      </c>
      <c r="V579" s="501">
        <v>1.073</v>
      </c>
      <c r="W579" s="501">
        <v>1.071</v>
      </c>
      <c r="X579" s="596">
        <v>0.9</v>
      </c>
      <c r="Y579" s="502">
        <v>622.221</v>
      </c>
      <c r="Z579" s="489">
        <f t="shared" si="101"/>
        <v>734.22077999999999</v>
      </c>
      <c r="AA579" s="489">
        <v>576.92605336610461</v>
      </c>
      <c r="AB579" s="488">
        <f t="shared" si="102"/>
        <v>680.77274297200336</v>
      </c>
      <c r="AC579" s="492">
        <f t="shared" si="103"/>
        <v>576.92605336610461</v>
      </c>
      <c r="AD579" s="493">
        <f t="shared" si="104"/>
        <v>680.77274297200336</v>
      </c>
      <c r="AE579" s="494" t="s">
        <v>1775</v>
      </c>
      <c r="AF579" s="494" t="s">
        <v>83</v>
      </c>
      <c r="AG579" s="494" t="s">
        <v>211</v>
      </c>
      <c r="AH579" s="494" t="s">
        <v>545</v>
      </c>
      <c r="AI579" s="495">
        <v>41927</v>
      </c>
      <c r="AJ579" s="495">
        <v>41962</v>
      </c>
      <c r="AK579" s="494" t="s">
        <v>96</v>
      </c>
      <c r="AL579" s="494" t="s">
        <v>96</v>
      </c>
      <c r="AM579" s="496" t="s">
        <v>5699</v>
      </c>
      <c r="AN579" s="496" t="s">
        <v>1757</v>
      </c>
      <c r="AO579" s="494">
        <v>796</v>
      </c>
      <c r="AP579" s="494" t="s">
        <v>368</v>
      </c>
      <c r="AQ579" s="494">
        <v>1</v>
      </c>
      <c r="AR579" s="494">
        <v>46</v>
      </c>
      <c r="AS579" s="496" t="s">
        <v>605</v>
      </c>
      <c r="AT579" s="495">
        <v>41982</v>
      </c>
      <c r="AU579" s="495">
        <v>41982</v>
      </c>
      <c r="AV579" s="495">
        <v>42185</v>
      </c>
      <c r="AW579" s="494" t="s">
        <v>99</v>
      </c>
      <c r="AX579" s="496"/>
      <c r="AY579" s="494" t="s">
        <v>186</v>
      </c>
      <c r="AZ579" s="494"/>
      <c r="BA579" s="494">
        <v>2014</v>
      </c>
      <c r="BB579" s="494" t="s">
        <v>2962</v>
      </c>
      <c r="BC579" s="496" t="s">
        <v>2963</v>
      </c>
      <c r="BD579" s="496" t="s">
        <v>1818</v>
      </c>
      <c r="BE579" s="497">
        <v>42185</v>
      </c>
      <c r="BF579" s="498">
        <v>751.35845861390032</v>
      </c>
      <c r="BG579" s="488">
        <v>751.35845861390032</v>
      </c>
      <c r="BH579" s="488">
        <v>0</v>
      </c>
      <c r="BI579" s="488">
        <v>0.43</v>
      </c>
      <c r="BJ579" s="494" t="s">
        <v>186</v>
      </c>
      <c r="BK579" s="401"/>
    </row>
    <row r="580" spans="1:63" ht="150">
      <c r="A580" s="401">
        <v>2</v>
      </c>
      <c r="B580" s="494" t="s">
        <v>2964</v>
      </c>
      <c r="C580" s="401" t="s">
        <v>83</v>
      </c>
      <c r="D580" s="401" t="s">
        <v>231</v>
      </c>
      <c r="E580" s="494" t="s">
        <v>5853</v>
      </c>
      <c r="F580" s="401" t="s">
        <v>1752</v>
      </c>
      <c r="G580" s="401" t="s">
        <v>2344</v>
      </c>
      <c r="H580" s="499">
        <v>833989</v>
      </c>
      <c r="I580" s="486" t="s">
        <v>2965</v>
      </c>
      <c r="J580" s="496" t="s">
        <v>5698</v>
      </c>
      <c r="K580" s="496" t="s">
        <v>5698</v>
      </c>
      <c r="L580" s="496" t="s">
        <v>1772</v>
      </c>
      <c r="M580" s="500" t="s">
        <v>1755</v>
      </c>
      <c r="N580" s="496" t="s">
        <v>1773</v>
      </c>
      <c r="O580" s="496" t="s">
        <v>2234</v>
      </c>
      <c r="P580" s="489">
        <v>600.57000000000005</v>
      </c>
      <c r="Q580" s="489">
        <f t="shared" si="100"/>
        <v>708.67259999999999</v>
      </c>
      <c r="R580" s="489">
        <v>478.15699999999998</v>
      </c>
      <c r="S580" s="401" t="s">
        <v>1774</v>
      </c>
      <c r="T580" s="501">
        <v>1.087</v>
      </c>
      <c r="U580" s="501">
        <v>1.077</v>
      </c>
      <c r="V580" s="501">
        <v>1.073</v>
      </c>
      <c r="W580" s="501">
        <v>1.071</v>
      </c>
      <c r="X580" s="596">
        <v>0.9</v>
      </c>
      <c r="Y580" s="502">
        <v>578.80899999999997</v>
      </c>
      <c r="Z580" s="489">
        <f t="shared" si="101"/>
        <v>682.99461999999994</v>
      </c>
      <c r="AA580" s="489">
        <v>536.67539631175646</v>
      </c>
      <c r="AB580" s="488">
        <f t="shared" si="102"/>
        <v>633.27696764787254</v>
      </c>
      <c r="AC580" s="492">
        <f t="shared" si="103"/>
        <v>536.67539631175646</v>
      </c>
      <c r="AD580" s="493">
        <f t="shared" si="104"/>
        <v>633.27696764787254</v>
      </c>
      <c r="AE580" s="494" t="s">
        <v>1775</v>
      </c>
      <c r="AF580" s="494" t="s">
        <v>83</v>
      </c>
      <c r="AG580" s="494" t="s">
        <v>211</v>
      </c>
      <c r="AH580" s="494" t="s">
        <v>545</v>
      </c>
      <c r="AI580" s="495">
        <v>41927</v>
      </c>
      <c r="AJ580" s="495">
        <v>41962</v>
      </c>
      <c r="AK580" s="494" t="s">
        <v>96</v>
      </c>
      <c r="AL580" s="494" t="s">
        <v>96</v>
      </c>
      <c r="AM580" s="496" t="s">
        <v>5699</v>
      </c>
      <c r="AN580" s="496" t="s">
        <v>1757</v>
      </c>
      <c r="AO580" s="494">
        <v>796</v>
      </c>
      <c r="AP580" s="494" t="s">
        <v>368</v>
      </c>
      <c r="AQ580" s="494">
        <v>1</v>
      </c>
      <c r="AR580" s="494">
        <v>46</v>
      </c>
      <c r="AS580" s="496" t="s">
        <v>605</v>
      </c>
      <c r="AT580" s="495">
        <v>41982</v>
      </c>
      <c r="AU580" s="495">
        <v>41982</v>
      </c>
      <c r="AV580" s="495">
        <v>42185</v>
      </c>
      <c r="AW580" s="494" t="s">
        <v>99</v>
      </c>
      <c r="AX580" s="496"/>
      <c r="AY580" s="494" t="s">
        <v>186</v>
      </c>
      <c r="AZ580" s="494"/>
      <c r="BA580" s="494">
        <v>2014</v>
      </c>
      <c r="BB580" s="494" t="s">
        <v>2966</v>
      </c>
      <c r="BC580" s="496" t="s">
        <v>2967</v>
      </c>
      <c r="BD580" s="496" t="s">
        <v>1818</v>
      </c>
      <c r="BE580" s="497">
        <v>42185</v>
      </c>
      <c r="BF580" s="498">
        <v>698.93810292625108</v>
      </c>
      <c r="BG580" s="488">
        <v>698.93810292625108</v>
      </c>
      <c r="BH580" s="488">
        <v>0</v>
      </c>
      <c r="BI580" s="488">
        <v>0.4</v>
      </c>
      <c r="BJ580" s="494" t="s">
        <v>186</v>
      </c>
      <c r="BK580" s="401"/>
    </row>
    <row r="581" spans="1:63" ht="112.5">
      <c r="A581" s="401">
        <v>2</v>
      </c>
      <c r="B581" s="494" t="s">
        <v>5700</v>
      </c>
      <c r="C581" s="401" t="s">
        <v>83</v>
      </c>
      <c r="D581" s="401" t="s">
        <v>231</v>
      </c>
      <c r="E581" s="494" t="s">
        <v>5853</v>
      </c>
      <c r="F581" s="401" t="s">
        <v>1761</v>
      </c>
      <c r="G581" s="401" t="s">
        <v>1762</v>
      </c>
      <c r="H581" s="499">
        <v>834966</v>
      </c>
      <c r="I581" s="486" t="s">
        <v>5701</v>
      </c>
      <c r="J581" s="496" t="s">
        <v>2233</v>
      </c>
      <c r="K581" s="496" t="s">
        <v>2233</v>
      </c>
      <c r="L581" s="496" t="s">
        <v>1772</v>
      </c>
      <c r="M581" s="500" t="s">
        <v>1755</v>
      </c>
      <c r="N581" s="496" t="s">
        <v>1773</v>
      </c>
      <c r="O581" s="496" t="s">
        <v>1786</v>
      </c>
      <c r="P581" s="489">
        <v>31379.635703442833</v>
      </c>
      <c r="Q581" s="489">
        <f t="shared" si="100"/>
        <v>37027.970130062538</v>
      </c>
      <c r="R581" s="489">
        <v>24119.63</v>
      </c>
      <c r="S581" s="401" t="s">
        <v>1774</v>
      </c>
      <c r="T581" s="501">
        <v>1.087</v>
      </c>
      <c r="U581" s="501">
        <v>1.077</v>
      </c>
      <c r="V581" s="501">
        <v>1.073</v>
      </c>
      <c r="W581" s="501">
        <v>1.071</v>
      </c>
      <c r="X581" s="596">
        <v>0.9</v>
      </c>
      <c r="Y581" s="502">
        <v>28241.672133098553</v>
      </c>
      <c r="Z581" s="489">
        <f t="shared" si="101"/>
        <v>33325.173117056293</v>
      </c>
      <c r="AA581" s="489">
        <v>26668.858814088606</v>
      </c>
      <c r="AB581" s="488">
        <f t="shared" si="102"/>
        <v>31469.253400624555</v>
      </c>
      <c r="AC581" s="492">
        <f t="shared" si="103"/>
        <v>26668.858814088606</v>
      </c>
      <c r="AD581" s="493">
        <f t="shared" si="104"/>
        <v>31469.253400624555</v>
      </c>
      <c r="AE581" s="494" t="s">
        <v>218</v>
      </c>
      <c r="AF581" s="494" t="s">
        <v>83</v>
      </c>
      <c r="AG581" s="494" t="s">
        <v>211</v>
      </c>
      <c r="AH581" s="494" t="s">
        <v>545</v>
      </c>
      <c r="AI581" s="495">
        <v>41669</v>
      </c>
      <c r="AJ581" s="495">
        <v>41704</v>
      </c>
      <c r="AK581" s="494" t="s">
        <v>96</v>
      </c>
      <c r="AL581" s="494" t="s">
        <v>96</v>
      </c>
      <c r="AM581" s="496" t="s">
        <v>1793</v>
      </c>
      <c r="AN581" s="496" t="s">
        <v>1757</v>
      </c>
      <c r="AO581" s="494">
        <v>796</v>
      </c>
      <c r="AP581" s="494" t="s">
        <v>368</v>
      </c>
      <c r="AQ581" s="494">
        <v>1</v>
      </c>
      <c r="AR581" s="494">
        <v>46</v>
      </c>
      <c r="AS581" s="496" t="s">
        <v>605</v>
      </c>
      <c r="AT581" s="495">
        <v>41724</v>
      </c>
      <c r="AU581" s="495">
        <v>41724</v>
      </c>
      <c r="AV581" s="495">
        <v>42004</v>
      </c>
      <c r="AW581" s="494">
        <v>2014</v>
      </c>
      <c r="AX581" s="496"/>
      <c r="AY581" s="494" t="s">
        <v>186</v>
      </c>
      <c r="AZ581" s="494"/>
      <c r="BA581" s="494">
        <v>2014</v>
      </c>
      <c r="BB581" s="494" t="s">
        <v>5702</v>
      </c>
      <c r="BC581" s="496" t="s">
        <v>5703</v>
      </c>
      <c r="BD581" s="496" t="s">
        <v>5704</v>
      </c>
      <c r="BE581" s="497">
        <v>42735</v>
      </c>
      <c r="BF581" s="498">
        <v>378204.13285999995</v>
      </c>
      <c r="BG581" s="488">
        <v>416586.66418408463</v>
      </c>
      <c r="BH581" s="488">
        <v>0</v>
      </c>
      <c r="BI581" s="488">
        <v>0</v>
      </c>
      <c r="BJ581" s="494" t="s">
        <v>186</v>
      </c>
      <c r="BK581" s="401"/>
    </row>
    <row r="582" spans="1:63" ht="112.5">
      <c r="A582" s="401">
        <v>2</v>
      </c>
      <c r="B582" s="494" t="s">
        <v>5705</v>
      </c>
      <c r="C582" s="401" t="s">
        <v>83</v>
      </c>
      <c r="D582" s="401" t="s">
        <v>231</v>
      </c>
      <c r="E582" s="494" t="s">
        <v>5853</v>
      </c>
      <c r="F582" s="401" t="s">
        <v>1761</v>
      </c>
      <c r="G582" s="401" t="s">
        <v>1762</v>
      </c>
      <c r="H582" s="499">
        <v>834868</v>
      </c>
      <c r="I582" s="486" t="s">
        <v>5706</v>
      </c>
      <c r="J582" s="496" t="s">
        <v>2233</v>
      </c>
      <c r="K582" s="496" t="s">
        <v>2233</v>
      </c>
      <c r="L582" s="496" t="s">
        <v>1772</v>
      </c>
      <c r="M582" s="500" t="s">
        <v>1755</v>
      </c>
      <c r="N582" s="496" t="s">
        <v>1773</v>
      </c>
      <c r="O582" s="496" t="s">
        <v>2234</v>
      </c>
      <c r="P582" s="489">
        <v>17895.712081735077</v>
      </c>
      <c r="Q582" s="489">
        <f t="shared" si="100"/>
        <v>21116.940256447389</v>
      </c>
      <c r="R582" s="489">
        <v>13755.351000000001</v>
      </c>
      <c r="S582" s="401" t="s">
        <v>1774</v>
      </c>
      <c r="T582" s="501">
        <v>1.087</v>
      </c>
      <c r="U582" s="501">
        <v>1.077</v>
      </c>
      <c r="V582" s="501">
        <v>1.073</v>
      </c>
      <c r="W582" s="501">
        <v>1.071</v>
      </c>
      <c r="X582" s="596">
        <v>0.9</v>
      </c>
      <c r="Y582" s="502">
        <v>16106.14087356157</v>
      </c>
      <c r="Z582" s="489">
        <f t="shared" si="101"/>
        <v>19005.246230802652</v>
      </c>
      <c r="AA582" s="489">
        <v>15577.749723558971</v>
      </c>
      <c r="AB582" s="488">
        <f t="shared" si="102"/>
        <v>18381.744673799585</v>
      </c>
      <c r="AC582" s="492">
        <f t="shared" si="103"/>
        <v>15577.749723558971</v>
      </c>
      <c r="AD582" s="493">
        <f t="shared" si="104"/>
        <v>18381.744673799585</v>
      </c>
      <c r="AE582" s="494" t="s">
        <v>1775</v>
      </c>
      <c r="AF582" s="494" t="s">
        <v>83</v>
      </c>
      <c r="AG582" s="494" t="s">
        <v>211</v>
      </c>
      <c r="AH582" s="494" t="s">
        <v>545</v>
      </c>
      <c r="AI582" s="495">
        <v>41669</v>
      </c>
      <c r="AJ582" s="495">
        <v>41704</v>
      </c>
      <c r="AK582" s="494" t="s">
        <v>96</v>
      </c>
      <c r="AL582" s="494" t="s">
        <v>96</v>
      </c>
      <c r="AM582" s="496" t="s">
        <v>1793</v>
      </c>
      <c r="AN582" s="496" t="s">
        <v>1757</v>
      </c>
      <c r="AO582" s="494">
        <v>796</v>
      </c>
      <c r="AP582" s="494" t="s">
        <v>368</v>
      </c>
      <c r="AQ582" s="494">
        <v>1</v>
      </c>
      <c r="AR582" s="494">
        <v>46</v>
      </c>
      <c r="AS582" s="496" t="s">
        <v>605</v>
      </c>
      <c r="AT582" s="495">
        <v>41724</v>
      </c>
      <c r="AU582" s="495">
        <v>41724</v>
      </c>
      <c r="AV582" s="495">
        <v>42004</v>
      </c>
      <c r="AW582" s="494">
        <v>2014</v>
      </c>
      <c r="AX582" s="496"/>
      <c r="AY582" s="494" t="s">
        <v>186</v>
      </c>
      <c r="AZ582" s="494"/>
      <c r="BA582" s="494">
        <v>2014</v>
      </c>
      <c r="BB582" s="494" t="s">
        <v>5707</v>
      </c>
      <c r="BC582" s="496" t="s">
        <v>5708</v>
      </c>
      <c r="BD582" s="496" t="s">
        <v>1818</v>
      </c>
      <c r="BE582" s="497">
        <v>42004</v>
      </c>
      <c r="BF582" s="498">
        <v>741697.25999999989</v>
      </c>
      <c r="BG582" s="488">
        <v>910992.5867245259</v>
      </c>
      <c r="BH582" s="488">
        <v>189</v>
      </c>
      <c r="BI582" s="488">
        <v>1.7</v>
      </c>
      <c r="BJ582" s="494" t="s">
        <v>186</v>
      </c>
      <c r="BK582" s="401"/>
    </row>
    <row r="583" spans="1:63" ht="93.75">
      <c r="A583" s="401">
        <v>2</v>
      </c>
      <c r="B583" s="494" t="s">
        <v>2976</v>
      </c>
      <c r="C583" s="401" t="s">
        <v>83</v>
      </c>
      <c r="D583" s="401" t="s">
        <v>160</v>
      </c>
      <c r="E583" s="494" t="s">
        <v>5853</v>
      </c>
      <c r="F583" s="401" t="s">
        <v>1761</v>
      </c>
      <c r="G583" s="401" t="s">
        <v>1762</v>
      </c>
      <c r="H583" s="499">
        <v>626074</v>
      </c>
      <c r="I583" s="486" t="s">
        <v>2977</v>
      </c>
      <c r="J583" s="496" t="s">
        <v>2233</v>
      </c>
      <c r="K583" s="496" t="s">
        <v>2233</v>
      </c>
      <c r="L583" s="496" t="s">
        <v>2979</v>
      </c>
      <c r="M583" s="500" t="s">
        <v>1755</v>
      </c>
      <c r="N583" s="496" t="s">
        <v>1773</v>
      </c>
      <c r="O583" s="496" t="s">
        <v>4105</v>
      </c>
      <c r="P583" s="489">
        <v>0</v>
      </c>
      <c r="Q583" s="489">
        <v>0</v>
      </c>
      <c r="R583" s="489" t="s">
        <v>96</v>
      </c>
      <c r="S583" s="401" t="s">
        <v>96</v>
      </c>
      <c r="T583" s="501" t="s">
        <v>96</v>
      </c>
      <c r="U583" s="501" t="s">
        <v>96</v>
      </c>
      <c r="V583" s="501" t="s">
        <v>96</v>
      </c>
      <c r="W583" s="501" t="s">
        <v>96</v>
      </c>
      <c r="X583" s="596" t="s">
        <v>96</v>
      </c>
      <c r="Y583" s="489">
        <v>0</v>
      </c>
      <c r="Z583" s="489">
        <v>0</v>
      </c>
      <c r="AA583" s="489">
        <v>0</v>
      </c>
      <c r="AB583" s="489">
        <v>0</v>
      </c>
      <c r="AC583" s="492">
        <f t="shared" si="103"/>
        <v>0</v>
      </c>
      <c r="AD583" s="489">
        <v>0</v>
      </c>
      <c r="AE583" s="494" t="s">
        <v>97</v>
      </c>
      <c r="AF583" s="494" t="s">
        <v>83</v>
      </c>
      <c r="AG583" s="494" t="s">
        <v>211</v>
      </c>
      <c r="AH583" s="494" t="s">
        <v>545</v>
      </c>
      <c r="AI583" s="495">
        <v>41883</v>
      </c>
      <c r="AJ583" s="495">
        <v>41913</v>
      </c>
      <c r="AK583" s="494" t="s">
        <v>96</v>
      </c>
      <c r="AL583" s="494" t="s">
        <v>96</v>
      </c>
      <c r="AM583" s="496" t="s">
        <v>1793</v>
      </c>
      <c r="AN583" s="496" t="s">
        <v>1757</v>
      </c>
      <c r="AO583" s="494">
        <v>796</v>
      </c>
      <c r="AP583" s="494" t="s">
        <v>368</v>
      </c>
      <c r="AQ583" s="494">
        <v>1</v>
      </c>
      <c r="AR583" s="494" t="s">
        <v>2980</v>
      </c>
      <c r="AS583" s="496" t="s">
        <v>2981</v>
      </c>
      <c r="AT583" s="495">
        <v>41933</v>
      </c>
      <c r="AU583" s="495">
        <v>41933</v>
      </c>
      <c r="AV583" s="495">
        <v>42308</v>
      </c>
      <c r="AW583" s="494" t="s">
        <v>99</v>
      </c>
      <c r="AX583" s="496"/>
      <c r="AY583" s="494" t="s">
        <v>186</v>
      </c>
      <c r="AZ583" s="494"/>
      <c r="BA583" s="494">
        <v>2014</v>
      </c>
      <c r="BB583" s="494" t="s">
        <v>183</v>
      </c>
      <c r="BC583" s="496" t="s">
        <v>1759</v>
      </c>
      <c r="BD583" s="496" t="s">
        <v>2982</v>
      </c>
      <c r="BE583" s="497" t="s">
        <v>183</v>
      </c>
      <c r="BF583" s="498" t="s">
        <v>183</v>
      </c>
      <c r="BG583" s="488" t="s">
        <v>183</v>
      </c>
      <c r="BH583" s="488">
        <v>0</v>
      </c>
      <c r="BI583" s="488">
        <v>0</v>
      </c>
      <c r="BJ583" s="494" t="s">
        <v>186</v>
      </c>
      <c r="BK583" s="401"/>
    </row>
    <row r="584" spans="1:63" ht="93.75">
      <c r="A584" s="401">
        <v>2</v>
      </c>
      <c r="B584" s="494" t="s">
        <v>2983</v>
      </c>
      <c r="C584" s="401" t="s">
        <v>83</v>
      </c>
      <c r="D584" s="401" t="s">
        <v>160</v>
      </c>
      <c r="E584" s="494" t="s">
        <v>5853</v>
      </c>
      <c r="F584" s="401" t="s">
        <v>1761</v>
      </c>
      <c r="G584" s="401" t="s">
        <v>1762</v>
      </c>
      <c r="H584" s="499">
        <v>626075</v>
      </c>
      <c r="I584" s="486" t="s">
        <v>2984</v>
      </c>
      <c r="J584" s="496" t="s">
        <v>2233</v>
      </c>
      <c r="K584" s="496" t="s">
        <v>2233</v>
      </c>
      <c r="L584" s="496" t="s">
        <v>2979</v>
      </c>
      <c r="M584" s="500" t="s">
        <v>1755</v>
      </c>
      <c r="N584" s="496" t="s">
        <v>1773</v>
      </c>
      <c r="O584" s="496" t="s">
        <v>4105</v>
      </c>
      <c r="P584" s="489">
        <v>0</v>
      </c>
      <c r="Q584" s="489">
        <v>0</v>
      </c>
      <c r="R584" s="489" t="s">
        <v>96</v>
      </c>
      <c r="S584" s="401" t="s">
        <v>96</v>
      </c>
      <c r="T584" s="501" t="s">
        <v>96</v>
      </c>
      <c r="U584" s="501" t="s">
        <v>96</v>
      </c>
      <c r="V584" s="501" t="s">
        <v>96</v>
      </c>
      <c r="W584" s="501" t="s">
        <v>96</v>
      </c>
      <c r="X584" s="596" t="s">
        <v>96</v>
      </c>
      <c r="Y584" s="489">
        <v>0</v>
      </c>
      <c r="Z584" s="489">
        <v>0</v>
      </c>
      <c r="AA584" s="489">
        <v>0</v>
      </c>
      <c r="AB584" s="489">
        <v>0</v>
      </c>
      <c r="AC584" s="492">
        <f t="shared" si="103"/>
        <v>0</v>
      </c>
      <c r="AD584" s="489">
        <v>0</v>
      </c>
      <c r="AE584" s="494" t="s">
        <v>97</v>
      </c>
      <c r="AF584" s="494" t="s">
        <v>83</v>
      </c>
      <c r="AG584" s="494" t="s">
        <v>211</v>
      </c>
      <c r="AH584" s="494" t="s">
        <v>545</v>
      </c>
      <c r="AI584" s="495">
        <v>41883</v>
      </c>
      <c r="AJ584" s="495">
        <v>41913</v>
      </c>
      <c r="AK584" s="494" t="s">
        <v>96</v>
      </c>
      <c r="AL584" s="494" t="s">
        <v>96</v>
      </c>
      <c r="AM584" s="496" t="s">
        <v>1793</v>
      </c>
      <c r="AN584" s="496" t="s">
        <v>1757</v>
      </c>
      <c r="AO584" s="494">
        <v>796</v>
      </c>
      <c r="AP584" s="494" t="s">
        <v>368</v>
      </c>
      <c r="AQ584" s="494">
        <v>1</v>
      </c>
      <c r="AR584" s="494" t="s">
        <v>2980</v>
      </c>
      <c r="AS584" s="496" t="s">
        <v>2981</v>
      </c>
      <c r="AT584" s="495">
        <v>41933</v>
      </c>
      <c r="AU584" s="495">
        <v>41933</v>
      </c>
      <c r="AV584" s="495">
        <v>42308</v>
      </c>
      <c r="AW584" s="494" t="s">
        <v>99</v>
      </c>
      <c r="AX584" s="496"/>
      <c r="AY584" s="494" t="s">
        <v>186</v>
      </c>
      <c r="AZ584" s="494"/>
      <c r="BA584" s="494">
        <v>2014</v>
      </c>
      <c r="BB584" s="494" t="s">
        <v>183</v>
      </c>
      <c r="BC584" s="496" t="s">
        <v>1759</v>
      </c>
      <c r="BD584" s="496" t="s">
        <v>2982</v>
      </c>
      <c r="BE584" s="497" t="s">
        <v>183</v>
      </c>
      <c r="BF584" s="498" t="s">
        <v>183</v>
      </c>
      <c r="BG584" s="488" t="s">
        <v>183</v>
      </c>
      <c r="BH584" s="488">
        <v>0</v>
      </c>
      <c r="BI584" s="488">
        <v>0</v>
      </c>
      <c r="BJ584" s="494" t="s">
        <v>186</v>
      </c>
      <c r="BK584" s="401"/>
    </row>
    <row r="585" spans="1:63" ht="112.5">
      <c r="A585" s="401">
        <v>2</v>
      </c>
      <c r="B585" s="494" t="s">
        <v>2985</v>
      </c>
      <c r="C585" s="401" t="s">
        <v>83</v>
      </c>
      <c r="D585" s="401" t="s">
        <v>160</v>
      </c>
      <c r="E585" s="494" t="s">
        <v>5853</v>
      </c>
      <c r="F585" s="401" t="s">
        <v>1761</v>
      </c>
      <c r="G585" s="401" t="s">
        <v>1762</v>
      </c>
      <c r="H585" s="499">
        <v>626076</v>
      </c>
      <c r="I585" s="486" t="s">
        <v>2986</v>
      </c>
      <c r="J585" s="496" t="s">
        <v>2978</v>
      </c>
      <c r="K585" s="496" t="s">
        <v>2978</v>
      </c>
      <c r="L585" s="496" t="s">
        <v>2979</v>
      </c>
      <c r="M585" s="500" t="s">
        <v>1755</v>
      </c>
      <c r="N585" s="496" t="s">
        <v>1773</v>
      </c>
      <c r="O585" s="496" t="s">
        <v>4105</v>
      </c>
      <c r="P585" s="489">
        <v>0</v>
      </c>
      <c r="Q585" s="489">
        <v>0</v>
      </c>
      <c r="R585" s="489" t="s">
        <v>96</v>
      </c>
      <c r="S585" s="401" t="s">
        <v>96</v>
      </c>
      <c r="T585" s="501" t="s">
        <v>96</v>
      </c>
      <c r="U585" s="501" t="s">
        <v>96</v>
      </c>
      <c r="V585" s="501" t="s">
        <v>96</v>
      </c>
      <c r="W585" s="501" t="s">
        <v>96</v>
      </c>
      <c r="X585" s="596" t="s">
        <v>96</v>
      </c>
      <c r="Y585" s="489">
        <v>0</v>
      </c>
      <c r="Z585" s="489">
        <v>0</v>
      </c>
      <c r="AA585" s="489">
        <v>0</v>
      </c>
      <c r="AB585" s="489">
        <v>0</v>
      </c>
      <c r="AC585" s="492">
        <f t="shared" si="103"/>
        <v>0</v>
      </c>
      <c r="AD585" s="489">
        <v>0</v>
      </c>
      <c r="AE585" s="494" t="s">
        <v>97</v>
      </c>
      <c r="AF585" s="494" t="s">
        <v>83</v>
      </c>
      <c r="AG585" s="494" t="s">
        <v>211</v>
      </c>
      <c r="AH585" s="494" t="s">
        <v>545</v>
      </c>
      <c r="AI585" s="495">
        <v>41883</v>
      </c>
      <c r="AJ585" s="495">
        <v>41913</v>
      </c>
      <c r="AK585" s="494" t="s">
        <v>96</v>
      </c>
      <c r="AL585" s="494" t="s">
        <v>96</v>
      </c>
      <c r="AM585" s="496" t="s">
        <v>5709</v>
      </c>
      <c r="AN585" s="496" t="s">
        <v>1757</v>
      </c>
      <c r="AO585" s="494">
        <v>796</v>
      </c>
      <c r="AP585" s="494" t="s">
        <v>368</v>
      </c>
      <c r="AQ585" s="494">
        <v>1</v>
      </c>
      <c r="AR585" s="494" t="s">
        <v>2980</v>
      </c>
      <c r="AS585" s="496" t="s">
        <v>2981</v>
      </c>
      <c r="AT585" s="495">
        <v>41933</v>
      </c>
      <c r="AU585" s="495">
        <v>41933</v>
      </c>
      <c r="AV585" s="495">
        <v>42308</v>
      </c>
      <c r="AW585" s="494" t="s">
        <v>99</v>
      </c>
      <c r="AX585" s="496"/>
      <c r="AY585" s="494" t="s">
        <v>186</v>
      </c>
      <c r="AZ585" s="494"/>
      <c r="BA585" s="494">
        <v>2014</v>
      </c>
      <c r="BB585" s="494" t="s">
        <v>183</v>
      </c>
      <c r="BC585" s="496" t="s">
        <v>1759</v>
      </c>
      <c r="BD585" s="496" t="s">
        <v>2982</v>
      </c>
      <c r="BE585" s="497" t="s">
        <v>183</v>
      </c>
      <c r="BF585" s="498" t="s">
        <v>183</v>
      </c>
      <c r="BG585" s="488" t="s">
        <v>183</v>
      </c>
      <c r="BH585" s="488">
        <v>0</v>
      </c>
      <c r="BI585" s="488">
        <v>0</v>
      </c>
      <c r="BJ585" s="494" t="s">
        <v>186</v>
      </c>
      <c r="BK585" s="401"/>
    </row>
    <row r="586" spans="1:63" ht="93.75">
      <c r="A586" s="401">
        <v>2</v>
      </c>
      <c r="B586" s="494" t="s">
        <v>2987</v>
      </c>
      <c r="C586" s="401" t="s">
        <v>83</v>
      </c>
      <c r="D586" s="401" t="s">
        <v>160</v>
      </c>
      <c r="E586" s="494" t="s">
        <v>5853</v>
      </c>
      <c r="F586" s="401" t="s">
        <v>1761</v>
      </c>
      <c r="G586" s="401" t="s">
        <v>1762</v>
      </c>
      <c r="H586" s="499">
        <v>626077</v>
      </c>
      <c r="I586" s="486" t="s">
        <v>2988</v>
      </c>
      <c r="J586" s="496" t="s">
        <v>2978</v>
      </c>
      <c r="K586" s="496" t="s">
        <v>2978</v>
      </c>
      <c r="L586" s="496" t="s">
        <v>2979</v>
      </c>
      <c r="M586" s="500" t="s">
        <v>1755</v>
      </c>
      <c r="N586" s="496" t="s">
        <v>1773</v>
      </c>
      <c r="O586" s="496" t="s">
        <v>4105</v>
      </c>
      <c r="P586" s="489">
        <v>0</v>
      </c>
      <c r="Q586" s="489">
        <v>0</v>
      </c>
      <c r="R586" s="489" t="s">
        <v>96</v>
      </c>
      <c r="S586" s="401" t="s">
        <v>96</v>
      </c>
      <c r="T586" s="501" t="s">
        <v>96</v>
      </c>
      <c r="U586" s="501" t="s">
        <v>96</v>
      </c>
      <c r="V586" s="501" t="s">
        <v>96</v>
      </c>
      <c r="W586" s="501" t="s">
        <v>96</v>
      </c>
      <c r="X586" s="596" t="s">
        <v>96</v>
      </c>
      <c r="Y586" s="489">
        <v>0</v>
      </c>
      <c r="Z586" s="489">
        <v>0</v>
      </c>
      <c r="AA586" s="489">
        <v>0</v>
      </c>
      <c r="AB586" s="489">
        <v>0</v>
      </c>
      <c r="AC586" s="492">
        <f t="shared" si="103"/>
        <v>0</v>
      </c>
      <c r="AD586" s="489">
        <v>0</v>
      </c>
      <c r="AE586" s="494" t="s">
        <v>97</v>
      </c>
      <c r="AF586" s="494" t="s">
        <v>83</v>
      </c>
      <c r="AG586" s="494" t="s">
        <v>211</v>
      </c>
      <c r="AH586" s="494" t="s">
        <v>545</v>
      </c>
      <c r="AI586" s="495">
        <v>41883</v>
      </c>
      <c r="AJ586" s="495">
        <v>41913</v>
      </c>
      <c r="AK586" s="494" t="s">
        <v>96</v>
      </c>
      <c r="AL586" s="494" t="s">
        <v>96</v>
      </c>
      <c r="AM586" s="496" t="s">
        <v>5709</v>
      </c>
      <c r="AN586" s="496" t="s">
        <v>1757</v>
      </c>
      <c r="AO586" s="494">
        <v>796</v>
      </c>
      <c r="AP586" s="494" t="s">
        <v>368</v>
      </c>
      <c r="AQ586" s="494">
        <v>1</v>
      </c>
      <c r="AR586" s="494" t="s">
        <v>2980</v>
      </c>
      <c r="AS586" s="496" t="s">
        <v>2981</v>
      </c>
      <c r="AT586" s="495">
        <v>41933</v>
      </c>
      <c r="AU586" s="495">
        <v>41933</v>
      </c>
      <c r="AV586" s="495">
        <v>42308</v>
      </c>
      <c r="AW586" s="494" t="s">
        <v>99</v>
      </c>
      <c r="AX586" s="496"/>
      <c r="AY586" s="494" t="s">
        <v>186</v>
      </c>
      <c r="AZ586" s="494"/>
      <c r="BA586" s="494">
        <v>2014</v>
      </c>
      <c r="BB586" s="494" t="s">
        <v>183</v>
      </c>
      <c r="BC586" s="496" t="s">
        <v>1759</v>
      </c>
      <c r="BD586" s="496" t="s">
        <v>2982</v>
      </c>
      <c r="BE586" s="497" t="s">
        <v>183</v>
      </c>
      <c r="BF586" s="498" t="s">
        <v>183</v>
      </c>
      <c r="BG586" s="488" t="s">
        <v>183</v>
      </c>
      <c r="BH586" s="488">
        <v>0</v>
      </c>
      <c r="BI586" s="488">
        <v>0</v>
      </c>
      <c r="BJ586" s="494" t="s">
        <v>186</v>
      </c>
      <c r="BK586" s="401"/>
    </row>
    <row r="587" spans="1:63" ht="150">
      <c r="A587" s="401">
        <v>2</v>
      </c>
      <c r="B587" s="494" t="s">
        <v>2989</v>
      </c>
      <c r="C587" s="401" t="s">
        <v>83</v>
      </c>
      <c r="D587" s="401" t="s">
        <v>160</v>
      </c>
      <c r="E587" s="494" t="s">
        <v>5853</v>
      </c>
      <c r="F587" s="401" t="s">
        <v>1752</v>
      </c>
      <c r="G587" s="401" t="s">
        <v>2344</v>
      </c>
      <c r="H587" s="499">
        <v>626078</v>
      </c>
      <c r="I587" s="486" t="s">
        <v>2990</v>
      </c>
      <c r="J587" s="496" t="s">
        <v>2991</v>
      </c>
      <c r="K587" s="496" t="s">
        <v>2991</v>
      </c>
      <c r="L587" s="496" t="s">
        <v>2979</v>
      </c>
      <c r="M587" s="500" t="s">
        <v>1755</v>
      </c>
      <c r="N587" s="496" t="s">
        <v>1773</v>
      </c>
      <c r="O587" s="496" t="s">
        <v>4105</v>
      </c>
      <c r="P587" s="489">
        <v>0</v>
      </c>
      <c r="Q587" s="489">
        <v>0</v>
      </c>
      <c r="R587" s="489" t="s">
        <v>96</v>
      </c>
      <c r="S587" s="401" t="s">
        <v>96</v>
      </c>
      <c r="T587" s="501" t="s">
        <v>96</v>
      </c>
      <c r="U587" s="501" t="s">
        <v>96</v>
      </c>
      <c r="V587" s="501" t="s">
        <v>96</v>
      </c>
      <c r="W587" s="501" t="s">
        <v>96</v>
      </c>
      <c r="X587" s="596" t="s">
        <v>96</v>
      </c>
      <c r="Y587" s="489">
        <v>0</v>
      </c>
      <c r="Z587" s="489">
        <v>0</v>
      </c>
      <c r="AA587" s="489">
        <v>0</v>
      </c>
      <c r="AB587" s="489">
        <v>0</v>
      </c>
      <c r="AC587" s="492">
        <f t="shared" si="103"/>
        <v>0</v>
      </c>
      <c r="AD587" s="489">
        <v>0</v>
      </c>
      <c r="AE587" s="494" t="s">
        <v>97</v>
      </c>
      <c r="AF587" s="494" t="s">
        <v>83</v>
      </c>
      <c r="AG587" s="494" t="s">
        <v>211</v>
      </c>
      <c r="AH587" s="494" t="s">
        <v>545</v>
      </c>
      <c r="AI587" s="495">
        <v>41744</v>
      </c>
      <c r="AJ587" s="495">
        <v>41774</v>
      </c>
      <c r="AK587" s="494" t="s">
        <v>96</v>
      </c>
      <c r="AL587" s="494" t="s">
        <v>96</v>
      </c>
      <c r="AM587" s="496" t="s">
        <v>4929</v>
      </c>
      <c r="AN587" s="496" t="s">
        <v>1757</v>
      </c>
      <c r="AO587" s="494">
        <v>796</v>
      </c>
      <c r="AP587" s="494" t="s">
        <v>368</v>
      </c>
      <c r="AQ587" s="494">
        <v>1</v>
      </c>
      <c r="AR587" s="494" t="s">
        <v>2980</v>
      </c>
      <c r="AS587" s="496" t="s">
        <v>2981</v>
      </c>
      <c r="AT587" s="495">
        <v>41794</v>
      </c>
      <c r="AU587" s="495">
        <v>41794</v>
      </c>
      <c r="AV587" s="495">
        <v>42157</v>
      </c>
      <c r="AW587" s="494" t="s">
        <v>99</v>
      </c>
      <c r="AX587" s="496"/>
      <c r="AY587" s="494" t="s">
        <v>186</v>
      </c>
      <c r="AZ587" s="494"/>
      <c r="BA587" s="494">
        <v>2014</v>
      </c>
      <c r="BB587" s="494" t="s">
        <v>183</v>
      </c>
      <c r="BC587" s="496" t="s">
        <v>1759</v>
      </c>
      <c r="BD587" s="496" t="s">
        <v>2982</v>
      </c>
      <c r="BE587" s="497" t="s">
        <v>183</v>
      </c>
      <c r="BF587" s="498" t="s">
        <v>183</v>
      </c>
      <c r="BG587" s="488" t="s">
        <v>183</v>
      </c>
      <c r="BH587" s="488">
        <v>0</v>
      </c>
      <c r="BI587" s="488">
        <v>0</v>
      </c>
      <c r="BJ587" s="494" t="s">
        <v>186</v>
      </c>
      <c r="BK587" s="401"/>
    </row>
    <row r="588" spans="1:63" ht="150">
      <c r="A588" s="614">
        <v>2</v>
      </c>
      <c r="B588" s="615" t="s">
        <v>2992</v>
      </c>
      <c r="C588" s="614" t="s">
        <v>83</v>
      </c>
      <c r="D588" s="614" t="s">
        <v>160</v>
      </c>
      <c r="E588" s="615" t="s">
        <v>5853</v>
      </c>
      <c r="F588" s="614" t="s">
        <v>1752</v>
      </c>
      <c r="G588" s="614" t="s">
        <v>2344</v>
      </c>
      <c r="H588" s="616">
        <v>626079</v>
      </c>
      <c r="I588" s="617" t="s">
        <v>2993</v>
      </c>
      <c r="J588" s="618" t="s">
        <v>2991</v>
      </c>
      <c r="K588" s="618" t="s">
        <v>2991</v>
      </c>
      <c r="L588" s="618" t="s">
        <v>2979</v>
      </c>
      <c r="M588" s="619" t="s">
        <v>1755</v>
      </c>
      <c r="N588" s="618" t="s">
        <v>1773</v>
      </c>
      <c r="O588" s="618" t="s">
        <v>4105</v>
      </c>
      <c r="P588" s="620">
        <v>0</v>
      </c>
      <c r="Q588" s="620">
        <v>0</v>
      </c>
      <c r="R588" s="620" t="s">
        <v>96</v>
      </c>
      <c r="S588" s="614" t="s">
        <v>96</v>
      </c>
      <c r="T588" s="621" t="s">
        <v>96</v>
      </c>
      <c r="U588" s="621" t="s">
        <v>96</v>
      </c>
      <c r="V588" s="621" t="s">
        <v>96</v>
      </c>
      <c r="W588" s="621" t="s">
        <v>96</v>
      </c>
      <c r="X588" s="622" t="s">
        <v>96</v>
      </c>
      <c r="Y588" s="620">
        <v>0</v>
      </c>
      <c r="Z588" s="620">
        <v>0</v>
      </c>
      <c r="AA588" s="620">
        <v>0</v>
      </c>
      <c r="AB588" s="620">
        <v>0</v>
      </c>
      <c r="AC588" s="625">
        <f t="shared" si="103"/>
        <v>0</v>
      </c>
      <c r="AD588" s="620">
        <v>0</v>
      </c>
      <c r="AE588" s="615" t="s">
        <v>97</v>
      </c>
      <c r="AF588" s="615" t="s">
        <v>83</v>
      </c>
      <c r="AG588" s="615" t="s">
        <v>211</v>
      </c>
      <c r="AH588" s="615" t="s">
        <v>545</v>
      </c>
      <c r="AI588" s="627">
        <v>41744</v>
      </c>
      <c r="AJ588" s="627">
        <v>41774</v>
      </c>
      <c r="AK588" s="615" t="s">
        <v>96</v>
      </c>
      <c r="AL588" s="615" t="s">
        <v>96</v>
      </c>
      <c r="AM588" s="618" t="s">
        <v>4929</v>
      </c>
      <c r="AN588" s="618" t="s">
        <v>1757</v>
      </c>
      <c r="AO588" s="615">
        <v>796</v>
      </c>
      <c r="AP588" s="615" t="s">
        <v>368</v>
      </c>
      <c r="AQ588" s="615">
        <v>1</v>
      </c>
      <c r="AR588" s="615" t="s">
        <v>2980</v>
      </c>
      <c r="AS588" s="618" t="s">
        <v>2981</v>
      </c>
      <c r="AT588" s="627">
        <v>41794</v>
      </c>
      <c r="AU588" s="627">
        <v>41794</v>
      </c>
      <c r="AV588" s="627">
        <v>42157</v>
      </c>
      <c r="AW588" s="615" t="s">
        <v>99</v>
      </c>
      <c r="AX588" s="618"/>
      <c r="AY588" s="615" t="s">
        <v>186</v>
      </c>
      <c r="AZ588" s="615"/>
      <c r="BA588" s="615">
        <v>2014</v>
      </c>
      <c r="BB588" s="615" t="s">
        <v>183</v>
      </c>
      <c r="BC588" s="618" t="s">
        <v>1759</v>
      </c>
      <c r="BD588" s="618" t="s">
        <v>2982</v>
      </c>
      <c r="BE588" s="628" t="s">
        <v>183</v>
      </c>
      <c r="BF588" s="629" t="s">
        <v>183</v>
      </c>
      <c r="BG588" s="624" t="s">
        <v>183</v>
      </c>
      <c r="BH588" s="624">
        <v>0</v>
      </c>
      <c r="BI588" s="624">
        <v>0</v>
      </c>
      <c r="BJ588" s="615" t="s">
        <v>186</v>
      </c>
      <c r="BK588" s="614"/>
    </row>
    <row r="589" spans="1:63" s="613" customFormat="1" ht="112.5">
      <c r="A589" s="555">
        <v>2</v>
      </c>
      <c r="B589" s="562" t="s">
        <v>2968</v>
      </c>
      <c r="C589" s="555" t="s">
        <v>83</v>
      </c>
      <c r="D589" s="401" t="s">
        <v>7459</v>
      </c>
      <c r="E589" s="562" t="s">
        <v>5853</v>
      </c>
      <c r="F589" s="555" t="s">
        <v>1795</v>
      </c>
      <c r="G589" s="555" t="s">
        <v>1769</v>
      </c>
      <c r="H589" s="556">
        <v>626070</v>
      </c>
      <c r="I589" s="486" t="s">
        <v>2969</v>
      </c>
      <c r="J589" s="486" t="s">
        <v>2529</v>
      </c>
      <c r="K589" s="486" t="s">
        <v>2529</v>
      </c>
      <c r="L589" s="486" t="s">
        <v>1772</v>
      </c>
      <c r="M589" s="576" t="s">
        <v>1755</v>
      </c>
      <c r="N589" s="486" t="s">
        <v>1773</v>
      </c>
      <c r="O589" s="486" t="s">
        <v>2234</v>
      </c>
      <c r="P589" s="492">
        <v>359025.28863999993</v>
      </c>
      <c r="Q589" s="492">
        <f t="shared" ref="Q589:Q652" si="105">P589*1.18</f>
        <v>423649.8405951999</v>
      </c>
      <c r="R589" s="492">
        <v>272644.65049785812</v>
      </c>
      <c r="S589" s="555" t="s">
        <v>1774</v>
      </c>
      <c r="T589" s="630">
        <v>1.087</v>
      </c>
      <c r="U589" s="630">
        <v>1.077</v>
      </c>
      <c r="V589" s="630">
        <v>1.073</v>
      </c>
      <c r="W589" s="630">
        <v>1.071</v>
      </c>
      <c r="X589" s="560">
        <v>0.9</v>
      </c>
      <c r="Y589" s="514">
        <v>343481.59869903064</v>
      </c>
      <c r="Z589" s="492">
        <f t="shared" ref="Z589:Z652" si="106">Y589*1.18</f>
        <v>405308.28646485612</v>
      </c>
      <c r="AA589" s="492">
        <v>368668.59920092259</v>
      </c>
      <c r="AB589" s="493">
        <f t="shared" ref="AB589:AB652" si="107">AA589*1.18</f>
        <v>435028.9470570886</v>
      </c>
      <c r="AC589" s="492">
        <f t="shared" si="103"/>
        <v>343481.59869903064</v>
      </c>
      <c r="AD589" s="493">
        <f t="shared" ref="AD589:AD652" si="108">AC589*1.18</f>
        <v>405308.28646485612</v>
      </c>
      <c r="AE589" s="562" t="s">
        <v>218</v>
      </c>
      <c r="AF589" s="562" t="s">
        <v>83</v>
      </c>
      <c r="AG589" s="562" t="s">
        <v>211</v>
      </c>
      <c r="AH589" s="562" t="s">
        <v>545</v>
      </c>
      <c r="AI589" s="561">
        <v>41805</v>
      </c>
      <c r="AJ589" s="561">
        <v>41865</v>
      </c>
      <c r="AK589" s="562" t="s">
        <v>96</v>
      </c>
      <c r="AL589" s="562" t="s">
        <v>96</v>
      </c>
      <c r="AM589" s="486" t="s">
        <v>2530</v>
      </c>
      <c r="AN589" s="486" t="s">
        <v>1757</v>
      </c>
      <c r="AO589" s="562">
        <v>796</v>
      </c>
      <c r="AP589" s="562" t="s">
        <v>368</v>
      </c>
      <c r="AQ589" s="562">
        <v>1</v>
      </c>
      <c r="AR589" s="562">
        <v>45</v>
      </c>
      <c r="AS589" s="486" t="s">
        <v>547</v>
      </c>
      <c r="AT589" s="561">
        <v>41885</v>
      </c>
      <c r="AU589" s="561">
        <v>41885</v>
      </c>
      <c r="AV589" s="561">
        <v>43465</v>
      </c>
      <c r="AW589" s="562" t="s">
        <v>1796</v>
      </c>
      <c r="AX589" s="486"/>
      <c r="AY589" s="562" t="s">
        <v>186</v>
      </c>
      <c r="AZ589" s="562"/>
      <c r="BA589" s="562">
        <v>2014</v>
      </c>
      <c r="BB589" s="562" t="s">
        <v>2970</v>
      </c>
      <c r="BC589" s="486" t="s">
        <v>2971</v>
      </c>
      <c r="BD589" s="486" t="s">
        <v>1779</v>
      </c>
      <c r="BE589" s="575" t="s">
        <v>7291</v>
      </c>
      <c r="BF589" s="580">
        <v>4017994.0542600001</v>
      </c>
      <c r="BG589" s="493">
        <f>BF589</f>
        <v>4017994.0542600001</v>
      </c>
      <c r="BH589" s="493">
        <v>700</v>
      </c>
      <c r="BI589" s="493">
        <v>0</v>
      </c>
      <c r="BJ589" s="562" t="s">
        <v>186</v>
      </c>
      <c r="BK589" s="555"/>
    </row>
    <row r="590" spans="1:63" ht="112.5">
      <c r="A590" s="631">
        <v>2</v>
      </c>
      <c r="B590" s="632" t="s">
        <v>2972</v>
      </c>
      <c r="C590" s="631" t="s">
        <v>83</v>
      </c>
      <c r="D590" s="401" t="s">
        <v>7459</v>
      </c>
      <c r="E590" s="632" t="s">
        <v>5853</v>
      </c>
      <c r="F590" s="631" t="s">
        <v>1795</v>
      </c>
      <c r="G590" s="631" t="s">
        <v>1769</v>
      </c>
      <c r="H590" s="633">
        <v>626064</v>
      </c>
      <c r="I590" s="634" t="s">
        <v>2973</v>
      </c>
      <c r="J590" s="635" t="s">
        <v>2529</v>
      </c>
      <c r="K590" s="635" t="s">
        <v>2529</v>
      </c>
      <c r="L590" s="635" t="s">
        <v>1772</v>
      </c>
      <c r="M590" s="636" t="s">
        <v>1755</v>
      </c>
      <c r="N590" s="635" t="s">
        <v>1773</v>
      </c>
      <c r="O590" s="635" t="s">
        <v>2234</v>
      </c>
      <c r="P590" s="637">
        <v>35705.187045682731</v>
      </c>
      <c r="Q590" s="637">
        <f t="shared" si="105"/>
        <v>42132.120713905621</v>
      </c>
      <c r="R590" s="637">
        <v>23891.946722018183</v>
      </c>
      <c r="S590" s="631" t="s">
        <v>1774</v>
      </c>
      <c r="T590" s="638">
        <v>1.087</v>
      </c>
      <c r="U590" s="638">
        <v>1.077</v>
      </c>
      <c r="V590" s="638">
        <v>1.073</v>
      </c>
      <c r="W590" s="638">
        <v>1.071</v>
      </c>
      <c r="X590" s="639">
        <v>0.9</v>
      </c>
      <c r="Y590" s="640">
        <v>32134.668341114455</v>
      </c>
      <c r="Z590" s="637">
        <f t="shared" si="106"/>
        <v>37918.908642515053</v>
      </c>
      <c r="AA590" s="637">
        <v>32258.317079135402</v>
      </c>
      <c r="AB590" s="641">
        <f t="shared" si="107"/>
        <v>38064.814153379775</v>
      </c>
      <c r="AC590" s="642">
        <f t="shared" si="103"/>
        <v>32134.668341114455</v>
      </c>
      <c r="AD590" s="643">
        <f t="shared" si="108"/>
        <v>37918.908642515053</v>
      </c>
      <c r="AE590" s="632" t="s">
        <v>218</v>
      </c>
      <c r="AF590" s="632" t="s">
        <v>83</v>
      </c>
      <c r="AG590" s="632" t="s">
        <v>211</v>
      </c>
      <c r="AH590" s="632" t="s">
        <v>545</v>
      </c>
      <c r="AI590" s="644">
        <v>41790</v>
      </c>
      <c r="AJ590" s="644">
        <v>41850</v>
      </c>
      <c r="AK590" s="632" t="s">
        <v>96</v>
      </c>
      <c r="AL590" s="632" t="s">
        <v>96</v>
      </c>
      <c r="AM590" s="635" t="s">
        <v>2530</v>
      </c>
      <c r="AN590" s="635" t="s">
        <v>1757</v>
      </c>
      <c r="AO590" s="632">
        <v>796</v>
      </c>
      <c r="AP590" s="632" t="s">
        <v>368</v>
      </c>
      <c r="AQ590" s="632">
        <v>1</v>
      </c>
      <c r="AR590" s="632">
        <v>45</v>
      </c>
      <c r="AS590" s="635" t="s">
        <v>547</v>
      </c>
      <c r="AT590" s="644">
        <v>41870</v>
      </c>
      <c r="AU590" s="644">
        <v>41870</v>
      </c>
      <c r="AV590" s="644">
        <v>42004</v>
      </c>
      <c r="AW590" s="632">
        <v>2014</v>
      </c>
      <c r="AX590" s="635"/>
      <c r="AY590" s="632" t="s">
        <v>186</v>
      </c>
      <c r="AZ590" s="632"/>
      <c r="BA590" s="632">
        <v>2014</v>
      </c>
      <c r="BB590" s="632" t="s">
        <v>2974</v>
      </c>
      <c r="BC590" s="635" t="s">
        <v>2975</v>
      </c>
      <c r="BD590" s="635" t="s">
        <v>1779</v>
      </c>
      <c r="BE590" s="645">
        <v>42004</v>
      </c>
      <c r="BF590" s="646">
        <v>146197.33900000001</v>
      </c>
      <c r="BG590" s="641">
        <v>146197.33900000001</v>
      </c>
      <c r="BH590" s="641">
        <v>0</v>
      </c>
      <c r="BI590" s="641">
        <v>0</v>
      </c>
      <c r="BJ590" s="632" t="s">
        <v>186</v>
      </c>
      <c r="BK590" s="631"/>
    </row>
    <row r="591" spans="1:63" ht="112.5">
      <c r="A591" s="401">
        <v>2</v>
      </c>
      <c r="B591" s="494" t="s">
        <v>2421</v>
      </c>
      <c r="C591" s="401" t="s">
        <v>83</v>
      </c>
      <c r="D591" s="401" t="s">
        <v>225</v>
      </c>
      <c r="E591" s="494" t="s">
        <v>5853</v>
      </c>
      <c r="F591" s="401" t="s">
        <v>1795</v>
      </c>
      <c r="G591" s="401" t="s">
        <v>1769</v>
      </c>
      <c r="H591" s="499" t="s">
        <v>5710</v>
      </c>
      <c r="I591" s="486" t="s">
        <v>5711</v>
      </c>
      <c r="J591" s="496" t="s">
        <v>2529</v>
      </c>
      <c r="K591" s="496" t="s">
        <v>2529</v>
      </c>
      <c r="L591" s="496" t="s">
        <v>1772</v>
      </c>
      <c r="M591" s="500" t="s">
        <v>1755</v>
      </c>
      <c r="N591" s="496" t="s">
        <v>1773</v>
      </c>
      <c r="O591" s="496" t="s">
        <v>2234</v>
      </c>
      <c r="P591" s="489">
        <v>18251.723689038852</v>
      </c>
      <c r="Q591" s="489">
        <f t="shared" si="105"/>
        <v>21537.033953065846</v>
      </c>
      <c r="R591" s="489">
        <v>15157.659163636363</v>
      </c>
      <c r="S591" s="401" t="s">
        <v>5970</v>
      </c>
      <c r="T591" s="501">
        <v>1.087</v>
      </c>
      <c r="U591" s="501">
        <v>1.0680000000000001</v>
      </c>
      <c r="V591" s="501">
        <v>1.0589999999999999</v>
      </c>
      <c r="W591" s="501">
        <v>1.0580000000000001</v>
      </c>
      <c r="X591" s="596">
        <v>0.9</v>
      </c>
      <c r="Y591" s="502">
        <v>17748.099999999999</v>
      </c>
      <c r="Z591" s="489">
        <f t="shared" si="106"/>
        <v>20942.757999999998</v>
      </c>
      <c r="AA591" s="489">
        <v>15513.965</v>
      </c>
      <c r="AB591" s="488">
        <f t="shared" si="107"/>
        <v>18306.4787</v>
      </c>
      <c r="AC591" s="492">
        <f t="shared" si="103"/>
        <v>15513.965</v>
      </c>
      <c r="AD591" s="493">
        <f t="shared" si="108"/>
        <v>18306.4787</v>
      </c>
      <c r="AE591" s="494" t="s">
        <v>218</v>
      </c>
      <c r="AF591" s="494" t="s">
        <v>83</v>
      </c>
      <c r="AG591" s="494" t="s">
        <v>211</v>
      </c>
      <c r="AH591" s="494" t="s">
        <v>545</v>
      </c>
      <c r="AI591" s="495">
        <v>41713</v>
      </c>
      <c r="AJ591" s="495">
        <v>41773</v>
      </c>
      <c r="AK591" s="494" t="s">
        <v>96</v>
      </c>
      <c r="AL591" s="494" t="s">
        <v>96</v>
      </c>
      <c r="AM591" s="496" t="s">
        <v>2530</v>
      </c>
      <c r="AN591" s="496" t="s">
        <v>1757</v>
      </c>
      <c r="AO591" s="494">
        <v>796</v>
      </c>
      <c r="AP591" s="494" t="s">
        <v>368</v>
      </c>
      <c r="AQ591" s="494">
        <v>1</v>
      </c>
      <c r="AR591" s="494">
        <v>46</v>
      </c>
      <c r="AS591" s="496" t="s">
        <v>605</v>
      </c>
      <c r="AT591" s="495">
        <v>41793</v>
      </c>
      <c r="AU591" s="495">
        <v>41793</v>
      </c>
      <c r="AV591" s="495">
        <v>42369</v>
      </c>
      <c r="AW591" s="494" t="s">
        <v>99</v>
      </c>
      <c r="AX591" s="496"/>
      <c r="AY591" s="494" t="s">
        <v>186</v>
      </c>
      <c r="AZ591" s="494"/>
      <c r="BA591" s="494">
        <v>2014</v>
      </c>
      <c r="BB591" s="494" t="s">
        <v>2422</v>
      </c>
      <c r="BC591" s="496" t="s">
        <v>2423</v>
      </c>
      <c r="BD591" s="496" t="s">
        <v>1818</v>
      </c>
      <c r="BE591" s="497">
        <v>42339</v>
      </c>
      <c r="BF591" s="498">
        <v>21005.002999999993</v>
      </c>
      <c r="BG591" s="488">
        <v>21005.002999999993</v>
      </c>
      <c r="BH591" s="488">
        <v>0</v>
      </c>
      <c r="BI591" s="488">
        <v>2.42</v>
      </c>
      <c r="BJ591" s="494" t="s">
        <v>186</v>
      </c>
      <c r="BK591" s="401"/>
    </row>
    <row r="592" spans="1:63" ht="112.5">
      <c r="A592" s="401">
        <v>2</v>
      </c>
      <c r="B592" s="494" t="s">
        <v>6636</v>
      </c>
      <c r="C592" s="401" t="s">
        <v>83</v>
      </c>
      <c r="D592" s="401" t="s">
        <v>225</v>
      </c>
      <c r="E592" s="494" t="s">
        <v>5853</v>
      </c>
      <c r="F592" s="401" t="s">
        <v>1795</v>
      </c>
      <c r="G592" s="401" t="s">
        <v>1769</v>
      </c>
      <c r="H592" s="499">
        <v>814332</v>
      </c>
      <c r="I592" s="486" t="s">
        <v>5712</v>
      </c>
      <c r="J592" s="496" t="s">
        <v>2529</v>
      </c>
      <c r="K592" s="496" t="s">
        <v>2529</v>
      </c>
      <c r="L592" s="496" t="s">
        <v>1772</v>
      </c>
      <c r="M592" s="500" t="s">
        <v>1755</v>
      </c>
      <c r="N592" s="496" t="s">
        <v>1773</v>
      </c>
      <c r="O592" s="496" t="s">
        <v>2234</v>
      </c>
      <c r="P592" s="489">
        <v>47803.628415875304</v>
      </c>
      <c r="Q592" s="489">
        <f t="shared" si="105"/>
        <v>56408.281530732856</v>
      </c>
      <c r="R592" s="489">
        <v>36225.258381818181</v>
      </c>
      <c r="S592" s="401" t="s">
        <v>5970</v>
      </c>
      <c r="T592" s="501">
        <v>1.087</v>
      </c>
      <c r="U592" s="501">
        <v>1.0680000000000001</v>
      </c>
      <c r="V592" s="501">
        <v>1.0589999999999999</v>
      </c>
      <c r="W592" s="501">
        <v>1.0580000000000001</v>
      </c>
      <c r="X592" s="596">
        <v>0.9</v>
      </c>
      <c r="Y592" s="502">
        <v>45024.373642761828</v>
      </c>
      <c r="Z592" s="489">
        <f t="shared" si="106"/>
        <v>53128.760898458953</v>
      </c>
      <c r="AA592" s="489">
        <v>40633.084153494005</v>
      </c>
      <c r="AB592" s="488">
        <f t="shared" si="107"/>
        <v>47947.039301122924</v>
      </c>
      <c r="AC592" s="492">
        <f t="shared" si="103"/>
        <v>40633.084153494005</v>
      </c>
      <c r="AD592" s="493">
        <f t="shared" si="108"/>
        <v>47947.039301122924</v>
      </c>
      <c r="AE592" s="494" t="s">
        <v>218</v>
      </c>
      <c r="AF592" s="494" t="s">
        <v>83</v>
      </c>
      <c r="AG592" s="494" t="s">
        <v>211</v>
      </c>
      <c r="AH592" s="494" t="s">
        <v>545</v>
      </c>
      <c r="AI592" s="495">
        <v>41922</v>
      </c>
      <c r="AJ592" s="495">
        <v>41982</v>
      </c>
      <c r="AK592" s="494" t="s">
        <v>96</v>
      </c>
      <c r="AL592" s="494" t="s">
        <v>96</v>
      </c>
      <c r="AM592" s="496" t="s">
        <v>2530</v>
      </c>
      <c r="AN592" s="496" t="s">
        <v>1757</v>
      </c>
      <c r="AO592" s="494">
        <v>796</v>
      </c>
      <c r="AP592" s="494" t="s">
        <v>368</v>
      </c>
      <c r="AQ592" s="494">
        <v>1</v>
      </c>
      <c r="AR592" s="494">
        <v>46</v>
      </c>
      <c r="AS592" s="496" t="s">
        <v>605</v>
      </c>
      <c r="AT592" s="495">
        <v>42002</v>
      </c>
      <c r="AU592" s="495">
        <v>42002</v>
      </c>
      <c r="AV592" s="495">
        <v>43100</v>
      </c>
      <c r="AW592" s="494" t="s">
        <v>5713</v>
      </c>
      <c r="AX592" s="496"/>
      <c r="AY592" s="494" t="s">
        <v>186</v>
      </c>
      <c r="AZ592" s="494"/>
      <c r="BA592" s="494">
        <v>2014</v>
      </c>
      <c r="BB592" s="494" t="s">
        <v>5714</v>
      </c>
      <c r="BC592" s="496" t="s">
        <v>5715</v>
      </c>
      <c r="BD592" s="496" t="s">
        <v>1818</v>
      </c>
      <c r="BE592" s="497">
        <v>43070</v>
      </c>
      <c r="BF592" s="498">
        <v>607700.55999999994</v>
      </c>
      <c r="BG592" s="488">
        <v>607700.55999999994</v>
      </c>
      <c r="BH592" s="488">
        <v>40</v>
      </c>
      <c r="BI592" s="488">
        <v>0</v>
      </c>
      <c r="BJ592" s="494" t="s">
        <v>186</v>
      </c>
      <c r="BK592" s="401"/>
    </row>
    <row r="593" spans="1:63" ht="112.5">
      <c r="A593" s="401">
        <v>2</v>
      </c>
      <c r="B593" s="494" t="s">
        <v>2424</v>
      </c>
      <c r="C593" s="401" t="s">
        <v>83</v>
      </c>
      <c r="D593" s="401" t="s">
        <v>225</v>
      </c>
      <c r="E593" s="494" t="s">
        <v>5853</v>
      </c>
      <c r="F593" s="401" t="s">
        <v>1768</v>
      </c>
      <c r="G593" s="401" t="s">
        <v>1769</v>
      </c>
      <c r="H593" s="499" t="s">
        <v>5716</v>
      </c>
      <c r="I593" s="486" t="s">
        <v>2425</v>
      </c>
      <c r="J593" s="496" t="s">
        <v>1771</v>
      </c>
      <c r="K593" s="496" t="s">
        <v>1771</v>
      </c>
      <c r="L593" s="496" t="s">
        <v>1772</v>
      </c>
      <c r="M593" s="500" t="s">
        <v>1755</v>
      </c>
      <c r="N593" s="496" t="s">
        <v>1773</v>
      </c>
      <c r="O593" s="496" t="s">
        <v>2234</v>
      </c>
      <c r="P593" s="489">
        <v>545575.05391627585</v>
      </c>
      <c r="Q593" s="489">
        <f t="shared" si="105"/>
        <v>643778.56362120551</v>
      </c>
      <c r="R593" s="489">
        <v>347391.78375757579</v>
      </c>
      <c r="S593" s="401" t="s">
        <v>1774</v>
      </c>
      <c r="T593" s="501">
        <v>1.087</v>
      </c>
      <c r="U593" s="501">
        <v>1.077</v>
      </c>
      <c r="V593" s="501">
        <v>1.073</v>
      </c>
      <c r="W593" s="501">
        <v>1.071</v>
      </c>
      <c r="X593" s="596">
        <v>0.9</v>
      </c>
      <c r="Y593" s="502">
        <v>392691.67</v>
      </c>
      <c r="Z593" s="489">
        <f t="shared" si="106"/>
        <v>463376.17059999995</v>
      </c>
      <c r="AA593" s="489">
        <v>422820.6667851138</v>
      </c>
      <c r="AB593" s="488">
        <f t="shared" si="107"/>
        <v>498928.38680643425</v>
      </c>
      <c r="AC593" s="492">
        <f t="shared" si="103"/>
        <v>392691.67</v>
      </c>
      <c r="AD593" s="493">
        <f t="shared" si="108"/>
        <v>463376.17059999995</v>
      </c>
      <c r="AE593" s="494" t="s">
        <v>218</v>
      </c>
      <c r="AF593" s="494" t="s">
        <v>83</v>
      </c>
      <c r="AG593" s="494" t="s">
        <v>211</v>
      </c>
      <c r="AH593" s="494" t="s">
        <v>545</v>
      </c>
      <c r="AI593" s="495">
        <v>41850</v>
      </c>
      <c r="AJ593" s="495">
        <v>41910</v>
      </c>
      <c r="AK593" s="494" t="s">
        <v>96</v>
      </c>
      <c r="AL593" s="494" t="s">
        <v>96</v>
      </c>
      <c r="AM593" s="496" t="s">
        <v>1776</v>
      </c>
      <c r="AN593" s="496" t="s">
        <v>1757</v>
      </c>
      <c r="AO593" s="494">
        <v>796</v>
      </c>
      <c r="AP593" s="494" t="s">
        <v>368</v>
      </c>
      <c r="AQ593" s="494">
        <v>1</v>
      </c>
      <c r="AR593" s="494">
        <v>46</v>
      </c>
      <c r="AS593" s="496" t="s">
        <v>605</v>
      </c>
      <c r="AT593" s="495">
        <v>41930</v>
      </c>
      <c r="AU593" s="495">
        <v>41930</v>
      </c>
      <c r="AV593" s="495">
        <v>42735</v>
      </c>
      <c r="AW593" s="494" t="s">
        <v>1789</v>
      </c>
      <c r="AX593" s="496"/>
      <c r="AY593" s="494" t="s">
        <v>186</v>
      </c>
      <c r="AZ593" s="494"/>
      <c r="BA593" s="494">
        <v>2014</v>
      </c>
      <c r="BB593" s="494" t="s">
        <v>2426</v>
      </c>
      <c r="BC593" s="496" t="s">
        <v>2427</v>
      </c>
      <c r="BD593" s="496" t="s">
        <v>1818</v>
      </c>
      <c r="BE593" s="497">
        <v>42705</v>
      </c>
      <c r="BF593" s="498">
        <v>488285.0148</v>
      </c>
      <c r="BG593" s="488">
        <v>555239</v>
      </c>
      <c r="BH593" s="488">
        <v>105</v>
      </c>
      <c r="BI593" s="488">
        <v>0</v>
      </c>
      <c r="BJ593" s="494" t="s">
        <v>186</v>
      </c>
      <c r="BK593" s="401"/>
    </row>
    <row r="594" spans="1:63" ht="112.5">
      <c r="A594" s="401">
        <v>2</v>
      </c>
      <c r="B594" s="494" t="s">
        <v>2428</v>
      </c>
      <c r="C594" s="401" t="s">
        <v>83</v>
      </c>
      <c r="D594" s="401" t="s">
        <v>225</v>
      </c>
      <c r="E594" s="494" t="s">
        <v>5853</v>
      </c>
      <c r="F594" s="401" t="s">
        <v>1795</v>
      </c>
      <c r="G594" s="401" t="s">
        <v>1769</v>
      </c>
      <c r="H594" s="499" t="s">
        <v>5717</v>
      </c>
      <c r="I594" s="486" t="s">
        <v>5718</v>
      </c>
      <c r="J594" s="496" t="s">
        <v>2529</v>
      </c>
      <c r="K594" s="496" t="s">
        <v>2529</v>
      </c>
      <c r="L594" s="496" t="s">
        <v>1772</v>
      </c>
      <c r="M594" s="500" t="s">
        <v>1755</v>
      </c>
      <c r="N594" s="496" t="s">
        <v>1773</v>
      </c>
      <c r="O594" s="496" t="s">
        <v>2234</v>
      </c>
      <c r="P594" s="489">
        <v>237810.25613252446</v>
      </c>
      <c r="Q594" s="489">
        <f t="shared" si="105"/>
        <v>280616.10223637882</v>
      </c>
      <c r="R594" s="489">
        <v>189866.36741257494</v>
      </c>
      <c r="S594" s="401" t="s">
        <v>1774</v>
      </c>
      <c r="T594" s="501">
        <v>1.087</v>
      </c>
      <c r="U594" s="501">
        <v>1.077</v>
      </c>
      <c r="V594" s="501">
        <v>1.073</v>
      </c>
      <c r="W594" s="501">
        <v>1.071</v>
      </c>
      <c r="X594" s="596">
        <v>0.9</v>
      </c>
      <c r="Y594" s="502">
        <v>211563.43124539012</v>
      </c>
      <c r="Z594" s="489">
        <f t="shared" si="106"/>
        <v>249644.84886956034</v>
      </c>
      <c r="AA594" s="489">
        <v>202138.7177126458</v>
      </c>
      <c r="AB594" s="488">
        <f t="shared" si="107"/>
        <v>238523.68690092204</v>
      </c>
      <c r="AC594" s="492">
        <f t="shared" si="103"/>
        <v>202138.7177126458</v>
      </c>
      <c r="AD594" s="493">
        <f t="shared" si="108"/>
        <v>238523.68690092204</v>
      </c>
      <c r="AE594" s="494" t="s">
        <v>218</v>
      </c>
      <c r="AF594" s="494" t="s">
        <v>83</v>
      </c>
      <c r="AG594" s="494" t="s">
        <v>211</v>
      </c>
      <c r="AH594" s="494" t="s">
        <v>545</v>
      </c>
      <c r="AI594" s="495">
        <v>41805</v>
      </c>
      <c r="AJ594" s="495">
        <f>AI594+60</f>
        <v>41865</v>
      </c>
      <c r="AK594" s="494" t="s">
        <v>96</v>
      </c>
      <c r="AL594" s="494" t="s">
        <v>96</v>
      </c>
      <c r="AM594" s="496" t="s">
        <v>2530</v>
      </c>
      <c r="AN594" s="496" t="s">
        <v>1757</v>
      </c>
      <c r="AO594" s="494">
        <v>796</v>
      </c>
      <c r="AP594" s="494" t="s">
        <v>368</v>
      </c>
      <c r="AQ594" s="494">
        <v>1</v>
      </c>
      <c r="AR594" s="494">
        <v>46</v>
      </c>
      <c r="AS594" s="496" t="s">
        <v>605</v>
      </c>
      <c r="AT594" s="495">
        <f>AJ594+20</f>
        <v>41885</v>
      </c>
      <c r="AU594" s="495">
        <f>AT594</f>
        <v>41885</v>
      </c>
      <c r="AV594" s="495">
        <v>42369</v>
      </c>
      <c r="AW594" s="494" t="s">
        <v>99</v>
      </c>
      <c r="AX594" s="496"/>
      <c r="AY594" s="494" t="s">
        <v>186</v>
      </c>
      <c r="AZ594" s="494"/>
      <c r="BA594" s="494">
        <v>2014</v>
      </c>
      <c r="BB594" s="494" t="s">
        <v>2429</v>
      </c>
      <c r="BC594" s="496" t="s">
        <v>2430</v>
      </c>
      <c r="BD594" s="496" t="s">
        <v>1818</v>
      </c>
      <c r="BE594" s="497">
        <v>42339</v>
      </c>
      <c r="BF594" s="498">
        <v>603780.34679999994</v>
      </c>
      <c r="BG594" s="488">
        <v>684076.90010882332</v>
      </c>
      <c r="BH594" s="488">
        <v>126</v>
      </c>
      <c r="BI594" s="488">
        <v>0</v>
      </c>
      <c r="BJ594" s="494" t="s">
        <v>186</v>
      </c>
      <c r="BK594" s="401"/>
    </row>
    <row r="595" spans="1:63" ht="112.5">
      <c r="A595" s="401">
        <v>2</v>
      </c>
      <c r="B595" s="494" t="s">
        <v>6637</v>
      </c>
      <c r="C595" s="401" t="s">
        <v>83</v>
      </c>
      <c r="D595" s="401" t="s">
        <v>225</v>
      </c>
      <c r="E595" s="494" t="s">
        <v>5853</v>
      </c>
      <c r="F595" s="401" t="s">
        <v>1795</v>
      </c>
      <c r="G595" s="401" t="s">
        <v>1769</v>
      </c>
      <c r="H595" s="499">
        <v>814318</v>
      </c>
      <c r="I595" s="486" t="s">
        <v>5719</v>
      </c>
      <c r="J595" s="496" t="s">
        <v>2529</v>
      </c>
      <c r="K595" s="496" t="s">
        <v>2529</v>
      </c>
      <c r="L595" s="496" t="s">
        <v>1772</v>
      </c>
      <c r="M595" s="500" t="s">
        <v>1755</v>
      </c>
      <c r="N595" s="496" t="s">
        <v>1773</v>
      </c>
      <c r="O595" s="496" t="s">
        <v>2234</v>
      </c>
      <c r="P595" s="489">
        <v>85217.653742492737</v>
      </c>
      <c r="Q595" s="489">
        <f t="shared" si="105"/>
        <v>100556.83141614143</v>
      </c>
      <c r="R595" s="489">
        <v>56788.360200000003</v>
      </c>
      <c r="S595" s="401" t="s">
        <v>5970</v>
      </c>
      <c r="T595" s="501">
        <v>1.087</v>
      </c>
      <c r="U595" s="501">
        <v>1.0680000000000001</v>
      </c>
      <c r="V595" s="501">
        <v>1.0589999999999999</v>
      </c>
      <c r="W595" s="501">
        <v>1.0580000000000001</v>
      </c>
      <c r="X595" s="596">
        <v>0.9</v>
      </c>
      <c r="Y595" s="502">
        <v>70582.25289258</v>
      </c>
      <c r="Z595" s="489">
        <f t="shared" si="106"/>
        <v>83287.058413244391</v>
      </c>
      <c r="AA595" s="489">
        <v>72435.005681118826</v>
      </c>
      <c r="AB595" s="488">
        <f t="shared" si="107"/>
        <v>85473.306703720213</v>
      </c>
      <c r="AC595" s="492">
        <f t="shared" si="103"/>
        <v>70582.25289258</v>
      </c>
      <c r="AD595" s="493">
        <f t="shared" si="108"/>
        <v>83287.058413244391</v>
      </c>
      <c r="AE595" s="494" t="s">
        <v>218</v>
      </c>
      <c r="AF595" s="494" t="s">
        <v>83</v>
      </c>
      <c r="AG595" s="494" t="s">
        <v>211</v>
      </c>
      <c r="AH595" s="494" t="s">
        <v>545</v>
      </c>
      <c r="AI595" s="495">
        <v>41835</v>
      </c>
      <c r="AJ595" s="495">
        <v>41895</v>
      </c>
      <c r="AK595" s="494" t="s">
        <v>96</v>
      </c>
      <c r="AL595" s="494" t="s">
        <v>96</v>
      </c>
      <c r="AM595" s="496" t="s">
        <v>2530</v>
      </c>
      <c r="AN595" s="496" t="s">
        <v>1757</v>
      </c>
      <c r="AO595" s="494">
        <v>796</v>
      </c>
      <c r="AP595" s="494" t="s">
        <v>368</v>
      </c>
      <c r="AQ595" s="494">
        <v>1</v>
      </c>
      <c r="AR595" s="494">
        <v>46</v>
      </c>
      <c r="AS595" s="496" t="s">
        <v>605</v>
      </c>
      <c r="AT595" s="495">
        <v>41915</v>
      </c>
      <c r="AU595" s="495">
        <v>41915</v>
      </c>
      <c r="AV595" s="495">
        <v>42369</v>
      </c>
      <c r="AW595" s="494" t="s">
        <v>99</v>
      </c>
      <c r="AX595" s="496"/>
      <c r="AY595" s="494" t="s">
        <v>186</v>
      </c>
      <c r="AZ595" s="494"/>
      <c r="BA595" s="494">
        <v>2014</v>
      </c>
      <c r="BB595" s="494" t="s">
        <v>5720</v>
      </c>
      <c r="BC595" s="496" t="s">
        <v>5721</v>
      </c>
      <c r="BD595" s="496" t="s">
        <v>1818</v>
      </c>
      <c r="BE595" s="497">
        <v>42339</v>
      </c>
      <c r="BF595" s="498">
        <v>150631.92059999998</v>
      </c>
      <c r="BG595" s="488">
        <v>210248.40502283449</v>
      </c>
      <c r="BH595" s="488">
        <v>20</v>
      </c>
      <c r="BI595" s="488">
        <v>0</v>
      </c>
      <c r="BJ595" s="494" t="s">
        <v>186</v>
      </c>
      <c r="BK595" s="401"/>
    </row>
    <row r="596" spans="1:63" ht="112.5">
      <c r="A596" s="401">
        <v>2</v>
      </c>
      <c r="B596" s="494" t="s">
        <v>6638</v>
      </c>
      <c r="C596" s="401" t="s">
        <v>83</v>
      </c>
      <c r="D596" s="401" t="s">
        <v>225</v>
      </c>
      <c r="E596" s="494" t="s">
        <v>5853</v>
      </c>
      <c r="F596" s="401" t="s">
        <v>1795</v>
      </c>
      <c r="G596" s="401" t="s">
        <v>1769</v>
      </c>
      <c r="H596" s="499">
        <v>814313</v>
      </c>
      <c r="I596" s="486" t="s">
        <v>5722</v>
      </c>
      <c r="J596" s="496" t="s">
        <v>2529</v>
      </c>
      <c r="K596" s="496" t="s">
        <v>2529</v>
      </c>
      <c r="L596" s="496" t="s">
        <v>1772</v>
      </c>
      <c r="M596" s="500" t="s">
        <v>1755</v>
      </c>
      <c r="N596" s="496" t="s">
        <v>1773</v>
      </c>
      <c r="O596" s="496" t="s">
        <v>2234</v>
      </c>
      <c r="P596" s="489">
        <v>33427.577366084668</v>
      </c>
      <c r="Q596" s="489">
        <f t="shared" si="105"/>
        <v>39444.541291979906</v>
      </c>
      <c r="R596" s="489">
        <v>26251.219909090909</v>
      </c>
      <c r="S596" s="401" t="s">
        <v>5970</v>
      </c>
      <c r="T596" s="501">
        <v>1.087</v>
      </c>
      <c r="U596" s="501">
        <v>1.0680000000000001</v>
      </c>
      <c r="V596" s="501">
        <v>1.0589999999999999</v>
      </c>
      <c r="W596" s="501">
        <v>1.0580000000000001</v>
      </c>
      <c r="X596" s="596">
        <v>0.9</v>
      </c>
      <c r="Y596" s="502">
        <v>32627.641225009094</v>
      </c>
      <c r="Z596" s="489">
        <f t="shared" si="106"/>
        <v>38500.61664551073</v>
      </c>
      <c r="AA596" s="489">
        <v>28413.440761171965</v>
      </c>
      <c r="AB596" s="488">
        <f t="shared" si="107"/>
        <v>33527.860098182915</v>
      </c>
      <c r="AC596" s="492">
        <f t="shared" si="103"/>
        <v>28413.440761171965</v>
      </c>
      <c r="AD596" s="493">
        <f t="shared" si="108"/>
        <v>33527.860098182915</v>
      </c>
      <c r="AE596" s="494" t="s">
        <v>218</v>
      </c>
      <c r="AF596" s="494" t="s">
        <v>83</v>
      </c>
      <c r="AG596" s="494" t="s">
        <v>211</v>
      </c>
      <c r="AH596" s="494" t="s">
        <v>545</v>
      </c>
      <c r="AI596" s="495">
        <v>41739</v>
      </c>
      <c r="AJ596" s="495">
        <v>41799</v>
      </c>
      <c r="AK596" s="494" t="s">
        <v>96</v>
      </c>
      <c r="AL596" s="494" t="s">
        <v>96</v>
      </c>
      <c r="AM596" s="496" t="s">
        <v>2530</v>
      </c>
      <c r="AN596" s="496" t="s">
        <v>1757</v>
      </c>
      <c r="AO596" s="494">
        <v>796</v>
      </c>
      <c r="AP596" s="494" t="s">
        <v>368</v>
      </c>
      <c r="AQ596" s="494">
        <v>1</v>
      </c>
      <c r="AR596" s="494">
        <v>46</v>
      </c>
      <c r="AS596" s="496" t="s">
        <v>605</v>
      </c>
      <c r="AT596" s="495">
        <v>41819</v>
      </c>
      <c r="AU596" s="495">
        <v>41819</v>
      </c>
      <c r="AV596" s="495">
        <v>42369</v>
      </c>
      <c r="AW596" s="494">
        <v>2015</v>
      </c>
      <c r="AX596" s="496"/>
      <c r="AY596" s="494" t="s">
        <v>186</v>
      </c>
      <c r="AZ596" s="494"/>
      <c r="BA596" s="494">
        <v>2014</v>
      </c>
      <c r="BB596" s="494" t="s">
        <v>5723</v>
      </c>
      <c r="BC596" s="496" t="s">
        <v>5724</v>
      </c>
      <c r="BD596" s="496" t="s">
        <v>1818</v>
      </c>
      <c r="BE596" s="497">
        <v>42339</v>
      </c>
      <c r="BF596" s="498">
        <v>126410.37920000001</v>
      </c>
      <c r="BG596" s="488">
        <v>140723.24</v>
      </c>
      <c r="BH596" s="488">
        <v>32</v>
      </c>
      <c r="BI596" s="488">
        <v>0</v>
      </c>
      <c r="BJ596" s="494" t="s">
        <v>186</v>
      </c>
      <c r="BK596" s="401"/>
    </row>
    <row r="597" spans="1:63" ht="144" customHeight="1">
      <c r="A597" s="401">
        <v>2</v>
      </c>
      <c r="B597" s="494" t="s">
        <v>6639</v>
      </c>
      <c r="C597" s="401" t="s">
        <v>83</v>
      </c>
      <c r="D597" s="401" t="s">
        <v>225</v>
      </c>
      <c r="E597" s="494" t="s">
        <v>5853</v>
      </c>
      <c r="F597" s="401" t="s">
        <v>1761</v>
      </c>
      <c r="G597" s="401" t="s">
        <v>1762</v>
      </c>
      <c r="H597" s="499">
        <v>814320</v>
      </c>
      <c r="I597" s="486" t="s">
        <v>5725</v>
      </c>
      <c r="J597" s="496" t="s">
        <v>2233</v>
      </c>
      <c r="K597" s="496" t="s">
        <v>2233</v>
      </c>
      <c r="L597" s="496" t="s">
        <v>1772</v>
      </c>
      <c r="M597" s="500" t="s">
        <v>1755</v>
      </c>
      <c r="N597" s="496" t="s">
        <v>1773</v>
      </c>
      <c r="O597" s="496" t="s">
        <v>2234</v>
      </c>
      <c r="P597" s="489">
        <v>3630.7723078799995</v>
      </c>
      <c r="Q597" s="489">
        <f t="shared" si="105"/>
        <v>4284.3113232983997</v>
      </c>
      <c r="R597" s="489">
        <v>3078.5129999999999</v>
      </c>
      <c r="S597" s="401" t="s">
        <v>5970</v>
      </c>
      <c r="T597" s="501">
        <v>1.087</v>
      </c>
      <c r="U597" s="501">
        <v>1.0680000000000001</v>
      </c>
      <c r="V597" s="501">
        <v>1.0589999999999999</v>
      </c>
      <c r="W597" s="501">
        <v>1.0580000000000001</v>
      </c>
      <c r="X597" s="596">
        <v>0.9</v>
      </c>
      <c r="Y597" s="502">
        <v>3364.3938059999996</v>
      </c>
      <c r="Z597" s="489">
        <f t="shared" si="106"/>
        <v>3969.9846910799993</v>
      </c>
      <c r="AA597" s="489">
        <v>3358.4643847890002</v>
      </c>
      <c r="AB597" s="488">
        <f t="shared" si="107"/>
        <v>3962.98797405102</v>
      </c>
      <c r="AC597" s="492">
        <f t="shared" si="103"/>
        <v>3358.4643847890002</v>
      </c>
      <c r="AD597" s="493">
        <f t="shared" si="108"/>
        <v>3962.98797405102</v>
      </c>
      <c r="AE597" s="494" t="s">
        <v>1775</v>
      </c>
      <c r="AF597" s="494" t="s">
        <v>83</v>
      </c>
      <c r="AG597" s="494" t="s">
        <v>211</v>
      </c>
      <c r="AH597" s="494" t="s">
        <v>545</v>
      </c>
      <c r="AI597" s="495">
        <v>41654</v>
      </c>
      <c r="AJ597" s="495">
        <v>41689</v>
      </c>
      <c r="AK597" s="494" t="s">
        <v>96</v>
      </c>
      <c r="AL597" s="494" t="s">
        <v>96</v>
      </c>
      <c r="AM597" s="496" t="s">
        <v>1793</v>
      </c>
      <c r="AN597" s="496" t="s">
        <v>1757</v>
      </c>
      <c r="AO597" s="494">
        <v>796</v>
      </c>
      <c r="AP597" s="494" t="s">
        <v>368</v>
      </c>
      <c r="AQ597" s="494">
        <v>1</v>
      </c>
      <c r="AR597" s="494">
        <v>46</v>
      </c>
      <c r="AS597" s="496" t="s">
        <v>605</v>
      </c>
      <c r="AT597" s="495">
        <v>41709</v>
      </c>
      <c r="AU597" s="495">
        <v>41709</v>
      </c>
      <c r="AV597" s="495">
        <v>41789</v>
      </c>
      <c r="AW597" s="494">
        <v>2014</v>
      </c>
      <c r="AX597" s="496"/>
      <c r="AY597" s="494" t="s">
        <v>186</v>
      </c>
      <c r="AZ597" s="494"/>
      <c r="BA597" s="494">
        <v>2014</v>
      </c>
      <c r="BB597" s="494" t="s">
        <v>5726</v>
      </c>
      <c r="BC597" s="496" t="s">
        <v>5727</v>
      </c>
      <c r="BD597" s="496" t="s">
        <v>1818</v>
      </c>
      <c r="BE597" s="497">
        <v>42004</v>
      </c>
      <c r="BF597" s="498">
        <v>89295.320000000196</v>
      </c>
      <c r="BG597" s="488">
        <v>89295.320000000196</v>
      </c>
      <c r="BH597" s="488">
        <v>0</v>
      </c>
      <c r="BI597" s="488">
        <v>0</v>
      </c>
      <c r="BJ597" s="494" t="s">
        <v>186</v>
      </c>
      <c r="BK597" s="401"/>
    </row>
    <row r="598" spans="1:63" ht="393.75">
      <c r="A598" s="401">
        <v>2</v>
      </c>
      <c r="B598" s="494" t="s">
        <v>6640</v>
      </c>
      <c r="C598" s="401" t="s">
        <v>83</v>
      </c>
      <c r="D598" s="401" t="s">
        <v>225</v>
      </c>
      <c r="E598" s="494" t="s">
        <v>5853</v>
      </c>
      <c r="F598" s="401" t="s">
        <v>1768</v>
      </c>
      <c r="G598" s="401" t="s">
        <v>1769</v>
      </c>
      <c r="H598" s="499">
        <v>814321</v>
      </c>
      <c r="I598" s="486" t="s">
        <v>5728</v>
      </c>
      <c r="J598" s="496" t="s">
        <v>1771</v>
      </c>
      <c r="K598" s="496" t="s">
        <v>1771</v>
      </c>
      <c r="L598" s="496" t="s">
        <v>1772</v>
      </c>
      <c r="M598" s="500" t="s">
        <v>1755</v>
      </c>
      <c r="N598" s="496" t="s">
        <v>1773</v>
      </c>
      <c r="O598" s="496" t="s">
        <v>2234</v>
      </c>
      <c r="P598" s="489">
        <v>64410.297210245866</v>
      </c>
      <c r="Q598" s="489">
        <f t="shared" si="105"/>
        <v>76004.150708090121</v>
      </c>
      <c r="R598" s="489">
        <v>54613.156783545455</v>
      </c>
      <c r="S598" s="401" t="s">
        <v>5970</v>
      </c>
      <c r="T598" s="501">
        <v>1.087</v>
      </c>
      <c r="U598" s="501">
        <v>1.0680000000000001</v>
      </c>
      <c r="V598" s="501">
        <v>1.0589999999999999</v>
      </c>
      <c r="W598" s="501">
        <v>1.0580000000000001</v>
      </c>
      <c r="X598" s="596">
        <v>0.9</v>
      </c>
      <c r="Y598" s="502">
        <v>57818.977794230726</v>
      </c>
      <c r="Z598" s="489">
        <f t="shared" si="106"/>
        <v>68226.393797192257</v>
      </c>
      <c r="AA598" s="489">
        <v>59579.52491947743</v>
      </c>
      <c r="AB598" s="488">
        <f t="shared" si="107"/>
        <v>70303.839404983359</v>
      </c>
      <c r="AC598" s="492">
        <f t="shared" si="103"/>
        <v>57818.977794230726</v>
      </c>
      <c r="AD598" s="493">
        <f t="shared" si="108"/>
        <v>68226.393797192257</v>
      </c>
      <c r="AE598" s="494" t="s">
        <v>218</v>
      </c>
      <c r="AF598" s="494" t="s">
        <v>83</v>
      </c>
      <c r="AG598" s="494" t="s">
        <v>211</v>
      </c>
      <c r="AH598" s="494" t="s">
        <v>545</v>
      </c>
      <c r="AI598" s="495">
        <v>41805</v>
      </c>
      <c r="AJ598" s="495">
        <v>41865</v>
      </c>
      <c r="AK598" s="494" t="s">
        <v>96</v>
      </c>
      <c r="AL598" s="494" t="s">
        <v>96</v>
      </c>
      <c r="AM598" s="496" t="s">
        <v>1776</v>
      </c>
      <c r="AN598" s="496" t="s">
        <v>1757</v>
      </c>
      <c r="AO598" s="494">
        <v>796</v>
      </c>
      <c r="AP598" s="494" t="s">
        <v>368</v>
      </c>
      <c r="AQ598" s="494">
        <v>1</v>
      </c>
      <c r="AR598" s="494">
        <v>46</v>
      </c>
      <c r="AS598" s="496" t="s">
        <v>605</v>
      </c>
      <c r="AT598" s="495">
        <v>41885</v>
      </c>
      <c r="AU598" s="495">
        <v>41885</v>
      </c>
      <c r="AV598" s="495">
        <v>42004</v>
      </c>
      <c r="AW598" s="494">
        <v>2014</v>
      </c>
      <c r="AX598" s="496"/>
      <c r="AY598" s="494" t="s">
        <v>186</v>
      </c>
      <c r="AZ598" s="494"/>
      <c r="BA598" s="494">
        <v>2014</v>
      </c>
      <c r="BB598" s="494" t="s">
        <v>5726</v>
      </c>
      <c r="BC598" s="496" t="s">
        <v>5727</v>
      </c>
      <c r="BD598" s="496" t="s">
        <v>1818</v>
      </c>
      <c r="BE598" s="497">
        <v>42004</v>
      </c>
      <c r="BF598" s="498">
        <v>89295.320000000196</v>
      </c>
      <c r="BG598" s="488">
        <v>89295.320000000196</v>
      </c>
      <c r="BH598" s="488">
        <v>0</v>
      </c>
      <c r="BI598" s="488">
        <v>0</v>
      </c>
      <c r="BJ598" s="494" t="s">
        <v>186</v>
      </c>
      <c r="BK598" s="401"/>
    </row>
    <row r="599" spans="1:63" ht="300">
      <c r="A599" s="401">
        <v>2</v>
      </c>
      <c r="B599" s="494" t="s">
        <v>6641</v>
      </c>
      <c r="C599" s="401" t="s">
        <v>83</v>
      </c>
      <c r="D599" s="401" t="s">
        <v>225</v>
      </c>
      <c r="E599" s="494" t="s">
        <v>5853</v>
      </c>
      <c r="F599" s="401" t="s">
        <v>1761</v>
      </c>
      <c r="G599" s="401" t="s">
        <v>1762</v>
      </c>
      <c r="H599" s="499">
        <v>814322</v>
      </c>
      <c r="I599" s="486" t="s">
        <v>5729</v>
      </c>
      <c r="J599" s="496" t="s">
        <v>2233</v>
      </c>
      <c r="K599" s="496" t="s">
        <v>2233</v>
      </c>
      <c r="L599" s="496" t="s">
        <v>1772</v>
      </c>
      <c r="M599" s="500" t="s">
        <v>1755</v>
      </c>
      <c r="N599" s="496" t="s">
        <v>1773</v>
      </c>
      <c r="O599" s="496" t="s">
        <v>2234</v>
      </c>
      <c r="P599" s="489">
        <v>5223.4667430047339</v>
      </c>
      <c r="Q599" s="489">
        <f t="shared" si="105"/>
        <v>6163.6907567455855</v>
      </c>
      <c r="R599" s="489">
        <v>4428.9503471499993</v>
      </c>
      <c r="S599" s="401" t="s">
        <v>5970</v>
      </c>
      <c r="T599" s="501">
        <v>1.087</v>
      </c>
      <c r="U599" s="501">
        <v>1.0680000000000001</v>
      </c>
      <c r="V599" s="501">
        <v>1.0589999999999999</v>
      </c>
      <c r="W599" s="501">
        <v>1.0580000000000001</v>
      </c>
      <c r="X599" s="596">
        <v>0.9</v>
      </c>
      <c r="Y599" s="502">
        <v>4840.2353950139695</v>
      </c>
      <c r="Z599" s="489">
        <f t="shared" si="106"/>
        <v>5711.4777661164835</v>
      </c>
      <c r="AA599" s="489">
        <v>4831.706737279379</v>
      </c>
      <c r="AB599" s="488">
        <f t="shared" si="107"/>
        <v>5701.4139499896673</v>
      </c>
      <c r="AC599" s="492">
        <f t="shared" si="103"/>
        <v>4831.706737279379</v>
      </c>
      <c r="AD599" s="493">
        <f t="shared" si="108"/>
        <v>5701.4139499896673</v>
      </c>
      <c r="AE599" s="494" t="s">
        <v>1775</v>
      </c>
      <c r="AF599" s="494" t="s">
        <v>83</v>
      </c>
      <c r="AG599" s="494" t="s">
        <v>211</v>
      </c>
      <c r="AH599" s="494" t="s">
        <v>545</v>
      </c>
      <c r="AI599" s="495">
        <v>41654</v>
      </c>
      <c r="AJ599" s="495">
        <v>41689</v>
      </c>
      <c r="AK599" s="494" t="s">
        <v>96</v>
      </c>
      <c r="AL599" s="494" t="s">
        <v>96</v>
      </c>
      <c r="AM599" s="496" t="s">
        <v>1793</v>
      </c>
      <c r="AN599" s="496" t="s">
        <v>1757</v>
      </c>
      <c r="AO599" s="494">
        <v>796</v>
      </c>
      <c r="AP599" s="494" t="s">
        <v>368</v>
      </c>
      <c r="AQ599" s="494">
        <v>1</v>
      </c>
      <c r="AR599" s="494">
        <v>46</v>
      </c>
      <c r="AS599" s="496" t="s">
        <v>605</v>
      </c>
      <c r="AT599" s="495">
        <v>41709</v>
      </c>
      <c r="AU599" s="495">
        <v>41709</v>
      </c>
      <c r="AV599" s="495">
        <v>42004</v>
      </c>
      <c r="AW599" s="494">
        <v>2014</v>
      </c>
      <c r="AX599" s="496"/>
      <c r="AY599" s="494" t="s">
        <v>186</v>
      </c>
      <c r="AZ599" s="494"/>
      <c r="BA599" s="494">
        <v>2014</v>
      </c>
      <c r="BB599" s="494" t="s">
        <v>5730</v>
      </c>
      <c r="BC599" s="496" t="s">
        <v>5731</v>
      </c>
      <c r="BD599" s="496" t="s">
        <v>1818</v>
      </c>
      <c r="BE599" s="497">
        <v>42004</v>
      </c>
      <c r="BF599" s="580">
        <v>115193.5538155493</v>
      </c>
      <c r="BG599" s="488">
        <v>119333.11725783316</v>
      </c>
      <c r="BH599" s="488">
        <v>0</v>
      </c>
      <c r="BI599" s="488">
        <v>0</v>
      </c>
      <c r="BJ599" s="494" t="s">
        <v>186</v>
      </c>
      <c r="BK599" s="401"/>
    </row>
    <row r="600" spans="1:63" ht="300">
      <c r="A600" s="401">
        <v>2</v>
      </c>
      <c r="B600" s="494" t="s">
        <v>6642</v>
      </c>
      <c r="C600" s="401" t="s">
        <v>83</v>
      </c>
      <c r="D600" s="401" t="s">
        <v>225</v>
      </c>
      <c r="E600" s="494" t="s">
        <v>5853</v>
      </c>
      <c r="F600" s="401" t="s">
        <v>1768</v>
      </c>
      <c r="G600" s="401" t="s">
        <v>1769</v>
      </c>
      <c r="H600" s="499">
        <v>814323</v>
      </c>
      <c r="I600" s="486" t="s">
        <v>5732</v>
      </c>
      <c r="J600" s="496" t="s">
        <v>1771</v>
      </c>
      <c r="K600" s="496" t="s">
        <v>1771</v>
      </c>
      <c r="L600" s="496" t="s">
        <v>1772</v>
      </c>
      <c r="M600" s="500" t="s">
        <v>1755</v>
      </c>
      <c r="N600" s="496" t="s">
        <v>1773</v>
      </c>
      <c r="O600" s="496" t="s">
        <v>2234</v>
      </c>
      <c r="P600" s="489">
        <v>93068.76721372355</v>
      </c>
      <c r="Q600" s="489">
        <f t="shared" si="105"/>
        <v>109821.14531219378</v>
      </c>
      <c r="R600" s="489">
        <v>78912.524792477634</v>
      </c>
      <c r="S600" s="401" t="s">
        <v>5970</v>
      </c>
      <c r="T600" s="501">
        <v>1.087</v>
      </c>
      <c r="U600" s="501">
        <v>1.0680000000000001</v>
      </c>
      <c r="V600" s="501">
        <v>1.0589999999999999</v>
      </c>
      <c r="W600" s="501">
        <v>1.0580000000000001</v>
      </c>
      <c r="X600" s="596">
        <v>0.9</v>
      </c>
      <c r="Y600" s="502">
        <v>83112.359122220776</v>
      </c>
      <c r="Z600" s="489">
        <f t="shared" si="106"/>
        <v>98072.583764220515</v>
      </c>
      <c r="AA600" s="489">
        <v>86088.609672694292</v>
      </c>
      <c r="AB600" s="488">
        <f t="shared" si="107"/>
        <v>101584.55941377927</v>
      </c>
      <c r="AC600" s="492">
        <f t="shared" si="103"/>
        <v>83112.359122220776</v>
      </c>
      <c r="AD600" s="493">
        <f t="shared" si="108"/>
        <v>98072.583764220515</v>
      </c>
      <c r="AE600" s="494" t="s">
        <v>218</v>
      </c>
      <c r="AF600" s="494" t="s">
        <v>83</v>
      </c>
      <c r="AG600" s="494" t="s">
        <v>211</v>
      </c>
      <c r="AH600" s="494" t="s">
        <v>545</v>
      </c>
      <c r="AI600" s="495">
        <v>41805</v>
      </c>
      <c r="AJ600" s="495">
        <v>41865</v>
      </c>
      <c r="AK600" s="494" t="s">
        <v>96</v>
      </c>
      <c r="AL600" s="494" t="s">
        <v>96</v>
      </c>
      <c r="AM600" s="496" t="s">
        <v>1776</v>
      </c>
      <c r="AN600" s="496" t="s">
        <v>1757</v>
      </c>
      <c r="AO600" s="494">
        <v>796</v>
      </c>
      <c r="AP600" s="494" t="s">
        <v>368</v>
      </c>
      <c r="AQ600" s="494">
        <v>1</v>
      </c>
      <c r="AR600" s="494">
        <v>46</v>
      </c>
      <c r="AS600" s="496" t="s">
        <v>605</v>
      </c>
      <c r="AT600" s="495">
        <v>41885</v>
      </c>
      <c r="AU600" s="495">
        <v>41885</v>
      </c>
      <c r="AV600" s="495">
        <v>42004</v>
      </c>
      <c r="AW600" s="494">
        <v>2014</v>
      </c>
      <c r="AX600" s="496"/>
      <c r="AY600" s="494" t="s">
        <v>186</v>
      </c>
      <c r="AZ600" s="494"/>
      <c r="BA600" s="494">
        <v>2014</v>
      </c>
      <c r="BB600" s="494" t="s">
        <v>5730</v>
      </c>
      <c r="BC600" s="496" t="s">
        <v>5731</v>
      </c>
      <c r="BD600" s="496" t="s">
        <v>1818</v>
      </c>
      <c r="BE600" s="497">
        <v>42004</v>
      </c>
      <c r="BF600" s="580">
        <v>115193.5538155493</v>
      </c>
      <c r="BG600" s="488">
        <v>119333.11725783316</v>
      </c>
      <c r="BH600" s="488">
        <v>0</v>
      </c>
      <c r="BI600" s="488">
        <v>0</v>
      </c>
      <c r="BJ600" s="494" t="s">
        <v>186</v>
      </c>
      <c r="BK600" s="401"/>
    </row>
    <row r="601" spans="1:63" ht="112.5">
      <c r="A601" s="401">
        <v>2</v>
      </c>
      <c r="B601" s="494" t="s">
        <v>6643</v>
      </c>
      <c r="C601" s="401" t="s">
        <v>83</v>
      </c>
      <c r="D601" s="401" t="s">
        <v>225</v>
      </c>
      <c r="E601" s="494" t="s">
        <v>5853</v>
      </c>
      <c r="F601" s="401" t="s">
        <v>1768</v>
      </c>
      <c r="G601" s="401" t="s">
        <v>1769</v>
      </c>
      <c r="H601" s="499">
        <v>814324</v>
      </c>
      <c r="I601" s="486" t="s">
        <v>5733</v>
      </c>
      <c r="J601" s="496" t="s">
        <v>1771</v>
      </c>
      <c r="K601" s="496" t="s">
        <v>1771</v>
      </c>
      <c r="L601" s="496" t="s">
        <v>1772</v>
      </c>
      <c r="M601" s="500" t="s">
        <v>1755</v>
      </c>
      <c r="N601" s="496" t="s">
        <v>1773</v>
      </c>
      <c r="O601" s="496" t="s">
        <v>2234</v>
      </c>
      <c r="P601" s="489">
        <v>7715.8179307583832</v>
      </c>
      <c r="Q601" s="489">
        <f t="shared" si="105"/>
        <v>9104.6651582948925</v>
      </c>
      <c r="R601" s="489">
        <v>6542.2019865911807</v>
      </c>
      <c r="S601" s="401" t="s">
        <v>5970</v>
      </c>
      <c r="T601" s="501">
        <v>1.087</v>
      </c>
      <c r="U601" s="501">
        <v>1.0680000000000001</v>
      </c>
      <c r="V601" s="501">
        <v>1.0589999999999999</v>
      </c>
      <c r="W601" s="501">
        <v>1.0580000000000001</v>
      </c>
      <c r="X601" s="596">
        <v>0.9</v>
      </c>
      <c r="Y601" s="502">
        <v>7057.26</v>
      </c>
      <c r="Z601" s="489">
        <f t="shared" si="106"/>
        <v>8327.5668000000005</v>
      </c>
      <c r="AA601" s="489">
        <v>7137.1315859515053</v>
      </c>
      <c r="AB601" s="488">
        <f t="shared" si="107"/>
        <v>8421.8152714227763</v>
      </c>
      <c r="AC601" s="492">
        <f t="shared" si="103"/>
        <v>7057.26</v>
      </c>
      <c r="AD601" s="493">
        <f t="shared" si="108"/>
        <v>8327.5668000000005</v>
      </c>
      <c r="AE601" s="494" t="s">
        <v>1775</v>
      </c>
      <c r="AF601" s="494" t="s">
        <v>83</v>
      </c>
      <c r="AG601" s="494" t="s">
        <v>211</v>
      </c>
      <c r="AH601" s="494" t="s">
        <v>545</v>
      </c>
      <c r="AI601" s="495">
        <v>41713</v>
      </c>
      <c r="AJ601" s="495">
        <v>41748</v>
      </c>
      <c r="AK601" s="494" t="s">
        <v>96</v>
      </c>
      <c r="AL601" s="494" t="s">
        <v>96</v>
      </c>
      <c r="AM601" s="496" t="s">
        <v>1776</v>
      </c>
      <c r="AN601" s="496" t="s">
        <v>1757</v>
      </c>
      <c r="AO601" s="494">
        <v>796</v>
      </c>
      <c r="AP601" s="494" t="s">
        <v>368</v>
      </c>
      <c r="AQ601" s="494">
        <v>1</v>
      </c>
      <c r="AR601" s="494">
        <v>46</v>
      </c>
      <c r="AS601" s="496" t="s">
        <v>605</v>
      </c>
      <c r="AT601" s="495">
        <v>41768</v>
      </c>
      <c r="AU601" s="495">
        <v>41768</v>
      </c>
      <c r="AV601" s="495">
        <v>42004</v>
      </c>
      <c r="AW601" s="494">
        <v>2014</v>
      </c>
      <c r="AX601" s="496"/>
      <c r="AY601" s="494" t="s">
        <v>186</v>
      </c>
      <c r="AZ601" s="494"/>
      <c r="BA601" s="494">
        <v>2014</v>
      </c>
      <c r="BB601" s="494" t="s">
        <v>5734</v>
      </c>
      <c r="BC601" s="496" t="s">
        <v>5735</v>
      </c>
      <c r="BD601" s="496" t="s">
        <v>1818</v>
      </c>
      <c r="BE601" s="497">
        <v>41974</v>
      </c>
      <c r="BF601" s="498">
        <v>9989.9999999999982</v>
      </c>
      <c r="BG601" s="488">
        <v>9989.9999999999982</v>
      </c>
      <c r="BH601" s="488">
        <v>0</v>
      </c>
      <c r="BI601" s="488">
        <v>6</v>
      </c>
      <c r="BJ601" s="494" t="s">
        <v>186</v>
      </c>
      <c r="BK601" s="401"/>
    </row>
    <row r="602" spans="1:63" ht="112.5">
      <c r="A602" s="401">
        <v>2</v>
      </c>
      <c r="B602" s="494" t="s">
        <v>6644</v>
      </c>
      <c r="C602" s="401" t="s">
        <v>83</v>
      </c>
      <c r="D602" s="401" t="s">
        <v>225</v>
      </c>
      <c r="E602" s="494" t="s">
        <v>5853</v>
      </c>
      <c r="F602" s="401" t="s">
        <v>1768</v>
      </c>
      <c r="G602" s="401" t="s">
        <v>1769</v>
      </c>
      <c r="H602" s="499">
        <v>814325</v>
      </c>
      <c r="I602" s="486" t="s">
        <v>5736</v>
      </c>
      <c r="J602" s="496" t="s">
        <v>1771</v>
      </c>
      <c r="K602" s="496" t="s">
        <v>1771</v>
      </c>
      <c r="L602" s="496" t="s">
        <v>1772</v>
      </c>
      <c r="M602" s="500" t="s">
        <v>1755</v>
      </c>
      <c r="N602" s="496" t="s">
        <v>1773</v>
      </c>
      <c r="O602" s="496" t="s">
        <v>2234</v>
      </c>
      <c r="P602" s="489">
        <v>20318.320550997076</v>
      </c>
      <c r="Q602" s="489">
        <f t="shared" si="105"/>
        <v>23975.618250176547</v>
      </c>
      <c r="R602" s="489">
        <v>17227.798564690111</v>
      </c>
      <c r="S602" s="401" t="s">
        <v>5970</v>
      </c>
      <c r="T602" s="501">
        <v>1.087</v>
      </c>
      <c r="U602" s="501">
        <v>1.0680000000000001</v>
      </c>
      <c r="V602" s="501">
        <v>1.0589999999999999</v>
      </c>
      <c r="W602" s="501">
        <v>1.0580000000000001</v>
      </c>
      <c r="X602" s="596">
        <v>0.9</v>
      </c>
      <c r="Y602" s="502">
        <v>18584.118000000002</v>
      </c>
      <c r="Z602" s="489">
        <f t="shared" si="106"/>
        <v>21929.259240000003</v>
      </c>
      <c r="AA602" s="489">
        <v>18794.446509672296</v>
      </c>
      <c r="AB602" s="488">
        <f t="shared" si="107"/>
        <v>22177.446881413307</v>
      </c>
      <c r="AC602" s="492">
        <f t="shared" si="103"/>
        <v>18584.118000000002</v>
      </c>
      <c r="AD602" s="493">
        <f t="shared" si="108"/>
        <v>21929.259240000003</v>
      </c>
      <c r="AE602" s="494" t="s">
        <v>1775</v>
      </c>
      <c r="AF602" s="494" t="s">
        <v>83</v>
      </c>
      <c r="AG602" s="494" t="s">
        <v>211</v>
      </c>
      <c r="AH602" s="494" t="s">
        <v>545</v>
      </c>
      <c r="AI602" s="495">
        <v>41713</v>
      </c>
      <c r="AJ602" s="495">
        <v>41748</v>
      </c>
      <c r="AK602" s="494" t="s">
        <v>96</v>
      </c>
      <c r="AL602" s="494" t="s">
        <v>96</v>
      </c>
      <c r="AM602" s="496" t="s">
        <v>1776</v>
      </c>
      <c r="AN602" s="496" t="s">
        <v>1757</v>
      </c>
      <c r="AO602" s="494">
        <v>796</v>
      </c>
      <c r="AP602" s="494" t="s">
        <v>368</v>
      </c>
      <c r="AQ602" s="494">
        <v>1</v>
      </c>
      <c r="AR602" s="494">
        <v>46</v>
      </c>
      <c r="AS602" s="496" t="s">
        <v>605</v>
      </c>
      <c r="AT602" s="495">
        <v>41768</v>
      </c>
      <c r="AU602" s="495">
        <v>41768</v>
      </c>
      <c r="AV602" s="495">
        <v>42004</v>
      </c>
      <c r="AW602" s="494">
        <v>2014</v>
      </c>
      <c r="AX602" s="496"/>
      <c r="AY602" s="494" t="s">
        <v>186</v>
      </c>
      <c r="AZ602" s="494"/>
      <c r="BA602" s="494">
        <v>2014</v>
      </c>
      <c r="BB602" s="494" t="s">
        <v>5737</v>
      </c>
      <c r="BC602" s="496" t="s">
        <v>5738</v>
      </c>
      <c r="BD602" s="496" t="s">
        <v>1818</v>
      </c>
      <c r="BE602" s="497">
        <v>41974</v>
      </c>
      <c r="BF602" s="498">
        <v>26307</v>
      </c>
      <c r="BG602" s="488">
        <v>26307</v>
      </c>
      <c r="BH602" s="488">
        <v>0</v>
      </c>
      <c r="BI602" s="488">
        <v>15.8</v>
      </c>
      <c r="BJ602" s="494" t="s">
        <v>186</v>
      </c>
      <c r="BK602" s="401"/>
    </row>
    <row r="603" spans="1:63" ht="112.5">
      <c r="A603" s="401">
        <v>2</v>
      </c>
      <c r="B603" s="494" t="s">
        <v>6645</v>
      </c>
      <c r="C603" s="401" t="s">
        <v>83</v>
      </c>
      <c r="D603" s="401" t="s">
        <v>225</v>
      </c>
      <c r="E603" s="494" t="s">
        <v>5853</v>
      </c>
      <c r="F603" s="401" t="s">
        <v>1768</v>
      </c>
      <c r="G603" s="401" t="s">
        <v>1769</v>
      </c>
      <c r="H603" s="499">
        <v>814326</v>
      </c>
      <c r="I603" s="486" t="s">
        <v>5739</v>
      </c>
      <c r="J603" s="496" t="s">
        <v>1771</v>
      </c>
      <c r="K603" s="496" t="s">
        <v>1771</v>
      </c>
      <c r="L603" s="496" t="s">
        <v>1772</v>
      </c>
      <c r="M603" s="500" t="s">
        <v>1755</v>
      </c>
      <c r="N603" s="496" t="s">
        <v>1773</v>
      </c>
      <c r="O603" s="496" t="s">
        <v>2234</v>
      </c>
      <c r="P603" s="489">
        <v>6687.0422066572655</v>
      </c>
      <c r="Q603" s="489">
        <f t="shared" si="105"/>
        <v>7890.7098038555732</v>
      </c>
      <c r="R603" s="489">
        <v>5669.9083883790227</v>
      </c>
      <c r="S603" s="401" t="s">
        <v>5970</v>
      </c>
      <c r="T603" s="501">
        <v>1.087</v>
      </c>
      <c r="U603" s="501">
        <v>1.0680000000000001</v>
      </c>
      <c r="V603" s="501">
        <v>1.0589999999999999</v>
      </c>
      <c r="W603" s="501">
        <v>1.0580000000000001</v>
      </c>
      <c r="X603" s="596">
        <v>0.9</v>
      </c>
      <c r="Y603" s="502">
        <v>6116.2920000000004</v>
      </c>
      <c r="Z603" s="489">
        <f t="shared" si="106"/>
        <v>7217.2245599999997</v>
      </c>
      <c r="AA603" s="489">
        <v>6185.5140411579705</v>
      </c>
      <c r="AB603" s="488">
        <f t="shared" si="107"/>
        <v>7298.9065685664045</v>
      </c>
      <c r="AC603" s="492">
        <f t="shared" si="103"/>
        <v>6116.2920000000004</v>
      </c>
      <c r="AD603" s="493">
        <f t="shared" si="108"/>
        <v>7217.2245599999997</v>
      </c>
      <c r="AE603" s="494" t="s">
        <v>1775</v>
      </c>
      <c r="AF603" s="494" t="s">
        <v>83</v>
      </c>
      <c r="AG603" s="494" t="s">
        <v>211</v>
      </c>
      <c r="AH603" s="494" t="s">
        <v>545</v>
      </c>
      <c r="AI603" s="495">
        <v>41713</v>
      </c>
      <c r="AJ603" s="495">
        <v>41748</v>
      </c>
      <c r="AK603" s="494" t="s">
        <v>96</v>
      </c>
      <c r="AL603" s="494" t="s">
        <v>96</v>
      </c>
      <c r="AM603" s="496" t="s">
        <v>1776</v>
      </c>
      <c r="AN603" s="496" t="s">
        <v>1757</v>
      </c>
      <c r="AO603" s="494">
        <v>796</v>
      </c>
      <c r="AP603" s="494" t="s">
        <v>368</v>
      </c>
      <c r="AQ603" s="494">
        <v>1</v>
      </c>
      <c r="AR603" s="494">
        <v>46</v>
      </c>
      <c r="AS603" s="496" t="s">
        <v>605</v>
      </c>
      <c r="AT603" s="495">
        <v>41768</v>
      </c>
      <c r="AU603" s="495">
        <v>41768</v>
      </c>
      <c r="AV603" s="495">
        <v>42004</v>
      </c>
      <c r="AW603" s="494">
        <v>2014</v>
      </c>
      <c r="AX603" s="496"/>
      <c r="AY603" s="494" t="s">
        <v>186</v>
      </c>
      <c r="AZ603" s="494"/>
      <c r="BA603" s="494">
        <v>2014</v>
      </c>
      <c r="BB603" s="494" t="s">
        <v>5740</v>
      </c>
      <c r="BC603" s="496" t="s">
        <v>5741</v>
      </c>
      <c r="BD603" s="496" t="s">
        <v>1818</v>
      </c>
      <c r="BE603" s="497">
        <v>41974</v>
      </c>
      <c r="BF603" s="498">
        <v>8658</v>
      </c>
      <c r="BG603" s="488">
        <v>8658</v>
      </c>
      <c r="BH603" s="488">
        <v>0</v>
      </c>
      <c r="BI603" s="488">
        <v>5.2</v>
      </c>
      <c r="BJ603" s="494" t="s">
        <v>186</v>
      </c>
      <c r="BK603" s="401"/>
    </row>
    <row r="604" spans="1:63" ht="112.5">
      <c r="A604" s="401">
        <v>2</v>
      </c>
      <c r="B604" s="494" t="s">
        <v>6646</v>
      </c>
      <c r="C604" s="401" t="s">
        <v>83</v>
      </c>
      <c r="D604" s="401" t="s">
        <v>225</v>
      </c>
      <c r="E604" s="494" t="s">
        <v>5853</v>
      </c>
      <c r="F604" s="401" t="s">
        <v>1768</v>
      </c>
      <c r="G604" s="401" t="s">
        <v>1769</v>
      </c>
      <c r="H604" s="499">
        <v>814327</v>
      </c>
      <c r="I604" s="486" t="s">
        <v>5742</v>
      </c>
      <c r="J604" s="496" t="s">
        <v>1771</v>
      </c>
      <c r="K604" s="496" t="s">
        <v>1771</v>
      </c>
      <c r="L604" s="496" t="s">
        <v>1772</v>
      </c>
      <c r="M604" s="500" t="s">
        <v>1755</v>
      </c>
      <c r="N604" s="496" t="s">
        <v>1773</v>
      </c>
      <c r="O604" s="496" t="s">
        <v>2234</v>
      </c>
      <c r="P604" s="489">
        <v>22504.468964711949</v>
      </c>
      <c r="Q604" s="489">
        <f t="shared" si="105"/>
        <v>26555.273378360096</v>
      </c>
      <c r="R604" s="489">
        <v>19081.422460890943</v>
      </c>
      <c r="S604" s="401" t="s">
        <v>5970</v>
      </c>
      <c r="T604" s="501">
        <v>1.087</v>
      </c>
      <c r="U604" s="501">
        <v>1.0680000000000001</v>
      </c>
      <c r="V604" s="501">
        <v>1.0589999999999999</v>
      </c>
      <c r="W604" s="501">
        <v>1.0580000000000001</v>
      </c>
      <c r="X604" s="596">
        <v>0.9</v>
      </c>
      <c r="Y604" s="502">
        <v>20583.674999999999</v>
      </c>
      <c r="Z604" s="489">
        <f t="shared" si="106"/>
        <v>24288.736499999999</v>
      </c>
      <c r="AA604" s="489">
        <v>20816.633792358552</v>
      </c>
      <c r="AB604" s="488">
        <f t="shared" si="107"/>
        <v>24563.627874983089</v>
      </c>
      <c r="AC604" s="492">
        <f t="shared" si="103"/>
        <v>20583.674999999999</v>
      </c>
      <c r="AD604" s="493">
        <f t="shared" si="108"/>
        <v>24288.736499999999</v>
      </c>
      <c r="AE604" s="494" t="s">
        <v>1775</v>
      </c>
      <c r="AF604" s="494" t="s">
        <v>83</v>
      </c>
      <c r="AG604" s="494" t="s">
        <v>211</v>
      </c>
      <c r="AH604" s="494" t="s">
        <v>545</v>
      </c>
      <c r="AI604" s="495">
        <v>41713</v>
      </c>
      <c r="AJ604" s="495">
        <v>41748</v>
      </c>
      <c r="AK604" s="494" t="s">
        <v>96</v>
      </c>
      <c r="AL604" s="494" t="s">
        <v>96</v>
      </c>
      <c r="AM604" s="496" t="s">
        <v>1776</v>
      </c>
      <c r="AN604" s="496" t="s">
        <v>1757</v>
      </c>
      <c r="AO604" s="494">
        <v>796</v>
      </c>
      <c r="AP604" s="494" t="s">
        <v>368</v>
      </c>
      <c r="AQ604" s="494">
        <v>1</v>
      </c>
      <c r="AR604" s="494">
        <v>46</v>
      </c>
      <c r="AS604" s="496" t="s">
        <v>605</v>
      </c>
      <c r="AT604" s="495">
        <v>41768</v>
      </c>
      <c r="AU604" s="495">
        <v>41768</v>
      </c>
      <c r="AV604" s="495">
        <v>42004</v>
      </c>
      <c r="AW604" s="494">
        <v>2014</v>
      </c>
      <c r="AX604" s="496"/>
      <c r="AY604" s="494" t="s">
        <v>186</v>
      </c>
      <c r="AZ604" s="494"/>
      <c r="BA604" s="494">
        <v>2014</v>
      </c>
      <c r="BB604" s="494" t="s">
        <v>5743</v>
      </c>
      <c r="BC604" s="496" t="s">
        <v>5744</v>
      </c>
      <c r="BD604" s="496" t="s">
        <v>1818</v>
      </c>
      <c r="BE604" s="497">
        <v>41974</v>
      </c>
      <c r="BF604" s="498">
        <v>29137.500000000004</v>
      </c>
      <c r="BG604" s="488">
        <v>29137.500000000004</v>
      </c>
      <c r="BH604" s="488">
        <v>0</v>
      </c>
      <c r="BI604" s="488">
        <v>17.5</v>
      </c>
      <c r="BJ604" s="494" t="s">
        <v>186</v>
      </c>
      <c r="BK604" s="401"/>
    </row>
    <row r="605" spans="1:63" ht="112.5">
      <c r="A605" s="401">
        <v>2</v>
      </c>
      <c r="B605" s="494" t="s">
        <v>6647</v>
      </c>
      <c r="C605" s="401" t="s">
        <v>83</v>
      </c>
      <c r="D605" s="401" t="s">
        <v>225</v>
      </c>
      <c r="E605" s="494" t="s">
        <v>5853</v>
      </c>
      <c r="F605" s="401" t="s">
        <v>1768</v>
      </c>
      <c r="G605" s="401" t="s">
        <v>1769</v>
      </c>
      <c r="H605" s="499">
        <v>814328</v>
      </c>
      <c r="I605" s="486" t="s">
        <v>5745</v>
      </c>
      <c r="J605" s="496" t="s">
        <v>1771</v>
      </c>
      <c r="K605" s="496" t="s">
        <v>1771</v>
      </c>
      <c r="L605" s="496" t="s">
        <v>1772</v>
      </c>
      <c r="M605" s="500" t="s">
        <v>1755</v>
      </c>
      <c r="N605" s="496" t="s">
        <v>1773</v>
      </c>
      <c r="O605" s="496" t="s">
        <v>2234</v>
      </c>
      <c r="P605" s="489">
        <v>30091.689929957694</v>
      </c>
      <c r="Q605" s="489">
        <f t="shared" si="105"/>
        <v>35508.194117350075</v>
      </c>
      <c r="R605" s="489">
        <v>25514.587747705602</v>
      </c>
      <c r="S605" s="401" t="s">
        <v>5970</v>
      </c>
      <c r="T605" s="501">
        <v>1.087</v>
      </c>
      <c r="U605" s="501">
        <v>1.0680000000000001</v>
      </c>
      <c r="V605" s="501">
        <v>1.0589999999999999</v>
      </c>
      <c r="W605" s="501">
        <v>1.0580000000000001</v>
      </c>
      <c r="X605" s="596">
        <v>0.9</v>
      </c>
      <c r="Y605" s="502">
        <v>27523.313999999998</v>
      </c>
      <c r="Z605" s="489">
        <f t="shared" si="106"/>
        <v>32477.510519999996</v>
      </c>
      <c r="AA605" s="489">
        <v>27834.813185210867</v>
      </c>
      <c r="AB605" s="488">
        <f t="shared" si="107"/>
        <v>32845.079558548823</v>
      </c>
      <c r="AC605" s="492">
        <f t="shared" si="103"/>
        <v>27523.313999999998</v>
      </c>
      <c r="AD605" s="493">
        <f t="shared" si="108"/>
        <v>32477.510519999996</v>
      </c>
      <c r="AE605" s="494" t="s">
        <v>1775</v>
      </c>
      <c r="AF605" s="494" t="s">
        <v>83</v>
      </c>
      <c r="AG605" s="494" t="s">
        <v>211</v>
      </c>
      <c r="AH605" s="494" t="s">
        <v>545</v>
      </c>
      <c r="AI605" s="495">
        <v>41713</v>
      </c>
      <c r="AJ605" s="495">
        <v>41748</v>
      </c>
      <c r="AK605" s="494" t="s">
        <v>96</v>
      </c>
      <c r="AL605" s="494" t="s">
        <v>96</v>
      </c>
      <c r="AM605" s="496" t="s">
        <v>1776</v>
      </c>
      <c r="AN605" s="496" t="s">
        <v>1757</v>
      </c>
      <c r="AO605" s="494">
        <v>796</v>
      </c>
      <c r="AP605" s="494" t="s">
        <v>368</v>
      </c>
      <c r="AQ605" s="494">
        <v>1</v>
      </c>
      <c r="AR605" s="494">
        <v>46</v>
      </c>
      <c r="AS605" s="496" t="s">
        <v>605</v>
      </c>
      <c r="AT605" s="495">
        <v>41768</v>
      </c>
      <c r="AU605" s="495">
        <v>41768</v>
      </c>
      <c r="AV605" s="495">
        <v>42004</v>
      </c>
      <c r="AW605" s="494">
        <v>2014</v>
      </c>
      <c r="AX605" s="496"/>
      <c r="AY605" s="494" t="s">
        <v>186</v>
      </c>
      <c r="AZ605" s="494"/>
      <c r="BA605" s="494">
        <v>2014</v>
      </c>
      <c r="BB605" s="494" t="s">
        <v>5746</v>
      </c>
      <c r="BC605" s="496" t="s">
        <v>5747</v>
      </c>
      <c r="BD605" s="496" t="s">
        <v>1818</v>
      </c>
      <c r="BE605" s="497">
        <v>41974</v>
      </c>
      <c r="BF605" s="498">
        <v>38961</v>
      </c>
      <c r="BG605" s="488">
        <v>38961</v>
      </c>
      <c r="BH605" s="488">
        <v>0</v>
      </c>
      <c r="BI605" s="488">
        <v>23.4</v>
      </c>
      <c r="BJ605" s="494" t="s">
        <v>186</v>
      </c>
      <c r="BK605" s="401"/>
    </row>
    <row r="606" spans="1:63" ht="112.5">
      <c r="A606" s="401">
        <v>2</v>
      </c>
      <c r="B606" s="494" t="s">
        <v>6648</v>
      </c>
      <c r="C606" s="401" t="s">
        <v>83</v>
      </c>
      <c r="D606" s="401" t="s">
        <v>225</v>
      </c>
      <c r="E606" s="494" t="s">
        <v>5853</v>
      </c>
      <c r="F606" s="401" t="s">
        <v>1768</v>
      </c>
      <c r="G606" s="401" t="s">
        <v>1769</v>
      </c>
      <c r="H606" s="499">
        <v>814329</v>
      </c>
      <c r="I606" s="486" t="s">
        <v>5748</v>
      </c>
      <c r="J606" s="496" t="s">
        <v>1771</v>
      </c>
      <c r="K606" s="496" t="s">
        <v>1771</v>
      </c>
      <c r="L606" s="496" t="s">
        <v>1772</v>
      </c>
      <c r="M606" s="500" t="s">
        <v>1755</v>
      </c>
      <c r="N606" s="496" t="s">
        <v>1773</v>
      </c>
      <c r="O606" s="496" t="s">
        <v>2234</v>
      </c>
      <c r="P606" s="489">
        <v>6301.2513101193472</v>
      </c>
      <c r="Q606" s="489">
        <f t="shared" si="105"/>
        <v>7435.4765459408291</v>
      </c>
      <c r="R606" s="489">
        <v>5342.798289049465</v>
      </c>
      <c r="S606" s="401" t="s">
        <v>5970</v>
      </c>
      <c r="T606" s="501">
        <v>1.087</v>
      </c>
      <c r="U606" s="501">
        <v>1.0680000000000001</v>
      </c>
      <c r="V606" s="501">
        <v>1.0589999999999999</v>
      </c>
      <c r="W606" s="501">
        <v>1.0580000000000001</v>
      </c>
      <c r="X606" s="596">
        <v>0.9</v>
      </c>
      <c r="Y606" s="502">
        <v>5763.429000000001</v>
      </c>
      <c r="Z606" s="489">
        <f t="shared" si="106"/>
        <v>6800.8462200000013</v>
      </c>
      <c r="AA606" s="489">
        <v>5828.6574618603963</v>
      </c>
      <c r="AB606" s="488">
        <f t="shared" si="107"/>
        <v>6877.8158049952672</v>
      </c>
      <c r="AC606" s="492">
        <f t="shared" si="103"/>
        <v>5763.429000000001</v>
      </c>
      <c r="AD606" s="493">
        <f t="shared" si="108"/>
        <v>6800.8462200000013</v>
      </c>
      <c r="AE606" s="494" t="s">
        <v>1775</v>
      </c>
      <c r="AF606" s="494" t="s">
        <v>83</v>
      </c>
      <c r="AG606" s="494" t="s">
        <v>211</v>
      </c>
      <c r="AH606" s="494" t="s">
        <v>545</v>
      </c>
      <c r="AI606" s="495">
        <v>41713</v>
      </c>
      <c r="AJ606" s="495">
        <v>41748</v>
      </c>
      <c r="AK606" s="494" t="s">
        <v>96</v>
      </c>
      <c r="AL606" s="494" t="s">
        <v>96</v>
      </c>
      <c r="AM606" s="496" t="s">
        <v>1776</v>
      </c>
      <c r="AN606" s="496" t="s">
        <v>1757</v>
      </c>
      <c r="AO606" s="494">
        <v>796</v>
      </c>
      <c r="AP606" s="494" t="s">
        <v>368</v>
      </c>
      <c r="AQ606" s="494">
        <v>1</v>
      </c>
      <c r="AR606" s="494">
        <v>46</v>
      </c>
      <c r="AS606" s="496" t="s">
        <v>605</v>
      </c>
      <c r="AT606" s="495">
        <v>41768</v>
      </c>
      <c r="AU606" s="495">
        <v>41768</v>
      </c>
      <c r="AV606" s="495">
        <v>42004</v>
      </c>
      <c r="AW606" s="494">
        <v>2014</v>
      </c>
      <c r="AX606" s="496"/>
      <c r="AY606" s="494" t="s">
        <v>186</v>
      </c>
      <c r="AZ606" s="494"/>
      <c r="BA606" s="494">
        <v>2014</v>
      </c>
      <c r="BB606" s="494" t="s">
        <v>5749</v>
      </c>
      <c r="BC606" s="496" t="s">
        <v>5750</v>
      </c>
      <c r="BD606" s="496" t="s">
        <v>1818</v>
      </c>
      <c r="BE606" s="497">
        <v>41974</v>
      </c>
      <c r="BF606" s="498">
        <v>8158.5</v>
      </c>
      <c r="BG606" s="488">
        <v>8158.5</v>
      </c>
      <c r="BH606" s="488">
        <v>0</v>
      </c>
      <c r="BI606" s="488">
        <v>4.9000000000000004</v>
      </c>
      <c r="BJ606" s="494" t="s">
        <v>186</v>
      </c>
      <c r="BK606" s="401"/>
    </row>
    <row r="607" spans="1:63" ht="112.5">
      <c r="A607" s="401">
        <v>2</v>
      </c>
      <c r="B607" s="494" t="s">
        <v>6649</v>
      </c>
      <c r="C607" s="401" t="s">
        <v>83</v>
      </c>
      <c r="D607" s="401" t="s">
        <v>225</v>
      </c>
      <c r="E607" s="494" t="s">
        <v>5853</v>
      </c>
      <c r="F607" s="401" t="s">
        <v>1768</v>
      </c>
      <c r="G607" s="401" t="s">
        <v>1769</v>
      </c>
      <c r="H607" s="499">
        <v>814330</v>
      </c>
      <c r="I607" s="486" t="s">
        <v>5751</v>
      </c>
      <c r="J607" s="496" t="s">
        <v>1771</v>
      </c>
      <c r="K607" s="496" t="s">
        <v>1771</v>
      </c>
      <c r="L607" s="496" t="s">
        <v>1772</v>
      </c>
      <c r="M607" s="500" t="s">
        <v>1755</v>
      </c>
      <c r="N607" s="496" t="s">
        <v>1773</v>
      </c>
      <c r="O607" s="496" t="s">
        <v>2234</v>
      </c>
      <c r="P607" s="489">
        <v>2571.9393102527947</v>
      </c>
      <c r="Q607" s="489">
        <f t="shared" si="105"/>
        <v>3034.8883860982978</v>
      </c>
      <c r="R607" s="489">
        <v>2180.7339955303937</v>
      </c>
      <c r="S607" s="401" t="s">
        <v>5970</v>
      </c>
      <c r="T607" s="501">
        <v>1.087</v>
      </c>
      <c r="U607" s="501">
        <v>1.0680000000000001</v>
      </c>
      <c r="V607" s="501">
        <v>1.0589999999999999</v>
      </c>
      <c r="W607" s="501">
        <v>1.0580000000000001</v>
      </c>
      <c r="X607" s="596">
        <v>0.9</v>
      </c>
      <c r="Y607" s="502">
        <v>2352.42</v>
      </c>
      <c r="Z607" s="489">
        <f t="shared" si="106"/>
        <v>2775.8555999999999</v>
      </c>
      <c r="AA607" s="489">
        <v>2379.0438619838351</v>
      </c>
      <c r="AB607" s="488">
        <f t="shared" si="107"/>
        <v>2807.2717571409253</v>
      </c>
      <c r="AC607" s="492">
        <f t="shared" si="103"/>
        <v>2352.42</v>
      </c>
      <c r="AD607" s="493">
        <f t="shared" si="108"/>
        <v>2775.8555999999999</v>
      </c>
      <c r="AE607" s="494" t="s">
        <v>1775</v>
      </c>
      <c r="AF607" s="494" t="s">
        <v>83</v>
      </c>
      <c r="AG607" s="494" t="s">
        <v>211</v>
      </c>
      <c r="AH607" s="494" t="s">
        <v>545</v>
      </c>
      <c r="AI607" s="495">
        <v>41713</v>
      </c>
      <c r="AJ607" s="495">
        <v>41748</v>
      </c>
      <c r="AK607" s="494" t="s">
        <v>96</v>
      </c>
      <c r="AL607" s="494" t="s">
        <v>96</v>
      </c>
      <c r="AM607" s="496" t="s">
        <v>1776</v>
      </c>
      <c r="AN607" s="496" t="s">
        <v>1757</v>
      </c>
      <c r="AO607" s="494">
        <v>796</v>
      </c>
      <c r="AP607" s="494" t="s">
        <v>368</v>
      </c>
      <c r="AQ607" s="494">
        <v>1</v>
      </c>
      <c r="AR607" s="494">
        <v>46</v>
      </c>
      <c r="AS607" s="496" t="s">
        <v>605</v>
      </c>
      <c r="AT607" s="495">
        <v>41768</v>
      </c>
      <c r="AU607" s="495">
        <v>41768</v>
      </c>
      <c r="AV607" s="495">
        <v>42004</v>
      </c>
      <c r="AW607" s="494">
        <v>2014</v>
      </c>
      <c r="AX607" s="496"/>
      <c r="AY607" s="494" t="s">
        <v>186</v>
      </c>
      <c r="AZ607" s="494"/>
      <c r="BA607" s="494">
        <v>2014</v>
      </c>
      <c r="BB607" s="494" t="s">
        <v>5752</v>
      </c>
      <c r="BC607" s="496" t="s">
        <v>5753</v>
      </c>
      <c r="BD607" s="496" t="s">
        <v>1818</v>
      </c>
      <c r="BE607" s="497">
        <v>41974</v>
      </c>
      <c r="BF607" s="498">
        <v>3329.9999999999995</v>
      </c>
      <c r="BG607" s="488">
        <v>3329.9999999999995</v>
      </c>
      <c r="BH607" s="488">
        <v>0</v>
      </c>
      <c r="BI607" s="488">
        <v>2</v>
      </c>
      <c r="BJ607" s="494" t="s">
        <v>186</v>
      </c>
      <c r="BK607" s="401"/>
    </row>
    <row r="608" spans="1:63" ht="112.5">
      <c r="A608" s="401">
        <v>2</v>
      </c>
      <c r="B608" s="494" t="s">
        <v>7463</v>
      </c>
      <c r="C608" s="401" t="s">
        <v>83</v>
      </c>
      <c r="D608" s="401" t="s">
        <v>225</v>
      </c>
      <c r="E608" s="494" t="s">
        <v>5853</v>
      </c>
      <c r="F608" s="401" t="s">
        <v>1768</v>
      </c>
      <c r="G608" s="401" t="s">
        <v>1769</v>
      </c>
      <c r="H608" s="499">
        <v>814331</v>
      </c>
      <c r="I608" s="486" t="s">
        <v>5754</v>
      </c>
      <c r="J608" s="496" t="s">
        <v>1771</v>
      </c>
      <c r="K608" s="496" t="s">
        <v>1771</v>
      </c>
      <c r="L608" s="496" t="s">
        <v>1772</v>
      </c>
      <c r="M608" s="500" t="s">
        <v>1755</v>
      </c>
      <c r="N608" s="496" t="s">
        <v>1773</v>
      </c>
      <c r="O608" s="496" t="s">
        <v>2234</v>
      </c>
      <c r="P608" s="489">
        <v>642.98482756319868</v>
      </c>
      <c r="Q608" s="489">
        <f t="shared" si="105"/>
        <v>758.72209652457445</v>
      </c>
      <c r="R608" s="489">
        <v>545.18349888259843</v>
      </c>
      <c r="S608" s="401" t="s">
        <v>5970</v>
      </c>
      <c r="T608" s="501">
        <v>1.087</v>
      </c>
      <c r="U608" s="501">
        <v>1.0680000000000001</v>
      </c>
      <c r="V608" s="501">
        <v>1.0589999999999999</v>
      </c>
      <c r="W608" s="501">
        <v>1.0580000000000001</v>
      </c>
      <c r="X608" s="596">
        <v>0.9</v>
      </c>
      <c r="Y608" s="502">
        <v>588.10500000000002</v>
      </c>
      <c r="Z608" s="489">
        <f t="shared" si="106"/>
        <v>693.96389999999997</v>
      </c>
      <c r="AA608" s="489">
        <v>594.76096549595877</v>
      </c>
      <c r="AB608" s="488">
        <f t="shared" si="107"/>
        <v>701.81793928523132</v>
      </c>
      <c r="AC608" s="492">
        <f t="shared" si="103"/>
        <v>588.10500000000002</v>
      </c>
      <c r="AD608" s="493">
        <f t="shared" si="108"/>
        <v>693.96389999999997</v>
      </c>
      <c r="AE608" s="494" t="s">
        <v>1775</v>
      </c>
      <c r="AF608" s="494" t="s">
        <v>83</v>
      </c>
      <c r="AG608" s="494" t="s">
        <v>211</v>
      </c>
      <c r="AH608" s="494" t="s">
        <v>545</v>
      </c>
      <c r="AI608" s="495">
        <v>41713</v>
      </c>
      <c r="AJ608" s="495">
        <v>41748</v>
      </c>
      <c r="AK608" s="494" t="s">
        <v>96</v>
      </c>
      <c r="AL608" s="494" t="s">
        <v>96</v>
      </c>
      <c r="AM608" s="496" t="s">
        <v>1776</v>
      </c>
      <c r="AN608" s="496" t="s">
        <v>1757</v>
      </c>
      <c r="AO608" s="494">
        <v>796</v>
      </c>
      <c r="AP608" s="494" t="s">
        <v>368</v>
      </c>
      <c r="AQ608" s="494">
        <v>1</v>
      </c>
      <c r="AR608" s="494">
        <v>46</v>
      </c>
      <c r="AS608" s="496" t="s">
        <v>605</v>
      </c>
      <c r="AT608" s="495">
        <v>41768</v>
      </c>
      <c r="AU608" s="495">
        <v>41768</v>
      </c>
      <c r="AV608" s="495">
        <v>42004</v>
      </c>
      <c r="AW608" s="494">
        <v>2014</v>
      </c>
      <c r="AX608" s="496"/>
      <c r="AY608" s="494" t="s">
        <v>186</v>
      </c>
      <c r="AZ608" s="494"/>
      <c r="BA608" s="494">
        <v>2014</v>
      </c>
      <c r="BB608" s="494" t="s">
        <v>5755</v>
      </c>
      <c r="BC608" s="496" t="s">
        <v>5756</v>
      </c>
      <c r="BD608" s="496" t="s">
        <v>1818</v>
      </c>
      <c r="BE608" s="497">
        <v>41974</v>
      </c>
      <c r="BF608" s="498">
        <v>782.54999999999984</v>
      </c>
      <c r="BG608" s="488">
        <v>782.54999999999984</v>
      </c>
      <c r="BH608" s="488">
        <v>0</v>
      </c>
      <c r="BI608" s="488">
        <v>0.5</v>
      </c>
      <c r="BJ608" s="494" t="s">
        <v>186</v>
      </c>
      <c r="BK608" s="401"/>
    </row>
    <row r="609" spans="1:63" ht="112.5">
      <c r="A609" s="401">
        <v>2</v>
      </c>
      <c r="B609" s="494" t="s">
        <v>2431</v>
      </c>
      <c r="C609" s="401" t="s">
        <v>83</v>
      </c>
      <c r="D609" s="401" t="s">
        <v>225</v>
      </c>
      <c r="E609" s="494" t="s">
        <v>5853</v>
      </c>
      <c r="F609" s="401" t="s">
        <v>1768</v>
      </c>
      <c r="G609" s="401" t="s">
        <v>1769</v>
      </c>
      <c r="H609" s="499" t="s">
        <v>5757</v>
      </c>
      <c r="I609" s="486" t="s">
        <v>2432</v>
      </c>
      <c r="J609" s="496" t="s">
        <v>1771</v>
      </c>
      <c r="K609" s="496" t="s">
        <v>1771</v>
      </c>
      <c r="L609" s="496" t="s">
        <v>1772</v>
      </c>
      <c r="M609" s="500" t="s">
        <v>1755</v>
      </c>
      <c r="N609" s="496" t="s">
        <v>1773</v>
      </c>
      <c r="O609" s="496" t="s">
        <v>2234</v>
      </c>
      <c r="P609" s="489">
        <v>6301.2513101193472</v>
      </c>
      <c r="Q609" s="489">
        <f t="shared" si="105"/>
        <v>7435.4765459408291</v>
      </c>
      <c r="R609" s="489">
        <v>5342.798289049465</v>
      </c>
      <c r="S609" s="401" t="s">
        <v>5970</v>
      </c>
      <c r="T609" s="501">
        <v>1.087</v>
      </c>
      <c r="U609" s="501">
        <v>1.0680000000000001</v>
      </c>
      <c r="V609" s="501">
        <v>1.0589999999999999</v>
      </c>
      <c r="W609" s="501">
        <v>1.0580000000000001</v>
      </c>
      <c r="X609" s="596">
        <v>0.9</v>
      </c>
      <c r="Y609" s="502">
        <v>5763.429000000001</v>
      </c>
      <c r="Z609" s="489">
        <f t="shared" si="106"/>
        <v>6800.8462200000013</v>
      </c>
      <c r="AA609" s="489">
        <v>5828.6574618603963</v>
      </c>
      <c r="AB609" s="488">
        <f t="shared" si="107"/>
        <v>6877.8158049952672</v>
      </c>
      <c r="AC609" s="492">
        <f t="shared" si="103"/>
        <v>5763.429000000001</v>
      </c>
      <c r="AD609" s="493">
        <f t="shared" si="108"/>
        <v>6800.8462200000013</v>
      </c>
      <c r="AE609" s="494" t="s">
        <v>1775</v>
      </c>
      <c r="AF609" s="494" t="s">
        <v>83</v>
      </c>
      <c r="AG609" s="494" t="s">
        <v>211</v>
      </c>
      <c r="AH609" s="494" t="s">
        <v>545</v>
      </c>
      <c r="AI609" s="495">
        <v>41713</v>
      </c>
      <c r="AJ609" s="495">
        <v>41748</v>
      </c>
      <c r="AK609" s="494" t="s">
        <v>96</v>
      </c>
      <c r="AL609" s="494" t="s">
        <v>96</v>
      </c>
      <c r="AM609" s="496" t="s">
        <v>1776</v>
      </c>
      <c r="AN609" s="496" t="s">
        <v>1757</v>
      </c>
      <c r="AO609" s="494">
        <v>796</v>
      </c>
      <c r="AP609" s="494" t="s">
        <v>368</v>
      </c>
      <c r="AQ609" s="494">
        <v>1</v>
      </c>
      <c r="AR609" s="494">
        <v>46</v>
      </c>
      <c r="AS609" s="496" t="s">
        <v>605</v>
      </c>
      <c r="AT609" s="495">
        <v>41768</v>
      </c>
      <c r="AU609" s="495">
        <v>41768</v>
      </c>
      <c r="AV609" s="495">
        <v>42004</v>
      </c>
      <c r="AW609" s="494">
        <v>2014</v>
      </c>
      <c r="AX609" s="496"/>
      <c r="AY609" s="494" t="s">
        <v>186</v>
      </c>
      <c r="AZ609" s="494"/>
      <c r="BA609" s="494">
        <v>2014</v>
      </c>
      <c r="BB609" s="494" t="s">
        <v>2433</v>
      </c>
      <c r="BC609" s="496" t="s">
        <v>2434</v>
      </c>
      <c r="BD609" s="496" t="s">
        <v>1818</v>
      </c>
      <c r="BE609" s="497">
        <v>41974</v>
      </c>
      <c r="BF609" s="498">
        <v>8158.5</v>
      </c>
      <c r="BG609" s="488">
        <v>8158.5</v>
      </c>
      <c r="BH609" s="488">
        <v>0</v>
      </c>
      <c r="BI609" s="488">
        <v>4.9000000000000004</v>
      </c>
      <c r="BJ609" s="494" t="s">
        <v>186</v>
      </c>
      <c r="BK609" s="401"/>
    </row>
    <row r="610" spans="1:63" ht="112.5">
      <c r="A610" s="401">
        <v>2</v>
      </c>
      <c r="B610" s="494" t="s">
        <v>2435</v>
      </c>
      <c r="C610" s="401" t="s">
        <v>83</v>
      </c>
      <c r="D610" s="401" t="s">
        <v>225</v>
      </c>
      <c r="E610" s="494" t="s">
        <v>5853</v>
      </c>
      <c r="F610" s="401" t="s">
        <v>1768</v>
      </c>
      <c r="G610" s="401" t="s">
        <v>1769</v>
      </c>
      <c r="H610" s="499" t="s">
        <v>5758</v>
      </c>
      <c r="I610" s="486" t="s">
        <v>2436</v>
      </c>
      <c r="J610" s="496" t="s">
        <v>1771</v>
      </c>
      <c r="K610" s="496" t="s">
        <v>1771</v>
      </c>
      <c r="L610" s="496" t="s">
        <v>1772</v>
      </c>
      <c r="M610" s="500" t="s">
        <v>1755</v>
      </c>
      <c r="N610" s="496" t="s">
        <v>1773</v>
      </c>
      <c r="O610" s="496" t="s">
        <v>2234</v>
      </c>
      <c r="P610" s="489">
        <v>6429.8482756319854</v>
      </c>
      <c r="Q610" s="489">
        <f t="shared" si="105"/>
        <v>7587.2209652457423</v>
      </c>
      <c r="R610" s="489">
        <v>5451.8349888259836</v>
      </c>
      <c r="S610" s="401" t="s">
        <v>5970</v>
      </c>
      <c r="T610" s="501">
        <v>1.087</v>
      </c>
      <c r="U610" s="501">
        <v>1.0680000000000001</v>
      </c>
      <c r="V610" s="501">
        <v>1.0589999999999999</v>
      </c>
      <c r="W610" s="501">
        <v>1.0580000000000001</v>
      </c>
      <c r="X610" s="596">
        <v>0.9</v>
      </c>
      <c r="Y610" s="502">
        <v>5881.05</v>
      </c>
      <c r="Z610" s="489">
        <f t="shared" si="106"/>
        <v>6939.6390000000001</v>
      </c>
      <c r="AA610" s="489">
        <v>5947.6096549595868</v>
      </c>
      <c r="AB610" s="488">
        <f t="shared" si="107"/>
        <v>7018.179392852312</v>
      </c>
      <c r="AC610" s="492">
        <f t="shared" si="103"/>
        <v>5881.05</v>
      </c>
      <c r="AD610" s="493">
        <f t="shared" si="108"/>
        <v>6939.6390000000001</v>
      </c>
      <c r="AE610" s="494" t="s">
        <v>1775</v>
      </c>
      <c r="AF610" s="494" t="s">
        <v>83</v>
      </c>
      <c r="AG610" s="494" t="s">
        <v>211</v>
      </c>
      <c r="AH610" s="494" t="s">
        <v>545</v>
      </c>
      <c r="AI610" s="495">
        <v>41713</v>
      </c>
      <c r="AJ610" s="495">
        <v>41748</v>
      </c>
      <c r="AK610" s="494" t="s">
        <v>96</v>
      </c>
      <c r="AL610" s="494" t="s">
        <v>96</v>
      </c>
      <c r="AM610" s="496" t="s">
        <v>1776</v>
      </c>
      <c r="AN610" s="496" t="s">
        <v>1757</v>
      </c>
      <c r="AO610" s="494">
        <v>796</v>
      </c>
      <c r="AP610" s="494" t="s">
        <v>368</v>
      </c>
      <c r="AQ610" s="494">
        <v>1</v>
      </c>
      <c r="AR610" s="494">
        <v>46</v>
      </c>
      <c r="AS610" s="496" t="s">
        <v>605</v>
      </c>
      <c r="AT610" s="495">
        <v>41768</v>
      </c>
      <c r="AU610" s="495">
        <v>41768</v>
      </c>
      <c r="AV610" s="495">
        <v>42004</v>
      </c>
      <c r="AW610" s="494">
        <v>2014</v>
      </c>
      <c r="AX610" s="496"/>
      <c r="AY610" s="494" t="s">
        <v>186</v>
      </c>
      <c r="AZ610" s="494"/>
      <c r="BA610" s="494">
        <v>2014</v>
      </c>
      <c r="BB610" s="494" t="s">
        <v>2437</v>
      </c>
      <c r="BC610" s="496" t="s">
        <v>2438</v>
      </c>
      <c r="BD610" s="496" t="s">
        <v>1818</v>
      </c>
      <c r="BE610" s="497">
        <v>41974</v>
      </c>
      <c r="BF610" s="498">
        <v>20219.997380000001</v>
      </c>
      <c r="BG610" s="488">
        <v>20219.997380000001</v>
      </c>
      <c r="BH610" s="488">
        <v>0</v>
      </c>
      <c r="BI610" s="488">
        <v>5</v>
      </c>
      <c r="BJ610" s="494" t="s">
        <v>186</v>
      </c>
      <c r="BK610" s="401"/>
    </row>
    <row r="611" spans="1:63" ht="112.5">
      <c r="A611" s="401">
        <v>2</v>
      </c>
      <c r="B611" s="494" t="s">
        <v>2439</v>
      </c>
      <c r="C611" s="401" t="s">
        <v>83</v>
      </c>
      <c r="D611" s="401" t="s">
        <v>225</v>
      </c>
      <c r="E611" s="494" t="s">
        <v>5853</v>
      </c>
      <c r="F611" s="401" t="s">
        <v>1768</v>
      </c>
      <c r="G611" s="401" t="s">
        <v>1769</v>
      </c>
      <c r="H611" s="499" t="s">
        <v>5759</v>
      </c>
      <c r="I611" s="486" t="s">
        <v>2440</v>
      </c>
      <c r="J611" s="496" t="s">
        <v>1771</v>
      </c>
      <c r="K611" s="496" t="s">
        <v>1771</v>
      </c>
      <c r="L611" s="496" t="s">
        <v>1772</v>
      </c>
      <c r="M611" s="500" t="s">
        <v>1755</v>
      </c>
      <c r="N611" s="496" t="s">
        <v>1773</v>
      </c>
      <c r="O611" s="496" t="s">
        <v>2234</v>
      </c>
      <c r="P611" s="489">
        <v>14415.719833966916</v>
      </c>
      <c r="Q611" s="489">
        <f t="shared" si="105"/>
        <v>17010.549404080961</v>
      </c>
      <c r="R611" s="489">
        <v>12223.014044947857</v>
      </c>
      <c r="S611" s="401" t="s">
        <v>5970</v>
      </c>
      <c r="T611" s="501">
        <v>1.087</v>
      </c>
      <c r="U611" s="501">
        <v>1.0680000000000001</v>
      </c>
      <c r="V611" s="501">
        <v>1.0589999999999999</v>
      </c>
      <c r="W611" s="501">
        <v>1.0580000000000001</v>
      </c>
      <c r="X611" s="596">
        <v>0.9</v>
      </c>
      <c r="Y611" s="502">
        <v>13185.314100000001</v>
      </c>
      <c r="Z611" s="489">
        <f t="shared" si="106"/>
        <v>15558.670638000001</v>
      </c>
      <c r="AA611" s="489">
        <v>13334.540846419397</v>
      </c>
      <c r="AB611" s="488">
        <f t="shared" si="107"/>
        <v>15734.758198774887</v>
      </c>
      <c r="AC611" s="492">
        <f t="shared" si="103"/>
        <v>13185.314100000001</v>
      </c>
      <c r="AD611" s="493">
        <f t="shared" si="108"/>
        <v>15558.670638000001</v>
      </c>
      <c r="AE611" s="494" t="s">
        <v>1775</v>
      </c>
      <c r="AF611" s="494" t="s">
        <v>83</v>
      </c>
      <c r="AG611" s="494" t="s">
        <v>211</v>
      </c>
      <c r="AH611" s="494" t="s">
        <v>545</v>
      </c>
      <c r="AI611" s="495">
        <v>41713</v>
      </c>
      <c r="AJ611" s="495">
        <v>41748</v>
      </c>
      <c r="AK611" s="494" t="s">
        <v>96</v>
      </c>
      <c r="AL611" s="494" t="s">
        <v>96</v>
      </c>
      <c r="AM611" s="496" t="s">
        <v>1776</v>
      </c>
      <c r="AN611" s="496" t="s">
        <v>1757</v>
      </c>
      <c r="AO611" s="494">
        <v>796</v>
      </c>
      <c r="AP611" s="494" t="s">
        <v>368</v>
      </c>
      <c r="AQ611" s="494">
        <v>1</v>
      </c>
      <c r="AR611" s="494">
        <v>46</v>
      </c>
      <c r="AS611" s="496" t="s">
        <v>605</v>
      </c>
      <c r="AT611" s="495">
        <v>41768</v>
      </c>
      <c r="AU611" s="495">
        <v>41768</v>
      </c>
      <c r="AV611" s="495">
        <v>42004</v>
      </c>
      <c r="AW611" s="494">
        <v>2014</v>
      </c>
      <c r="AX611" s="496"/>
      <c r="AY611" s="494" t="s">
        <v>186</v>
      </c>
      <c r="AZ611" s="494"/>
      <c r="BA611" s="494">
        <v>2014</v>
      </c>
      <c r="BB611" s="494" t="s">
        <v>2441</v>
      </c>
      <c r="BC611" s="496" t="s">
        <v>2442</v>
      </c>
      <c r="BD611" s="496" t="s">
        <v>1818</v>
      </c>
      <c r="BE611" s="497">
        <v>41974</v>
      </c>
      <c r="BF611" s="498">
        <v>16164.900000000003</v>
      </c>
      <c r="BG611" s="488">
        <v>16164.900000000003</v>
      </c>
      <c r="BH611" s="488">
        <v>0</v>
      </c>
      <c r="BI611" s="488">
        <v>11.21</v>
      </c>
      <c r="BJ611" s="494" t="s">
        <v>186</v>
      </c>
      <c r="BK611" s="401"/>
    </row>
    <row r="612" spans="1:63" ht="112.5">
      <c r="A612" s="401">
        <v>2</v>
      </c>
      <c r="B612" s="494" t="s">
        <v>2443</v>
      </c>
      <c r="C612" s="401" t="s">
        <v>83</v>
      </c>
      <c r="D612" s="401" t="s">
        <v>225</v>
      </c>
      <c r="E612" s="494" t="s">
        <v>5853</v>
      </c>
      <c r="F612" s="401" t="s">
        <v>1768</v>
      </c>
      <c r="G612" s="401" t="s">
        <v>1769</v>
      </c>
      <c r="H612" s="499" t="s">
        <v>5760</v>
      </c>
      <c r="I612" s="486" t="s">
        <v>2444</v>
      </c>
      <c r="J612" s="496" t="s">
        <v>1771</v>
      </c>
      <c r="K612" s="496" t="s">
        <v>1771</v>
      </c>
      <c r="L612" s="496" t="s">
        <v>1772</v>
      </c>
      <c r="M612" s="500" t="s">
        <v>1755</v>
      </c>
      <c r="N612" s="496" t="s">
        <v>1773</v>
      </c>
      <c r="O612" s="496" t="s">
        <v>2234</v>
      </c>
      <c r="P612" s="489">
        <v>1928.9544826895958</v>
      </c>
      <c r="Q612" s="489">
        <f t="shared" si="105"/>
        <v>2276.1662895737231</v>
      </c>
      <c r="R612" s="489">
        <v>1635.5504966477952</v>
      </c>
      <c r="S612" s="401" t="s">
        <v>5970</v>
      </c>
      <c r="T612" s="501">
        <v>1.087</v>
      </c>
      <c r="U612" s="501">
        <v>1.0680000000000001</v>
      </c>
      <c r="V612" s="501">
        <v>1.0589999999999999</v>
      </c>
      <c r="W612" s="501">
        <v>1.0580000000000001</v>
      </c>
      <c r="X612" s="596">
        <v>0.9</v>
      </c>
      <c r="Y612" s="502">
        <v>1764.3150000000001</v>
      </c>
      <c r="Z612" s="489">
        <f t="shared" si="106"/>
        <v>2081.8917000000001</v>
      </c>
      <c r="AA612" s="489">
        <v>1784.2828964878763</v>
      </c>
      <c r="AB612" s="488">
        <f t="shared" si="107"/>
        <v>2105.4538178556941</v>
      </c>
      <c r="AC612" s="492">
        <f t="shared" ref="AC612:AC675" si="109">IF(Y612&lt;AA612,Y612,AA612)</f>
        <v>1764.3150000000001</v>
      </c>
      <c r="AD612" s="493">
        <f t="shared" si="108"/>
        <v>2081.8917000000001</v>
      </c>
      <c r="AE612" s="494" t="s">
        <v>1775</v>
      </c>
      <c r="AF612" s="494" t="s">
        <v>83</v>
      </c>
      <c r="AG612" s="494" t="s">
        <v>211</v>
      </c>
      <c r="AH612" s="494" t="s">
        <v>545</v>
      </c>
      <c r="AI612" s="495">
        <v>41713</v>
      </c>
      <c r="AJ612" s="495">
        <v>41748</v>
      </c>
      <c r="AK612" s="494" t="s">
        <v>96</v>
      </c>
      <c r="AL612" s="494" t="s">
        <v>96</v>
      </c>
      <c r="AM612" s="496" t="s">
        <v>1776</v>
      </c>
      <c r="AN612" s="496" t="s">
        <v>1757</v>
      </c>
      <c r="AO612" s="494">
        <v>796</v>
      </c>
      <c r="AP612" s="494" t="s">
        <v>368</v>
      </c>
      <c r="AQ612" s="494">
        <v>1</v>
      </c>
      <c r="AR612" s="494">
        <v>46</v>
      </c>
      <c r="AS612" s="496" t="s">
        <v>605</v>
      </c>
      <c r="AT612" s="495">
        <v>41768</v>
      </c>
      <c r="AU612" s="495">
        <v>41768</v>
      </c>
      <c r="AV612" s="495">
        <v>42004</v>
      </c>
      <c r="AW612" s="494">
        <v>2014</v>
      </c>
      <c r="AX612" s="496"/>
      <c r="AY612" s="494" t="s">
        <v>186</v>
      </c>
      <c r="AZ612" s="494"/>
      <c r="BA612" s="494">
        <v>2014</v>
      </c>
      <c r="BB612" s="494" t="s">
        <v>2445</v>
      </c>
      <c r="BC612" s="496" t="s">
        <v>2446</v>
      </c>
      <c r="BD612" s="496" t="s">
        <v>1818</v>
      </c>
      <c r="BE612" s="497">
        <v>41974</v>
      </c>
      <c r="BF612" s="498">
        <v>2497.4999999999995</v>
      </c>
      <c r="BG612" s="488">
        <v>2497.4999999999995</v>
      </c>
      <c r="BH612" s="488">
        <v>0</v>
      </c>
      <c r="BI612" s="488">
        <v>1.5</v>
      </c>
      <c r="BJ612" s="494" t="s">
        <v>186</v>
      </c>
      <c r="BK612" s="401"/>
    </row>
    <row r="613" spans="1:63" ht="112.5">
      <c r="A613" s="401">
        <v>2</v>
      </c>
      <c r="B613" s="494" t="s">
        <v>2447</v>
      </c>
      <c r="C613" s="401" t="s">
        <v>83</v>
      </c>
      <c r="D613" s="401" t="s">
        <v>225</v>
      </c>
      <c r="E613" s="494" t="s">
        <v>5853</v>
      </c>
      <c r="F613" s="401" t="s">
        <v>1768</v>
      </c>
      <c r="G613" s="401" t="s">
        <v>1769</v>
      </c>
      <c r="H613" s="499" t="s">
        <v>5761</v>
      </c>
      <c r="I613" s="486" t="s">
        <v>2448</v>
      </c>
      <c r="J613" s="496" t="s">
        <v>1771</v>
      </c>
      <c r="K613" s="496" t="s">
        <v>1771</v>
      </c>
      <c r="L613" s="496" t="s">
        <v>1772</v>
      </c>
      <c r="M613" s="500" t="s">
        <v>1755</v>
      </c>
      <c r="N613" s="496" t="s">
        <v>1773</v>
      </c>
      <c r="O613" s="496" t="s">
        <v>2234</v>
      </c>
      <c r="P613" s="489">
        <v>771.58179307583828</v>
      </c>
      <c r="Q613" s="489">
        <f t="shared" si="105"/>
        <v>910.46651582948914</v>
      </c>
      <c r="R613" s="489">
        <v>654.22019865911795</v>
      </c>
      <c r="S613" s="401" t="s">
        <v>5970</v>
      </c>
      <c r="T613" s="501">
        <v>1.087</v>
      </c>
      <c r="U613" s="501">
        <v>1.0680000000000001</v>
      </c>
      <c r="V613" s="501">
        <v>1.0589999999999999</v>
      </c>
      <c r="W613" s="501">
        <v>1.0580000000000001</v>
      </c>
      <c r="X613" s="596">
        <v>0.9</v>
      </c>
      <c r="Y613" s="502">
        <v>705.726</v>
      </c>
      <c r="Z613" s="489">
        <f t="shared" si="106"/>
        <v>832.75667999999996</v>
      </c>
      <c r="AA613" s="489">
        <v>713.71315859515039</v>
      </c>
      <c r="AB613" s="488">
        <f t="shared" si="107"/>
        <v>842.18152714227745</v>
      </c>
      <c r="AC613" s="492">
        <f t="shared" si="109"/>
        <v>705.726</v>
      </c>
      <c r="AD613" s="493">
        <f t="shared" si="108"/>
        <v>832.75667999999996</v>
      </c>
      <c r="AE613" s="494" t="s">
        <v>1775</v>
      </c>
      <c r="AF613" s="494" t="s">
        <v>83</v>
      </c>
      <c r="AG613" s="494" t="s">
        <v>211</v>
      </c>
      <c r="AH613" s="494" t="s">
        <v>545</v>
      </c>
      <c r="AI613" s="495">
        <v>41713</v>
      </c>
      <c r="AJ613" s="495">
        <v>41748</v>
      </c>
      <c r="AK613" s="494" t="s">
        <v>96</v>
      </c>
      <c r="AL613" s="494" t="s">
        <v>96</v>
      </c>
      <c r="AM613" s="496" t="s">
        <v>1776</v>
      </c>
      <c r="AN613" s="496" t="s">
        <v>1757</v>
      </c>
      <c r="AO613" s="494">
        <v>796</v>
      </c>
      <c r="AP613" s="494" t="s">
        <v>368</v>
      </c>
      <c r="AQ613" s="494">
        <v>1</v>
      </c>
      <c r="AR613" s="494">
        <v>46</v>
      </c>
      <c r="AS613" s="496" t="s">
        <v>605</v>
      </c>
      <c r="AT613" s="495">
        <v>41768</v>
      </c>
      <c r="AU613" s="495">
        <v>41768</v>
      </c>
      <c r="AV613" s="495">
        <v>42004</v>
      </c>
      <c r="AW613" s="494">
        <v>2014</v>
      </c>
      <c r="AX613" s="496"/>
      <c r="AY613" s="494" t="s">
        <v>186</v>
      </c>
      <c r="AZ613" s="494"/>
      <c r="BA613" s="494">
        <v>2014</v>
      </c>
      <c r="BB613" s="494" t="s">
        <v>2449</v>
      </c>
      <c r="BC613" s="496" t="s">
        <v>2450</v>
      </c>
      <c r="BD613" s="496" t="s">
        <v>1818</v>
      </c>
      <c r="BE613" s="497">
        <v>41974</v>
      </c>
      <c r="BF613" s="498">
        <v>999.00000000000011</v>
      </c>
      <c r="BG613" s="488">
        <v>999.00000000000011</v>
      </c>
      <c r="BH613" s="488">
        <v>0</v>
      </c>
      <c r="BI613" s="488">
        <v>0.6</v>
      </c>
      <c r="BJ613" s="494" t="s">
        <v>186</v>
      </c>
      <c r="BK613" s="401"/>
    </row>
    <row r="614" spans="1:63" ht="112.5">
      <c r="A614" s="401">
        <v>2</v>
      </c>
      <c r="B614" s="494" t="s">
        <v>2451</v>
      </c>
      <c r="C614" s="401" t="s">
        <v>83</v>
      </c>
      <c r="D614" s="401" t="s">
        <v>225</v>
      </c>
      <c r="E614" s="494" t="s">
        <v>5853</v>
      </c>
      <c r="F614" s="401" t="s">
        <v>1768</v>
      </c>
      <c r="G614" s="401" t="s">
        <v>1769</v>
      </c>
      <c r="H614" s="499" t="s">
        <v>5762</v>
      </c>
      <c r="I614" s="486" t="s">
        <v>2452</v>
      </c>
      <c r="J614" s="496" t="s">
        <v>1771</v>
      </c>
      <c r="K614" s="496" t="s">
        <v>1771</v>
      </c>
      <c r="L614" s="496" t="s">
        <v>1772</v>
      </c>
      <c r="M614" s="500" t="s">
        <v>1755</v>
      </c>
      <c r="N614" s="496" t="s">
        <v>1773</v>
      </c>
      <c r="O614" s="496" t="s">
        <v>2234</v>
      </c>
      <c r="P614" s="489">
        <v>7625.8000548995351</v>
      </c>
      <c r="Q614" s="489">
        <f t="shared" si="105"/>
        <v>8998.4440647814517</v>
      </c>
      <c r="R614" s="489">
        <v>6465.8762967476159</v>
      </c>
      <c r="S614" s="401" t="s">
        <v>5970</v>
      </c>
      <c r="T614" s="501">
        <v>1.087</v>
      </c>
      <c r="U614" s="501">
        <v>1.0680000000000001</v>
      </c>
      <c r="V614" s="501">
        <v>1.0589999999999999</v>
      </c>
      <c r="W614" s="501">
        <v>1.0580000000000001</v>
      </c>
      <c r="X614" s="596">
        <v>0.9</v>
      </c>
      <c r="Y614" s="502">
        <v>6974.9252999999999</v>
      </c>
      <c r="Z614" s="489">
        <f t="shared" si="106"/>
        <v>8230.4118539999999</v>
      </c>
      <c r="AA614" s="489">
        <v>7053.8650507820703</v>
      </c>
      <c r="AB614" s="488">
        <f t="shared" si="107"/>
        <v>8323.5607599228424</v>
      </c>
      <c r="AC614" s="492">
        <f t="shared" si="109"/>
        <v>6974.9252999999999</v>
      </c>
      <c r="AD614" s="493">
        <f t="shared" si="108"/>
        <v>8230.4118539999999</v>
      </c>
      <c r="AE614" s="494" t="s">
        <v>1775</v>
      </c>
      <c r="AF614" s="494" t="s">
        <v>83</v>
      </c>
      <c r="AG614" s="494" t="s">
        <v>211</v>
      </c>
      <c r="AH614" s="494" t="s">
        <v>545</v>
      </c>
      <c r="AI614" s="495">
        <v>41713</v>
      </c>
      <c r="AJ614" s="495">
        <v>41748</v>
      </c>
      <c r="AK614" s="494" t="s">
        <v>96</v>
      </c>
      <c r="AL614" s="494" t="s">
        <v>96</v>
      </c>
      <c r="AM614" s="496" t="s">
        <v>1776</v>
      </c>
      <c r="AN614" s="496" t="s">
        <v>1757</v>
      </c>
      <c r="AO614" s="494">
        <v>796</v>
      </c>
      <c r="AP614" s="494" t="s">
        <v>368</v>
      </c>
      <c r="AQ614" s="494">
        <v>1</v>
      </c>
      <c r="AR614" s="494">
        <v>46</v>
      </c>
      <c r="AS614" s="496" t="s">
        <v>605</v>
      </c>
      <c r="AT614" s="495">
        <v>41768</v>
      </c>
      <c r="AU614" s="495">
        <v>41768</v>
      </c>
      <c r="AV614" s="495">
        <v>42004</v>
      </c>
      <c r="AW614" s="494">
        <v>2014</v>
      </c>
      <c r="AX614" s="496"/>
      <c r="AY614" s="494" t="s">
        <v>186</v>
      </c>
      <c r="AZ614" s="494"/>
      <c r="BA614" s="494">
        <v>2014</v>
      </c>
      <c r="BB614" s="494" t="s">
        <v>2453</v>
      </c>
      <c r="BC614" s="496" t="s">
        <v>2454</v>
      </c>
      <c r="BD614" s="496" t="s">
        <v>1818</v>
      </c>
      <c r="BE614" s="497">
        <v>41974</v>
      </c>
      <c r="BF614" s="498">
        <v>9873.4500000000025</v>
      </c>
      <c r="BG614" s="488">
        <v>9873.4500000000025</v>
      </c>
      <c r="BH614" s="488">
        <v>0</v>
      </c>
      <c r="BI614" s="488">
        <v>5.93</v>
      </c>
      <c r="BJ614" s="494" t="s">
        <v>186</v>
      </c>
      <c r="BK614" s="401"/>
    </row>
    <row r="615" spans="1:63" ht="112.5">
      <c r="A615" s="401">
        <v>2</v>
      </c>
      <c r="B615" s="494" t="s">
        <v>2455</v>
      </c>
      <c r="C615" s="401" t="s">
        <v>83</v>
      </c>
      <c r="D615" s="401" t="s">
        <v>225</v>
      </c>
      <c r="E615" s="494" t="s">
        <v>5853</v>
      </c>
      <c r="F615" s="401" t="s">
        <v>1768</v>
      </c>
      <c r="G615" s="401" t="s">
        <v>1769</v>
      </c>
      <c r="H615" s="499" t="s">
        <v>5763</v>
      </c>
      <c r="I615" s="486" t="s">
        <v>2456</v>
      </c>
      <c r="J615" s="496" t="s">
        <v>1771</v>
      </c>
      <c r="K615" s="496" t="s">
        <v>1771</v>
      </c>
      <c r="L615" s="496" t="s">
        <v>1772</v>
      </c>
      <c r="M615" s="500" t="s">
        <v>1755</v>
      </c>
      <c r="N615" s="496" t="s">
        <v>1773</v>
      </c>
      <c r="O615" s="496" t="s">
        <v>2234</v>
      </c>
      <c r="P615" s="489">
        <v>1928.9544826895958</v>
      </c>
      <c r="Q615" s="489">
        <f t="shared" si="105"/>
        <v>2276.1662895737231</v>
      </c>
      <c r="R615" s="489">
        <v>1635.5504966477952</v>
      </c>
      <c r="S615" s="401" t="s">
        <v>5970</v>
      </c>
      <c r="T615" s="501">
        <v>1.087</v>
      </c>
      <c r="U615" s="501">
        <v>1.0680000000000001</v>
      </c>
      <c r="V615" s="501">
        <v>1.0589999999999999</v>
      </c>
      <c r="W615" s="501">
        <v>1.0580000000000001</v>
      </c>
      <c r="X615" s="596">
        <v>0.9</v>
      </c>
      <c r="Y615" s="502">
        <v>1764.3150000000001</v>
      </c>
      <c r="Z615" s="489">
        <f t="shared" si="106"/>
        <v>2081.8917000000001</v>
      </c>
      <c r="AA615" s="489">
        <v>1784.2828964878763</v>
      </c>
      <c r="AB615" s="488">
        <f t="shared" si="107"/>
        <v>2105.4538178556941</v>
      </c>
      <c r="AC615" s="492">
        <f t="shared" si="109"/>
        <v>1764.3150000000001</v>
      </c>
      <c r="AD615" s="493">
        <f t="shared" si="108"/>
        <v>2081.8917000000001</v>
      </c>
      <c r="AE615" s="494" t="s">
        <v>1775</v>
      </c>
      <c r="AF615" s="494" t="s">
        <v>83</v>
      </c>
      <c r="AG615" s="494" t="s">
        <v>211</v>
      </c>
      <c r="AH615" s="494" t="s">
        <v>545</v>
      </c>
      <c r="AI615" s="495">
        <v>41713</v>
      </c>
      <c r="AJ615" s="495">
        <v>41748</v>
      </c>
      <c r="AK615" s="494" t="s">
        <v>96</v>
      </c>
      <c r="AL615" s="494" t="s">
        <v>96</v>
      </c>
      <c r="AM615" s="496" t="s">
        <v>1776</v>
      </c>
      <c r="AN615" s="496" t="s">
        <v>1757</v>
      </c>
      <c r="AO615" s="494">
        <v>796</v>
      </c>
      <c r="AP615" s="494" t="s">
        <v>368</v>
      </c>
      <c r="AQ615" s="494">
        <v>1</v>
      </c>
      <c r="AR615" s="494">
        <v>46</v>
      </c>
      <c r="AS615" s="496" t="s">
        <v>605</v>
      </c>
      <c r="AT615" s="495">
        <v>41768</v>
      </c>
      <c r="AU615" s="495">
        <v>41768</v>
      </c>
      <c r="AV615" s="495">
        <v>42004</v>
      </c>
      <c r="AW615" s="494">
        <v>2014</v>
      </c>
      <c r="AX615" s="496"/>
      <c r="AY615" s="494" t="s">
        <v>186</v>
      </c>
      <c r="AZ615" s="494"/>
      <c r="BA615" s="494">
        <v>2014</v>
      </c>
      <c r="BB615" s="494" t="s">
        <v>2457</v>
      </c>
      <c r="BC615" s="496" t="s">
        <v>2458</v>
      </c>
      <c r="BD615" s="496" t="s">
        <v>1818</v>
      </c>
      <c r="BE615" s="497">
        <v>41974</v>
      </c>
      <c r="BF615" s="498">
        <v>2497.4999999999995</v>
      </c>
      <c r="BG615" s="488">
        <v>2497.4999999999995</v>
      </c>
      <c r="BH615" s="488">
        <v>0</v>
      </c>
      <c r="BI615" s="488">
        <v>1.5</v>
      </c>
      <c r="BJ615" s="494" t="s">
        <v>186</v>
      </c>
      <c r="BK615" s="401"/>
    </row>
    <row r="616" spans="1:63" ht="112.5">
      <c r="A616" s="401">
        <v>2</v>
      </c>
      <c r="B616" s="494" t="s">
        <v>2459</v>
      </c>
      <c r="C616" s="401" t="s">
        <v>83</v>
      </c>
      <c r="D616" s="401" t="s">
        <v>225</v>
      </c>
      <c r="E616" s="494" t="s">
        <v>5853</v>
      </c>
      <c r="F616" s="401" t="s">
        <v>1768</v>
      </c>
      <c r="G616" s="401" t="s">
        <v>1769</v>
      </c>
      <c r="H616" s="499" t="s">
        <v>5764</v>
      </c>
      <c r="I616" s="486" t="s">
        <v>2460</v>
      </c>
      <c r="J616" s="496" t="s">
        <v>1771</v>
      </c>
      <c r="K616" s="496" t="s">
        <v>1771</v>
      </c>
      <c r="L616" s="496" t="s">
        <v>1772</v>
      </c>
      <c r="M616" s="500" t="s">
        <v>1755</v>
      </c>
      <c r="N616" s="496" t="s">
        <v>1773</v>
      </c>
      <c r="O616" s="496" t="s">
        <v>2234</v>
      </c>
      <c r="P616" s="489">
        <v>6687.0422066572655</v>
      </c>
      <c r="Q616" s="489">
        <f t="shared" si="105"/>
        <v>7890.7098038555732</v>
      </c>
      <c r="R616" s="489">
        <v>5669.9083883790227</v>
      </c>
      <c r="S616" s="401" t="s">
        <v>5970</v>
      </c>
      <c r="T616" s="501">
        <v>1.087</v>
      </c>
      <c r="U616" s="501">
        <v>1.0680000000000001</v>
      </c>
      <c r="V616" s="501">
        <v>1.0589999999999999</v>
      </c>
      <c r="W616" s="501">
        <v>1.0580000000000001</v>
      </c>
      <c r="X616" s="596">
        <v>0.9</v>
      </c>
      <c r="Y616" s="502">
        <v>6116.2920000000004</v>
      </c>
      <c r="Z616" s="489">
        <f t="shared" si="106"/>
        <v>7217.2245599999997</v>
      </c>
      <c r="AA616" s="489">
        <v>6185.5140411579705</v>
      </c>
      <c r="AB616" s="488">
        <f t="shared" si="107"/>
        <v>7298.9065685664045</v>
      </c>
      <c r="AC616" s="492">
        <f t="shared" si="109"/>
        <v>6116.2920000000004</v>
      </c>
      <c r="AD616" s="493">
        <f t="shared" si="108"/>
        <v>7217.2245599999997</v>
      </c>
      <c r="AE616" s="494" t="s">
        <v>1775</v>
      </c>
      <c r="AF616" s="494" t="s">
        <v>83</v>
      </c>
      <c r="AG616" s="494" t="s">
        <v>211</v>
      </c>
      <c r="AH616" s="494" t="s">
        <v>545</v>
      </c>
      <c r="AI616" s="495">
        <v>41713</v>
      </c>
      <c r="AJ616" s="495">
        <v>41748</v>
      </c>
      <c r="AK616" s="494" t="s">
        <v>96</v>
      </c>
      <c r="AL616" s="494" t="s">
        <v>96</v>
      </c>
      <c r="AM616" s="496" t="s">
        <v>1776</v>
      </c>
      <c r="AN616" s="496" t="s">
        <v>1757</v>
      </c>
      <c r="AO616" s="494">
        <v>796</v>
      </c>
      <c r="AP616" s="494" t="s">
        <v>368</v>
      </c>
      <c r="AQ616" s="494">
        <v>1</v>
      </c>
      <c r="AR616" s="494">
        <v>46</v>
      </c>
      <c r="AS616" s="496" t="s">
        <v>605</v>
      </c>
      <c r="AT616" s="495">
        <v>41768</v>
      </c>
      <c r="AU616" s="495">
        <v>41768</v>
      </c>
      <c r="AV616" s="495">
        <v>42004</v>
      </c>
      <c r="AW616" s="494">
        <v>2014</v>
      </c>
      <c r="AX616" s="496"/>
      <c r="AY616" s="494" t="s">
        <v>186</v>
      </c>
      <c r="AZ616" s="494"/>
      <c r="BA616" s="494">
        <v>2014</v>
      </c>
      <c r="BB616" s="494" t="s">
        <v>2461</v>
      </c>
      <c r="BC616" s="496" t="s">
        <v>2462</v>
      </c>
      <c r="BD616" s="496" t="s">
        <v>1818</v>
      </c>
      <c r="BE616" s="497">
        <v>41974</v>
      </c>
      <c r="BF616" s="498">
        <v>8658</v>
      </c>
      <c r="BG616" s="488">
        <v>8658</v>
      </c>
      <c r="BH616" s="488">
        <v>0</v>
      </c>
      <c r="BI616" s="488">
        <v>5.2</v>
      </c>
      <c r="BJ616" s="494" t="s">
        <v>186</v>
      </c>
      <c r="BK616" s="401"/>
    </row>
    <row r="617" spans="1:63" ht="112.5">
      <c r="A617" s="401">
        <v>2</v>
      </c>
      <c r="B617" s="494" t="s">
        <v>2463</v>
      </c>
      <c r="C617" s="401" t="s">
        <v>83</v>
      </c>
      <c r="D617" s="401" t="s">
        <v>225</v>
      </c>
      <c r="E617" s="494" t="s">
        <v>5853</v>
      </c>
      <c r="F617" s="401" t="s">
        <v>1768</v>
      </c>
      <c r="G617" s="401" t="s">
        <v>1769</v>
      </c>
      <c r="H617" s="499" t="s">
        <v>5765</v>
      </c>
      <c r="I617" s="486" t="s">
        <v>2464</v>
      </c>
      <c r="J617" s="496" t="s">
        <v>1771</v>
      </c>
      <c r="K617" s="496" t="s">
        <v>1771</v>
      </c>
      <c r="L617" s="496" t="s">
        <v>1772</v>
      </c>
      <c r="M617" s="500" t="s">
        <v>1755</v>
      </c>
      <c r="N617" s="496" t="s">
        <v>1773</v>
      </c>
      <c r="O617" s="496" t="s">
        <v>2234</v>
      </c>
      <c r="P617" s="489">
        <v>4243.69986191711</v>
      </c>
      <c r="Q617" s="489">
        <f t="shared" si="105"/>
        <v>5007.5658370621895</v>
      </c>
      <c r="R617" s="489">
        <v>3598.2110926251489</v>
      </c>
      <c r="S617" s="401" t="s">
        <v>5970</v>
      </c>
      <c r="T617" s="501">
        <v>1.087</v>
      </c>
      <c r="U617" s="501">
        <v>1.0680000000000001</v>
      </c>
      <c r="V617" s="501">
        <v>1.0589999999999999</v>
      </c>
      <c r="W617" s="501">
        <v>1.0580000000000001</v>
      </c>
      <c r="X617" s="596">
        <v>0.9</v>
      </c>
      <c r="Y617" s="502">
        <v>3881.4929999999999</v>
      </c>
      <c r="Z617" s="489">
        <f t="shared" si="106"/>
        <v>4580.1617399999996</v>
      </c>
      <c r="AA617" s="489">
        <v>3925.4223722733268</v>
      </c>
      <c r="AB617" s="488">
        <f t="shared" si="107"/>
        <v>4631.9983992825255</v>
      </c>
      <c r="AC617" s="492">
        <f t="shared" si="109"/>
        <v>3881.4929999999999</v>
      </c>
      <c r="AD617" s="493">
        <f t="shared" si="108"/>
        <v>4580.1617399999996</v>
      </c>
      <c r="AE617" s="494" t="s">
        <v>1775</v>
      </c>
      <c r="AF617" s="494" t="s">
        <v>83</v>
      </c>
      <c r="AG617" s="494" t="s">
        <v>211</v>
      </c>
      <c r="AH617" s="494" t="s">
        <v>545</v>
      </c>
      <c r="AI617" s="495">
        <v>41713</v>
      </c>
      <c r="AJ617" s="495">
        <v>41748</v>
      </c>
      <c r="AK617" s="494" t="s">
        <v>96</v>
      </c>
      <c r="AL617" s="494" t="s">
        <v>96</v>
      </c>
      <c r="AM617" s="496" t="s">
        <v>1776</v>
      </c>
      <c r="AN617" s="496" t="s">
        <v>1757</v>
      </c>
      <c r="AO617" s="494">
        <v>796</v>
      </c>
      <c r="AP617" s="494" t="s">
        <v>368</v>
      </c>
      <c r="AQ617" s="494">
        <v>1</v>
      </c>
      <c r="AR617" s="494">
        <v>46</v>
      </c>
      <c r="AS617" s="496" t="s">
        <v>605</v>
      </c>
      <c r="AT617" s="495">
        <v>41768</v>
      </c>
      <c r="AU617" s="495">
        <v>41768</v>
      </c>
      <c r="AV617" s="495">
        <v>42004</v>
      </c>
      <c r="AW617" s="494">
        <v>2014</v>
      </c>
      <c r="AX617" s="496"/>
      <c r="AY617" s="494" t="s">
        <v>186</v>
      </c>
      <c r="AZ617" s="494"/>
      <c r="BA617" s="494">
        <v>2014</v>
      </c>
      <c r="BB617" s="494" t="s">
        <v>2465</v>
      </c>
      <c r="BC617" s="496" t="s">
        <v>2466</v>
      </c>
      <c r="BD617" s="496" t="s">
        <v>1818</v>
      </c>
      <c r="BE617" s="497">
        <v>41974</v>
      </c>
      <c r="BF617" s="498">
        <v>5494.4999999999982</v>
      </c>
      <c r="BG617" s="488">
        <v>5494.4999999999982</v>
      </c>
      <c r="BH617" s="488">
        <v>0</v>
      </c>
      <c r="BI617" s="488">
        <v>3.3</v>
      </c>
      <c r="BJ617" s="494" t="s">
        <v>186</v>
      </c>
      <c r="BK617" s="401"/>
    </row>
    <row r="618" spans="1:63" ht="112.5">
      <c r="A618" s="401">
        <v>2</v>
      </c>
      <c r="B618" s="494" t="s">
        <v>2467</v>
      </c>
      <c r="C618" s="401" t="s">
        <v>83</v>
      </c>
      <c r="D618" s="401" t="s">
        <v>225</v>
      </c>
      <c r="E618" s="494" t="s">
        <v>5853</v>
      </c>
      <c r="F618" s="401" t="s">
        <v>1768</v>
      </c>
      <c r="G618" s="401" t="s">
        <v>1769</v>
      </c>
      <c r="H618" s="499" t="s">
        <v>5766</v>
      </c>
      <c r="I618" s="486" t="s">
        <v>2468</v>
      </c>
      <c r="J618" s="496" t="s">
        <v>1771</v>
      </c>
      <c r="K618" s="496" t="s">
        <v>1771</v>
      </c>
      <c r="L618" s="496" t="s">
        <v>1772</v>
      </c>
      <c r="M618" s="500" t="s">
        <v>1755</v>
      </c>
      <c r="N618" s="496" t="s">
        <v>1773</v>
      </c>
      <c r="O618" s="496" t="s">
        <v>2234</v>
      </c>
      <c r="P618" s="489">
        <v>2314.7453792275151</v>
      </c>
      <c r="Q618" s="489">
        <f t="shared" si="105"/>
        <v>2731.3995474884678</v>
      </c>
      <c r="R618" s="489">
        <v>1962.6605959773542</v>
      </c>
      <c r="S618" s="401" t="s">
        <v>5970</v>
      </c>
      <c r="T618" s="501">
        <v>1.087</v>
      </c>
      <c r="U618" s="501">
        <v>1.0680000000000001</v>
      </c>
      <c r="V618" s="501">
        <v>1.0589999999999999</v>
      </c>
      <c r="W618" s="501">
        <v>1.0580000000000001</v>
      </c>
      <c r="X618" s="596">
        <v>0.9</v>
      </c>
      <c r="Y618" s="502">
        <v>2117.1780000000003</v>
      </c>
      <c r="Z618" s="489">
        <f t="shared" si="106"/>
        <v>2498.2700400000003</v>
      </c>
      <c r="AA618" s="489">
        <v>2141.1394757854514</v>
      </c>
      <c r="AB618" s="488">
        <f t="shared" si="107"/>
        <v>2526.5445814268323</v>
      </c>
      <c r="AC618" s="492">
        <f t="shared" si="109"/>
        <v>2117.1780000000003</v>
      </c>
      <c r="AD618" s="493">
        <f t="shared" si="108"/>
        <v>2498.2700400000003</v>
      </c>
      <c r="AE618" s="494" t="s">
        <v>1775</v>
      </c>
      <c r="AF618" s="494" t="s">
        <v>83</v>
      </c>
      <c r="AG618" s="494" t="s">
        <v>211</v>
      </c>
      <c r="AH618" s="494" t="s">
        <v>545</v>
      </c>
      <c r="AI618" s="495">
        <v>41713</v>
      </c>
      <c r="AJ618" s="495">
        <v>41748</v>
      </c>
      <c r="AK618" s="494" t="s">
        <v>96</v>
      </c>
      <c r="AL618" s="494" t="s">
        <v>96</v>
      </c>
      <c r="AM618" s="496" t="s">
        <v>1776</v>
      </c>
      <c r="AN618" s="496" t="s">
        <v>1757</v>
      </c>
      <c r="AO618" s="494">
        <v>796</v>
      </c>
      <c r="AP618" s="494" t="s">
        <v>368</v>
      </c>
      <c r="AQ618" s="494">
        <v>1</v>
      </c>
      <c r="AR618" s="494">
        <v>46</v>
      </c>
      <c r="AS618" s="496" t="s">
        <v>605</v>
      </c>
      <c r="AT618" s="495">
        <v>41768</v>
      </c>
      <c r="AU618" s="495">
        <v>41768</v>
      </c>
      <c r="AV618" s="495">
        <v>42004</v>
      </c>
      <c r="AW618" s="494">
        <v>2014</v>
      </c>
      <c r="AX618" s="496"/>
      <c r="AY618" s="494" t="s">
        <v>186</v>
      </c>
      <c r="AZ618" s="494"/>
      <c r="BA618" s="494">
        <v>2014</v>
      </c>
      <c r="BB618" s="494" t="s">
        <v>2469</v>
      </c>
      <c r="BC618" s="496" t="s">
        <v>2470</v>
      </c>
      <c r="BD618" s="496" t="s">
        <v>1818</v>
      </c>
      <c r="BE618" s="497">
        <v>41974</v>
      </c>
      <c r="BF618" s="498">
        <v>2997</v>
      </c>
      <c r="BG618" s="488">
        <v>2997</v>
      </c>
      <c r="BH618" s="488">
        <v>0</v>
      </c>
      <c r="BI618" s="488">
        <v>1.8</v>
      </c>
      <c r="BJ618" s="494" t="s">
        <v>186</v>
      </c>
      <c r="BK618" s="401"/>
    </row>
    <row r="619" spans="1:63" ht="112.5">
      <c r="A619" s="401">
        <v>2</v>
      </c>
      <c r="B619" s="494" t="s">
        <v>2471</v>
      </c>
      <c r="C619" s="401" t="s">
        <v>83</v>
      </c>
      <c r="D619" s="401" t="s">
        <v>225</v>
      </c>
      <c r="E619" s="494" t="s">
        <v>5853</v>
      </c>
      <c r="F619" s="401" t="s">
        <v>1768</v>
      </c>
      <c r="G619" s="401" t="s">
        <v>1769</v>
      </c>
      <c r="H619" s="499" t="s">
        <v>5767</v>
      </c>
      <c r="I619" s="486" t="s">
        <v>2472</v>
      </c>
      <c r="J619" s="496" t="s">
        <v>1771</v>
      </c>
      <c r="K619" s="496" t="s">
        <v>1771</v>
      </c>
      <c r="L619" s="496" t="s">
        <v>1772</v>
      </c>
      <c r="M619" s="500" t="s">
        <v>1755</v>
      </c>
      <c r="N619" s="496" t="s">
        <v>1773</v>
      </c>
      <c r="O619" s="496" t="s">
        <v>2234</v>
      </c>
      <c r="P619" s="489">
        <v>3086.3271723033531</v>
      </c>
      <c r="Q619" s="489">
        <f t="shared" si="105"/>
        <v>3641.8660633179566</v>
      </c>
      <c r="R619" s="489">
        <v>2616.8807946364718</v>
      </c>
      <c r="S619" s="401" t="s">
        <v>5970</v>
      </c>
      <c r="T619" s="501">
        <v>1.087</v>
      </c>
      <c r="U619" s="501">
        <v>1.0680000000000001</v>
      </c>
      <c r="V619" s="501">
        <v>1.0589999999999999</v>
      </c>
      <c r="W619" s="501">
        <v>1.0580000000000001</v>
      </c>
      <c r="X619" s="596">
        <v>0.9</v>
      </c>
      <c r="Y619" s="502">
        <v>2822.904</v>
      </c>
      <c r="Z619" s="489">
        <f t="shared" si="106"/>
        <v>3331.0267199999998</v>
      </c>
      <c r="AA619" s="489">
        <v>2854.8526343806016</v>
      </c>
      <c r="AB619" s="488">
        <f t="shared" si="107"/>
        <v>3368.7261085691098</v>
      </c>
      <c r="AC619" s="492">
        <f t="shared" si="109"/>
        <v>2822.904</v>
      </c>
      <c r="AD619" s="493">
        <f t="shared" si="108"/>
        <v>3331.0267199999998</v>
      </c>
      <c r="AE619" s="494" t="s">
        <v>1775</v>
      </c>
      <c r="AF619" s="494" t="s">
        <v>83</v>
      </c>
      <c r="AG619" s="494" t="s">
        <v>211</v>
      </c>
      <c r="AH619" s="494" t="s">
        <v>545</v>
      </c>
      <c r="AI619" s="495">
        <v>41713</v>
      </c>
      <c r="AJ619" s="495">
        <v>41748</v>
      </c>
      <c r="AK619" s="494" t="s">
        <v>96</v>
      </c>
      <c r="AL619" s="494" t="s">
        <v>96</v>
      </c>
      <c r="AM619" s="496" t="s">
        <v>1776</v>
      </c>
      <c r="AN619" s="496" t="s">
        <v>1757</v>
      </c>
      <c r="AO619" s="494">
        <v>796</v>
      </c>
      <c r="AP619" s="494" t="s">
        <v>368</v>
      </c>
      <c r="AQ619" s="494">
        <v>1</v>
      </c>
      <c r="AR619" s="494">
        <v>46</v>
      </c>
      <c r="AS619" s="496" t="s">
        <v>605</v>
      </c>
      <c r="AT619" s="495">
        <v>41768</v>
      </c>
      <c r="AU619" s="495">
        <v>41768</v>
      </c>
      <c r="AV619" s="495">
        <v>42004</v>
      </c>
      <c r="AW619" s="494">
        <v>2014</v>
      </c>
      <c r="AX619" s="496"/>
      <c r="AY619" s="494" t="s">
        <v>186</v>
      </c>
      <c r="AZ619" s="494"/>
      <c r="BA619" s="494">
        <v>2014</v>
      </c>
      <c r="BB619" s="494" t="s">
        <v>2473</v>
      </c>
      <c r="BC619" s="496" t="s">
        <v>2474</v>
      </c>
      <c r="BD619" s="496" t="s">
        <v>1818</v>
      </c>
      <c r="BE619" s="497">
        <v>41974</v>
      </c>
      <c r="BF619" s="498">
        <v>3996.0000000000005</v>
      </c>
      <c r="BG619" s="488">
        <v>3996.0000000000005</v>
      </c>
      <c r="BH619" s="488">
        <v>0</v>
      </c>
      <c r="BI619" s="488">
        <v>2.4</v>
      </c>
      <c r="BJ619" s="494" t="s">
        <v>186</v>
      </c>
      <c r="BK619" s="401"/>
    </row>
    <row r="620" spans="1:63" ht="112.5">
      <c r="A620" s="401">
        <v>2</v>
      </c>
      <c r="B620" s="494" t="s">
        <v>2475</v>
      </c>
      <c r="C620" s="401" t="s">
        <v>83</v>
      </c>
      <c r="D620" s="401" t="s">
        <v>225</v>
      </c>
      <c r="E620" s="494" t="s">
        <v>5853</v>
      </c>
      <c r="F620" s="401" t="s">
        <v>1768</v>
      </c>
      <c r="G620" s="401" t="s">
        <v>1769</v>
      </c>
      <c r="H620" s="499" t="s">
        <v>5768</v>
      </c>
      <c r="I620" s="486" t="s">
        <v>2476</v>
      </c>
      <c r="J620" s="496" t="s">
        <v>1771</v>
      </c>
      <c r="K620" s="496" t="s">
        <v>1771</v>
      </c>
      <c r="L620" s="496" t="s">
        <v>1772</v>
      </c>
      <c r="M620" s="500" t="s">
        <v>1755</v>
      </c>
      <c r="N620" s="496" t="s">
        <v>1773</v>
      </c>
      <c r="O620" s="496" t="s">
        <v>2234</v>
      </c>
      <c r="P620" s="489">
        <v>1543.1635861516766</v>
      </c>
      <c r="Q620" s="489">
        <f t="shared" si="105"/>
        <v>1820.9330316589783</v>
      </c>
      <c r="R620" s="489">
        <v>1308.4403973182359</v>
      </c>
      <c r="S620" s="401" t="s">
        <v>5970</v>
      </c>
      <c r="T620" s="501">
        <v>1.087</v>
      </c>
      <c r="U620" s="501">
        <v>1.0680000000000001</v>
      </c>
      <c r="V620" s="501">
        <v>1.0589999999999999</v>
      </c>
      <c r="W620" s="501">
        <v>1.0580000000000001</v>
      </c>
      <c r="X620" s="596">
        <v>0.9</v>
      </c>
      <c r="Y620" s="502">
        <v>1411.452</v>
      </c>
      <c r="Z620" s="489">
        <f t="shared" si="106"/>
        <v>1665.5133599999999</v>
      </c>
      <c r="AA620" s="489">
        <v>1427.4263171903008</v>
      </c>
      <c r="AB620" s="488">
        <f t="shared" si="107"/>
        <v>1684.3630542845549</v>
      </c>
      <c r="AC620" s="492">
        <f t="shared" si="109"/>
        <v>1411.452</v>
      </c>
      <c r="AD620" s="493">
        <f t="shared" si="108"/>
        <v>1665.5133599999999</v>
      </c>
      <c r="AE620" s="494" t="s">
        <v>1775</v>
      </c>
      <c r="AF620" s="494" t="s">
        <v>83</v>
      </c>
      <c r="AG620" s="494" t="s">
        <v>211</v>
      </c>
      <c r="AH620" s="494" t="s">
        <v>545</v>
      </c>
      <c r="AI620" s="495">
        <v>41713</v>
      </c>
      <c r="AJ620" s="495">
        <v>41748</v>
      </c>
      <c r="AK620" s="494" t="s">
        <v>96</v>
      </c>
      <c r="AL620" s="494" t="s">
        <v>96</v>
      </c>
      <c r="AM620" s="496" t="s">
        <v>1776</v>
      </c>
      <c r="AN620" s="496" t="s">
        <v>1757</v>
      </c>
      <c r="AO620" s="494">
        <v>796</v>
      </c>
      <c r="AP620" s="494" t="s">
        <v>368</v>
      </c>
      <c r="AQ620" s="494">
        <v>1</v>
      </c>
      <c r="AR620" s="494">
        <v>46</v>
      </c>
      <c r="AS620" s="496" t="s">
        <v>605</v>
      </c>
      <c r="AT620" s="495">
        <v>41768</v>
      </c>
      <c r="AU620" s="495">
        <v>41768</v>
      </c>
      <c r="AV620" s="495">
        <v>42004</v>
      </c>
      <c r="AW620" s="494">
        <v>2014</v>
      </c>
      <c r="AX620" s="496"/>
      <c r="AY620" s="494" t="s">
        <v>186</v>
      </c>
      <c r="AZ620" s="494"/>
      <c r="BA620" s="494">
        <v>2014</v>
      </c>
      <c r="BB620" s="494" t="s">
        <v>2477</v>
      </c>
      <c r="BC620" s="496" t="s">
        <v>2478</v>
      </c>
      <c r="BD620" s="496" t="s">
        <v>1818</v>
      </c>
      <c r="BE620" s="497">
        <v>41974</v>
      </c>
      <c r="BF620" s="498">
        <v>1998.0000000000002</v>
      </c>
      <c r="BG620" s="488">
        <v>1998.0000000000002</v>
      </c>
      <c r="BH620" s="488">
        <v>0</v>
      </c>
      <c r="BI620" s="488">
        <v>1.2</v>
      </c>
      <c r="BJ620" s="494" t="s">
        <v>186</v>
      </c>
      <c r="BK620" s="401"/>
    </row>
    <row r="621" spans="1:63" ht="112.5">
      <c r="A621" s="401">
        <v>2</v>
      </c>
      <c r="B621" s="494" t="s">
        <v>2479</v>
      </c>
      <c r="C621" s="401" t="s">
        <v>83</v>
      </c>
      <c r="D621" s="401" t="s">
        <v>225</v>
      </c>
      <c r="E621" s="494" t="s">
        <v>5853</v>
      </c>
      <c r="F621" s="401" t="s">
        <v>1768</v>
      </c>
      <c r="G621" s="401" t="s">
        <v>1769</v>
      </c>
      <c r="H621" s="499" t="s">
        <v>5769</v>
      </c>
      <c r="I621" s="486" t="s">
        <v>2480</v>
      </c>
      <c r="J621" s="496" t="s">
        <v>1771</v>
      </c>
      <c r="K621" s="496" t="s">
        <v>1771</v>
      </c>
      <c r="L621" s="496" t="s">
        <v>1772</v>
      </c>
      <c r="M621" s="500" t="s">
        <v>1755</v>
      </c>
      <c r="N621" s="496" t="s">
        <v>1773</v>
      </c>
      <c r="O621" s="496" t="s">
        <v>2234</v>
      </c>
      <c r="P621" s="489">
        <v>1414.566620639037</v>
      </c>
      <c r="Q621" s="489">
        <f t="shared" si="105"/>
        <v>1669.1886123540635</v>
      </c>
      <c r="R621" s="489">
        <v>1199.4036975417166</v>
      </c>
      <c r="S621" s="401" t="s">
        <v>5970</v>
      </c>
      <c r="T621" s="501">
        <v>1.087</v>
      </c>
      <c r="U621" s="501">
        <v>1.0680000000000001</v>
      </c>
      <c r="V621" s="501">
        <v>1.0589999999999999</v>
      </c>
      <c r="W621" s="501">
        <v>1.0580000000000001</v>
      </c>
      <c r="X621" s="596">
        <v>0.9</v>
      </c>
      <c r="Y621" s="502">
        <v>1293.8310000000001</v>
      </c>
      <c r="Z621" s="489">
        <f t="shared" si="106"/>
        <v>1526.7205800000002</v>
      </c>
      <c r="AA621" s="489">
        <v>1308.4741240911092</v>
      </c>
      <c r="AB621" s="488">
        <f t="shared" si="107"/>
        <v>1543.9994664275087</v>
      </c>
      <c r="AC621" s="492">
        <f t="shared" si="109"/>
        <v>1293.8310000000001</v>
      </c>
      <c r="AD621" s="493">
        <f t="shared" si="108"/>
        <v>1526.7205800000002</v>
      </c>
      <c r="AE621" s="494" t="s">
        <v>1775</v>
      </c>
      <c r="AF621" s="494" t="s">
        <v>83</v>
      </c>
      <c r="AG621" s="494" t="s">
        <v>211</v>
      </c>
      <c r="AH621" s="494" t="s">
        <v>545</v>
      </c>
      <c r="AI621" s="495">
        <v>41713</v>
      </c>
      <c r="AJ621" s="495">
        <v>41748</v>
      </c>
      <c r="AK621" s="494" t="s">
        <v>96</v>
      </c>
      <c r="AL621" s="494" t="s">
        <v>96</v>
      </c>
      <c r="AM621" s="496" t="s">
        <v>1776</v>
      </c>
      <c r="AN621" s="496" t="s">
        <v>1757</v>
      </c>
      <c r="AO621" s="494">
        <v>796</v>
      </c>
      <c r="AP621" s="494" t="s">
        <v>368</v>
      </c>
      <c r="AQ621" s="494">
        <v>1</v>
      </c>
      <c r="AR621" s="494">
        <v>46</v>
      </c>
      <c r="AS621" s="496" t="s">
        <v>605</v>
      </c>
      <c r="AT621" s="495">
        <v>41768</v>
      </c>
      <c r="AU621" s="495">
        <v>41768</v>
      </c>
      <c r="AV621" s="495">
        <v>42004</v>
      </c>
      <c r="AW621" s="494">
        <v>2014</v>
      </c>
      <c r="AX621" s="496"/>
      <c r="AY621" s="494" t="s">
        <v>186</v>
      </c>
      <c r="AZ621" s="494"/>
      <c r="BA621" s="494">
        <v>2014</v>
      </c>
      <c r="BB621" s="494" t="s">
        <v>2481</v>
      </c>
      <c r="BC621" s="496" t="s">
        <v>2482</v>
      </c>
      <c r="BD621" s="496" t="s">
        <v>1818</v>
      </c>
      <c r="BE621" s="497">
        <v>41974</v>
      </c>
      <c r="BF621" s="498">
        <v>1831.5000000000002</v>
      </c>
      <c r="BG621" s="488">
        <v>1831.5000000000002</v>
      </c>
      <c r="BH621" s="488">
        <v>0</v>
      </c>
      <c r="BI621" s="488">
        <v>1.1000000000000001</v>
      </c>
      <c r="BJ621" s="494" t="s">
        <v>186</v>
      </c>
      <c r="BK621" s="401"/>
    </row>
    <row r="622" spans="1:63" ht="112.5">
      <c r="A622" s="401">
        <v>2</v>
      </c>
      <c r="B622" s="494" t="s">
        <v>2483</v>
      </c>
      <c r="C622" s="401" t="s">
        <v>83</v>
      </c>
      <c r="D622" s="401" t="s">
        <v>225</v>
      </c>
      <c r="E622" s="494" t="s">
        <v>5853</v>
      </c>
      <c r="F622" s="401" t="s">
        <v>1768</v>
      </c>
      <c r="G622" s="401" t="s">
        <v>1769</v>
      </c>
      <c r="H622" s="499" t="s">
        <v>5770</v>
      </c>
      <c r="I622" s="486" t="s">
        <v>2484</v>
      </c>
      <c r="J622" s="496" t="s">
        <v>1771</v>
      </c>
      <c r="K622" s="496" t="s">
        <v>1771</v>
      </c>
      <c r="L622" s="496" t="s">
        <v>1772</v>
      </c>
      <c r="M622" s="500" t="s">
        <v>1755</v>
      </c>
      <c r="N622" s="496" t="s">
        <v>1773</v>
      </c>
      <c r="O622" s="496" t="s">
        <v>2234</v>
      </c>
      <c r="P622" s="489">
        <v>2700.5362757654339</v>
      </c>
      <c r="Q622" s="489">
        <f t="shared" si="105"/>
        <v>3186.6328054032119</v>
      </c>
      <c r="R622" s="489">
        <v>2289.7706953069128</v>
      </c>
      <c r="S622" s="401" t="s">
        <v>5970</v>
      </c>
      <c r="T622" s="501">
        <v>1.087</v>
      </c>
      <c r="U622" s="501">
        <v>1.0680000000000001</v>
      </c>
      <c r="V622" s="501">
        <v>1.0589999999999999</v>
      </c>
      <c r="W622" s="501">
        <v>1.0580000000000001</v>
      </c>
      <c r="X622" s="596">
        <v>0.9</v>
      </c>
      <c r="Y622" s="502">
        <v>2470.0410000000002</v>
      </c>
      <c r="Z622" s="489">
        <f t="shared" si="106"/>
        <v>2914.6483800000001</v>
      </c>
      <c r="AA622" s="489">
        <v>2497.9960550830265</v>
      </c>
      <c r="AB622" s="488">
        <f t="shared" si="107"/>
        <v>2947.6353449979711</v>
      </c>
      <c r="AC622" s="492">
        <f t="shared" si="109"/>
        <v>2470.0410000000002</v>
      </c>
      <c r="AD622" s="493">
        <f t="shared" si="108"/>
        <v>2914.6483800000001</v>
      </c>
      <c r="AE622" s="494" t="s">
        <v>1775</v>
      </c>
      <c r="AF622" s="494" t="s">
        <v>83</v>
      </c>
      <c r="AG622" s="494" t="s">
        <v>211</v>
      </c>
      <c r="AH622" s="494" t="s">
        <v>545</v>
      </c>
      <c r="AI622" s="495">
        <v>41713</v>
      </c>
      <c r="AJ622" s="495">
        <v>41748</v>
      </c>
      <c r="AK622" s="494" t="s">
        <v>96</v>
      </c>
      <c r="AL622" s="494" t="s">
        <v>96</v>
      </c>
      <c r="AM622" s="496" t="s">
        <v>1776</v>
      </c>
      <c r="AN622" s="496" t="s">
        <v>1757</v>
      </c>
      <c r="AO622" s="494">
        <v>796</v>
      </c>
      <c r="AP622" s="494" t="s">
        <v>368</v>
      </c>
      <c r="AQ622" s="494">
        <v>1</v>
      </c>
      <c r="AR622" s="494">
        <v>46</v>
      </c>
      <c r="AS622" s="496" t="s">
        <v>605</v>
      </c>
      <c r="AT622" s="495">
        <v>41768</v>
      </c>
      <c r="AU622" s="495">
        <v>41768</v>
      </c>
      <c r="AV622" s="495">
        <v>42004</v>
      </c>
      <c r="AW622" s="494">
        <v>2014</v>
      </c>
      <c r="AX622" s="496"/>
      <c r="AY622" s="494" t="s">
        <v>186</v>
      </c>
      <c r="AZ622" s="494"/>
      <c r="BA622" s="494">
        <v>2014</v>
      </c>
      <c r="BB622" s="494" t="s">
        <v>2485</v>
      </c>
      <c r="BC622" s="496" t="s">
        <v>2486</v>
      </c>
      <c r="BD622" s="496" t="s">
        <v>1818</v>
      </c>
      <c r="BE622" s="497">
        <v>41974</v>
      </c>
      <c r="BF622" s="498">
        <v>3496.5</v>
      </c>
      <c r="BG622" s="488">
        <v>3496.5</v>
      </c>
      <c r="BH622" s="488">
        <v>0</v>
      </c>
      <c r="BI622" s="488">
        <v>2.1</v>
      </c>
      <c r="BJ622" s="494" t="s">
        <v>186</v>
      </c>
      <c r="BK622" s="401"/>
    </row>
    <row r="623" spans="1:63" ht="112.5">
      <c r="A623" s="401">
        <v>2</v>
      </c>
      <c r="B623" s="494" t="s">
        <v>2487</v>
      </c>
      <c r="C623" s="401" t="s">
        <v>83</v>
      </c>
      <c r="D623" s="401" t="s">
        <v>225</v>
      </c>
      <c r="E623" s="494" t="s">
        <v>5853</v>
      </c>
      <c r="F623" s="401" t="s">
        <v>1768</v>
      </c>
      <c r="G623" s="401" t="s">
        <v>1769</v>
      </c>
      <c r="H623" s="499" t="s">
        <v>5771</v>
      </c>
      <c r="I623" s="486" t="s">
        <v>2488</v>
      </c>
      <c r="J623" s="496" t="s">
        <v>1771</v>
      </c>
      <c r="K623" s="496" t="s">
        <v>1771</v>
      </c>
      <c r="L623" s="496" t="s">
        <v>1772</v>
      </c>
      <c r="M623" s="500" t="s">
        <v>1755</v>
      </c>
      <c r="N623" s="496" t="s">
        <v>1773</v>
      </c>
      <c r="O623" s="496" t="s">
        <v>2234</v>
      </c>
      <c r="P623" s="489">
        <v>2829.1332412780739</v>
      </c>
      <c r="Q623" s="489">
        <f t="shared" si="105"/>
        <v>3338.377224708127</v>
      </c>
      <c r="R623" s="489">
        <v>2398.8073950834332</v>
      </c>
      <c r="S623" s="401" t="s">
        <v>5970</v>
      </c>
      <c r="T623" s="501">
        <v>1.087</v>
      </c>
      <c r="U623" s="501">
        <v>1.0680000000000001</v>
      </c>
      <c r="V623" s="501">
        <v>1.0589999999999999</v>
      </c>
      <c r="W623" s="501">
        <v>1.0580000000000001</v>
      </c>
      <c r="X623" s="596">
        <v>0.9</v>
      </c>
      <c r="Y623" s="502">
        <v>2587.6620000000003</v>
      </c>
      <c r="Z623" s="489">
        <f t="shared" si="106"/>
        <v>3053.4411600000003</v>
      </c>
      <c r="AA623" s="489">
        <v>2616.9482481822183</v>
      </c>
      <c r="AB623" s="488">
        <f t="shared" si="107"/>
        <v>3087.9989328550173</v>
      </c>
      <c r="AC623" s="492">
        <f t="shared" si="109"/>
        <v>2587.6620000000003</v>
      </c>
      <c r="AD623" s="493">
        <f t="shared" si="108"/>
        <v>3053.4411600000003</v>
      </c>
      <c r="AE623" s="494" t="s">
        <v>1775</v>
      </c>
      <c r="AF623" s="494" t="s">
        <v>83</v>
      </c>
      <c r="AG623" s="494" t="s">
        <v>211</v>
      </c>
      <c r="AH623" s="494" t="s">
        <v>545</v>
      </c>
      <c r="AI623" s="495">
        <v>41713</v>
      </c>
      <c r="AJ623" s="495">
        <v>41748</v>
      </c>
      <c r="AK623" s="494" t="s">
        <v>96</v>
      </c>
      <c r="AL623" s="494" t="s">
        <v>96</v>
      </c>
      <c r="AM623" s="496" t="s">
        <v>1776</v>
      </c>
      <c r="AN623" s="496" t="s">
        <v>1757</v>
      </c>
      <c r="AO623" s="494">
        <v>796</v>
      </c>
      <c r="AP623" s="494" t="s">
        <v>368</v>
      </c>
      <c r="AQ623" s="494">
        <v>1</v>
      </c>
      <c r="AR623" s="494">
        <v>46</v>
      </c>
      <c r="AS623" s="496" t="s">
        <v>605</v>
      </c>
      <c r="AT623" s="495">
        <v>41768</v>
      </c>
      <c r="AU623" s="495">
        <v>41768</v>
      </c>
      <c r="AV623" s="495">
        <v>42004</v>
      </c>
      <c r="AW623" s="494">
        <v>2014</v>
      </c>
      <c r="AX623" s="496"/>
      <c r="AY623" s="494" t="s">
        <v>186</v>
      </c>
      <c r="AZ623" s="494"/>
      <c r="BA623" s="494">
        <v>2014</v>
      </c>
      <c r="BB623" s="494" t="s">
        <v>2489</v>
      </c>
      <c r="BC623" s="496" t="s">
        <v>2490</v>
      </c>
      <c r="BD623" s="496" t="s">
        <v>1818</v>
      </c>
      <c r="BE623" s="497">
        <v>41974</v>
      </c>
      <c r="BF623" s="498">
        <v>3663.0000000000005</v>
      </c>
      <c r="BG623" s="488">
        <v>3663.0000000000005</v>
      </c>
      <c r="BH623" s="488">
        <v>0</v>
      </c>
      <c r="BI623" s="488">
        <v>2.2000000000000002</v>
      </c>
      <c r="BJ623" s="494" t="s">
        <v>186</v>
      </c>
      <c r="BK623" s="401"/>
    </row>
    <row r="624" spans="1:63" ht="112.5">
      <c r="A624" s="401">
        <v>2</v>
      </c>
      <c r="B624" s="494" t="s">
        <v>2491</v>
      </c>
      <c r="C624" s="401" t="s">
        <v>83</v>
      </c>
      <c r="D624" s="401" t="s">
        <v>225</v>
      </c>
      <c r="E624" s="494" t="s">
        <v>5853</v>
      </c>
      <c r="F624" s="401" t="s">
        <v>1768</v>
      </c>
      <c r="G624" s="401" t="s">
        <v>1769</v>
      </c>
      <c r="H624" s="499" t="s">
        <v>5772</v>
      </c>
      <c r="I624" s="486" t="s">
        <v>2492</v>
      </c>
      <c r="J624" s="496" t="s">
        <v>1771</v>
      </c>
      <c r="K624" s="496" t="s">
        <v>1771</v>
      </c>
      <c r="L624" s="496" t="s">
        <v>1772</v>
      </c>
      <c r="M624" s="500" t="s">
        <v>1755</v>
      </c>
      <c r="N624" s="496" t="s">
        <v>1773</v>
      </c>
      <c r="O624" s="496" t="s">
        <v>2234</v>
      </c>
      <c r="P624" s="489">
        <v>1671.7605516643164</v>
      </c>
      <c r="Q624" s="489">
        <f t="shared" si="105"/>
        <v>1972.6774509638933</v>
      </c>
      <c r="R624" s="489">
        <v>1417.4770970947557</v>
      </c>
      <c r="S624" s="401" t="s">
        <v>5970</v>
      </c>
      <c r="T624" s="501">
        <v>1.087</v>
      </c>
      <c r="U624" s="501">
        <v>1.0680000000000001</v>
      </c>
      <c r="V624" s="501">
        <v>1.0589999999999999</v>
      </c>
      <c r="W624" s="501">
        <v>1.0580000000000001</v>
      </c>
      <c r="X624" s="596">
        <v>0.9</v>
      </c>
      <c r="Y624" s="502">
        <v>1529.0730000000001</v>
      </c>
      <c r="Z624" s="489">
        <f t="shared" si="106"/>
        <v>1804.3061399999999</v>
      </c>
      <c r="AA624" s="489">
        <v>1546.3785102894926</v>
      </c>
      <c r="AB624" s="488">
        <f t="shared" si="107"/>
        <v>1824.7266421416011</v>
      </c>
      <c r="AC624" s="492">
        <f t="shared" si="109"/>
        <v>1529.0730000000001</v>
      </c>
      <c r="AD624" s="493">
        <f t="shared" si="108"/>
        <v>1804.3061399999999</v>
      </c>
      <c r="AE624" s="494" t="s">
        <v>1775</v>
      </c>
      <c r="AF624" s="494" t="s">
        <v>83</v>
      </c>
      <c r="AG624" s="494" t="s">
        <v>211</v>
      </c>
      <c r="AH624" s="494" t="s">
        <v>545</v>
      </c>
      <c r="AI624" s="495">
        <v>41713</v>
      </c>
      <c r="AJ624" s="495">
        <v>41748</v>
      </c>
      <c r="AK624" s="494" t="s">
        <v>96</v>
      </c>
      <c r="AL624" s="494" t="s">
        <v>96</v>
      </c>
      <c r="AM624" s="496" t="s">
        <v>1776</v>
      </c>
      <c r="AN624" s="496" t="s">
        <v>1757</v>
      </c>
      <c r="AO624" s="494">
        <v>796</v>
      </c>
      <c r="AP624" s="494" t="s">
        <v>368</v>
      </c>
      <c r="AQ624" s="494">
        <v>1</v>
      </c>
      <c r="AR624" s="494">
        <v>46</v>
      </c>
      <c r="AS624" s="496" t="s">
        <v>605</v>
      </c>
      <c r="AT624" s="495">
        <v>41768</v>
      </c>
      <c r="AU624" s="495">
        <v>41768</v>
      </c>
      <c r="AV624" s="495">
        <v>42004</v>
      </c>
      <c r="AW624" s="494">
        <v>2014</v>
      </c>
      <c r="AX624" s="496"/>
      <c r="AY624" s="494" t="s">
        <v>186</v>
      </c>
      <c r="AZ624" s="494"/>
      <c r="BA624" s="494">
        <v>2014</v>
      </c>
      <c r="BB624" s="494" t="s">
        <v>2493</v>
      </c>
      <c r="BC624" s="496" t="s">
        <v>2494</v>
      </c>
      <c r="BD624" s="496" t="s">
        <v>1818</v>
      </c>
      <c r="BE624" s="497">
        <v>41974</v>
      </c>
      <c r="BF624" s="498">
        <v>2164.5</v>
      </c>
      <c r="BG624" s="488">
        <v>2164.5</v>
      </c>
      <c r="BH624" s="488">
        <v>0</v>
      </c>
      <c r="BI624" s="488">
        <v>1.3</v>
      </c>
      <c r="BJ624" s="494" t="s">
        <v>186</v>
      </c>
      <c r="BK624" s="401"/>
    </row>
    <row r="625" spans="1:63" ht="112.5">
      <c r="A625" s="401">
        <v>2</v>
      </c>
      <c r="B625" s="494" t="s">
        <v>2495</v>
      </c>
      <c r="C625" s="401" t="s">
        <v>83</v>
      </c>
      <c r="D625" s="401" t="s">
        <v>225</v>
      </c>
      <c r="E625" s="494" t="s">
        <v>5853</v>
      </c>
      <c r="F625" s="401" t="s">
        <v>1768</v>
      </c>
      <c r="G625" s="401" t="s">
        <v>1769</v>
      </c>
      <c r="H625" s="499" t="s">
        <v>5773</v>
      </c>
      <c r="I625" s="486" t="s">
        <v>2496</v>
      </c>
      <c r="J625" s="496" t="s">
        <v>1771</v>
      </c>
      <c r="K625" s="496" t="s">
        <v>1771</v>
      </c>
      <c r="L625" s="496" t="s">
        <v>1772</v>
      </c>
      <c r="M625" s="500" t="s">
        <v>1755</v>
      </c>
      <c r="N625" s="496" t="s">
        <v>1773</v>
      </c>
      <c r="O625" s="496" t="s">
        <v>2234</v>
      </c>
      <c r="P625" s="489">
        <v>4500.8937929423901</v>
      </c>
      <c r="Q625" s="489">
        <f t="shared" si="105"/>
        <v>5311.0546756720196</v>
      </c>
      <c r="R625" s="489">
        <v>3816.2844921781884</v>
      </c>
      <c r="S625" s="401" t="s">
        <v>5970</v>
      </c>
      <c r="T625" s="501">
        <v>1.087</v>
      </c>
      <c r="U625" s="501">
        <v>1.0680000000000001</v>
      </c>
      <c r="V625" s="501">
        <v>1.0589999999999999</v>
      </c>
      <c r="W625" s="501">
        <v>1.0580000000000001</v>
      </c>
      <c r="X625" s="596">
        <v>0.9</v>
      </c>
      <c r="Y625" s="502">
        <v>4116.7350000000006</v>
      </c>
      <c r="Z625" s="489">
        <f t="shared" si="106"/>
        <v>4857.7473</v>
      </c>
      <c r="AA625" s="489">
        <v>4163.3267584717114</v>
      </c>
      <c r="AB625" s="488">
        <f t="shared" si="107"/>
        <v>4912.7255749966189</v>
      </c>
      <c r="AC625" s="492">
        <f t="shared" si="109"/>
        <v>4116.7350000000006</v>
      </c>
      <c r="AD625" s="493">
        <f t="shared" si="108"/>
        <v>4857.7473</v>
      </c>
      <c r="AE625" s="494" t="s">
        <v>1775</v>
      </c>
      <c r="AF625" s="494" t="s">
        <v>83</v>
      </c>
      <c r="AG625" s="494" t="s">
        <v>211</v>
      </c>
      <c r="AH625" s="494" t="s">
        <v>545</v>
      </c>
      <c r="AI625" s="495">
        <v>41713</v>
      </c>
      <c r="AJ625" s="495">
        <v>41748</v>
      </c>
      <c r="AK625" s="494" t="s">
        <v>96</v>
      </c>
      <c r="AL625" s="494" t="s">
        <v>96</v>
      </c>
      <c r="AM625" s="496" t="s">
        <v>1776</v>
      </c>
      <c r="AN625" s="496" t="s">
        <v>1757</v>
      </c>
      <c r="AO625" s="494">
        <v>796</v>
      </c>
      <c r="AP625" s="494" t="s">
        <v>368</v>
      </c>
      <c r="AQ625" s="494">
        <v>1</v>
      </c>
      <c r="AR625" s="494">
        <v>46</v>
      </c>
      <c r="AS625" s="496" t="s">
        <v>605</v>
      </c>
      <c r="AT625" s="495">
        <v>41768</v>
      </c>
      <c r="AU625" s="495">
        <v>41768</v>
      </c>
      <c r="AV625" s="495">
        <v>42004</v>
      </c>
      <c r="AW625" s="494">
        <v>2014</v>
      </c>
      <c r="AX625" s="496"/>
      <c r="AY625" s="494" t="s">
        <v>186</v>
      </c>
      <c r="AZ625" s="494"/>
      <c r="BA625" s="494">
        <v>2014</v>
      </c>
      <c r="BB625" s="494" t="s">
        <v>2497</v>
      </c>
      <c r="BC625" s="496" t="s">
        <v>2498</v>
      </c>
      <c r="BD625" s="496" t="s">
        <v>1818</v>
      </c>
      <c r="BE625" s="497">
        <v>41974</v>
      </c>
      <c r="BF625" s="498">
        <v>5827.4999999999991</v>
      </c>
      <c r="BG625" s="488">
        <v>5827.4999999999991</v>
      </c>
      <c r="BH625" s="488">
        <v>0</v>
      </c>
      <c r="BI625" s="488">
        <v>3.5</v>
      </c>
      <c r="BJ625" s="494" t="s">
        <v>186</v>
      </c>
      <c r="BK625" s="401"/>
    </row>
    <row r="626" spans="1:63" ht="112.5">
      <c r="A626" s="401">
        <v>2</v>
      </c>
      <c r="B626" s="494" t="s">
        <v>2499</v>
      </c>
      <c r="C626" s="401" t="s">
        <v>83</v>
      </c>
      <c r="D626" s="401" t="s">
        <v>225</v>
      </c>
      <c r="E626" s="494" t="s">
        <v>5853</v>
      </c>
      <c r="F626" s="401" t="s">
        <v>1768</v>
      </c>
      <c r="G626" s="401" t="s">
        <v>1769</v>
      </c>
      <c r="H626" s="499" t="s">
        <v>5774</v>
      </c>
      <c r="I626" s="486" t="s">
        <v>2500</v>
      </c>
      <c r="J626" s="496" t="s">
        <v>1771</v>
      </c>
      <c r="K626" s="496" t="s">
        <v>1771</v>
      </c>
      <c r="L626" s="496" t="s">
        <v>1772</v>
      </c>
      <c r="M626" s="500" t="s">
        <v>1755</v>
      </c>
      <c r="N626" s="496" t="s">
        <v>1773</v>
      </c>
      <c r="O626" s="496" t="s">
        <v>2234</v>
      </c>
      <c r="P626" s="489">
        <v>3472.1180688412728</v>
      </c>
      <c r="Q626" s="489">
        <f t="shared" si="105"/>
        <v>4097.0993212327021</v>
      </c>
      <c r="R626" s="489">
        <v>2943.9908939660318</v>
      </c>
      <c r="S626" s="401" t="s">
        <v>5970</v>
      </c>
      <c r="T626" s="501">
        <v>1.087</v>
      </c>
      <c r="U626" s="501">
        <v>1.0680000000000001</v>
      </c>
      <c r="V626" s="501">
        <v>1.0589999999999999</v>
      </c>
      <c r="W626" s="501">
        <v>1.0580000000000001</v>
      </c>
      <c r="X626" s="596">
        <v>0.9</v>
      </c>
      <c r="Y626" s="502">
        <v>3175.7670000000003</v>
      </c>
      <c r="Z626" s="489">
        <f t="shared" si="106"/>
        <v>3747.40506</v>
      </c>
      <c r="AA626" s="489">
        <v>3211.7092136781775</v>
      </c>
      <c r="AB626" s="488">
        <f t="shared" si="107"/>
        <v>3789.8168721402494</v>
      </c>
      <c r="AC626" s="492">
        <f t="shared" si="109"/>
        <v>3175.7670000000003</v>
      </c>
      <c r="AD626" s="493">
        <f t="shared" si="108"/>
        <v>3747.40506</v>
      </c>
      <c r="AE626" s="494" t="s">
        <v>1775</v>
      </c>
      <c r="AF626" s="494" t="s">
        <v>83</v>
      </c>
      <c r="AG626" s="494" t="s">
        <v>211</v>
      </c>
      <c r="AH626" s="494" t="s">
        <v>545</v>
      </c>
      <c r="AI626" s="495">
        <v>41713</v>
      </c>
      <c r="AJ626" s="495">
        <v>41748</v>
      </c>
      <c r="AK626" s="494" t="s">
        <v>96</v>
      </c>
      <c r="AL626" s="494" t="s">
        <v>96</v>
      </c>
      <c r="AM626" s="496" t="s">
        <v>1776</v>
      </c>
      <c r="AN626" s="496" t="s">
        <v>1757</v>
      </c>
      <c r="AO626" s="494">
        <v>796</v>
      </c>
      <c r="AP626" s="494" t="s">
        <v>368</v>
      </c>
      <c r="AQ626" s="494">
        <v>1</v>
      </c>
      <c r="AR626" s="494">
        <v>46</v>
      </c>
      <c r="AS626" s="496" t="s">
        <v>605</v>
      </c>
      <c r="AT626" s="495">
        <v>41768</v>
      </c>
      <c r="AU626" s="495">
        <v>41768</v>
      </c>
      <c r="AV626" s="495">
        <v>42004</v>
      </c>
      <c r="AW626" s="494">
        <v>2014</v>
      </c>
      <c r="AX626" s="496"/>
      <c r="AY626" s="494" t="s">
        <v>186</v>
      </c>
      <c r="AZ626" s="494"/>
      <c r="BA626" s="494">
        <v>2014</v>
      </c>
      <c r="BB626" s="494" t="s">
        <v>2501</v>
      </c>
      <c r="BC626" s="496" t="s">
        <v>2502</v>
      </c>
      <c r="BD626" s="496" t="s">
        <v>1818</v>
      </c>
      <c r="BE626" s="497">
        <v>41974</v>
      </c>
      <c r="BF626" s="498">
        <v>4495.5000000000009</v>
      </c>
      <c r="BG626" s="488">
        <v>4495.5000000000009</v>
      </c>
      <c r="BH626" s="488">
        <v>0</v>
      </c>
      <c r="BI626" s="488">
        <v>2.7</v>
      </c>
      <c r="BJ626" s="494" t="s">
        <v>186</v>
      </c>
      <c r="BK626" s="401"/>
    </row>
    <row r="627" spans="1:63" ht="112.5">
      <c r="A627" s="401">
        <v>2</v>
      </c>
      <c r="B627" s="494" t="s">
        <v>2503</v>
      </c>
      <c r="C627" s="401" t="s">
        <v>83</v>
      </c>
      <c r="D627" s="401" t="s">
        <v>225</v>
      </c>
      <c r="E627" s="494" t="s">
        <v>5853</v>
      </c>
      <c r="F627" s="401" t="s">
        <v>1768</v>
      </c>
      <c r="G627" s="401" t="s">
        <v>1769</v>
      </c>
      <c r="H627" s="499" t="s">
        <v>5775</v>
      </c>
      <c r="I627" s="486" t="s">
        <v>2504</v>
      </c>
      <c r="J627" s="496" t="s">
        <v>1771</v>
      </c>
      <c r="K627" s="496" t="s">
        <v>1771</v>
      </c>
      <c r="L627" s="496" t="s">
        <v>1772</v>
      </c>
      <c r="M627" s="500" t="s">
        <v>1755</v>
      </c>
      <c r="N627" s="496" t="s">
        <v>1773</v>
      </c>
      <c r="O627" s="496" t="s">
        <v>2234</v>
      </c>
      <c r="P627" s="489">
        <v>3857.9089653791916</v>
      </c>
      <c r="Q627" s="489">
        <f t="shared" si="105"/>
        <v>4552.3325791474463</v>
      </c>
      <c r="R627" s="489">
        <v>3271.1009932955903</v>
      </c>
      <c r="S627" s="401" t="s">
        <v>5970</v>
      </c>
      <c r="T627" s="501">
        <v>1.087</v>
      </c>
      <c r="U627" s="501">
        <v>1.0680000000000001</v>
      </c>
      <c r="V627" s="501">
        <v>1.0589999999999999</v>
      </c>
      <c r="W627" s="501">
        <v>1.0580000000000001</v>
      </c>
      <c r="X627" s="596">
        <v>0.9</v>
      </c>
      <c r="Y627" s="502">
        <v>3528.63</v>
      </c>
      <c r="Z627" s="489">
        <f t="shared" si="106"/>
        <v>4163.7834000000003</v>
      </c>
      <c r="AA627" s="489">
        <v>3568.5657929757526</v>
      </c>
      <c r="AB627" s="488">
        <f t="shared" si="107"/>
        <v>4210.9076357113881</v>
      </c>
      <c r="AC627" s="492">
        <f t="shared" si="109"/>
        <v>3528.63</v>
      </c>
      <c r="AD627" s="493">
        <f t="shared" si="108"/>
        <v>4163.7834000000003</v>
      </c>
      <c r="AE627" s="494" t="s">
        <v>1775</v>
      </c>
      <c r="AF627" s="494" t="s">
        <v>83</v>
      </c>
      <c r="AG627" s="494" t="s">
        <v>211</v>
      </c>
      <c r="AH627" s="494" t="s">
        <v>545</v>
      </c>
      <c r="AI627" s="495">
        <v>41713</v>
      </c>
      <c r="AJ627" s="495">
        <v>41748</v>
      </c>
      <c r="AK627" s="494" t="s">
        <v>96</v>
      </c>
      <c r="AL627" s="494" t="s">
        <v>96</v>
      </c>
      <c r="AM627" s="496" t="s">
        <v>1776</v>
      </c>
      <c r="AN627" s="496" t="s">
        <v>1757</v>
      </c>
      <c r="AO627" s="494">
        <v>796</v>
      </c>
      <c r="AP627" s="494" t="s">
        <v>368</v>
      </c>
      <c r="AQ627" s="494">
        <v>1</v>
      </c>
      <c r="AR627" s="494">
        <v>46</v>
      </c>
      <c r="AS627" s="496" t="s">
        <v>605</v>
      </c>
      <c r="AT627" s="495">
        <v>41768</v>
      </c>
      <c r="AU627" s="495">
        <v>41768</v>
      </c>
      <c r="AV627" s="495">
        <v>42004</v>
      </c>
      <c r="AW627" s="494">
        <v>2014</v>
      </c>
      <c r="AX627" s="496"/>
      <c r="AY627" s="494" t="s">
        <v>186</v>
      </c>
      <c r="AZ627" s="494"/>
      <c r="BA627" s="494">
        <v>2014</v>
      </c>
      <c r="BB627" s="494" t="s">
        <v>2505</v>
      </c>
      <c r="BC627" s="496" t="s">
        <v>2506</v>
      </c>
      <c r="BD627" s="496" t="s">
        <v>1818</v>
      </c>
      <c r="BE627" s="497">
        <v>41974</v>
      </c>
      <c r="BF627" s="498">
        <v>4994.9999999999991</v>
      </c>
      <c r="BG627" s="488">
        <v>4994.9999999999991</v>
      </c>
      <c r="BH627" s="488">
        <v>0</v>
      </c>
      <c r="BI627" s="488">
        <v>3</v>
      </c>
      <c r="BJ627" s="494" t="s">
        <v>186</v>
      </c>
      <c r="BK627" s="401"/>
    </row>
    <row r="628" spans="1:63" ht="131.25">
      <c r="A628" s="401">
        <v>2</v>
      </c>
      <c r="B628" s="494" t="s">
        <v>2507</v>
      </c>
      <c r="C628" s="401" t="s">
        <v>83</v>
      </c>
      <c r="D628" s="401" t="s">
        <v>225</v>
      </c>
      <c r="E628" s="494" t="s">
        <v>5853</v>
      </c>
      <c r="F628" s="401" t="s">
        <v>1768</v>
      </c>
      <c r="G628" s="401" t="s">
        <v>1769</v>
      </c>
      <c r="H628" s="499" t="s">
        <v>5776</v>
      </c>
      <c r="I628" s="486" t="s">
        <v>2508</v>
      </c>
      <c r="J628" s="496" t="s">
        <v>1771</v>
      </c>
      <c r="K628" s="496" t="s">
        <v>1771</v>
      </c>
      <c r="L628" s="496" t="s">
        <v>1772</v>
      </c>
      <c r="M628" s="500" t="s">
        <v>1755</v>
      </c>
      <c r="N628" s="496" t="s">
        <v>1773</v>
      </c>
      <c r="O628" s="496" t="s">
        <v>2234</v>
      </c>
      <c r="P628" s="489">
        <v>7362.1762755986238</v>
      </c>
      <c r="Q628" s="489">
        <f t="shared" si="105"/>
        <v>8687.3680052063755</v>
      </c>
      <c r="R628" s="489">
        <v>6242.3510622057511</v>
      </c>
      <c r="S628" s="401" t="s">
        <v>5970</v>
      </c>
      <c r="T628" s="501">
        <v>1.087</v>
      </c>
      <c r="U628" s="501">
        <v>1.0680000000000001</v>
      </c>
      <c r="V628" s="501">
        <v>1.0589999999999999</v>
      </c>
      <c r="W628" s="501">
        <v>1.0580000000000001</v>
      </c>
      <c r="X628" s="596">
        <v>0.9</v>
      </c>
      <c r="Y628" s="502">
        <v>6733.8022499999997</v>
      </c>
      <c r="Z628" s="489">
        <f t="shared" si="106"/>
        <v>7945.8866549999993</v>
      </c>
      <c r="AA628" s="489">
        <v>6810.0130549287269</v>
      </c>
      <c r="AB628" s="488">
        <f t="shared" si="107"/>
        <v>8035.8154048158976</v>
      </c>
      <c r="AC628" s="492">
        <f t="shared" si="109"/>
        <v>6733.8022499999997</v>
      </c>
      <c r="AD628" s="493">
        <f t="shared" si="108"/>
        <v>7945.8866549999993</v>
      </c>
      <c r="AE628" s="494" t="s">
        <v>1775</v>
      </c>
      <c r="AF628" s="494" t="s">
        <v>83</v>
      </c>
      <c r="AG628" s="494" t="s">
        <v>211</v>
      </c>
      <c r="AH628" s="494" t="s">
        <v>545</v>
      </c>
      <c r="AI628" s="495">
        <v>41713</v>
      </c>
      <c r="AJ628" s="495">
        <v>41748</v>
      </c>
      <c r="AK628" s="494" t="s">
        <v>96</v>
      </c>
      <c r="AL628" s="494" t="s">
        <v>96</v>
      </c>
      <c r="AM628" s="496" t="s">
        <v>1776</v>
      </c>
      <c r="AN628" s="496" t="s">
        <v>1757</v>
      </c>
      <c r="AO628" s="494">
        <v>796</v>
      </c>
      <c r="AP628" s="494" t="s">
        <v>368</v>
      </c>
      <c r="AQ628" s="494">
        <v>1</v>
      </c>
      <c r="AR628" s="494">
        <v>46</v>
      </c>
      <c r="AS628" s="496" t="s">
        <v>605</v>
      </c>
      <c r="AT628" s="495">
        <v>41768</v>
      </c>
      <c r="AU628" s="495">
        <v>41768</v>
      </c>
      <c r="AV628" s="495">
        <v>42004</v>
      </c>
      <c r="AW628" s="494">
        <v>2014</v>
      </c>
      <c r="AX628" s="496"/>
      <c r="AY628" s="494" t="s">
        <v>186</v>
      </c>
      <c r="AZ628" s="494"/>
      <c r="BA628" s="494">
        <v>2014</v>
      </c>
      <c r="BB628" s="494" t="s">
        <v>2509</v>
      </c>
      <c r="BC628" s="496" t="s">
        <v>2510</v>
      </c>
      <c r="BD628" s="496" t="s">
        <v>1818</v>
      </c>
      <c r="BE628" s="497">
        <v>41974</v>
      </c>
      <c r="BF628" s="498">
        <v>9532.1249999999982</v>
      </c>
      <c r="BG628" s="488">
        <v>9532.1249999999982</v>
      </c>
      <c r="BH628" s="488">
        <v>0</v>
      </c>
      <c r="BI628" s="488">
        <v>5.7249999999999996</v>
      </c>
      <c r="BJ628" s="494" t="s">
        <v>186</v>
      </c>
      <c r="BK628" s="401"/>
    </row>
    <row r="629" spans="1:63" ht="112.5">
      <c r="A629" s="401">
        <v>2</v>
      </c>
      <c r="B629" s="494" t="s">
        <v>2511</v>
      </c>
      <c r="C629" s="401" t="s">
        <v>83</v>
      </c>
      <c r="D629" s="401" t="s">
        <v>225</v>
      </c>
      <c r="E629" s="494" t="s">
        <v>5853</v>
      </c>
      <c r="F629" s="401" t="s">
        <v>1768</v>
      </c>
      <c r="G629" s="401" t="s">
        <v>1769</v>
      </c>
      <c r="H629" s="499" t="s">
        <v>5777</v>
      </c>
      <c r="I629" s="486" t="s">
        <v>2512</v>
      </c>
      <c r="J629" s="496" t="s">
        <v>1771</v>
      </c>
      <c r="K629" s="496" t="s">
        <v>1771</v>
      </c>
      <c r="L629" s="496" t="s">
        <v>2513</v>
      </c>
      <c r="M629" s="500" t="s">
        <v>1755</v>
      </c>
      <c r="N629" s="496" t="s">
        <v>1773</v>
      </c>
      <c r="O629" s="496" t="s">
        <v>2234</v>
      </c>
      <c r="P629" s="489">
        <v>59782.44756891163</v>
      </c>
      <c r="Q629" s="489">
        <f t="shared" si="105"/>
        <v>70543.288131315712</v>
      </c>
      <c r="R629" s="489">
        <v>45244.882199818188</v>
      </c>
      <c r="S629" s="401" t="s">
        <v>1774</v>
      </c>
      <c r="T629" s="501">
        <v>1.087</v>
      </c>
      <c r="U629" s="501">
        <v>1.077</v>
      </c>
      <c r="V629" s="501">
        <v>1.073</v>
      </c>
      <c r="W629" s="501">
        <v>1.071</v>
      </c>
      <c r="X629" s="596">
        <v>0.9</v>
      </c>
      <c r="Y629" s="502">
        <v>54768.929902879914</v>
      </c>
      <c r="Z629" s="489">
        <f t="shared" si="106"/>
        <v>64627.337285398295</v>
      </c>
      <c r="AA629" s="489">
        <v>55298.76400124326</v>
      </c>
      <c r="AB629" s="488">
        <f t="shared" si="107"/>
        <v>65252.541521467043</v>
      </c>
      <c r="AC629" s="492">
        <f t="shared" si="109"/>
        <v>54768.929902879914</v>
      </c>
      <c r="AD629" s="493">
        <f t="shared" si="108"/>
        <v>64627.337285398295</v>
      </c>
      <c r="AE629" s="494" t="s">
        <v>1775</v>
      </c>
      <c r="AF629" s="494" t="s">
        <v>83</v>
      </c>
      <c r="AG629" s="494" t="s">
        <v>211</v>
      </c>
      <c r="AH629" s="494" t="s">
        <v>545</v>
      </c>
      <c r="AI629" s="495">
        <v>41835</v>
      </c>
      <c r="AJ629" s="495">
        <v>41870</v>
      </c>
      <c r="AK629" s="494" t="s">
        <v>96</v>
      </c>
      <c r="AL629" s="494" t="s">
        <v>96</v>
      </c>
      <c r="AM629" s="496" t="s">
        <v>1776</v>
      </c>
      <c r="AN629" s="496" t="s">
        <v>1757</v>
      </c>
      <c r="AO629" s="494">
        <v>796</v>
      </c>
      <c r="AP629" s="494" t="s">
        <v>368</v>
      </c>
      <c r="AQ629" s="494">
        <v>1</v>
      </c>
      <c r="AR629" s="494">
        <v>46</v>
      </c>
      <c r="AS629" s="496" t="s">
        <v>605</v>
      </c>
      <c r="AT629" s="495">
        <v>41890</v>
      </c>
      <c r="AU629" s="495">
        <v>41890</v>
      </c>
      <c r="AV629" s="495">
        <v>42004</v>
      </c>
      <c r="AW629" s="494">
        <v>2014</v>
      </c>
      <c r="AX629" s="496"/>
      <c r="AY629" s="494" t="s">
        <v>186</v>
      </c>
      <c r="AZ629" s="494"/>
      <c r="BA629" s="494">
        <v>2014</v>
      </c>
      <c r="BB629" s="494" t="s">
        <v>2514</v>
      </c>
      <c r="BC629" s="496" t="s">
        <v>2515</v>
      </c>
      <c r="BD629" s="496" t="s">
        <v>1818</v>
      </c>
      <c r="BE629" s="497">
        <v>41974</v>
      </c>
      <c r="BF629" s="498">
        <v>76647.551359999998</v>
      </c>
      <c r="BG629" s="488">
        <v>76647.551359999998</v>
      </c>
      <c r="BH629" s="488">
        <v>0</v>
      </c>
      <c r="BI629" s="488">
        <v>0</v>
      </c>
      <c r="BJ629" s="494" t="s">
        <v>1465</v>
      </c>
      <c r="BK629" s="401"/>
    </row>
    <row r="630" spans="1:63" ht="131.25">
      <c r="A630" s="401">
        <v>2</v>
      </c>
      <c r="B630" s="494" t="s">
        <v>2516</v>
      </c>
      <c r="C630" s="401" t="s">
        <v>83</v>
      </c>
      <c r="D630" s="401" t="s">
        <v>225</v>
      </c>
      <c r="E630" s="494" t="s">
        <v>5853</v>
      </c>
      <c r="F630" s="401" t="s">
        <v>1768</v>
      </c>
      <c r="G630" s="401" t="s">
        <v>1769</v>
      </c>
      <c r="H630" s="499" t="s">
        <v>5778</v>
      </c>
      <c r="I630" s="486" t="s">
        <v>5779</v>
      </c>
      <c r="J630" s="496" t="s">
        <v>1771</v>
      </c>
      <c r="K630" s="496" t="s">
        <v>1771</v>
      </c>
      <c r="L630" s="496" t="s">
        <v>2513</v>
      </c>
      <c r="M630" s="500" t="s">
        <v>1755</v>
      </c>
      <c r="N630" s="496" t="s">
        <v>1773</v>
      </c>
      <c r="O630" s="496" t="s">
        <v>2234</v>
      </c>
      <c r="P630" s="489">
        <v>50822.202371439889</v>
      </c>
      <c r="Q630" s="489">
        <f t="shared" si="105"/>
        <v>59970.198798299069</v>
      </c>
      <c r="R630" s="489">
        <v>43091.881677499994</v>
      </c>
      <c r="S630" s="401" t="s">
        <v>5970</v>
      </c>
      <c r="T630" s="501">
        <v>1.087</v>
      </c>
      <c r="U630" s="501">
        <v>1.0680000000000001</v>
      </c>
      <c r="V630" s="501">
        <v>1.0589999999999999</v>
      </c>
      <c r="W630" s="501">
        <v>1.0580000000000001</v>
      </c>
      <c r="X630" s="596">
        <v>0.9</v>
      </c>
      <c r="Y630" s="502">
        <v>41459.799625121297</v>
      </c>
      <c r="Z630" s="489">
        <f t="shared" si="106"/>
        <v>48922.56355764313</v>
      </c>
      <c r="AA630" s="489">
        <v>47010.537193581898</v>
      </c>
      <c r="AB630" s="488">
        <f t="shared" si="107"/>
        <v>55472.43388842664</v>
      </c>
      <c r="AC630" s="492">
        <f t="shared" si="109"/>
        <v>41459.799625121297</v>
      </c>
      <c r="AD630" s="493">
        <f t="shared" si="108"/>
        <v>48922.56355764313</v>
      </c>
      <c r="AE630" s="494" t="s">
        <v>1775</v>
      </c>
      <c r="AF630" s="494" t="s">
        <v>83</v>
      </c>
      <c r="AG630" s="494" t="s">
        <v>211</v>
      </c>
      <c r="AH630" s="494" t="s">
        <v>545</v>
      </c>
      <c r="AI630" s="495">
        <v>41835</v>
      </c>
      <c r="AJ630" s="495">
        <v>41870</v>
      </c>
      <c r="AK630" s="494" t="s">
        <v>96</v>
      </c>
      <c r="AL630" s="494" t="s">
        <v>96</v>
      </c>
      <c r="AM630" s="496" t="s">
        <v>1776</v>
      </c>
      <c r="AN630" s="496" t="s">
        <v>1757</v>
      </c>
      <c r="AO630" s="494">
        <v>796</v>
      </c>
      <c r="AP630" s="494" t="s">
        <v>368</v>
      </c>
      <c r="AQ630" s="494">
        <v>1</v>
      </c>
      <c r="AR630" s="494">
        <v>46</v>
      </c>
      <c r="AS630" s="496" t="s">
        <v>605</v>
      </c>
      <c r="AT630" s="495">
        <v>41890</v>
      </c>
      <c r="AU630" s="495">
        <v>41890</v>
      </c>
      <c r="AV630" s="495">
        <v>42004</v>
      </c>
      <c r="AW630" s="494">
        <v>2014</v>
      </c>
      <c r="AX630" s="496"/>
      <c r="AY630" s="494" t="s">
        <v>186</v>
      </c>
      <c r="AZ630" s="494"/>
      <c r="BA630" s="494">
        <v>2014</v>
      </c>
      <c r="BB630" s="494" t="s">
        <v>2518</v>
      </c>
      <c r="BC630" s="496" t="s">
        <v>2517</v>
      </c>
      <c r="BD630" s="496" t="s">
        <v>1818</v>
      </c>
      <c r="BE630" s="497">
        <v>41974</v>
      </c>
      <c r="BF630" s="498">
        <v>58785.368773400005</v>
      </c>
      <c r="BG630" s="488">
        <v>58785.368773400005</v>
      </c>
      <c r="BH630" s="488">
        <v>0</v>
      </c>
      <c r="BI630" s="488">
        <v>6</v>
      </c>
      <c r="BJ630" s="494" t="s">
        <v>1465</v>
      </c>
      <c r="BK630" s="401"/>
    </row>
    <row r="631" spans="1:63" ht="112.5">
      <c r="A631" s="401">
        <v>2</v>
      </c>
      <c r="B631" s="494" t="s">
        <v>2519</v>
      </c>
      <c r="C631" s="401" t="s">
        <v>83</v>
      </c>
      <c r="D631" s="401" t="s">
        <v>225</v>
      </c>
      <c r="E631" s="494" t="s">
        <v>5853</v>
      </c>
      <c r="F631" s="401" t="s">
        <v>1768</v>
      </c>
      <c r="G631" s="401" t="s">
        <v>1769</v>
      </c>
      <c r="H631" s="499" t="s">
        <v>5780</v>
      </c>
      <c r="I631" s="486" t="s">
        <v>2520</v>
      </c>
      <c r="J631" s="496" t="s">
        <v>1771</v>
      </c>
      <c r="K631" s="496" t="s">
        <v>1771</v>
      </c>
      <c r="L631" s="496" t="s">
        <v>2513</v>
      </c>
      <c r="M631" s="500" t="s">
        <v>1755</v>
      </c>
      <c r="N631" s="496" t="s">
        <v>1773</v>
      </c>
      <c r="O631" s="496" t="s">
        <v>2234</v>
      </c>
      <c r="P631" s="489">
        <v>81892.966292062469</v>
      </c>
      <c r="Q631" s="489">
        <f t="shared" si="105"/>
        <v>96633.700224633707</v>
      </c>
      <c r="R631" s="489">
        <v>62232.870358363638</v>
      </c>
      <c r="S631" s="401" t="s">
        <v>1774</v>
      </c>
      <c r="T631" s="501">
        <v>1.087</v>
      </c>
      <c r="U631" s="501">
        <v>1.077</v>
      </c>
      <c r="V631" s="501">
        <v>1.073</v>
      </c>
      <c r="W631" s="501">
        <v>1.071</v>
      </c>
      <c r="X631" s="596">
        <v>0.9</v>
      </c>
      <c r="Y631" s="502">
        <v>70348.036653094256</v>
      </c>
      <c r="Z631" s="489">
        <f t="shared" si="106"/>
        <v>83010.683250651215</v>
      </c>
      <c r="AA631" s="489">
        <v>75750.99382015779</v>
      </c>
      <c r="AB631" s="488">
        <f t="shared" si="107"/>
        <v>89386.172707786187</v>
      </c>
      <c r="AC631" s="492">
        <f t="shared" si="109"/>
        <v>70348.036653094256</v>
      </c>
      <c r="AD631" s="493">
        <f t="shared" si="108"/>
        <v>83010.683250651215</v>
      </c>
      <c r="AE631" s="494" t="s">
        <v>1775</v>
      </c>
      <c r="AF631" s="494" t="s">
        <v>83</v>
      </c>
      <c r="AG631" s="494" t="s">
        <v>211</v>
      </c>
      <c r="AH631" s="494" t="s">
        <v>545</v>
      </c>
      <c r="AI631" s="495">
        <v>41835</v>
      </c>
      <c r="AJ631" s="495">
        <v>41870</v>
      </c>
      <c r="AK631" s="494" t="s">
        <v>96</v>
      </c>
      <c r="AL631" s="494" t="s">
        <v>96</v>
      </c>
      <c r="AM631" s="496" t="s">
        <v>1776</v>
      </c>
      <c r="AN631" s="496" t="s">
        <v>1757</v>
      </c>
      <c r="AO631" s="494">
        <v>796</v>
      </c>
      <c r="AP631" s="494" t="s">
        <v>368</v>
      </c>
      <c r="AQ631" s="494">
        <v>1</v>
      </c>
      <c r="AR631" s="494">
        <v>46</v>
      </c>
      <c r="AS631" s="496" t="s">
        <v>605</v>
      </c>
      <c r="AT631" s="495">
        <v>41890</v>
      </c>
      <c r="AU631" s="495">
        <v>41890</v>
      </c>
      <c r="AV631" s="495">
        <v>42004</v>
      </c>
      <c r="AW631" s="494">
        <v>2014</v>
      </c>
      <c r="AX631" s="496"/>
      <c r="AY631" s="494" t="s">
        <v>186</v>
      </c>
      <c r="AZ631" s="494"/>
      <c r="BA631" s="494">
        <v>2014</v>
      </c>
      <c r="BB631" s="494" t="s">
        <v>2521</v>
      </c>
      <c r="BC631" s="496" t="s">
        <v>2522</v>
      </c>
      <c r="BD631" s="496" t="s">
        <v>1818</v>
      </c>
      <c r="BE631" s="497">
        <v>41974</v>
      </c>
      <c r="BF631" s="498">
        <v>96973.526840999984</v>
      </c>
      <c r="BG631" s="488">
        <v>96973.526840999984</v>
      </c>
      <c r="BH631" s="488">
        <v>0</v>
      </c>
      <c r="BI631" s="488">
        <v>13</v>
      </c>
      <c r="BJ631" s="494" t="s">
        <v>1465</v>
      </c>
      <c r="BK631" s="401"/>
    </row>
    <row r="632" spans="1:63" ht="112.5">
      <c r="A632" s="401">
        <v>2</v>
      </c>
      <c r="B632" s="494" t="s">
        <v>2523</v>
      </c>
      <c r="C632" s="401" t="s">
        <v>83</v>
      </c>
      <c r="D632" s="401" t="s">
        <v>225</v>
      </c>
      <c r="E632" s="494" t="s">
        <v>5853</v>
      </c>
      <c r="F632" s="401" t="s">
        <v>1768</v>
      </c>
      <c r="G632" s="401" t="s">
        <v>1769</v>
      </c>
      <c r="H632" s="499" t="s">
        <v>5781</v>
      </c>
      <c r="I632" s="486" t="s">
        <v>2524</v>
      </c>
      <c r="J632" s="496" t="s">
        <v>1771</v>
      </c>
      <c r="K632" s="496" t="s">
        <v>1771</v>
      </c>
      <c r="L632" s="496" t="s">
        <v>2513</v>
      </c>
      <c r="M632" s="500" t="s">
        <v>1755</v>
      </c>
      <c r="N632" s="496" t="s">
        <v>1773</v>
      </c>
      <c r="O632" s="496" t="s">
        <v>2234</v>
      </c>
      <c r="P632" s="489">
        <v>23507.24014106088</v>
      </c>
      <c r="Q632" s="489">
        <f t="shared" si="105"/>
        <v>27738.543366451839</v>
      </c>
      <c r="R632" s="489">
        <v>18245.668234545454</v>
      </c>
      <c r="S632" s="401" t="s">
        <v>1774</v>
      </c>
      <c r="T632" s="501">
        <v>1.087</v>
      </c>
      <c r="U632" s="501">
        <v>1.077</v>
      </c>
      <c r="V632" s="501">
        <v>1.073</v>
      </c>
      <c r="W632" s="501">
        <v>1.071</v>
      </c>
      <c r="X632" s="596">
        <v>0.9</v>
      </c>
      <c r="Y632" s="502">
        <v>20624.903372330184</v>
      </c>
      <c r="Z632" s="489">
        <f t="shared" si="106"/>
        <v>24337.385979349616</v>
      </c>
      <c r="AA632" s="489">
        <v>21744.197130481316</v>
      </c>
      <c r="AB632" s="488">
        <f t="shared" si="107"/>
        <v>25658.152613967952</v>
      </c>
      <c r="AC632" s="492">
        <f t="shared" si="109"/>
        <v>20624.903372330184</v>
      </c>
      <c r="AD632" s="493">
        <f t="shared" si="108"/>
        <v>24337.385979349616</v>
      </c>
      <c r="AE632" s="494" t="s">
        <v>1775</v>
      </c>
      <c r="AF632" s="494" t="s">
        <v>83</v>
      </c>
      <c r="AG632" s="494" t="s">
        <v>211</v>
      </c>
      <c r="AH632" s="494" t="s">
        <v>545</v>
      </c>
      <c r="AI632" s="495">
        <v>41835</v>
      </c>
      <c r="AJ632" s="495">
        <v>41870</v>
      </c>
      <c r="AK632" s="494" t="s">
        <v>96</v>
      </c>
      <c r="AL632" s="494" t="s">
        <v>96</v>
      </c>
      <c r="AM632" s="496" t="s">
        <v>1776</v>
      </c>
      <c r="AN632" s="496" t="s">
        <v>1757</v>
      </c>
      <c r="AO632" s="494">
        <v>796</v>
      </c>
      <c r="AP632" s="494" t="s">
        <v>368</v>
      </c>
      <c r="AQ632" s="494">
        <v>1</v>
      </c>
      <c r="AR632" s="494">
        <v>46</v>
      </c>
      <c r="AS632" s="496" t="s">
        <v>605</v>
      </c>
      <c r="AT632" s="495">
        <v>41890</v>
      </c>
      <c r="AU632" s="495">
        <v>41890</v>
      </c>
      <c r="AV632" s="495">
        <v>42004</v>
      </c>
      <c r="AW632" s="494">
        <v>2014</v>
      </c>
      <c r="AX632" s="496"/>
      <c r="AY632" s="494" t="s">
        <v>186</v>
      </c>
      <c r="AZ632" s="494"/>
      <c r="BA632" s="494">
        <v>2014</v>
      </c>
      <c r="BB632" s="494" t="s">
        <v>2525</v>
      </c>
      <c r="BC632" s="496" t="s">
        <v>2526</v>
      </c>
      <c r="BD632" s="496" t="s">
        <v>1818</v>
      </c>
      <c r="BE632" s="497">
        <v>41974</v>
      </c>
      <c r="BF632" s="498">
        <v>27030.139167999998</v>
      </c>
      <c r="BG632" s="488">
        <v>27030.139167999998</v>
      </c>
      <c r="BH632" s="488">
        <v>2.5</v>
      </c>
      <c r="BI632" s="488">
        <v>1</v>
      </c>
      <c r="BJ632" s="494" t="s">
        <v>1465</v>
      </c>
      <c r="BK632" s="401"/>
    </row>
    <row r="633" spans="1:63" ht="112.5">
      <c r="A633" s="401">
        <v>2</v>
      </c>
      <c r="B633" s="494" t="s">
        <v>2527</v>
      </c>
      <c r="C633" s="401" t="s">
        <v>83</v>
      </c>
      <c r="D633" s="401" t="s">
        <v>225</v>
      </c>
      <c r="E633" s="494" t="s">
        <v>5853</v>
      </c>
      <c r="F633" s="401" t="s">
        <v>1795</v>
      </c>
      <c r="G633" s="401" t="s">
        <v>1769</v>
      </c>
      <c r="H633" s="499" t="s">
        <v>5782</v>
      </c>
      <c r="I633" s="486" t="s">
        <v>2528</v>
      </c>
      <c r="J633" s="496" t="s">
        <v>2529</v>
      </c>
      <c r="K633" s="496" t="s">
        <v>2529</v>
      </c>
      <c r="L633" s="496" t="s">
        <v>2513</v>
      </c>
      <c r="M633" s="500" t="s">
        <v>1755</v>
      </c>
      <c r="N633" s="496" t="s">
        <v>1773</v>
      </c>
      <c r="O633" s="496" t="s">
        <v>2234</v>
      </c>
      <c r="P633" s="489">
        <v>21928.946973618877</v>
      </c>
      <c r="Q633" s="489">
        <f t="shared" si="105"/>
        <v>25876.157428870272</v>
      </c>
      <c r="R633" s="489">
        <v>17142.902042909092</v>
      </c>
      <c r="S633" s="401" t="s">
        <v>1774</v>
      </c>
      <c r="T633" s="501">
        <v>1.087</v>
      </c>
      <c r="U633" s="501">
        <v>1.077</v>
      </c>
      <c r="V633" s="501">
        <v>1.073</v>
      </c>
      <c r="W633" s="501">
        <v>1.071</v>
      </c>
      <c r="X633" s="596">
        <v>0.9</v>
      </c>
      <c r="Y633" s="502">
        <v>19378.336469304442</v>
      </c>
      <c r="Z633" s="489">
        <f t="shared" si="106"/>
        <v>22866.437033779242</v>
      </c>
      <c r="AA633" s="489">
        <v>20284.275950597461</v>
      </c>
      <c r="AB633" s="488">
        <f t="shared" si="107"/>
        <v>23935.445621705003</v>
      </c>
      <c r="AC633" s="492">
        <f t="shared" si="109"/>
        <v>19378.336469304442</v>
      </c>
      <c r="AD633" s="493">
        <f t="shared" si="108"/>
        <v>22866.437033779242</v>
      </c>
      <c r="AE633" s="494" t="s">
        <v>1775</v>
      </c>
      <c r="AF633" s="494" t="s">
        <v>83</v>
      </c>
      <c r="AG633" s="494" t="s">
        <v>211</v>
      </c>
      <c r="AH633" s="494" t="s">
        <v>545</v>
      </c>
      <c r="AI633" s="495">
        <v>41835</v>
      </c>
      <c r="AJ633" s="495">
        <v>41870</v>
      </c>
      <c r="AK633" s="494" t="s">
        <v>96</v>
      </c>
      <c r="AL633" s="494" t="s">
        <v>96</v>
      </c>
      <c r="AM633" s="496" t="s">
        <v>2530</v>
      </c>
      <c r="AN633" s="496" t="s">
        <v>1757</v>
      </c>
      <c r="AO633" s="494">
        <v>796</v>
      </c>
      <c r="AP633" s="494" t="s">
        <v>368</v>
      </c>
      <c r="AQ633" s="494">
        <v>1</v>
      </c>
      <c r="AR633" s="494">
        <v>46</v>
      </c>
      <c r="AS633" s="496" t="s">
        <v>605</v>
      </c>
      <c r="AT633" s="495">
        <v>41890</v>
      </c>
      <c r="AU633" s="495">
        <v>41890</v>
      </c>
      <c r="AV633" s="495">
        <v>42004</v>
      </c>
      <c r="AW633" s="494">
        <v>2014</v>
      </c>
      <c r="AX633" s="496"/>
      <c r="AY633" s="494" t="s">
        <v>186</v>
      </c>
      <c r="AZ633" s="494"/>
      <c r="BA633" s="494">
        <v>2014</v>
      </c>
      <c r="BB633" s="494" t="s">
        <v>2531</v>
      </c>
      <c r="BC633" s="496" t="s">
        <v>2532</v>
      </c>
      <c r="BD633" s="496" t="s">
        <v>1818</v>
      </c>
      <c r="BE633" s="497">
        <v>41974</v>
      </c>
      <c r="BF633" s="498">
        <v>28149.447118800006</v>
      </c>
      <c r="BG633" s="488">
        <v>28149.447118800006</v>
      </c>
      <c r="BH633" s="488">
        <v>0</v>
      </c>
      <c r="BI633" s="488">
        <v>5</v>
      </c>
      <c r="BJ633" s="494" t="s">
        <v>1465</v>
      </c>
      <c r="BK633" s="401"/>
    </row>
    <row r="634" spans="1:63" ht="112.5">
      <c r="A634" s="401">
        <v>2</v>
      </c>
      <c r="B634" s="494" t="s">
        <v>2533</v>
      </c>
      <c r="C634" s="401" t="s">
        <v>83</v>
      </c>
      <c r="D634" s="401" t="s">
        <v>225</v>
      </c>
      <c r="E634" s="494" t="s">
        <v>5853</v>
      </c>
      <c r="F634" s="401" t="s">
        <v>1768</v>
      </c>
      <c r="G634" s="401" t="s">
        <v>1769</v>
      </c>
      <c r="H634" s="499" t="s">
        <v>5783</v>
      </c>
      <c r="I634" s="486" t="s">
        <v>2534</v>
      </c>
      <c r="J634" s="496" t="s">
        <v>1771</v>
      </c>
      <c r="K634" s="496" t="s">
        <v>1771</v>
      </c>
      <c r="L634" s="496" t="s">
        <v>2513</v>
      </c>
      <c r="M634" s="500" t="s">
        <v>1755</v>
      </c>
      <c r="N634" s="496" t="s">
        <v>1773</v>
      </c>
      <c r="O634" s="496" t="s">
        <v>2234</v>
      </c>
      <c r="P634" s="489">
        <v>27978.420962273492</v>
      </c>
      <c r="Q634" s="489">
        <f t="shared" si="105"/>
        <v>33014.536735482718</v>
      </c>
      <c r="R634" s="489">
        <v>21714.538849272729</v>
      </c>
      <c r="S634" s="401" t="s">
        <v>1774</v>
      </c>
      <c r="T634" s="501">
        <v>1.087</v>
      </c>
      <c r="U634" s="501">
        <v>1.077</v>
      </c>
      <c r="V634" s="501">
        <v>1.073</v>
      </c>
      <c r="W634" s="501">
        <v>1.071</v>
      </c>
      <c r="X634" s="596">
        <v>0.9</v>
      </c>
      <c r="Y634" s="502">
        <v>24546.1147152179</v>
      </c>
      <c r="Z634" s="489">
        <f t="shared" si="106"/>
        <v>28964.41536395712</v>
      </c>
      <c r="AA634" s="489">
        <v>25880.039390102982</v>
      </c>
      <c r="AB634" s="488">
        <f t="shared" si="107"/>
        <v>30538.446480321516</v>
      </c>
      <c r="AC634" s="492">
        <f t="shared" si="109"/>
        <v>24546.1147152179</v>
      </c>
      <c r="AD634" s="493">
        <f t="shared" si="108"/>
        <v>28964.41536395712</v>
      </c>
      <c r="AE634" s="494" t="s">
        <v>1775</v>
      </c>
      <c r="AF634" s="494" t="s">
        <v>83</v>
      </c>
      <c r="AG634" s="494" t="s">
        <v>211</v>
      </c>
      <c r="AH634" s="494" t="s">
        <v>545</v>
      </c>
      <c r="AI634" s="495">
        <v>41835</v>
      </c>
      <c r="AJ634" s="495">
        <v>41870</v>
      </c>
      <c r="AK634" s="494" t="s">
        <v>96</v>
      </c>
      <c r="AL634" s="494" t="s">
        <v>96</v>
      </c>
      <c r="AM634" s="496" t="s">
        <v>1776</v>
      </c>
      <c r="AN634" s="496" t="s">
        <v>1757</v>
      </c>
      <c r="AO634" s="494">
        <v>796</v>
      </c>
      <c r="AP634" s="494" t="s">
        <v>368</v>
      </c>
      <c r="AQ634" s="494">
        <v>1</v>
      </c>
      <c r="AR634" s="494">
        <v>46</v>
      </c>
      <c r="AS634" s="496" t="s">
        <v>605</v>
      </c>
      <c r="AT634" s="495">
        <v>41890</v>
      </c>
      <c r="AU634" s="495">
        <v>41890</v>
      </c>
      <c r="AV634" s="495">
        <v>42004</v>
      </c>
      <c r="AW634" s="494">
        <v>2014</v>
      </c>
      <c r="AX634" s="496"/>
      <c r="AY634" s="494" t="s">
        <v>186</v>
      </c>
      <c r="AZ634" s="494"/>
      <c r="BA634" s="494">
        <v>2014</v>
      </c>
      <c r="BB634" s="494" t="s">
        <v>2535</v>
      </c>
      <c r="BC634" s="496" t="s">
        <v>2536</v>
      </c>
      <c r="BD634" s="496" t="s">
        <v>1818</v>
      </c>
      <c r="BE634" s="497">
        <v>41974</v>
      </c>
      <c r="BF634" s="498">
        <v>35285.657268399998</v>
      </c>
      <c r="BG634" s="488">
        <v>35285.657268399998</v>
      </c>
      <c r="BH634" s="488">
        <v>0</v>
      </c>
      <c r="BI634" s="488">
        <v>4.5</v>
      </c>
      <c r="BJ634" s="494" t="s">
        <v>1465</v>
      </c>
      <c r="BK634" s="401"/>
    </row>
    <row r="635" spans="1:63" ht="112.5">
      <c r="A635" s="401">
        <v>2</v>
      </c>
      <c r="B635" s="494" t="s">
        <v>2537</v>
      </c>
      <c r="C635" s="401" t="s">
        <v>83</v>
      </c>
      <c r="D635" s="401" t="s">
        <v>225</v>
      </c>
      <c r="E635" s="494" t="s">
        <v>5853</v>
      </c>
      <c r="F635" s="401" t="s">
        <v>1768</v>
      </c>
      <c r="G635" s="401" t="s">
        <v>1769</v>
      </c>
      <c r="H635" s="499" t="s">
        <v>5784</v>
      </c>
      <c r="I635" s="486" t="s">
        <v>5785</v>
      </c>
      <c r="J635" s="496" t="s">
        <v>1771</v>
      </c>
      <c r="K635" s="496" t="s">
        <v>1771</v>
      </c>
      <c r="L635" s="496" t="s">
        <v>2513</v>
      </c>
      <c r="M635" s="500" t="s">
        <v>1755</v>
      </c>
      <c r="N635" s="496" t="s">
        <v>1773</v>
      </c>
      <c r="O635" s="496" t="s">
        <v>2234</v>
      </c>
      <c r="P635" s="489">
        <v>25444.923286102548</v>
      </c>
      <c r="Q635" s="489">
        <f t="shared" si="105"/>
        <v>30025.009477601005</v>
      </c>
      <c r="R635" s="489">
        <v>21574.618422163632</v>
      </c>
      <c r="S635" s="401" t="s">
        <v>5970</v>
      </c>
      <c r="T635" s="501">
        <v>1.087</v>
      </c>
      <c r="U635" s="501">
        <v>1.0680000000000001</v>
      </c>
      <c r="V635" s="501">
        <v>1.0589999999999999</v>
      </c>
      <c r="W635" s="501">
        <v>1.0580000000000001</v>
      </c>
      <c r="X635" s="596">
        <v>0.9</v>
      </c>
      <c r="Y635" s="502">
        <v>22124.607224328814</v>
      </c>
      <c r="Z635" s="489">
        <f t="shared" si="106"/>
        <v>26107.036524708001</v>
      </c>
      <c r="AA635" s="489">
        <v>23536.55403964486</v>
      </c>
      <c r="AB635" s="488">
        <f t="shared" si="107"/>
        <v>27773.133766780931</v>
      </c>
      <c r="AC635" s="492">
        <f t="shared" si="109"/>
        <v>22124.607224328814</v>
      </c>
      <c r="AD635" s="493">
        <f t="shared" si="108"/>
        <v>26107.036524708001</v>
      </c>
      <c r="AE635" s="494" t="s">
        <v>1775</v>
      </c>
      <c r="AF635" s="494" t="s">
        <v>83</v>
      </c>
      <c r="AG635" s="494" t="s">
        <v>211</v>
      </c>
      <c r="AH635" s="494" t="s">
        <v>545</v>
      </c>
      <c r="AI635" s="495">
        <v>41835</v>
      </c>
      <c r="AJ635" s="495">
        <v>41870</v>
      </c>
      <c r="AK635" s="494" t="s">
        <v>96</v>
      </c>
      <c r="AL635" s="494" t="s">
        <v>96</v>
      </c>
      <c r="AM635" s="496" t="s">
        <v>1776</v>
      </c>
      <c r="AN635" s="496" t="s">
        <v>1757</v>
      </c>
      <c r="AO635" s="494">
        <v>796</v>
      </c>
      <c r="AP635" s="494" t="s">
        <v>368</v>
      </c>
      <c r="AQ635" s="494">
        <v>1</v>
      </c>
      <c r="AR635" s="494">
        <v>46</v>
      </c>
      <c r="AS635" s="496" t="s">
        <v>605</v>
      </c>
      <c r="AT635" s="495">
        <v>41890</v>
      </c>
      <c r="AU635" s="495">
        <v>41890</v>
      </c>
      <c r="AV635" s="495">
        <v>42004</v>
      </c>
      <c r="AW635" s="494">
        <v>2014</v>
      </c>
      <c r="AX635" s="496"/>
      <c r="AY635" s="494" t="s">
        <v>186</v>
      </c>
      <c r="AZ635" s="494"/>
      <c r="BA635" s="494">
        <v>2014</v>
      </c>
      <c r="BB635" s="494" t="s">
        <v>2539</v>
      </c>
      <c r="BC635" s="496" t="s">
        <v>2538</v>
      </c>
      <c r="BD635" s="496" t="s">
        <v>1818</v>
      </c>
      <c r="BE635" s="497">
        <v>41974</v>
      </c>
      <c r="BF635" s="498">
        <v>15049.923396600001</v>
      </c>
      <c r="BG635" s="488">
        <v>15049.923396600001</v>
      </c>
      <c r="BH635" s="488">
        <v>0</v>
      </c>
      <c r="BI635" s="488">
        <v>0.2</v>
      </c>
      <c r="BJ635" s="494" t="s">
        <v>1465</v>
      </c>
      <c r="BK635" s="401"/>
    </row>
    <row r="636" spans="1:63" ht="112.5">
      <c r="A636" s="401">
        <v>2</v>
      </c>
      <c r="B636" s="494" t="s">
        <v>2540</v>
      </c>
      <c r="C636" s="401" t="s">
        <v>83</v>
      </c>
      <c r="D636" s="401" t="s">
        <v>225</v>
      </c>
      <c r="E636" s="494" t="s">
        <v>5853</v>
      </c>
      <c r="F636" s="401" t="s">
        <v>1795</v>
      </c>
      <c r="G636" s="401" t="s">
        <v>1769</v>
      </c>
      <c r="H636" s="499" t="s">
        <v>5786</v>
      </c>
      <c r="I636" s="486" t="s">
        <v>2541</v>
      </c>
      <c r="J636" s="496" t="s">
        <v>2529</v>
      </c>
      <c r="K636" s="496" t="s">
        <v>2529</v>
      </c>
      <c r="L636" s="496" t="s">
        <v>2513</v>
      </c>
      <c r="M636" s="500" t="s">
        <v>1755</v>
      </c>
      <c r="N636" s="496" t="s">
        <v>1773</v>
      </c>
      <c r="O636" s="496" t="s">
        <v>2234</v>
      </c>
      <c r="P636" s="489">
        <v>516.78734234855995</v>
      </c>
      <c r="Q636" s="489">
        <f t="shared" si="105"/>
        <v>609.8090639713007</v>
      </c>
      <c r="R636" s="489">
        <v>384.96728484848484</v>
      </c>
      <c r="S636" s="401" t="s">
        <v>1774</v>
      </c>
      <c r="T636" s="501">
        <v>1.087</v>
      </c>
      <c r="U636" s="501">
        <v>1.077</v>
      </c>
      <c r="V636" s="501">
        <v>1.073</v>
      </c>
      <c r="W636" s="501">
        <v>1.071</v>
      </c>
      <c r="X636" s="596">
        <v>0.9</v>
      </c>
      <c r="Y636" s="502">
        <v>435.22305454545454</v>
      </c>
      <c r="Z636" s="489">
        <f t="shared" si="106"/>
        <v>513.56320436363637</v>
      </c>
      <c r="AA636" s="489">
        <v>478.02829167241799</v>
      </c>
      <c r="AB636" s="488">
        <f t="shared" si="107"/>
        <v>564.07338417345318</v>
      </c>
      <c r="AC636" s="492">
        <f t="shared" si="109"/>
        <v>435.22305454545454</v>
      </c>
      <c r="AD636" s="493">
        <f t="shared" si="108"/>
        <v>513.56320436363637</v>
      </c>
      <c r="AE636" s="494" t="s">
        <v>1775</v>
      </c>
      <c r="AF636" s="494" t="s">
        <v>83</v>
      </c>
      <c r="AG636" s="494" t="s">
        <v>211</v>
      </c>
      <c r="AH636" s="494" t="s">
        <v>545</v>
      </c>
      <c r="AI636" s="495">
        <v>41835</v>
      </c>
      <c r="AJ636" s="495">
        <v>41870</v>
      </c>
      <c r="AK636" s="494" t="s">
        <v>96</v>
      </c>
      <c r="AL636" s="494" t="s">
        <v>96</v>
      </c>
      <c r="AM636" s="496" t="s">
        <v>2530</v>
      </c>
      <c r="AN636" s="496" t="s">
        <v>1757</v>
      </c>
      <c r="AO636" s="494">
        <v>796</v>
      </c>
      <c r="AP636" s="494" t="s">
        <v>368</v>
      </c>
      <c r="AQ636" s="494">
        <v>1</v>
      </c>
      <c r="AR636" s="494">
        <v>46</v>
      </c>
      <c r="AS636" s="496" t="s">
        <v>605</v>
      </c>
      <c r="AT636" s="495">
        <v>41890</v>
      </c>
      <c r="AU636" s="495">
        <v>41890</v>
      </c>
      <c r="AV636" s="495">
        <v>42004</v>
      </c>
      <c r="AW636" s="494">
        <v>2014</v>
      </c>
      <c r="AX636" s="496"/>
      <c r="AY636" s="494" t="s">
        <v>186</v>
      </c>
      <c r="AZ636" s="494"/>
      <c r="BA636" s="494">
        <v>2014</v>
      </c>
      <c r="BB636" s="494" t="s">
        <v>2542</v>
      </c>
      <c r="BC636" s="496" t="s">
        <v>2543</v>
      </c>
      <c r="BD636" s="496" t="s">
        <v>1818</v>
      </c>
      <c r="BE636" s="497">
        <v>41974</v>
      </c>
      <c r="BF636" s="498">
        <v>716.39099179999994</v>
      </c>
      <c r="BG636" s="488">
        <v>716.39099179999994</v>
      </c>
      <c r="BH636" s="488">
        <v>0</v>
      </c>
      <c r="BI636" s="488">
        <v>0.4</v>
      </c>
      <c r="BJ636" s="494" t="s">
        <v>1465</v>
      </c>
      <c r="BK636" s="401"/>
    </row>
    <row r="637" spans="1:63" ht="112.5">
      <c r="A637" s="401">
        <v>2</v>
      </c>
      <c r="B637" s="494" t="s">
        <v>2544</v>
      </c>
      <c r="C637" s="401" t="s">
        <v>83</v>
      </c>
      <c r="D637" s="401" t="s">
        <v>225</v>
      </c>
      <c r="E637" s="494" t="s">
        <v>5853</v>
      </c>
      <c r="F637" s="401" t="s">
        <v>1768</v>
      </c>
      <c r="G637" s="401" t="s">
        <v>1769</v>
      </c>
      <c r="H637" s="499" t="s">
        <v>5787</v>
      </c>
      <c r="I637" s="486" t="s">
        <v>2545</v>
      </c>
      <c r="J637" s="496" t="s">
        <v>1771</v>
      </c>
      <c r="K637" s="496" t="s">
        <v>1771</v>
      </c>
      <c r="L637" s="496" t="s">
        <v>2513</v>
      </c>
      <c r="M637" s="500" t="s">
        <v>1755</v>
      </c>
      <c r="N637" s="496" t="s">
        <v>1773</v>
      </c>
      <c r="O637" s="496" t="s">
        <v>2234</v>
      </c>
      <c r="P637" s="489">
        <v>63162.273624372348</v>
      </c>
      <c r="Q637" s="489">
        <f t="shared" si="105"/>
        <v>74531.482876759372</v>
      </c>
      <c r="R637" s="489">
        <v>46582.603757575751</v>
      </c>
      <c r="S637" s="401" t="s">
        <v>1774</v>
      </c>
      <c r="T637" s="501">
        <v>1.087</v>
      </c>
      <c r="U637" s="501">
        <v>1.077</v>
      </c>
      <c r="V637" s="501">
        <v>1.073</v>
      </c>
      <c r="W637" s="501">
        <v>1.071</v>
      </c>
      <c r="X637" s="596">
        <v>0.9</v>
      </c>
      <c r="Y637" s="502">
        <v>52656.974587878787</v>
      </c>
      <c r="Z637" s="489">
        <f t="shared" si="106"/>
        <v>62135.230013696964</v>
      </c>
      <c r="AA637" s="489">
        <v>58425.103102544424</v>
      </c>
      <c r="AB637" s="488">
        <f t="shared" si="107"/>
        <v>68941.621661002413</v>
      </c>
      <c r="AC637" s="492">
        <f t="shared" si="109"/>
        <v>52656.974587878787</v>
      </c>
      <c r="AD637" s="493">
        <f t="shared" si="108"/>
        <v>62135.230013696964</v>
      </c>
      <c r="AE637" s="494" t="s">
        <v>1775</v>
      </c>
      <c r="AF637" s="494" t="s">
        <v>83</v>
      </c>
      <c r="AG637" s="494" t="s">
        <v>211</v>
      </c>
      <c r="AH637" s="494" t="s">
        <v>545</v>
      </c>
      <c r="AI637" s="495">
        <v>41835</v>
      </c>
      <c r="AJ637" s="495">
        <v>41870</v>
      </c>
      <c r="AK637" s="494" t="s">
        <v>96</v>
      </c>
      <c r="AL637" s="494" t="s">
        <v>96</v>
      </c>
      <c r="AM637" s="496" t="s">
        <v>1776</v>
      </c>
      <c r="AN637" s="496" t="s">
        <v>1757</v>
      </c>
      <c r="AO637" s="494">
        <v>796</v>
      </c>
      <c r="AP637" s="494" t="s">
        <v>368</v>
      </c>
      <c r="AQ637" s="494">
        <v>1</v>
      </c>
      <c r="AR637" s="494">
        <v>46</v>
      </c>
      <c r="AS637" s="496" t="s">
        <v>605</v>
      </c>
      <c r="AT637" s="495">
        <v>41890</v>
      </c>
      <c r="AU637" s="495">
        <v>41890</v>
      </c>
      <c r="AV637" s="495">
        <v>42004</v>
      </c>
      <c r="AW637" s="494">
        <v>2014</v>
      </c>
      <c r="AX637" s="496"/>
      <c r="AY637" s="494" t="s">
        <v>186</v>
      </c>
      <c r="AZ637" s="494"/>
      <c r="BA637" s="494">
        <v>2014</v>
      </c>
      <c r="BB637" s="494" t="s">
        <v>2546</v>
      </c>
      <c r="BC637" s="496" t="s">
        <v>2547</v>
      </c>
      <c r="BD637" s="496" t="s">
        <v>1818</v>
      </c>
      <c r="BE637" s="497">
        <v>41974</v>
      </c>
      <c r="BF637" s="498">
        <v>79279.250017999992</v>
      </c>
      <c r="BG637" s="488">
        <v>79279.250017999992</v>
      </c>
      <c r="BH637" s="488">
        <v>0</v>
      </c>
      <c r="BI637" s="488">
        <v>9</v>
      </c>
      <c r="BJ637" s="494" t="s">
        <v>1465</v>
      </c>
      <c r="BK637" s="401"/>
    </row>
    <row r="638" spans="1:63" ht="112.5">
      <c r="A638" s="401">
        <v>2</v>
      </c>
      <c r="B638" s="494" t="s">
        <v>2548</v>
      </c>
      <c r="C638" s="401" t="s">
        <v>83</v>
      </c>
      <c r="D638" s="401" t="s">
        <v>225</v>
      </c>
      <c r="E638" s="494" t="s">
        <v>5853</v>
      </c>
      <c r="F638" s="401" t="s">
        <v>1795</v>
      </c>
      <c r="G638" s="401" t="s">
        <v>1769</v>
      </c>
      <c r="H638" s="499" t="s">
        <v>5788</v>
      </c>
      <c r="I638" s="486" t="s">
        <v>2549</v>
      </c>
      <c r="J638" s="496" t="s">
        <v>2529</v>
      </c>
      <c r="K638" s="496" t="s">
        <v>2529</v>
      </c>
      <c r="L638" s="496" t="s">
        <v>2513</v>
      </c>
      <c r="M638" s="500" t="s">
        <v>1755</v>
      </c>
      <c r="N638" s="496" t="s">
        <v>1773</v>
      </c>
      <c r="O638" s="496" t="s">
        <v>2234</v>
      </c>
      <c r="P638" s="489">
        <v>23102.563996539928</v>
      </c>
      <c r="Q638" s="489">
        <f t="shared" si="105"/>
        <v>27261.025515917114</v>
      </c>
      <c r="R638" s="489">
        <v>17185.616351515157</v>
      </c>
      <c r="S638" s="401" t="s">
        <v>1774</v>
      </c>
      <c r="T638" s="501">
        <v>1.087</v>
      </c>
      <c r="U638" s="501">
        <v>1.077</v>
      </c>
      <c r="V638" s="501">
        <v>1.073</v>
      </c>
      <c r="W638" s="501">
        <v>1.071</v>
      </c>
      <c r="X638" s="596">
        <v>0.9</v>
      </c>
      <c r="Y638" s="502">
        <v>19429.096600000001</v>
      </c>
      <c r="Z638" s="489">
        <f t="shared" si="106"/>
        <v>22926.333987999998</v>
      </c>
      <c r="AA638" s="489">
        <v>21369.871696799433</v>
      </c>
      <c r="AB638" s="488">
        <f t="shared" si="107"/>
        <v>25216.448602223329</v>
      </c>
      <c r="AC638" s="492">
        <f t="shared" si="109"/>
        <v>19429.096600000001</v>
      </c>
      <c r="AD638" s="493">
        <f t="shared" si="108"/>
        <v>22926.333987999998</v>
      </c>
      <c r="AE638" s="494" t="s">
        <v>1775</v>
      </c>
      <c r="AF638" s="494" t="s">
        <v>83</v>
      </c>
      <c r="AG638" s="494" t="s">
        <v>211</v>
      </c>
      <c r="AH638" s="494" t="s">
        <v>545</v>
      </c>
      <c r="AI638" s="495">
        <v>41835</v>
      </c>
      <c r="AJ638" s="495">
        <v>41870</v>
      </c>
      <c r="AK638" s="494" t="s">
        <v>96</v>
      </c>
      <c r="AL638" s="494" t="s">
        <v>96</v>
      </c>
      <c r="AM638" s="496" t="s">
        <v>2530</v>
      </c>
      <c r="AN638" s="496" t="s">
        <v>1757</v>
      </c>
      <c r="AO638" s="494">
        <v>796</v>
      </c>
      <c r="AP638" s="494" t="s">
        <v>368</v>
      </c>
      <c r="AQ638" s="494">
        <v>1</v>
      </c>
      <c r="AR638" s="494">
        <v>46</v>
      </c>
      <c r="AS638" s="496" t="s">
        <v>605</v>
      </c>
      <c r="AT638" s="495">
        <v>41890</v>
      </c>
      <c r="AU638" s="495">
        <v>41890</v>
      </c>
      <c r="AV638" s="495">
        <v>42004</v>
      </c>
      <c r="AW638" s="494">
        <v>2014</v>
      </c>
      <c r="AX638" s="496"/>
      <c r="AY638" s="494" t="s">
        <v>186</v>
      </c>
      <c r="AZ638" s="494"/>
      <c r="BA638" s="494">
        <v>2014</v>
      </c>
      <c r="BB638" s="494" t="s">
        <v>2550</v>
      </c>
      <c r="BC638" s="496" t="s">
        <v>2551</v>
      </c>
      <c r="BD638" s="496" t="s">
        <v>1818</v>
      </c>
      <c r="BE638" s="497">
        <v>41974</v>
      </c>
      <c r="BF638" s="498">
        <v>27324.228584892</v>
      </c>
      <c r="BG638" s="488">
        <v>27324.228584892</v>
      </c>
      <c r="BH638" s="488">
        <v>0</v>
      </c>
      <c r="BI638" s="488">
        <v>5</v>
      </c>
      <c r="BJ638" s="494" t="s">
        <v>1465</v>
      </c>
      <c r="BK638" s="401"/>
    </row>
    <row r="639" spans="1:63" ht="112.5">
      <c r="A639" s="401">
        <v>2</v>
      </c>
      <c r="B639" s="494" t="s">
        <v>2552</v>
      </c>
      <c r="C639" s="401" t="s">
        <v>83</v>
      </c>
      <c r="D639" s="401" t="s">
        <v>225</v>
      </c>
      <c r="E639" s="494" t="s">
        <v>5853</v>
      </c>
      <c r="F639" s="401" t="s">
        <v>1768</v>
      </c>
      <c r="G639" s="401" t="s">
        <v>1769</v>
      </c>
      <c r="H639" s="499" t="s">
        <v>5789</v>
      </c>
      <c r="I639" s="486" t="s">
        <v>2553</v>
      </c>
      <c r="J639" s="496" t="s">
        <v>1771</v>
      </c>
      <c r="K639" s="496" t="s">
        <v>1771</v>
      </c>
      <c r="L639" s="496" t="s">
        <v>2513</v>
      </c>
      <c r="M639" s="500" t="s">
        <v>1755</v>
      </c>
      <c r="N639" s="496" t="s">
        <v>1773</v>
      </c>
      <c r="O639" s="496" t="s">
        <v>2234</v>
      </c>
      <c r="P639" s="489">
        <v>68926.767196017885</v>
      </c>
      <c r="Q639" s="489">
        <f t="shared" si="105"/>
        <v>81333.585291301104</v>
      </c>
      <c r="R639" s="489">
        <v>49182.070533999999</v>
      </c>
      <c r="S639" s="401" t="s">
        <v>1774</v>
      </c>
      <c r="T639" s="501">
        <v>1.087</v>
      </c>
      <c r="U639" s="501">
        <v>1.077</v>
      </c>
      <c r="V639" s="501">
        <v>1.073</v>
      </c>
      <c r="W639" s="501">
        <v>1.071</v>
      </c>
      <c r="X639" s="596">
        <v>0.9</v>
      </c>
      <c r="Y639" s="502">
        <v>59534.896381407001</v>
      </c>
      <c r="Z639" s="489">
        <f t="shared" si="106"/>
        <v>70251.177730060255</v>
      </c>
      <c r="AA639" s="489">
        <v>63757.25965631655</v>
      </c>
      <c r="AB639" s="488">
        <f t="shared" si="107"/>
        <v>75233.566394453519</v>
      </c>
      <c r="AC639" s="492">
        <f t="shared" si="109"/>
        <v>59534.896381407001</v>
      </c>
      <c r="AD639" s="493">
        <f t="shared" si="108"/>
        <v>70251.177730060255</v>
      </c>
      <c r="AE639" s="494" t="s">
        <v>1775</v>
      </c>
      <c r="AF639" s="494" t="s">
        <v>83</v>
      </c>
      <c r="AG639" s="494" t="s">
        <v>211</v>
      </c>
      <c r="AH639" s="494" t="s">
        <v>545</v>
      </c>
      <c r="AI639" s="495">
        <v>41835</v>
      </c>
      <c r="AJ639" s="495">
        <v>41870</v>
      </c>
      <c r="AK639" s="494" t="s">
        <v>96</v>
      </c>
      <c r="AL639" s="494" t="s">
        <v>96</v>
      </c>
      <c r="AM639" s="496" t="s">
        <v>1776</v>
      </c>
      <c r="AN639" s="496" t="s">
        <v>1757</v>
      </c>
      <c r="AO639" s="494">
        <v>796</v>
      </c>
      <c r="AP639" s="494" t="s">
        <v>368</v>
      </c>
      <c r="AQ639" s="494">
        <v>1</v>
      </c>
      <c r="AR639" s="494">
        <v>46</v>
      </c>
      <c r="AS639" s="496" t="s">
        <v>605</v>
      </c>
      <c r="AT639" s="495">
        <v>41890</v>
      </c>
      <c r="AU639" s="495">
        <v>41890</v>
      </c>
      <c r="AV639" s="495">
        <v>42004</v>
      </c>
      <c r="AW639" s="494">
        <v>2014</v>
      </c>
      <c r="AX639" s="496"/>
      <c r="AY639" s="494" t="s">
        <v>186</v>
      </c>
      <c r="AZ639" s="494"/>
      <c r="BA639" s="494">
        <v>2014</v>
      </c>
      <c r="BB639" s="494" t="s">
        <v>2554</v>
      </c>
      <c r="BC639" s="496" t="s">
        <v>2555</v>
      </c>
      <c r="BD639" s="496" t="s">
        <v>1818</v>
      </c>
      <c r="BE639" s="497">
        <v>41974</v>
      </c>
      <c r="BF639" s="498">
        <v>82204.143854200011</v>
      </c>
      <c r="BG639" s="488">
        <v>82204.143854200011</v>
      </c>
      <c r="BH639" s="488">
        <v>2.5</v>
      </c>
      <c r="BI639" s="488">
        <v>6.5</v>
      </c>
      <c r="BJ639" s="494" t="s">
        <v>1465</v>
      </c>
      <c r="BK639" s="401"/>
    </row>
    <row r="640" spans="1:63" ht="131.25">
      <c r="A640" s="401">
        <v>2</v>
      </c>
      <c r="B640" s="494" t="s">
        <v>2556</v>
      </c>
      <c r="C640" s="401" t="s">
        <v>83</v>
      </c>
      <c r="D640" s="401" t="s">
        <v>225</v>
      </c>
      <c r="E640" s="494" t="s">
        <v>5853</v>
      </c>
      <c r="F640" s="401" t="s">
        <v>1768</v>
      </c>
      <c r="G640" s="401" t="s">
        <v>1769</v>
      </c>
      <c r="H640" s="499" t="s">
        <v>5790</v>
      </c>
      <c r="I640" s="486" t="s">
        <v>5791</v>
      </c>
      <c r="J640" s="496" t="s">
        <v>1771</v>
      </c>
      <c r="K640" s="496" t="s">
        <v>1771</v>
      </c>
      <c r="L640" s="496" t="s">
        <v>2513</v>
      </c>
      <c r="M640" s="500" t="s">
        <v>1755</v>
      </c>
      <c r="N640" s="496" t="s">
        <v>1773</v>
      </c>
      <c r="O640" s="496" t="s">
        <v>2234</v>
      </c>
      <c r="P640" s="489">
        <v>49480.715732814293</v>
      </c>
      <c r="Q640" s="489">
        <f t="shared" si="105"/>
        <v>58387.244564720866</v>
      </c>
      <c r="R640" s="489">
        <v>36410.413315151513</v>
      </c>
      <c r="S640" s="401" t="s">
        <v>1774</v>
      </c>
      <c r="T640" s="501">
        <v>1.087</v>
      </c>
      <c r="U640" s="501">
        <v>1.077</v>
      </c>
      <c r="V640" s="501">
        <v>1.073</v>
      </c>
      <c r="W640" s="501">
        <v>1.071</v>
      </c>
      <c r="X640" s="596">
        <v>0.9</v>
      </c>
      <c r="Y640" s="502">
        <v>41158.331242424239</v>
      </c>
      <c r="Z640" s="489">
        <f t="shared" si="106"/>
        <v>48566.830866060598</v>
      </c>
      <c r="AA640" s="489">
        <v>45769.662052853222</v>
      </c>
      <c r="AB640" s="488">
        <f t="shared" si="107"/>
        <v>54008.201222366799</v>
      </c>
      <c r="AC640" s="492">
        <f t="shared" si="109"/>
        <v>41158.331242424239</v>
      </c>
      <c r="AD640" s="493">
        <f t="shared" si="108"/>
        <v>48566.830866060598</v>
      </c>
      <c r="AE640" s="494" t="s">
        <v>1775</v>
      </c>
      <c r="AF640" s="494" t="s">
        <v>83</v>
      </c>
      <c r="AG640" s="494" t="s">
        <v>211</v>
      </c>
      <c r="AH640" s="494" t="s">
        <v>545</v>
      </c>
      <c r="AI640" s="495">
        <v>41835</v>
      </c>
      <c r="AJ640" s="495">
        <v>41870</v>
      </c>
      <c r="AK640" s="494" t="s">
        <v>96</v>
      </c>
      <c r="AL640" s="494" t="s">
        <v>96</v>
      </c>
      <c r="AM640" s="496" t="s">
        <v>1776</v>
      </c>
      <c r="AN640" s="496" t="s">
        <v>1757</v>
      </c>
      <c r="AO640" s="494">
        <v>796</v>
      </c>
      <c r="AP640" s="494" t="s">
        <v>368</v>
      </c>
      <c r="AQ640" s="494">
        <v>1</v>
      </c>
      <c r="AR640" s="494">
        <v>46</v>
      </c>
      <c r="AS640" s="496" t="s">
        <v>605</v>
      </c>
      <c r="AT640" s="495">
        <v>41890</v>
      </c>
      <c r="AU640" s="495">
        <v>41890</v>
      </c>
      <c r="AV640" s="495">
        <v>42004</v>
      </c>
      <c r="AW640" s="494">
        <v>2014</v>
      </c>
      <c r="AX640" s="496"/>
      <c r="AY640" s="494" t="s">
        <v>186</v>
      </c>
      <c r="AZ640" s="494"/>
      <c r="BA640" s="494">
        <v>2014</v>
      </c>
      <c r="BB640" s="494" t="s">
        <v>2557</v>
      </c>
      <c r="BC640" s="496" t="s">
        <v>2558</v>
      </c>
      <c r="BD640" s="496" t="s">
        <v>1818</v>
      </c>
      <c r="BE640" s="497">
        <v>41974</v>
      </c>
      <c r="BF640" s="498">
        <v>62086.258553</v>
      </c>
      <c r="BG640" s="488">
        <v>62086.258553</v>
      </c>
      <c r="BH640" s="488">
        <v>0</v>
      </c>
      <c r="BI640" s="488">
        <v>3.8</v>
      </c>
      <c r="BJ640" s="494" t="s">
        <v>1465</v>
      </c>
      <c r="BK640" s="401"/>
    </row>
    <row r="641" spans="1:63" ht="112.5">
      <c r="A641" s="401">
        <v>2</v>
      </c>
      <c r="B641" s="494" t="s">
        <v>2561</v>
      </c>
      <c r="C641" s="401" t="s">
        <v>83</v>
      </c>
      <c r="D641" s="401" t="s">
        <v>225</v>
      </c>
      <c r="E641" s="494" t="s">
        <v>5853</v>
      </c>
      <c r="F641" s="401" t="s">
        <v>1768</v>
      </c>
      <c r="G641" s="401" t="s">
        <v>1769</v>
      </c>
      <c r="H641" s="499" t="s">
        <v>5792</v>
      </c>
      <c r="I641" s="486" t="s">
        <v>2562</v>
      </c>
      <c r="J641" s="496" t="s">
        <v>1771</v>
      </c>
      <c r="K641" s="496" t="s">
        <v>1771</v>
      </c>
      <c r="L641" s="496" t="s">
        <v>2513</v>
      </c>
      <c r="M641" s="500" t="s">
        <v>1755</v>
      </c>
      <c r="N641" s="496" t="s">
        <v>1773</v>
      </c>
      <c r="O641" s="496" t="s">
        <v>2234</v>
      </c>
      <c r="P641" s="489">
        <v>67680.050663485206</v>
      </c>
      <c r="Q641" s="489">
        <f t="shared" si="105"/>
        <v>79862.459782912541</v>
      </c>
      <c r="R641" s="489">
        <v>57385.563769999993</v>
      </c>
      <c r="S641" s="401" t="s">
        <v>5970</v>
      </c>
      <c r="T641" s="501">
        <v>1.087</v>
      </c>
      <c r="U641" s="501">
        <v>1.0680000000000001</v>
      </c>
      <c r="V641" s="501">
        <v>1.0589999999999999</v>
      </c>
      <c r="W641" s="501">
        <v>1.0580000000000001</v>
      </c>
      <c r="X641" s="596">
        <v>0.9</v>
      </c>
      <c r="Y641" s="502">
        <v>50970.120573840548</v>
      </c>
      <c r="Z641" s="489">
        <f t="shared" si="106"/>
        <v>60144.742277131845</v>
      </c>
      <c r="AA641" s="489">
        <v>62604.046863723815</v>
      </c>
      <c r="AB641" s="488">
        <f t="shared" si="107"/>
        <v>73872.775299194094</v>
      </c>
      <c r="AC641" s="492">
        <f t="shared" si="109"/>
        <v>50970.120573840548</v>
      </c>
      <c r="AD641" s="493">
        <f t="shared" si="108"/>
        <v>60144.742277131845</v>
      </c>
      <c r="AE641" s="494" t="s">
        <v>1775</v>
      </c>
      <c r="AF641" s="494" t="s">
        <v>83</v>
      </c>
      <c r="AG641" s="494" t="s">
        <v>211</v>
      </c>
      <c r="AH641" s="494" t="s">
        <v>545</v>
      </c>
      <c r="AI641" s="495">
        <v>41835</v>
      </c>
      <c r="AJ641" s="495">
        <v>41870</v>
      </c>
      <c r="AK641" s="494" t="s">
        <v>96</v>
      </c>
      <c r="AL641" s="494" t="s">
        <v>96</v>
      </c>
      <c r="AM641" s="496" t="s">
        <v>1776</v>
      </c>
      <c r="AN641" s="496" t="s">
        <v>1757</v>
      </c>
      <c r="AO641" s="494">
        <v>796</v>
      </c>
      <c r="AP641" s="494" t="s">
        <v>368</v>
      </c>
      <c r="AQ641" s="494">
        <v>1</v>
      </c>
      <c r="AR641" s="494">
        <v>46</v>
      </c>
      <c r="AS641" s="496" t="s">
        <v>605</v>
      </c>
      <c r="AT641" s="495">
        <v>41890</v>
      </c>
      <c r="AU641" s="495">
        <v>41890</v>
      </c>
      <c r="AV641" s="495">
        <v>42004</v>
      </c>
      <c r="AW641" s="494">
        <v>2014</v>
      </c>
      <c r="AX641" s="496"/>
      <c r="AY641" s="494" t="s">
        <v>186</v>
      </c>
      <c r="AZ641" s="494"/>
      <c r="BA641" s="494">
        <v>2014</v>
      </c>
      <c r="BB641" s="494" t="s">
        <v>2563</v>
      </c>
      <c r="BC641" s="496" t="s">
        <v>2564</v>
      </c>
      <c r="BD641" s="496" t="s">
        <v>1818</v>
      </c>
      <c r="BE641" s="497">
        <v>41974</v>
      </c>
      <c r="BF641" s="498">
        <v>83345.288</v>
      </c>
      <c r="BG641" s="488">
        <v>83345.288</v>
      </c>
      <c r="BH641" s="488">
        <v>0</v>
      </c>
      <c r="BI641" s="488">
        <v>0</v>
      </c>
      <c r="BJ641" s="494" t="s">
        <v>1465</v>
      </c>
      <c r="BK641" s="401"/>
    </row>
    <row r="642" spans="1:63" ht="131.25">
      <c r="A642" s="401">
        <v>2</v>
      </c>
      <c r="B642" s="494" t="s">
        <v>2565</v>
      </c>
      <c r="C642" s="401" t="s">
        <v>83</v>
      </c>
      <c r="D642" s="401" t="s">
        <v>225</v>
      </c>
      <c r="E642" s="494" t="s">
        <v>5853</v>
      </c>
      <c r="F642" s="401" t="s">
        <v>1768</v>
      </c>
      <c r="G642" s="401" t="s">
        <v>1769</v>
      </c>
      <c r="H642" s="499" t="s">
        <v>5793</v>
      </c>
      <c r="I642" s="486" t="s">
        <v>2566</v>
      </c>
      <c r="J642" s="496" t="s">
        <v>1771</v>
      </c>
      <c r="K642" s="496" t="s">
        <v>1771</v>
      </c>
      <c r="L642" s="496" t="s">
        <v>2513</v>
      </c>
      <c r="M642" s="500" t="s">
        <v>1755</v>
      </c>
      <c r="N642" s="496" t="s">
        <v>1773</v>
      </c>
      <c r="O642" s="496" t="s">
        <v>2234</v>
      </c>
      <c r="P642" s="489">
        <v>62678.131645042842</v>
      </c>
      <c r="Q642" s="489">
        <f t="shared" si="105"/>
        <v>73960.195341150553</v>
      </c>
      <c r="R642" s="489">
        <v>53144.462588909089</v>
      </c>
      <c r="S642" s="401" t="s">
        <v>5970</v>
      </c>
      <c r="T642" s="501">
        <v>1.087</v>
      </c>
      <c r="U642" s="501">
        <v>1.0680000000000001</v>
      </c>
      <c r="V642" s="501">
        <v>1.0589999999999999</v>
      </c>
      <c r="W642" s="501">
        <v>1.0580000000000001</v>
      </c>
      <c r="X642" s="596">
        <v>0.9</v>
      </c>
      <c r="Y642" s="502">
        <v>33957.320752664185</v>
      </c>
      <c r="Z642" s="489">
        <f t="shared" si="106"/>
        <v>40069.638488143733</v>
      </c>
      <c r="AA642" s="489">
        <v>57977.271771664629</v>
      </c>
      <c r="AB642" s="488">
        <f t="shared" si="107"/>
        <v>68413.180690564259</v>
      </c>
      <c r="AC642" s="492">
        <f t="shared" si="109"/>
        <v>33957.320752664185</v>
      </c>
      <c r="AD642" s="493">
        <f t="shared" si="108"/>
        <v>40069.638488143733</v>
      </c>
      <c r="AE642" s="494" t="s">
        <v>1775</v>
      </c>
      <c r="AF642" s="494" t="s">
        <v>83</v>
      </c>
      <c r="AG642" s="494" t="s">
        <v>211</v>
      </c>
      <c r="AH642" s="494" t="s">
        <v>545</v>
      </c>
      <c r="AI642" s="495">
        <v>41835</v>
      </c>
      <c r="AJ642" s="495">
        <v>41870</v>
      </c>
      <c r="AK642" s="494" t="s">
        <v>96</v>
      </c>
      <c r="AL642" s="494" t="s">
        <v>96</v>
      </c>
      <c r="AM642" s="496" t="s">
        <v>1776</v>
      </c>
      <c r="AN642" s="496" t="s">
        <v>1757</v>
      </c>
      <c r="AO642" s="494">
        <v>796</v>
      </c>
      <c r="AP642" s="494" t="s">
        <v>368</v>
      </c>
      <c r="AQ642" s="494">
        <v>1</v>
      </c>
      <c r="AR642" s="494">
        <v>46</v>
      </c>
      <c r="AS642" s="496" t="s">
        <v>605</v>
      </c>
      <c r="AT642" s="495">
        <v>41890</v>
      </c>
      <c r="AU642" s="495">
        <v>41890</v>
      </c>
      <c r="AV642" s="495">
        <v>42004</v>
      </c>
      <c r="AW642" s="494">
        <v>2014</v>
      </c>
      <c r="AX642" s="496"/>
      <c r="AY642" s="494" t="s">
        <v>186</v>
      </c>
      <c r="AZ642" s="494"/>
      <c r="BA642" s="494">
        <v>2014</v>
      </c>
      <c r="BB642" s="494" t="s">
        <v>2567</v>
      </c>
      <c r="BC642" s="496" t="s">
        <v>2568</v>
      </c>
      <c r="BD642" s="496" t="s">
        <v>1818</v>
      </c>
      <c r="BE642" s="497">
        <v>41974</v>
      </c>
      <c r="BF642" s="498">
        <v>56901.688599999994</v>
      </c>
      <c r="BG642" s="488">
        <v>56901.688599999994</v>
      </c>
      <c r="BH642" s="488">
        <v>0</v>
      </c>
      <c r="BI642" s="488">
        <v>1</v>
      </c>
      <c r="BJ642" s="494" t="s">
        <v>1465</v>
      </c>
      <c r="BK642" s="401"/>
    </row>
    <row r="643" spans="1:63" ht="112.5">
      <c r="A643" s="401">
        <v>2</v>
      </c>
      <c r="B643" s="494" t="s">
        <v>2569</v>
      </c>
      <c r="C643" s="401" t="s">
        <v>83</v>
      </c>
      <c r="D643" s="401" t="s">
        <v>225</v>
      </c>
      <c r="E643" s="494" t="s">
        <v>5853</v>
      </c>
      <c r="F643" s="401" t="s">
        <v>1768</v>
      </c>
      <c r="G643" s="401" t="s">
        <v>1769</v>
      </c>
      <c r="H643" s="499" t="s">
        <v>5794</v>
      </c>
      <c r="I643" s="486" t="s">
        <v>2570</v>
      </c>
      <c r="J643" s="496" t="s">
        <v>1771</v>
      </c>
      <c r="K643" s="496" t="s">
        <v>1771</v>
      </c>
      <c r="L643" s="496" t="s">
        <v>2513</v>
      </c>
      <c r="M643" s="500" t="s">
        <v>1755</v>
      </c>
      <c r="N643" s="496" t="s">
        <v>1773</v>
      </c>
      <c r="O643" s="496" t="s">
        <v>2234</v>
      </c>
      <c r="P643" s="489">
        <v>89579.824453510795</v>
      </c>
      <c r="Q643" s="489">
        <f t="shared" si="105"/>
        <v>105704.19285514273</v>
      </c>
      <c r="R643" s="489">
        <v>75954.268329999992</v>
      </c>
      <c r="S643" s="401" t="s">
        <v>5970</v>
      </c>
      <c r="T643" s="501">
        <v>1.087</v>
      </c>
      <c r="U643" s="501">
        <v>1.0680000000000001</v>
      </c>
      <c r="V643" s="501">
        <v>1.0589999999999999</v>
      </c>
      <c r="W643" s="501">
        <v>1.0580000000000001</v>
      </c>
      <c r="X643" s="596">
        <v>0.9</v>
      </c>
      <c r="Y643" s="502">
        <v>76248.017331314739</v>
      </c>
      <c r="Z643" s="489">
        <f t="shared" si="106"/>
        <v>89972.660450951385</v>
      </c>
      <c r="AA643" s="489">
        <v>82861.337619497484</v>
      </c>
      <c r="AB643" s="488">
        <f t="shared" si="107"/>
        <v>97776.37839100702</v>
      </c>
      <c r="AC643" s="492">
        <f t="shared" si="109"/>
        <v>76248.017331314739</v>
      </c>
      <c r="AD643" s="493">
        <f t="shared" si="108"/>
        <v>89972.660450951385</v>
      </c>
      <c r="AE643" s="494" t="s">
        <v>1775</v>
      </c>
      <c r="AF643" s="494" t="s">
        <v>83</v>
      </c>
      <c r="AG643" s="494" t="s">
        <v>211</v>
      </c>
      <c r="AH643" s="494" t="s">
        <v>545</v>
      </c>
      <c r="AI643" s="495">
        <v>41835</v>
      </c>
      <c r="AJ643" s="495">
        <v>41870</v>
      </c>
      <c r="AK643" s="494" t="s">
        <v>96</v>
      </c>
      <c r="AL643" s="494" t="s">
        <v>96</v>
      </c>
      <c r="AM643" s="496" t="s">
        <v>1776</v>
      </c>
      <c r="AN643" s="496" t="s">
        <v>1757</v>
      </c>
      <c r="AO643" s="494">
        <v>796</v>
      </c>
      <c r="AP643" s="494" t="s">
        <v>368</v>
      </c>
      <c r="AQ643" s="494">
        <v>1</v>
      </c>
      <c r="AR643" s="494">
        <v>46</v>
      </c>
      <c r="AS643" s="496" t="s">
        <v>605</v>
      </c>
      <c r="AT643" s="495">
        <v>41890</v>
      </c>
      <c r="AU643" s="495">
        <v>41890</v>
      </c>
      <c r="AV643" s="495">
        <v>42004</v>
      </c>
      <c r="AW643" s="494">
        <v>2014</v>
      </c>
      <c r="AX643" s="496"/>
      <c r="AY643" s="494" t="s">
        <v>186</v>
      </c>
      <c r="AZ643" s="494"/>
      <c r="BA643" s="494">
        <v>2014</v>
      </c>
      <c r="BB643" s="494" t="s">
        <v>2571</v>
      </c>
      <c r="BC643" s="496" t="s">
        <v>2572</v>
      </c>
      <c r="BD643" s="496" t="s">
        <v>1818</v>
      </c>
      <c r="BE643" s="497">
        <v>41974</v>
      </c>
      <c r="BF643" s="580">
        <v>138083.9068</v>
      </c>
      <c r="BG643" s="488">
        <v>126142.25624129488</v>
      </c>
      <c r="BH643" s="488">
        <v>0</v>
      </c>
      <c r="BI643" s="488">
        <v>5.5</v>
      </c>
      <c r="BJ643" s="494" t="s">
        <v>1465</v>
      </c>
      <c r="BK643" s="401"/>
    </row>
    <row r="644" spans="1:63" ht="112.5">
      <c r="A644" s="401">
        <v>2</v>
      </c>
      <c r="B644" s="494" t="s">
        <v>2573</v>
      </c>
      <c r="C644" s="401" t="s">
        <v>83</v>
      </c>
      <c r="D644" s="401" t="s">
        <v>225</v>
      </c>
      <c r="E644" s="494" t="s">
        <v>5853</v>
      </c>
      <c r="F644" s="401" t="s">
        <v>1768</v>
      </c>
      <c r="G644" s="401" t="s">
        <v>1769</v>
      </c>
      <c r="H644" s="499" t="s">
        <v>5795</v>
      </c>
      <c r="I644" s="486" t="s">
        <v>2574</v>
      </c>
      <c r="J644" s="496" t="s">
        <v>1771</v>
      </c>
      <c r="K644" s="496" t="s">
        <v>1771</v>
      </c>
      <c r="L644" s="496" t="s">
        <v>2513</v>
      </c>
      <c r="M644" s="500" t="s">
        <v>1755</v>
      </c>
      <c r="N644" s="496" t="s">
        <v>1773</v>
      </c>
      <c r="O644" s="496" t="s">
        <v>2234</v>
      </c>
      <c r="P644" s="489">
        <v>51130.173382811998</v>
      </c>
      <c r="Q644" s="489">
        <f t="shared" si="105"/>
        <v>60333.604591718155</v>
      </c>
      <c r="R644" s="489">
        <v>35788.207466666667</v>
      </c>
      <c r="S644" s="401" t="s">
        <v>1774</v>
      </c>
      <c r="T644" s="501">
        <v>1.087</v>
      </c>
      <c r="U644" s="501">
        <v>1.077</v>
      </c>
      <c r="V644" s="501">
        <v>1.073</v>
      </c>
      <c r="W644" s="501">
        <v>1.071</v>
      </c>
      <c r="X644" s="596">
        <v>0.9</v>
      </c>
      <c r="Y644" s="502">
        <v>43770.516303030301</v>
      </c>
      <c r="Z644" s="489">
        <f t="shared" si="106"/>
        <v>51649.209237575749</v>
      </c>
      <c r="AA644" s="489">
        <v>47295.4103791011</v>
      </c>
      <c r="AB644" s="488">
        <f t="shared" si="107"/>
        <v>55808.584247339299</v>
      </c>
      <c r="AC644" s="492">
        <f t="shared" si="109"/>
        <v>43770.516303030301</v>
      </c>
      <c r="AD644" s="493">
        <f t="shared" si="108"/>
        <v>51649.209237575749</v>
      </c>
      <c r="AE644" s="494" t="s">
        <v>1775</v>
      </c>
      <c r="AF644" s="494" t="s">
        <v>83</v>
      </c>
      <c r="AG644" s="494" t="s">
        <v>211</v>
      </c>
      <c r="AH644" s="494" t="s">
        <v>545</v>
      </c>
      <c r="AI644" s="495">
        <v>41835</v>
      </c>
      <c r="AJ644" s="495">
        <v>41870</v>
      </c>
      <c r="AK644" s="494" t="s">
        <v>96</v>
      </c>
      <c r="AL644" s="494" t="s">
        <v>96</v>
      </c>
      <c r="AM644" s="496" t="s">
        <v>1776</v>
      </c>
      <c r="AN644" s="496" t="s">
        <v>1757</v>
      </c>
      <c r="AO644" s="494">
        <v>796</v>
      </c>
      <c r="AP644" s="494" t="s">
        <v>368</v>
      </c>
      <c r="AQ644" s="494">
        <v>1</v>
      </c>
      <c r="AR644" s="494">
        <v>46</v>
      </c>
      <c r="AS644" s="496" t="s">
        <v>605</v>
      </c>
      <c r="AT644" s="495">
        <v>41890</v>
      </c>
      <c r="AU644" s="495">
        <v>41890</v>
      </c>
      <c r="AV644" s="495">
        <v>42004</v>
      </c>
      <c r="AW644" s="494">
        <v>2014</v>
      </c>
      <c r="AX644" s="496"/>
      <c r="AY644" s="494" t="s">
        <v>186</v>
      </c>
      <c r="AZ644" s="494"/>
      <c r="BA644" s="494">
        <v>2014</v>
      </c>
      <c r="BB644" s="494" t="s">
        <v>2575</v>
      </c>
      <c r="BC644" s="496" t="s">
        <v>2576</v>
      </c>
      <c r="BD644" s="496" t="s">
        <v>1818</v>
      </c>
      <c r="BE644" s="497">
        <v>41974</v>
      </c>
      <c r="BF644" s="498">
        <v>65003.474199999997</v>
      </c>
      <c r="BG644" s="488">
        <v>65003.474199999997</v>
      </c>
      <c r="BH644" s="488">
        <v>0</v>
      </c>
      <c r="BI644" s="488">
        <v>0.2</v>
      </c>
      <c r="BJ644" s="494" t="s">
        <v>1465</v>
      </c>
      <c r="BK644" s="401"/>
    </row>
    <row r="645" spans="1:63" ht="112.5">
      <c r="A645" s="401">
        <v>2</v>
      </c>
      <c r="B645" s="494" t="s">
        <v>6650</v>
      </c>
      <c r="C645" s="401" t="s">
        <v>83</v>
      </c>
      <c r="D645" s="401" t="s">
        <v>225</v>
      </c>
      <c r="E645" s="494" t="s">
        <v>5853</v>
      </c>
      <c r="F645" s="401" t="s">
        <v>1768</v>
      </c>
      <c r="G645" s="401" t="s">
        <v>1769</v>
      </c>
      <c r="H645" s="499">
        <v>814304</v>
      </c>
      <c r="I645" s="486" t="s">
        <v>5796</v>
      </c>
      <c r="J645" s="496" t="s">
        <v>1771</v>
      </c>
      <c r="K645" s="496" t="s">
        <v>1771</v>
      </c>
      <c r="L645" s="496" t="s">
        <v>1772</v>
      </c>
      <c r="M645" s="500" t="s">
        <v>1755</v>
      </c>
      <c r="N645" s="496" t="s">
        <v>1773</v>
      </c>
      <c r="O645" s="496" t="s">
        <v>2234</v>
      </c>
      <c r="P645" s="489">
        <v>8929.6433428037999</v>
      </c>
      <c r="Q645" s="489">
        <f t="shared" si="105"/>
        <v>10536.979144508483</v>
      </c>
      <c r="R645" s="489">
        <v>7571.3982549999992</v>
      </c>
      <c r="S645" s="401" t="s">
        <v>5970</v>
      </c>
      <c r="T645" s="501">
        <v>1.087</v>
      </c>
      <c r="U645" s="501">
        <v>1.0680000000000001</v>
      </c>
      <c r="V645" s="501">
        <v>1.0589999999999999</v>
      </c>
      <c r="W645" s="501">
        <v>1.0580000000000001</v>
      </c>
      <c r="X645" s="596">
        <v>0.9</v>
      </c>
      <c r="Y645" s="502">
        <v>7942.2049799999995</v>
      </c>
      <c r="Z645" s="489">
        <f t="shared" si="106"/>
        <v>9371.8018763999989</v>
      </c>
      <c r="AA645" s="489">
        <v>8259.9200920935145</v>
      </c>
      <c r="AB645" s="488">
        <f t="shared" si="107"/>
        <v>9746.7057086703462</v>
      </c>
      <c r="AC645" s="492">
        <f t="shared" si="109"/>
        <v>7942.2049799999995</v>
      </c>
      <c r="AD645" s="493">
        <f t="shared" si="108"/>
        <v>9371.8018763999989</v>
      </c>
      <c r="AE645" s="494" t="s">
        <v>1775</v>
      </c>
      <c r="AF645" s="494" t="s">
        <v>83</v>
      </c>
      <c r="AG645" s="494" t="s">
        <v>211</v>
      </c>
      <c r="AH645" s="494" t="s">
        <v>545</v>
      </c>
      <c r="AI645" s="495">
        <v>41835</v>
      </c>
      <c r="AJ645" s="495">
        <v>41870</v>
      </c>
      <c r="AK645" s="494" t="s">
        <v>96</v>
      </c>
      <c r="AL645" s="494" t="s">
        <v>96</v>
      </c>
      <c r="AM645" s="496" t="s">
        <v>1776</v>
      </c>
      <c r="AN645" s="496" t="s">
        <v>1757</v>
      </c>
      <c r="AO645" s="494">
        <v>796</v>
      </c>
      <c r="AP645" s="494" t="s">
        <v>368</v>
      </c>
      <c r="AQ645" s="494">
        <v>1</v>
      </c>
      <c r="AR645" s="494">
        <v>46</v>
      </c>
      <c r="AS645" s="496" t="s">
        <v>605</v>
      </c>
      <c r="AT645" s="495">
        <v>41890</v>
      </c>
      <c r="AU645" s="495">
        <v>41890</v>
      </c>
      <c r="AV645" s="495">
        <v>42735</v>
      </c>
      <c r="AW645" s="494" t="s">
        <v>1789</v>
      </c>
      <c r="AX645" s="496"/>
      <c r="AY645" s="494" t="s">
        <v>186</v>
      </c>
      <c r="AZ645" s="494"/>
      <c r="BA645" s="494">
        <v>2014</v>
      </c>
      <c r="BB645" s="494" t="s">
        <v>5797</v>
      </c>
      <c r="BC645" s="496" t="s">
        <v>5798</v>
      </c>
      <c r="BD645" s="496" t="s">
        <v>1818</v>
      </c>
      <c r="BE645" s="497">
        <v>42734</v>
      </c>
      <c r="BF645" s="498">
        <v>155315.77436799998</v>
      </c>
      <c r="BG645" s="488">
        <v>155315.77436799998</v>
      </c>
      <c r="BH645" s="488">
        <v>0</v>
      </c>
      <c r="BI645" s="488">
        <v>0</v>
      </c>
      <c r="BJ645" s="494" t="s">
        <v>186</v>
      </c>
      <c r="BK645" s="401"/>
    </row>
    <row r="646" spans="1:63" ht="112.5">
      <c r="A646" s="401">
        <v>2</v>
      </c>
      <c r="B646" s="494" t="s">
        <v>6651</v>
      </c>
      <c r="C646" s="401" t="s">
        <v>83</v>
      </c>
      <c r="D646" s="401" t="s">
        <v>225</v>
      </c>
      <c r="E646" s="494" t="s">
        <v>5853</v>
      </c>
      <c r="F646" s="401" t="s">
        <v>1768</v>
      </c>
      <c r="G646" s="401" t="s">
        <v>1769</v>
      </c>
      <c r="H646" s="499">
        <v>814305</v>
      </c>
      <c r="I646" s="486" t="s">
        <v>5799</v>
      </c>
      <c r="J646" s="496" t="s">
        <v>1771</v>
      </c>
      <c r="K646" s="496" t="s">
        <v>1771</v>
      </c>
      <c r="L646" s="496" t="s">
        <v>1772</v>
      </c>
      <c r="M646" s="500" t="s">
        <v>1755</v>
      </c>
      <c r="N646" s="496" t="s">
        <v>1773</v>
      </c>
      <c r="O646" s="496" t="s">
        <v>2234</v>
      </c>
      <c r="P646" s="489">
        <v>11170.956331061299</v>
      </c>
      <c r="Q646" s="489">
        <f t="shared" si="105"/>
        <v>13181.728470652333</v>
      </c>
      <c r="R646" s="489">
        <v>9195.9183569999987</v>
      </c>
      <c r="S646" s="401" t="s">
        <v>5970</v>
      </c>
      <c r="T646" s="501">
        <v>1.087</v>
      </c>
      <c r="U646" s="501">
        <v>1.0680000000000001</v>
      </c>
      <c r="V646" s="501">
        <v>1.0589999999999999</v>
      </c>
      <c r="W646" s="501">
        <v>1.0580000000000001</v>
      </c>
      <c r="X646" s="596">
        <v>0.9</v>
      </c>
      <c r="Y646" s="502">
        <v>11051</v>
      </c>
      <c r="Z646" s="489">
        <f t="shared" si="106"/>
        <v>13040.179999999998</v>
      </c>
      <c r="AA646" s="489">
        <v>10032.169520613321</v>
      </c>
      <c r="AB646" s="488">
        <f t="shared" si="107"/>
        <v>11837.960034323718</v>
      </c>
      <c r="AC646" s="492">
        <f t="shared" si="109"/>
        <v>10032.169520613321</v>
      </c>
      <c r="AD646" s="493">
        <f t="shared" si="108"/>
        <v>11837.960034323718</v>
      </c>
      <c r="AE646" s="494" t="s">
        <v>218</v>
      </c>
      <c r="AF646" s="494" t="s">
        <v>83</v>
      </c>
      <c r="AG646" s="494" t="s">
        <v>211</v>
      </c>
      <c r="AH646" s="494" t="s">
        <v>545</v>
      </c>
      <c r="AI646" s="495">
        <v>41835</v>
      </c>
      <c r="AJ646" s="495">
        <v>41895</v>
      </c>
      <c r="AK646" s="494" t="s">
        <v>96</v>
      </c>
      <c r="AL646" s="494" t="s">
        <v>96</v>
      </c>
      <c r="AM646" s="496" t="s">
        <v>1776</v>
      </c>
      <c r="AN646" s="496" t="s">
        <v>1757</v>
      </c>
      <c r="AO646" s="494">
        <v>796</v>
      </c>
      <c r="AP646" s="494" t="s">
        <v>368</v>
      </c>
      <c r="AQ646" s="494">
        <v>1</v>
      </c>
      <c r="AR646" s="494">
        <v>46</v>
      </c>
      <c r="AS646" s="496" t="s">
        <v>605</v>
      </c>
      <c r="AT646" s="495">
        <v>41915</v>
      </c>
      <c r="AU646" s="495">
        <v>41915</v>
      </c>
      <c r="AV646" s="495">
        <v>42004</v>
      </c>
      <c r="AW646" s="494">
        <v>2014</v>
      </c>
      <c r="AX646" s="496"/>
      <c r="AY646" s="494" t="s">
        <v>186</v>
      </c>
      <c r="AZ646" s="494"/>
      <c r="BA646" s="494">
        <v>2014</v>
      </c>
      <c r="BB646" s="494" t="s">
        <v>5800</v>
      </c>
      <c r="BC646" s="496" t="s">
        <v>5801</v>
      </c>
      <c r="BD646" s="496" t="s">
        <v>1818</v>
      </c>
      <c r="BE646" s="497">
        <v>42003</v>
      </c>
      <c r="BF646" s="498">
        <v>27443.2324352</v>
      </c>
      <c r="BG646" s="488">
        <v>27443.2324352</v>
      </c>
      <c r="BH646" s="488">
        <v>0</v>
      </c>
      <c r="BI646" s="488">
        <v>0</v>
      </c>
      <c r="BJ646" s="494" t="s">
        <v>186</v>
      </c>
      <c r="BK646" s="401"/>
    </row>
    <row r="647" spans="1:63" ht="112.5">
      <c r="A647" s="401">
        <v>2</v>
      </c>
      <c r="B647" s="494" t="s">
        <v>6652</v>
      </c>
      <c r="C647" s="401" t="s">
        <v>83</v>
      </c>
      <c r="D647" s="401" t="s">
        <v>225</v>
      </c>
      <c r="E647" s="494" t="s">
        <v>5853</v>
      </c>
      <c r="F647" s="401" t="s">
        <v>1768</v>
      </c>
      <c r="G647" s="401" t="s">
        <v>1769</v>
      </c>
      <c r="H647" s="499">
        <v>814306</v>
      </c>
      <c r="I647" s="486" t="s">
        <v>5802</v>
      </c>
      <c r="J647" s="496" t="s">
        <v>1771</v>
      </c>
      <c r="K647" s="496" t="s">
        <v>1771</v>
      </c>
      <c r="L647" s="496" t="s">
        <v>1772</v>
      </c>
      <c r="M647" s="500" t="s">
        <v>1755</v>
      </c>
      <c r="N647" s="496" t="s">
        <v>1773</v>
      </c>
      <c r="O647" s="496" t="s">
        <v>2234</v>
      </c>
      <c r="P647" s="489">
        <v>141090.31024473658</v>
      </c>
      <c r="Q647" s="489">
        <f t="shared" si="105"/>
        <v>166486.56608878917</v>
      </c>
      <c r="R647" s="489">
        <v>119629.74194767661</v>
      </c>
      <c r="S647" s="401" t="s">
        <v>5970</v>
      </c>
      <c r="T647" s="501">
        <v>1.087</v>
      </c>
      <c r="U647" s="501">
        <v>1.0680000000000001</v>
      </c>
      <c r="V647" s="501">
        <v>1.0589999999999999</v>
      </c>
      <c r="W647" s="501">
        <v>1.0580000000000001</v>
      </c>
      <c r="X647" s="596">
        <v>0.9</v>
      </c>
      <c r="Y647" s="502">
        <v>130716.57356004829</v>
      </c>
      <c r="Z647" s="489">
        <f t="shared" si="106"/>
        <v>154245.55680085698</v>
      </c>
      <c r="AA647" s="489">
        <v>130508.53697638132</v>
      </c>
      <c r="AB647" s="488">
        <f t="shared" si="107"/>
        <v>154000.07363212996</v>
      </c>
      <c r="AC647" s="492">
        <f t="shared" si="109"/>
        <v>130508.53697638132</v>
      </c>
      <c r="AD647" s="493">
        <f t="shared" si="108"/>
        <v>154000.07363212996</v>
      </c>
      <c r="AE647" s="494" t="s">
        <v>218</v>
      </c>
      <c r="AF647" s="494" t="s">
        <v>83</v>
      </c>
      <c r="AG647" s="494" t="s">
        <v>211</v>
      </c>
      <c r="AH647" s="494" t="s">
        <v>545</v>
      </c>
      <c r="AI647" s="495">
        <v>41835</v>
      </c>
      <c r="AJ647" s="495">
        <v>41895</v>
      </c>
      <c r="AK647" s="494" t="s">
        <v>96</v>
      </c>
      <c r="AL647" s="494" t="s">
        <v>96</v>
      </c>
      <c r="AM647" s="496" t="s">
        <v>1776</v>
      </c>
      <c r="AN647" s="496" t="s">
        <v>1757</v>
      </c>
      <c r="AO647" s="494">
        <v>796</v>
      </c>
      <c r="AP647" s="494" t="s">
        <v>368</v>
      </c>
      <c r="AQ647" s="494">
        <v>1</v>
      </c>
      <c r="AR647" s="494">
        <v>46</v>
      </c>
      <c r="AS647" s="496" t="s">
        <v>605</v>
      </c>
      <c r="AT647" s="495">
        <v>41915</v>
      </c>
      <c r="AU647" s="495">
        <v>41915</v>
      </c>
      <c r="AV647" s="495">
        <v>44561</v>
      </c>
      <c r="AW647" s="494" t="s">
        <v>5803</v>
      </c>
      <c r="AX647" s="496"/>
      <c r="AY647" s="494" t="s">
        <v>186</v>
      </c>
      <c r="AZ647" s="494"/>
      <c r="BA647" s="494">
        <v>2014</v>
      </c>
      <c r="BB647" s="494" t="s">
        <v>5804</v>
      </c>
      <c r="BC647" s="496" t="s">
        <v>5805</v>
      </c>
      <c r="BD647" s="496" t="s">
        <v>1818</v>
      </c>
      <c r="BE647" s="497">
        <v>44560</v>
      </c>
      <c r="BF647" s="498">
        <v>218070.50631966518</v>
      </c>
      <c r="BG647" s="488">
        <v>218070.50631966518</v>
      </c>
      <c r="BH647" s="488">
        <v>0</v>
      </c>
      <c r="BI647" s="488">
        <v>0</v>
      </c>
      <c r="BJ647" s="494" t="s">
        <v>186</v>
      </c>
      <c r="BK647" s="401"/>
    </row>
    <row r="648" spans="1:63" ht="112.5">
      <c r="A648" s="401">
        <v>2</v>
      </c>
      <c r="B648" s="494" t="s">
        <v>6653</v>
      </c>
      <c r="C648" s="401" t="s">
        <v>83</v>
      </c>
      <c r="D648" s="401" t="s">
        <v>225</v>
      </c>
      <c r="E648" s="494" t="s">
        <v>5853</v>
      </c>
      <c r="F648" s="401" t="s">
        <v>1761</v>
      </c>
      <c r="G648" s="401" t="s">
        <v>1762</v>
      </c>
      <c r="H648" s="499">
        <v>814307</v>
      </c>
      <c r="I648" s="486" t="s">
        <v>5806</v>
      </c>
      <c r="J648" s="496" t="s">
        <v>2978</v>
      </c>
      <c r="K648" s="496" t="s">
        <v>2978</v>
      </c>
      <c r="L648" s="496" t="s">
        <v>1772</v>
      </c>
      <c r="M648" s="500" t="s">
        <v>1755</v>
      </c>
      <c r="N648" s="496" t="s">
        <v>1773</v>
      </c>
      <c r="O648" s="496" t="s">
        <v>2234</v>
      </c>
      <c r="P648" s="489">
        <v>4271.21</v>
      </c>
      <c r="Q648" s="489">
        <f t="shared" si="105"/>
        <v>5040.0277999999998</v>
      </c>
      <c r="R648" s="489">
        <v>3023.9995289479566</v>
      </c>
      <c r="S648" s="401" t="s">
        <v>5970</v>
      </c>
      <c r="T648" s="501">
        <v>1.087</v>
      </c>
      <c r="U648" s="501">
        <v>1.0680000000000001</v>
      </c>
      <c r="V648" s="501">
        <v>1.0589999999999999</v>
      </c>
      <c r="W648" s="501">
        <v>1.0580000000000001</v>
      </c>
      <c r="X648" s="596">
        <v>0.9</v>
      </c>
      <c r="Y648" s="502">
        <v>4130.1202176095594</v>
      </c>
      <c r="Z648" s="489">
        <f t="shared" si="106"/>
        <v>4873.5418567792794</v>
      </c>
      <c r="AA648" s="489">
        <v>3298.9936107433809</v>
      </c>
      <c r="AB648" s="488">
        <f t="shared" si="107"/>
        <v>3892.8124606771894</v>
      </c>
      <c r="AC648" s="492">
        <f t="shared" si="109"/>
        <v>3298.9936107433809</v>
      </c>
      <c r="AD648" s="493">
        <f t="shared" si="108"/>
        <v>3892.8124606771894</v>
      </c>
      <c r="AE648" s="494" t="s">
        <v>1775</v>
      </c>
      <c r="AF648" s="494" t="s">
        <v>83</v>
      </c>
      <c r="AG648" s="494" t="s">
        <v>211</v>
      </c>
      <c r="AH648" s="494" t="s">
        <v>545</v>
      </c>
      <c r="AI648" s="495">
        <v>41654</v>
      </c>
      <c r="AJ648" s="495">
        <v>41689</v>
      </c>
      <c r="AK648" s="494" t="s">
        <v>96</v>
      </c>
      <c r="AL648" s="494" t="s">
        <v>96</v>
      </c>
      <c r="AM648" s="496" t="s">
        <v>5709</v>
      </c>
      <c r="AN648" s="496" t="s">
        <v>1757</v>
      </c>
      <c r="AO648" s="494">
        <v>796</v>
      </c>
      <c r="AP648" s="494" t="s">
        <v>368</v>
      </c>
      <c r="AQ648" s="494">
        <v>1</v>
      </c>
      <c r="AR648" s="494">
        <v>46</v>
      </c>
      <c r="AS648" s="496" t="s">
        <v>605</v>
      </c>
      <c r="AT648" s="495">
        <v>41709</v>
      </c>
      <c r="AU648" s="495">
        <v>41709</v>
      </c>
      <c r="AV648" s="495">
        <v>41820</v>
      </c>
      <c r="AW648" s="494">
        <v>2014</v>
      </c>
      <c r="AX648" s="496"/>
      <c r="AY648" s="494" t="s">
        <v>186</v>
      </c>
      <c r="AZ648" s="494"/>
      <c r="BA648" s="494">
        <v>2014</v>
      </c>
      <c r="BB648" s="494" t="s">
        <v>5807</v>
      </c>
      <c r="BC648" s="496" t="s">
        <v>5808</v>
      </c>
      <c r="BD648" s="496" t="s">
        <v>1818</v>
      </c>
      <c r="BE648" s="497">
        <v>42004</v>
      </c>
      <c r="BF648" s="498">
        <v>80993.97279999996</v>
      </c>
      <c r="BG648" s="488">
        <v>80993.97279999996</v>
      </c>
      <c r="BH648" s="488">
        <v>0</v>
      </c>
      <c r="BI648" s="488">
        <v>0</v>
      </c>
      <c r="BJ648" s="494" t="s">
        <v>186</v>
      </c>
      <c r="BK648" s="401"/>
    </row>
    <row r="649" spans="1:63" ht="112.5">
      <c r="A649" s="401">
        <v>2</v>
      </c>
      <c r="B649" s="494" t="s">
        <v>6654</v>
      </c>
      <c r="C649" s="401" t="s">
        <v>83</v>
      </c>
      <c r="D649" s="401" t="s">
        <v>225</v>
      </c>
      <c r="E649" s="494" t="s">
        <v>5853</v>
      </c>
      <c r="F649" s="401" t="s">
        <v>1768</v>
      </c>
      <c r="G649" s="401" t="s">
        <v>1769</v>
      </c>
      <c r="H649" s="499">
        <v>814308</v>
      </c>
      <c r="I649" s="486" t="s">
        <v>5809</v>
      </c>
      <c r="J649" s="496" t="s">
        <v>1771</v>
      </c>
      <c r="K649" s="496" t="s">
        <v>1771</v>
      </c>
      <c r="L649" s="496" t="s">
        <v>1772</v>
      </c>
      <c r="M649" s="500" t="s">
        <v>1755</v>
      </c>
      <c r="N649" s="496" t="s">
        <v>1773</v>
      </c>
      <c r="O649" s="496" t="s">
        <v>2234</v>
      </c>
      <c r="P649" s="489">
        <v>68312.356902168816</v>
      </c>
      <c r="Q649" s="489">
        <f t="shared" si="105"/>
        <v>80608.581144559197</v>
      </c>
      <c r="R649" s="489">
        <v>57921.700450000018</v>
      </c>
      <c r="S649" s="401" t="s">
        <v>5970</v>
      </c>
      <c r="T649" s="501">
        <v>1.087</v>
      </c>
      <c r="U649" s="501">
        <v>1.0680000000000001</v>
      </c>
      <c r="V649" s="501">
        <v>1.0589999999999999</v>
      </c>
      <c r="W649" s="501">
        <v>1.0580000000000001</v>
      </c>
      <c r="X649" s="596">
        <v>0.9</v>
      </c>
      <c r="Y649" s="502">
        <v>60861.369999999959</v>
      </c>
      <c r="Z649" s="489">
        <f t="shared" si="106"/>
        <v>71816.416599999953</v>
      </c>
      <c r="AA649" s="489">
        <v>63188.93013450611</v>
      </c>
      <c r="AB649" s="488">
        <f t="shared" si="107"/>
        <v>74562.937558717211</v>
      </c>
      <c r="AC649" s="492">
        <f t="shared" si="109"/>
        <v>60861.369999999959</v>
      </c>
      <c r="AD649" s="493">
        <f t="shared" si="108"/>
        <v>71816.416599999953</v>
      </c>
      <c r="AE649" s="494" t="s">
        <v>1775</v>
      </c>
      <c r="AF649" s="494" t="s">
        <v>83</v>
      </c>
      <c r="AG649" s="494" t="s">
        <v>211</v>
      </c>
      <c r="AH649" s="494" t="s">
        <v>545</v>
      </c>
      <c r="AI649" s="495">
        <v>41852</v>
      </c>
      <c r="AJ649" s="495">
        <v>41887</v>
      </c>
      <c r="AK649" s="494" t="s">
        <v>96</v>
      </c>
      <c r="AL649" s="494" t="s">
        <v>96</v>
      </c>
      <c r="AM649" s="496" t="s">
        <v>1776</v>
      </c>
      <c r="AN649" s="496" t="s">
        <v>1757</v>
      </c>
      <c r="AO649" s="494">
        <v>796</v>
      </c>
      <c r="AP649" s="494" t="s">
        <v>368</v>
      </c>
      <c r="AQ649" s="494">
        <v>1</v>
      </c>
      <c r="AR649" s="494">
        <v>46</v>
      </c>
      <c r="AS649" s="496" t="s">
        <v>605</v>
      </c>
      <c r="AT649" s="495">
        <v>41907</v>
      </c>
      <c r="AU649" s="495">
        <v>41907</v>
      </c>
      <c r="AV649" s="495">
        <v>42004</v>
      </c>
      <c r="AW649" s="494">
        <v>2014</v>
      </c>
      <c r="AX649" s="496"/>
      <c r="AY649" s="494" t="s">
        <v>186</v>
      </c>
      <c r="AZ649" s="494"/>
      <c r="BA649" s="494">
        <v>2014</v>
      </c>
      <c r="BB649" s="494" t="s">
        <v>5807</v>
      </c>
      <c r="BC649" s="496" t="s">
        <v>5808</v>
      </c>
      <c r="BD649" s="496" t="s">
        <v>1818</v>
      </c>
      <c r="BE649" s="497">
        <v>42004</v>
      </c>
      <c r="BF649" s="498">
        <v>80993.97279999996</v>
      </c>
      <c r="BG649" s="488">
        <v>80993.97279999996</v>
      </c>
      <c r="BH649" s="488">
        <v>0</v>
      </c>
      <c r="BI649" s="488">
        <v>0</v>
      </c>
      <c r="BJ649" s="494" t="s">
        <v>186</v>
      </c>
      <c r="BK649" s="401"/>
    </row>
    <row r="650" spans="1:63" ht="112.5">
      <c r="A650" s="401">
        <v>2</v>
      </c>
      <c r="B650" s="494" t="s">
        <v>6655</v>
      </c>
      <c r="C650" s="401" t="s">
        <v>83</v>
      </c>
      <c r="D650" s="401" t="s">
        <v>225</v>
      </c>
      <c r="E650" s="494" t="s">
        <v>5853</v>
      </c>
      <c r="F650" s="401" t="s">
        <v>1761</v>
      </c>
      <c r="G650" s="401" t="s">
        <v>1762</v>
      </c>
      <c r="H650" s="499">
        <v>814309</v>
      </c>
      <c r="I650" s="486" t="s">
        <v>5810</v>
      </c>
      <c r="J650" s="496" t="s">
        <v>2978</v>
      </c>
      <c r="K650" s="496" t="s">
        <v>2978</v>
      </c>
      <c r="L650" s="496" t="s">
        <v>1772</v>
      </c>
      <c r="M650" s="500" t="s">
        <v>1755</v>
      </c>
      <c r="N650" s="496" t="s">
        <v>1773</v>
      </c>
      <c r="O650" s="496" t="s">
        <v>2234</v>
      </c>
      <c r="P650" s="489">
        <v>3402.6639326054601</v>
      </c>
      <c r="Q650" s="489">
        <f t="shared" si="105"/>
        <v>4015.1434404744427</v>
      </c>
      <c r="R650" s="489">
        <v>2885.1010922448741</v>
      </c>
      <c r="S650" s="401" t="s">
        <v>5970</v>
      </c>
      <c r="T650" s="501">
        <v>1.087</v>
      </c>
      <c r="U650" s="501">
        <v>1.0680000000000001</v>
      </c>
      <c r="V650" s="501">
        <v>1.0589999999999999</v>
      </c>
      <c r="W650" s="501">
        <v>1.0580000000000001</v>
      </c>
      <c r="X650" s="596">
        <v>0.9</v>
      </c>
      <c r="Y650" s="502">
        <v>3378.75</v>
      </c>
      <c r="Z650" s="489">
        <f t="shared" si="106"/>
        <v>3986.9249999999997</v>
      </c>
      <c r="AA650" s="489">
        <v>3147.4641376600507</v>
      </c>
      <c r="AB650" s="488">
        <f t="shared" si="107"/>
        <v>3714.0076824388598</v>
      </c>
      <c r="AC650" s="492">
        <f t="shared" si="109"/>
        <v>3147.4641376600507</v>
      </c>
      <c r="AD650" s="493">
        <f t="shared" si="108"/>
        <v>3714.0076824388598</v>
      </c>
      <c r="AE650" s="494" t="s">
        <v>1775</v>
      </c>
      <c r="AF650" s="494" t="s">
        <v>83</v>
      </c>
      <c r="AG650" s="494" t="s">
        <v>211</v>
      </c>
      <c r="AH650" s="494" t="s">
        <v>545</v>
      </c>
      <c r="AI650" s="495">
        <v>41654</v>
      </c>
      <c r="AJ650" s="495">
        <v>41689</v>
      </c>
      <c r="AK650" s="494" t="s">
        <v>96</v>
      </c>
      <c r="AL650" s="494" t="s">
        <v>96</v>
      </c>
      <c r="AM650" s="496" t="s">
        <v>5709</v>
      </c>
      <c r="AN650" s="496" t="s">
        <v>1757</v>
      </c>
      <c r="AO650" s="494">
        <v>796</v>
      </c>
      <c r="AP650" s="494" t="s">
        <v>368</v>
      </c>
      <c r="AQ650" s="494">
        <v>1</v>
      </c>
      <c r="AR650" s="494">
        <v>46</v>
      </c>
      <c r="AS650" s="496" t="s">
        <v>605</v>
      </c>
      <c r="AT650" s="495">
        <v>41709</v>
      </c>
      <c r="AU650" s="495">
        <v>41709</v>
      </c>
      <c r="AV650" s="495">
        <v>41820</v>
      </c>
      <c r="AW650" s="494">
        <v>2014</v>
      </c>
      <c r="AX650" s="496"/>
      <c r="AY650" s="494" t="s">
        <v>186</v>
      </c>
      <c r="AZ650" s="494"/>
      <c r="BA650" s="494">
        <v>2014</v>
      </c>
      <c r="BB650" s="494" t="s">
        <v>5807</v>
      </c>
      <c r="BC650" s="496" t="s">
        <v>5811</v>
      </c>
      <c r="BD650" s="496" t="s">
        <v>1818</v>
      </c>
      <c r="BE650" s="497">
        <v>42004</v>
      </c>
      <c r="BF650" s="498">
        <v>79581.526959999988</v>
      </c>
      <c r="BG650" s="488">
        <v>79581.526959999988</v>
      </c>
      <c r="BH650" s="488">
        <v>0</v>
      </c>
      <c r="BI650" s="488">
        <v>0</v>
      </c>
      <c r="BJ650" s="494" t="s">
        <v>186</v>
      </c>
      <c r="BK650" s="401"/>
    </row>
    <row r="651" spans="1:63" ht="112.5">
      <c r="A651" s="401">
        <v>2</v>
      </c>
      <c r="B651" s="494" t="s">
        <v>6656</v>
      </c>
      <c r="C651" s="401" t="s">
        <v>83</v>
      </c>
      <c r="D651" s="401" t="s">
        <v>225</v>
      </c>
      <c r="E651" s="494" t="s">
        <v>5853</v>
      </c>
      <c r="F651" s="401" t="s">
        <v>1768</v>
      </c>
      <c r="G651" s="401" t="s">
        <v>1769</v>
      </c>
      <c r="H651" s="499">
        <v>814310</v>
      </c>
      <c r="I651" s="486" t="s">
        <v>5812</v>
      </c>
      <c r="J651" s="496" t="s">
        <v>1771</v>
      </c>
      <c r="K651" s="496" t="s">
        <v>1771</v>
      </c>
      <c r="L651" s="496" t="s">
        <v>1772</v>
      </c>
      <c r="M651" s="500" t="s">
        <v>1755</v>
      </c>
      <c r="N651" s="496" t="s">
        <v>1773</v>
      </c>
      <c r="O651" s="496" t="s">
        <v>2234</v>
      </c>
      <c r="P651" s="489">
        <v>66991.351206299907</v>
      </c>
      <c r="Q651" s="489">
        <f t="shared" si="105"/>
        <v>79049.794423433879</v>
      </c>
      <c r="R651" s="489">
        <v>56801.619092187197</v>
      </c>
      <c r="S651" s="401" t="s">
        <v>5970</v>
      </c>
      <c r="T651" s="501">
        <v>1.087</v>
      </c>
      <c r="U651" s="501">
        <v>1.0680000000000001</v>
      </c>
      <c r="V651" s="501">
        <v>1.0589999999999999</v>
      </c>
      <c r="W651" s="501">
        <v>1.0580000000000001</v>
      </c>
      <c r="X651" s="596">
        <v>0.9</v>
      </c>
      <c r="Y651" s="502">
        <v>59371.77333524861</v>
      </c>
      <c r="Z651" s="489">
        <f t="shared" si="106"/>
        <v>70058.692535593364</v>
      </c>
      <c r="AA651" s="489">
        <v>61966.999865827427</v>
      </c>
      <c r="AB651" s="488">
        <f t="shared" si="107"/>
        <v>73121.059841676353</v>
      </c>
      <c r="AC651" s="492">
        <f t="shared" si="109"/>
        <v>59371.77333524861</v>
      </c>
      <c r="AD651" s="493">
        <f t="shared" si="108"/>
        <v>70058.692535593364</v>
      </c>
      <c r="AE651" s="494" t="s">
        <v>1775</v>
      </c>
      <c r="AF651" s="494" t="s">
        <v>83</v>
      </c>
      <c r="AG651" s="494" t="s">
        <v>211</v>
      </c>
      <c r="AH651" s="494" t="s">
        <v>545</v>
      </c>
      <c r="AI651" s="495">
        <v>41852</v>
      </c>
      <c r="AJ651" s="495">
        <v>41887</v>
      </c>
      <c r="AK651" s="494" t="s">
        <v>96</v>
      </c>
      <c r="AL651" s="494" t="s">
        <v>96</v>
      </c>
      <c r="AM651" s="496" t="s">
        <v>1776</v>
      </c>
      <c r="AN651" s="496" t="s">
        <v>1757</v>
      </c>
      <c r="AO651" s="494">
        <v>796</v>
      </c>
      <c r="AP651" s="494" t="s">
        <v>368</v>
      </c>
      <c r="AQ651" s="494">
        <v>1</v>
      </c>
      <c r="AR651" s="494">
        <v>46</v>
      </c>
      <c r="AS651" s="496" t="s">
        <v>605</v>
      </c>
      <c r="AT651" s="495">
        <v>41907</v>
      </c>
      <c r="AU651" s="495">
        <v>41907</v>
      </c>
      <c r="AV651" s="495">
        <v>42004</v>
      </c>
      <c r="AW651" s="494">
        <v>2014</v>
      </c>
      <c r="AX651" s="496"/>
      <c r="AY651" s="494" t="s">
        <v>186</v>
      </c>
      <c r="AZ651" s="494"/>
      <c r="BA651" s="494">
        <v>2014</v>
      </c>
      <c r="BB651" s="494" t="s">
        <v>5807</v>
      </c>
      <c r="BC651" s="496" t="s">
        <v>5811</v>
      </c>
      <c r="BD651" s="496" t="s">
        <v>1818</v>
      </c>
      <c r="BE651" s="497">
        <v>42004</v>
      </c>
      <c r="BF651" s="498">
        <v>79581.526959999988</v>
      </c>
      <c r="BG651" s="488">
        <v>79581.526959999988</v>
      </c>
      <c r="BH651" s="488">
        <v>0</v>
      </c>
      <c r="BI651" s="488">
        <v>0</v>
      </c>
      <c r="BJ651" s="494" t="s">
        <v>186</v>
      </c>
      <c r="BK651" s="401"/>
    </row>
    <row r="652" spans="1:63" ht="112.5">
      <c r="A652" s="401">
        <v>2</v>
      </c>
      <c r="B652" s="494" t="s">
        <v>6657</v>
      </c>
      <c r="C652" s="401" t="s">
        <v>83</v>
      </c>
      <c r="D652" s="401" t="s">
        <v>225</v>
      </c>
      <c r="E652" s="494" t="s">
        <v>5853</v>
      </c>
      <c r="F652" s="401" t="s">
        <v>1761</v>
      </c>
      <c r="G652" s="401" t="s">
        <v>1762</v>
      </c>
      <c r="H652" s="499">
        <v>814311</v>
      </c>
      <c r="I652" s="486" t="s">
        <v>5813</v>
      </c>
      <c r="J652" s="496" t="s">
        <v>2978</v>
      </c>
      <c r="K652" s="496" t="s">
        <v>2978</v>
      </c>
      <c r="L652" s="496" t="s">
        <v>1772</v>
      </c>
      <c r="M652" s="500" t="s">
        <v>1755</v>
      </c>
      <c r="N652" s="496" t="s">
        <v>1773</v>
      </c>
      <c r="O652" s="496" t="s">
        <v>2234</v>
      </c>
      <c r="P652" s="489">
        <v>23454.36</v>
      </c>
      <c r="Q652" s="489">
        <f t="shared" si="105"/>
        <v>27676.144799999998</v>
      </c>
      <c r="R652" s="489">
        <v>16386.405337262993</v>
      </c>
      <c r="S652" s="401" t="s">
        <v>5970</v>
      </c>
      <c r="T652" s="501">
        <v>1.087</v>
      </c>
      <c r="U652" s="501">
        <v>1.0680000000000001</v>
      </c>
      <c r="V652" s="501">
        <v>1.0589999999999999</v>
      </c>
      <c r="W652" s="501">
        <v>1.0580000000000001</v>
      </c>
      <c r="X652" s="596">
        <v>0.9</v>
      </c>
      <c r="Y652" s="502">
        <v>22380.2362829468</v>
      </c>
      <c r="Z652" s="489">
        <f t="shared" si="106"/>
        <v>26408.678813877224</v>
      </c>
      <c r="AA652" s="489">
        <v>17876.539329187224</v>
      </c>
      <c r="AB652" s="488">
        <f t="shared" si="107"/>
        <v>21094.316408440922</v>
      </c>
      <c r="AC652" s="492">
        <f t="shared" si="109"/>
        <v>17876.539329187224</v>
      </c>
      <c r="AD652" s="493">
        <f t="shared" si="108"/>
        <v>21094.316408440922</v>
      </c>
      <c r="AE652" s="494" t="s">
        <v>1775</v>
      </c>
      <c r="AF652" s="494" t="s">
        <v>83</v>
      </c>
      <c r="AG652" s="494" t="s">
        <v>211</v>
      </c>
      <c r="AH652" s="494" t="s">
        <v>545</v>
      </c>
      <c r="AI652" s="495">
        <v>41654</v>
      </c>
      <c r="AJ652" s="495">
        <v>41689</v>
      </c>
      <c r="AK652" s="494" t="s">
        <v>96</v>
      </c>
      <c r="AL652" s="494" t="s">
        <v>96</v>
      </c>
      <c r="AM652" s="496" t="s">
        <v>5709</v>
      </c>
      <c r="AN652" s="496" t="s">
        <v>1757</v>
      </c>
      <c r="AO652" s="494">
        <v>796</v>
      </c>
      <c r="AP652" s="494" t="s">
        <v>368</v>
      </c>
      <c r="AQ652" s="494">
        <v>1</v>
      </c>
      <c r="AR652" s="494">
        <v>46</v>
      </c>
      <c r="AS652" s="496" t="s">
        <v>605</v>
      </c>
      <c r="AT652" s="495">
        <v>41709</v>
      </c>
      <c r="AU652" s="495">
        <v>41709</v>
      </c>
      <c r="AV652" s="495">
        <v>41820</v>
      </c>
      <c r="AW652" s="494">
        <v>2014</v>
      </c>
      <c r="AX652" s="496"/>
      <c r="AY652" s="494" t="s">
        <v>186</v>
      </c>
      <c r="AZ652" s="494"/>
      <c r="BA652" s="494">
        <v>2014</v>
      </c>
      <c r="BB652" s="494" t="s">
        <v>5807</v>
      </c>
      <c r="BC652" s="496" t="s">
        <v>5814</v>
      </c>
      <c r="BD652" s="496" t="s">
        <v>1818</v>
      </c>
      <c r="BE652" s="497">
        <v>42004</v>
      </c>
      <c r="BF652" s="498">
        <v>168740.66339405847</v>
      </c>
      <c r="BG652" s="488">
        <v>164689.81700000001</v>
      </c>
      <c r="BH652" s="488">
        <v>0</v>
      </c>
      <c r="BI652" s="488">
        <v>0</v>
      </c>
      <c r="BJ652" s="494" t="s">
        <v>186</v>
      </c>
      <c r="BK652" s="401"/>
    </row>
    <row r="653" spans="1:63" ht="112.5">
      <c r="A653" s="401">
        <v>2</v>
      </c>
      <c r="B653" s="494" t="s">
        <v>6658</v>
      </c>
      <c r="C653" s="401" t="s">
        <v>83</v>
      </c>
      <c r="D653" s="401" t="s">
        <v>225</v>
      </c>
      <c r="E653" s="494" t="s">
        <v>5853</v>
      </c>
      <c r="F653" s="401" t="s">
        <v>1768</v>
      </c>
      <c r="G653" s="401" t="s">
        <v>1769</v>
      </c>
      <c r="H653" s="499">
        <v>814312</v>
      </c>
      <c r="I653" s="486" t="s">
        <v>5815</v>
      </c>
      <c r="J653" s="496" t="s">
        <v>1771</v>
      </c>
      <c r="K653" s="496" t="s">
        <v>1771</v>
      </c>
      <c r="L653" s="496" t="s">
        <v>1772</v>
      </c>
      <c r="M653" s="500" t="s">
        <v>1755</v>
      </c>
      <c r="N653" s="496" t="s">
        <v>1773</v>
      </c>
      <c r="O653" s="496" t="s">
        <v>2234</v>
      </c>
      <c r="P653" s="489">
        <v>127552.82138647381</v>
      </c>
      <c r="Q653" s="489">
        <f t="shared" ref="Q653:Q694" si="110">P653*1.18</f>
        <v>150512.32923603908</v>
      </c>
      <c r="R653" s="489">
        <v>108151.37538994243</v>
      </c>
      <c r="S653" s="401" t="s">
        <v>5970</v>
      </c>
      <c r="T653" s="501">
        <v>1.087</v>
      </c>
      <c r="U653" s="501">
        <v>1.0680000000000001</v>
      </c>
      <c r="V653" s="501">
        <v>1.0589999999999999</v>
      </c>
      <c r="W653" s="501">
        <v>1.0580000000000001</v>
      </c>
      <c r="X653" s="596">
        <v>0.9</v>
      </c>
      <c r="Y653" s="502">
        <v>116583.42451613063</v>
      </c>
      <c r="Z653" s="489">
        <f t="shared" ref="Z653:Z694" si="111">Y653*1.18</f>
        <v>137568.44092903414</v>
      </c>
      <c r="AA653" s="489">
        <v>117986.35978248826</v>
      </c>
      <c r="AB653" s="488">
        <f t="shared" ref="AB653:AB691" si="112">AA653*1.18</f>
        <v>139223.90454333613</v>
      </c>
      <c r="AC653" s="492">
        <f t="shared" si="109"/>
        <v>116583.42451613063</v>
      </c>
      <c r="AD653" s="493">
        <f t="shared" ref="AD653:AD694" si="113">AC653*1.18</f>
        <v>137568.44092903414</v>
      </c>
      <c r="AE653" s="494" t="s">
        <v>1775</v>
      </c>
      <c r="AF653" s="494" t="s">
        <v>83</v>
      </c>
      <c r="AG653" s="494" t="s">
        <v>211</v>
      </c>
      <c r="AH653" s="494" t="s">
        <v>545</v>
      </c>
      <c r="AI653" s="495">
        <v>41852</v>
      </c>
      <c r="AJ653" s="495">
        <v>41887</v>
      </c>
      <c r="AK653" s="494" t="s">
        <v>96</v>
      </c>
      <c r="AL653" s="494" t="s">
        <v>96</v>
      </c>
      <c r="AM653" s="496" t="s">
        <v>1776</v>
      </c>
      <c r="AN653" s="496" t="s">
        <v>1757</v>
      </c>
      <c r="AO653" s="494">
        <v>796</v>
      </c>
      <c r="AP653" s="494" t="s">
        <v>368</v>
      </c>
      <c r="AQ653" s="494">
        <v>1</v>
      </c>
      <c r="AR653" s="494">
        <v>46</v>
      </c>
      <c r="AS653" s="496" t="s">
        <v>605</v>
      </c>
      <c r="AT653" s="495">
        <v>41907</v>
      </c>
      <c r="AU653" s="495">
        <v>41907</v>
      </c>
      <c r="AV653" s="495">
        <v>42004</v>
      </c>
      <c r="AW653" s="494">
        <v>2014</v>
      </c>
      <c r="AX653" s="496"/>
      <c r="AY653" s="494" t="s">
        <v>186</v>
      </c>
      <c r="AZ653" s="494"/>
      <c r="BA653" s="494">
        <v>2014</v>
      </c>
      <c r="BB653" s="494" t="s">
        <v>5807</v>
      </c>
      <c r="BC653" s="496" t="s">
        <v>5814</v>
      </c>
      <c r="BD653" s="496" t="s">
        <v>1818</v>
      </c>
      <c r="BE653" s="497">
        <v>42004</v>
      </c>
      <c r="BF653" s="498">
        <v>168740.66339405847</v>
      </c>
      <c r="BG653" s="488">
        <v>164689.81700000001</v>
      </c>
      <c r="BH653" s="488">
        <v>0</v>
      </c>
      <c r="BI653" s="488">
        <v>0</v>
      </c>
      <c r="BJ653" s="494" t="s">
        <v>186</v>
      </c>
      <c r="BK653" s="401"/>
    </row>
    <row r="654" spans="1:63" ht="112.5">
      <c r="A654" s="401">
        <v>2</v>
      </c>
      <c r="B654" s="494" t="s">
        <v>6659</v>
      </c>
      <c r="C654" s="401" t="s">
        <v>83</v>
      </c>
      <c r="D654" s="401" t="s">
        <v>225</v>
      </c>
      <c r="E654" s="494" t="s">
        <v>5853</v>
      </c>
      <c r="F654" s="401" t="s">
        <v>1761</v>
      </c>
      <c r="G654" s="401" t="s">
        <v>1762</v>
      </c>
      <c r="H654" s="499">
        <v>814313</v>
      </c>
      <c r="I654" s="486" t="s">
        <v>5816</v>
      </c>
      <c r="J654" s="496" t="s">
        <v>2978</v>
      </c>
      <c r="K654" s="496" t="s">
        <v>2978</v>
      </c>
      <c r="L654" s="496" t="s">
        <v>1772</v>
      </c>
      <c r="M654" s="500" t="s">
        <v>1755</v>
      </c>
      <c r="N654" s="496" t="s">
        <v>1773</v>
      </c>
      <c r="O654" s="496" t="s">
        <v>2234</v>
      </c>
      <c r="P654" s="489">
        <v>5893.52</v>
      </c>
      <c r="Q654" s="489">
        <f t="shared" si="110"/>
        <v>6954.3536000000004</v>
      </c>
      <c r="R654" s="489">
        <v>4103.4922573954427</v>
      </c>
      <c r="S654" s="401" t="s">
        <v>5970</v>
      </c>
      <c r="T654" s="501">
        <v>1.087</v>
      </c>
      <c r="U654" s="501">
        <v>1.0680000000000001</v>
      </c>
      <c r="V654" s="501">
        <v>1.0589999999999999</v>
      </c>
      <c r="W654" s="501">
        <v>1.0580000000000001</v>
      </c>
      <c r="X654" s="596">
        <v>0.9</v>
      </c>
      <c r="Y654" s="502">
        <v>5604.470560539191</v>
      </c>
      <c r="Z654" s="489">
        <f t="shared" si="111"/>
        <v>6613.2752614362453</v>
      </c>
      <c r="AA654" s="489">
        <v>4476.6523966993191</v>
      </c>
      <c r="AB654" s="488">
        <f t="shared" si="112"/>
        <v>5282.4498281051965</v>
      </c>
      <c r="AC654" s="492">
        <f t="shared" si="109"/>
        <v>4476.6523966993191</v>
      </c>
      <c r="AD654" s="493">
        <f t="shared" si="113"/>
        <v>5282.4498281051965</v>
      </c>
      <c r="AE654" s="494" t="s">
        <v>1775</v>
      </c>
      <c r="AF654" s="494" t="s">
        <v>83</v>
      </c>
      <c r="AG654" s="494" t="s">
        <v>211</v>
      </c>
      <c r="AH654" s="494" t="s">
        <v>545</v>
      </c>
      <c r="AI654" s="495">
        <v>41654</v>
      </c>
      <c r="AJ654" s="495">
        <v>41689</v>
      </c>
      <c r="AK654" s="494" t="s">
        <v>96</v>
      </c>
      <c r="AL654" s="494" t="s">
        <v>96</v>
      </c>
      <c r="AM654" s="496" t="s">
        <v>5709</v>
      </c>
      <c r="AN654" s="496" t="s">
        <v>1757</v>
      </c>
      <c r="AO654" s="494">
        <v>796</v>
      </c>
      <c r="AP654" s="494" t="s">
        <v>368</v>
      </c>
      <c r="AQ654" s="494">
        <v>1</v>
      </c>
      <c r="AR654" s="494">
        <v>46</v>
      </c>
      <c r="AS654" s="496" t="s">
        <v>605</v>
      </c>
      <c r="AT654" s="495">
        <v>41709</v>
      </c>
      <c r="AU654" s="495">
        <v>41709</v>
      </c>
      <c r="AV654" s="495">
        <v>41820</v>
      </c>
      <c r="AW654" s="494">
        <v>2014</v>
      </c>
      <c r="AX654" s="496"/>
      <c r="AY654" s="494" t="s">
        <v>186</v>
      </c>
      <c r="AZ654" s="494"/>
      <c r="BA654" s="494">
        <v>2014</v>
      </c>
      <c r="BB654" s="494" t="s">
        <v>5807</v>
      </c>
      <c r="BC654" s="496" t="s">
        <v>5817</v>
      </c>
      <c r="BD654" s="496" t="s">
        <v>1818</v>
      </c>
      <c r="BE654" s="497">
        <v>42004</v>
      </c>
      <c r="BF654" s="498">
        <v>37855.80184</v>
      </c>
      <c r="BG654" s="488">
        <v>37855.80184</v>
      </c>
      <c r="BH654" s="488">
        <v>0</v>
      </c>
      <c r="BI654" s="488">
        <v>0</v>
      </c>
      <c r="BJ654" s="494" t="s">
        <v>186</v>
      </c>
      <c r="BK654" s="401"/>
    </row>
    <row r="655" spans="1:63" ht="112.5">
      <c r="A655" s="401">
        <v>2</v>
      </c>
      <c r="B655" s="494" t="s">
        <v>6660</v>
      </c>
      <c r="C655" s="401" t="s">
        <v>83</v>
      </c>
      <c r="D655" s="401" t="s">
        <v>225</v>
      </c>
      <c r="E655" s="494" t="s">
        <v>5853</v>
      </c>
      <c r="F655" s="401" t="s">
        <v>1768</v>
      </c>
      <c r="G655" s="401" t="s">
        <v>1769</v>
      </c>
      <c r="H655" s="499">
        <v>814314</v>
      </c>
      <c r="I655" s="486" t="s">
        <v>5818</v>
      </c>
      <c r="J655" s="496" t="s">
        <v>1771</v>
      </c>
      <c r="K655" s="496" t="s">
        <v>1771</v>
      </c>
      <c r="L655" s="496" t="s">
        <v>1772</v>
      </c>
      <c r="M655" s="500" t="s">
        <v>1755</v>
      </c>
      <c r="N655" s="496" t="s">
        <v>1773</v>
      </c>
      <c r="O655" s="496" t="s">
        <v>2234</v>
      </c>
      <c r="P655" s="489">
        <v>28910.109629738523</v>
      </c>
      <c r="Q655" s="489">
        <f t="shared" si="110"/>
        <v>34113.929363091454</v>
      </c>
      <c r="R655" s="489">
        <v>24512.731942296381</v>
      </c>
      <c r="S655" s="401" t="s">
        <v>5970</v>
      </c>
      <c r="T655" s="501">
        <v>1.087</v>
      </c>
      <c r="U655" s="501">
        <v>1.0680000000000001</v>
      </c>
      <c r="V655" s="501">
        <v>1.0589999999999999</v>
      </c>
      <c r="W655" s="501">
        <v>1.0580000000000001</v>
      </c>
      <c r="X655" s="596">
        <v>0.9</v>
      </c>
      <c r="Y655" s="502">
        <v>26477.076115746102</v>
      </c>
      <c r="Z655" s="489">
        <f t="shared" si="111"/>
        <v>31242.9498165804</v>
      </c>
      <c r="AA655" s="489">
        <v>26741.851407508137</v>
      </c>
      <c r="AB655" s="488">
        <f t="shared" si="112"/>
        <v>31555.3846608596</v>
      </c>
      <c r="AC655" s="492">
        <f t="shared" si="109"/>
        <v>26477.076115746102</v>
      </c>
      <c r="AD655" s="493">
        <f t="shared" si="113"/>
        <v>31242.9498165804</v>
      </c>
      <c r="AE655" s="494" t="s">
        <v>1775</v>
      </c>
      <c r="AF655" s="494" t="s">
        <v>83</v>
      </c>
      <c r="AG655" s="494" t="s">
        <v>211</v>
      </c>
      <c r="AH655" s="494" t="s">
        <v>545</v>
      </c>
      <c r="AI655" s="495">
        <v>41852</v>
      </c>
      <c r="AJ655" s="495">
        <v>41887</v>
      </c>
      <c r="AK655" s="494" t="s">
        <v>96</v>
      </c>
      <c r="AL655" s="494" t="s">
        <v>96</v>
      </c>
      <c r="AM655" s="496" t="s">
        <v>1776</v>
      </c>
      <c r="AN655" s="496" t="s">
        <v>1757</v>
      </c>
      <c r="AO655" s="494">
        <v>796</v>
      </c>
      <c r="AP655" s="494" t="s">
        <v>368</v>
      </c>
      <c r="AQ655" s="494">
        <v>1</v>
      </c>
      <c r="AR655" s="494">
        <v>46</v>
      </c>
      <c r="AS655" s="496" t="s">
        <v>605</v>
      </c>
      <c r="AT655" s="495">
        <v>41907</v>
      </c>
      <c r="AU655" s="495">
        <v>41907</v>
      </c>
      <c r="AV655" s="495">
        <v>42004</v>
      </c>
      <c r="AW655" s="494">
        <v>2014</v>
      </c>
      <c r="AX655" s="496"/>
      <c r="AY655" s="494" t="s">
        <v>186</v>
      </c>
      <c r="AZ655" s="494"/>
      <c r="BA655" s="494">
        <v>2014</v>
      </c>
      <c r="BB655" s="494" t="s">
        <v>5807</v>
      </c>
      <c r="BC655" s="496" t="s">
        <v>5817</v>
      </c>
      <c r="BD655" s="496" t="s">
        <v>1818</v>
      </c>
      <c r="BE655" s="497">
        <v>42004</v>
      </c>
      <c r="BF655" s="498">
        <v>37855.80184</v>
      </c>
      <c r="BG655" s="488">
        <v>37855.80184</v>
      </c>
      <c r="BH655" s="488">
        <v>0</v>
      </c>
      <c r="BI655" s="488">
        <v>0</v>
      </c>
      <c r="BJ655" s="494" t="s">
        <v>186</v>
      </c>
      <c r="BK655" s="401"/>
    </row>
    <row r="656" spans="1:63" ht="112.5">
      <c r="A656" s="401">
        <v>2</v>
      </c>
      <c r="B656" s="494" t="s">
        <v>6661</v>
      </c>
      <c r="C656" s="401" t="s">
        <v>83</v>
      </c>
      <c r="D656" s="401" t="s">
        <v>225</v>
      </c>
      <c r="E656" s="494" t="s">
        <v>5853</v>
      </c>
      <c r="F656" s="401" t="s">
        <v>1761</v>
      </c>
      <c r="G656" s="401" t="s">
        <v>1762</v>
      </c>
      <c r="H656" s="499">
        <v>814315</v>
      </c>
      <c r="I656" s="486" t="s">
        <v>5819</v>
      </c>
      <c r="J656" s="496" t="s">
        <v>2978</v>
      </c>
      <c r="K656" s="496" t="s">
        <v>2978</v>
      </c>
      <c r="L656" s="496" t="s">
        <v>1772</v>
      </c>
      <c r="M656" s="500" t="s">
        <v>1755</v>
      </c>
      <c r="N656" s="496" t="s">
        <v>1773</v>
      </c>
      <c r="O656" s="496" t="s">
        <v>2234</v>
      </c>
      <c r="P656" s="489">
        <v>27626.568768618275</v>
      </c>
      <c r="Q656" s="489">
        <f t="shared" si="110"/>
        <v>32599.351146969562</v>
      </c>
      <c r="R656" s="489">
        <v>22056.896710325931</v>
      </c>
      <c r="S656" s="401" t="s">
        <v>5970</v>
      </c>
      <c r="T656" s="501">
        <v>1.087</v>
      </c>
      <c r="U656" s="501">
        <v>1.0680000000000001</v>
      </c>
      <c r="V656" s="501">
        <v>1.0589999999999999</v>
      </c>
      <c r="W656" s="501">
        <v>1.0580000000000001</v>
      </c>
      <c r="X656" s="596">
        <v>0.9</v>
      </c>
      <c r="Y656" s="502">
        <v>26854.32</v>
      </c>
      <c r="Z656" s="489">
        <f t="shared" si="111"/>
        <v>31688.097599999997</v>
      </c>
      <c r="AA656" s="489">
        <v>23482.583453325537</v>
      </c>
      <c r="AB656" s="488">
        <f t="shared" si="112"/>
        <v>27709.448474924131</v>
      </c>
      <c r="AC656" s="492">
        <f t="shared" si="109"/>
        <v>23482.583453325537</v>
      </c>
      <c r="AD656" s="493">
        <f t="shared" si="113"/>
        <v>27709.448474924131</v>
      </c>
      <c r="AE656" s="494" t="s">
        <v>1775</v>
      </c>
      <c r="AF656" s="494" t="s">
        <v>83</v>
      </c>
      <c r="AG656" s="494" t="s">
        <v>211</v>
      </c>
      <c r="AH656" s="494" t="s">
        <v>545</v>
      </c>
      <c r="AI656" s="495">
        <v>41654</v>
      </c>
      <c r="AJ656" s="495">
        <v>41689</v>
      </c>
      <c r="AK656" s="494" t="s">
        <v>96</v>
      </c>
      <c r="AL656" s="494" t="s">
        <v>96</v>
      </c>
      <c r="AM656" s="496" t="s">
        <v>5709</v>
      </c>
      <c r="AN656" s="496" t="s">
        <v>1757</v>
      </c>
      <c r="AO656" s="494">
        <v>796</v>
      </c>
      <c r="AP656" s="494" t="s">
        <v>368</v>
      </c>
      <c r="AQ656" s="494">
        <v>1</v>
      </c>
      <c r="AR656" s="494">
        <v>46</v>
      </c>
      <c r="AS656" s="496" t="s">
        <v>605</v>
      </c>
      <c r="AT656" s="495">
        <v>41709</v>
      </c>
      <c r="AU656" s="495">
        <v>41709</v>
      </c>
      <c r="AV656" s="495">
        <v>42004</v>
      </c>
      <c r="AW656" s="494">
        <v>2014</v>
      </c>
      <c r="AX656" s="496"/>
      <c r="AY656" s="494" t="s">
        <v>186</v>
      </c>
      <c r="AZ656" s="494"/>
      <c r="BA656" s="494">
        <v>2014</v>
      </c>
      <c r="BB656" s="494" t="s">
        <v>5807</v>
      </c>
      <c r="BC656" s="496" t="s">
        <v>5820</v>
      </c>
      <c r="BD656" s="496" t="s">
        <v>1818</v>
      </c>
      <c r="BE656" s="497">
        <v>42353</v>
      </c>
      <c r="BF656" s="498" t="s">
        <v>96</v>
      </c>
      <c r="BG656" s="488" t="s">
        <v>96</v>
      </c>
      <c r="BH656" s="488">
        <v>0</v>
      </c>
      <c r="BI656" s="488">
        <v>0</v>
      </c>
      <c r="BJ656" s="494" t="s">
        <v>186</v>
      </c>
      <c r="BK656" s="401"/>
    </row>
    <row r="657" spans="1:63" ht="112.5">
      <c r="A657" s="401">
        <v>2</v>
      </c>
      <c r="B657" s="494" t="s">
        <v>6662</v>
      </c>
      <c r="C657" s="401" t="s">
        <v>83</v>
      </c>
      <c r="D657" s="401" t="s">
        <v>225</v>
      </c>
      <c r="E657" s="494" t="s">
        <v>5853</v>
      </c>
      <c r="F657" s="401" t="s">
        <v>1761</v>
      </c>
      <c r="G657" s="401" t="s">
        <v>1762</v>
      </c>
      <c r="H657" s="499">
        <v>814316</v>
      </c>
      <c r="I657" s="486" t="s">
        <v>5821</v>
      </c>
      <c r="J657" s="496" t="s">
        <v>2978</v>
      </c>
      <c r="K657" s="496" t="s">
        <v>2978</v>
      </c>
      <c r="L657" s="496" t="s">
        <v>1772</v>
      </c>
      <c r="M657" s="500" t="s">
        <v>1755</v>
      </c>
      <c r="N657" s="496" t="s">
        <v>1773</v>
      </c>
      <c r="O657" s="496" t="s">
        <v>2234</v>
      </c>
      <c r="P657" s="489">
        <v>1834.355854852977</v>
      </c>
      <c r="Q657" s="489">
        <f t="shared" si="110"/>
        <v>2164.5399087265127</v>
      </c>
      <c r="R657" s="489">
        <v>1555.3408109715149</v>
      </c>
      <c r="S657" s="401" t="s">
        <v>5970</v>
      </c>
      <c r="T657" s="501">
        <v>1.087</v>
      </c>
      <c r="U657" s="501">
        <v>1.0680000000000001</v>
      </c>
      <c r="V657" s="501">
        <v>1.0589999999999999</v>
      </c>
      <c r="W657" s="501">
        <v>1.0580000000000001</v>
      </c>
      <c r="X657" s="596">
        <v>0.9</v>
      </c>
      <c r="Y657" s="502">
        <v>1758.98</v>
      </c>
      <c r="Z657" s="489">
        <f t="shared" si="111"/>
        <v>2075.5963999999999</v>
      </c>
      <c r="AA657" s="489">
        <v>1696.7791657390051</v>
      </c>
      <c r="AB657" s="488">
        <f t="shared" si="112"/>
        <v>2002.1994155720258</v>
      </c>
      <c r="AC657" s="492">
        <f t="shared" si="109"/>
        <v>1696.7791657390051</v>
      </c>
      <c r="AD657" s="493">
        <f t="shared" si="113"/>
        <v>2002.1994155720258</v>
      </c>
      <c r="AE657" s="494" t="s">
        <v>1775</v>
      </c>
      <c r="AF657" s="494" t="s">
        <v>83</v>
      </c>
      <c r="AG657" s="494" t="s">
        <v>211</v>
      </c>
      <c r="AH657" s="494" t="s">
        <v>545</v>
      </c>
      <c r="AI657" s="495">
        <v>41654</v>
      </c>
      <c r="AJ657" s="495">
        <v>41689</v>
      </c>
      <c r="AK657" s="494" t="s">
        <v>96</v>
      </c>
      <c r="AL657" s="494" t="s">
        <v>96</v>
      </c>
      <c r="AM657" s="496" t="s">
        <v>5709</v>
      </c>
      <c r="AN657" s="496" t="s">
        <v>1757</v>
      </c>
      <c r="AO657" s="494">
        <v>796</v>
      </c>
      <c r="AP657" s="494" t="s">
        <v>368</v>
      </c>
      <c r="AQ657" s="494">
        <v>1</v>
      </c>
      <c r="AR657" s="494">
        <v>46</v>
      </c>
      <c r="AS657" s="496" t="s">
        <v>605</v>
      </c>
      <c r="AT657" s="495">
        <v>41709</v>
      </c>
      <c r="AU657" s="495">
        <v>41709</v>
      </c>
      <c r="AV657" s="495">
        <v>41820</v>
      </c>
      <c r="AW657" s="494">
        <v>2014</v>
      </c>
      <c r="AX657" s="496"/>
      <c r="AY657" s="494" t="s">
        <v>186</v>
      </c>
      <c r="AZ657" s="494"/>
      <c r="BA657" s="494">
        <v>2014</v>
      </c>
      <c r="BB657" s="494" t="s">
        <v>5807</v>
      </c>
      <c r="BC657" s="496" t="s">
        <v>5822</v>
      </c>
      <c r="BD657" s="496" t="s">
        <v>1818</v>
      </c>
      <c r="BE657" s="497">
        <v>41988</v>
      </c>
      <c r="BF657" s="498">
        <v>59925.49052000005</v>
      </c>
      <c r="BG657" s="488">
        <v>59925.49052000005</v>
      </c>
      <c r="BH657" s="488">
        <v>0</v>
      </c>
      <c r="BI657" s="488">
        <v>0</v>
      </c>
      <c r="BJ657" s="494" t="s">
        <v>186</v>
      </c>
      <c r="BK657" s="401"/>
    </row>
    <row r="658" spans="1:63" ht="112.5">
      <c r="A658" s="401">
        <v>2</v>
      </c>
      <c r="B658" s="494" t="s">
        <v>6663</v>
      </c>
      <c r="C658" s="401" t="s">
        <v>83</v>
      </c>
      <c r="D658" s="401" t="s">
        <v>225</v>
      </c>
      <c r="E658" s="494" t="s">
        <v>5853</v>
      </c>
      <c r="F658" s="401" t="s">
        <v>1768</v>
      </c>
      <c r="G658" s="401" t="s">
        <v>1769</v>
      </c>
      <c r="H658" s="499">
        <v>814317</v>
      </c>
      <c r="I658" s="486" t="s">
        <v>5823</v>
      </c>
      <c r="J658" s="496" t="s">
        <v>1771</v>
      </c>
      <c r="K658" s="496" t="s">
        <v>1771</v>
      </c>
      <c r="L658" s="496" t="s">
        <v>1772</v>
      </c>
      <c r="M658" s="500" t="s">
        <v>1755</v>
      </c>
      <c r="N658" s="496" t="s">
        <v>1773</v>
      </c>
      <c r="O658" s="496" t="s">
        <v>2234</v>
      </c>
      <c r="P658" s="489">
        <v>51533.218561830203</v>
      </c>
      <c r="Q658" s="489">
        <f t="shared" si="110"/>
        <v>60809.197902959633</v>
      </c>
      <c r="R658" s="489">
        <v>43694.74861591318</v>
      </c>
      <c r="S658" s="401" t="s">
        <v>5970</v>
      </c>
      <c r="T658" s="501">
        <v>1.087</v>
      </c>
      <c r="U658" s="501">
        <v>1.0680000000000001</v>
      </c>
      <c r="V658" s="501">
        <v>1.0589999999999999</v>
      </c>
      <c r="W658" s="501">
        <v>1.0580000000000001</v>
      </c>
      <c r="X658" s="596">
        <v>0.9</v>
      </c>
      <c r="Y658" s="502">
        <v>45766.898647222493</v>
      </c>
      <c r="Z658" s="489">
        <f t="shared" si="111"/>
        <v>54004.940403722539</v>
      </c>
      <c r="AA658" s="489">
        <v>47668.227169692917</v>
      </c>
      <c r="AB658" s="488">
        <f t="shared" si="112"/>
        <v>56248.50806023764</v>
      </c>
      <c r="AC658" s="492">
        <f t="shared" si="109"/>
        <v>45766.898647222493</v>
      </c>
      <c r="AD658" s="493">
        <f t="shared" si="113"/>
        <v>54004.940403722539</v>
      </c>
      <c r="AE658" s="494" t="s">
        <v>1775</v>
      </c>
      <c r="AF658" s="494" t="s">
        <v>83</v>
      </c>
      <c r="AG658" s="494" t="s">
        <v>211</v>
      </c>
      <c r="AH658" s="494" t="s">
        <v>545</v>
      </c>
      <c r="AI658" s="495">
        <v>41852</v>
      </c>
      <c r="AJ658" s="495">
        <v>41887</v>
      </c>
      <c r="AK658" s="494" t="s">
        <v>96</v>
      </c>
      <c r="AL658" s="494" t="s">
        <v>96</v>
      </c>
      <c r="AM658" s="496" t="s">
        <v>1776</v>
      </c>
      <c r="AN658" s="496" t="s">
        <v>1757</v>
      </c>
      <c r="AO658" s="494">
        <v>796</v>
      </c>
      <c r="AP658" s="494" t="s">
        <v>368</v>
      </c>
      <c r="AQ658" s="494">
        <v>1</v>
      </c>
      <c r="AR658" s="494">
        <v>46</v>
      </c>
      <c r="AS658" s="496" t="s">
        <v>605</v>
      </c>
      <c r="AT658" s="495">
        <v>41907</v>
      </c>
      <c r="AU658" s="495">
        <v>41907</v>
      </c>
      <c r="AV658" s="495">
        <v>42004</v>
      </c>
      <c r="AW658" s="494">
        <v>2014</v>
      </c>
      <c r="AX658" s="496"/>
      <c r="AY658" s="494" t="s">
        <v>186</v>
      </c>
      <c r="AZ658" s="494"/>
      <c r="BA658" s="494">
        <v>2014</v>
      </c>
      <c r="BB658" s="494" t="s">
        <v>5807</v>
      </c>
      <c r="BC658" s="496" t="s">
        <v>5822</v>
      </c>
      <c r="BD658" s="496" t="s">
        <v>1818</v>
      </c>
      <c r="BE658" s="497">
        <v>41988</v>
      </c>
      <c r="BF658" s="498">
        <v>59925.49052000005</v>
      </c>
      <c r="BG658" s="488">
        <v>59925.49052000005</v>
      </c>
      <c r="BH658" s="488">
        <v>0</v>
      </c>
      <c r="BI658" s="488">
        <v>0</v>
      </c>
      <c r="BJ658" s="494" t="s">
        <v>186</v>
      </c>
      <c r="BK658" s="401"/>
    </row>
    <row r="659" spans="1:63" ht="103.5" customHeight="1">
      <c r="A659" s="614">
        <v>2</v>
      </c>
      <c r="B659" s="615" t="s">
        <v>5850</v>
      </c>
      <c r="C659" s="614" t="s">
        <v>83</v>
      </c>
      <c r="D659" s="614" t="s">
        <v>235</v>
      </c>
      <c r="E659" s="615" t="s">
        <v>5853</v>
      </c>
      <c r="F659" s="614" t="s">
        <v>1795</v>
      </c>
      <c r="G659" s="614" t="s">
        <v>1769</v>
      </c>
      <c r="H659" s="616">
        <v>841372</v>
      </c>
      <c r="I659" s="617" t="s">
        <v>5851</v>
      </c>
      <c r="J659" s="618" t="s">
        <v>1771</v>
      </c>
      <c r="K659" s="618" t="s">
        <v>1771</v>
      </c>
      <c r="L659" s="618" t="s">
        <v>2325</v>
      </c>
      <c r="M659" s="619" t="s">
        <v>1755</v>
      </c>
      <c r="N659" s="618" t="s">
        <v>1773</v>
      </c>
      <c r="O659" s="618" t="s">
        <v>2234</v>
      </c>
      <c r="P659" s="620">
        <v>451960.83574435354</v>
      </c>
      <c r="Q659" s="620">
        <f t="shared" si="110"/>
        <v>533313.78617833718</v>
      </c>
      <c r="R659" s="620">
        <v>304167.294069856</v>
      </c>
      <c r="S659" s="614" t="s">
        <v>1774</v>
      </c>
      <c r="T659" s="621">
        <v>1.087</v>
      </c>
      <c r="U659" s="621">
        <v>1.077</v>
      </c>
      <c r="V659" s="621">
        <v>1.073</v>
      </c>
      <c r="W659" s="621">
        <v>1.071</v>
      </c>
      <c r="X659" s="622">
        <v>0.9</v>
      </c>
      <c r="Y659" s="623">
        <v>368289.607383747</v>
      </c>
      <c r="Z659" s="620">
        <f t="shared" si="111"/>
        <v>434581.73671282147</v>
      </c>
      <c r="AA659" s="620">
        <v>407985.04642642796</v>
      </c>
      <c r="AB659" s="624">
        <f t="shared" si="112"/>
        <v>481422.35478318494</v>
      </c>
      <c r="AC659" s="687">
        <f t="shared" si="109"/>
        <v>368289.607383747</v>
      </c>
      <c r="AD659" s="625">
        <f t="shared" si="113"/>
        <v>434581.73671282147</v>
      </c>
      <c r="AE659" s="615" t="s">
        <v>218</v>
      </c>
      <c r="AF659" s="615" t="s">
        <v>83</v>
      </c>
      <c r="AG659" s="615" t="s">
        <v>211</v>
      </c>
      <c r="AH659" s="615" t="s">
        <v>545</v>
      </c>
      <c r="AI659" s="627">
        <v>41759</v>
      </c>
      <c r="AJ659" s="627">
        <v>41819</v>
      </c>
      <c r="AK659" s="615" t="s">
        <v>96</v>
      </c>
      <c r="AL659" s="615" t="s">
        <v>96</v>
      </c>
      <c r="AM659" s="618" t="s">
        <v>1776</v>
      </c>
      <c r="AN659" s="618" t="s">
        <v>1757</v>
      </c>
      <c r="AO659" s="615">
        <v>796</v>
      </c>
      <c r="AP659" s="615" t="s">
        <v>368</v>
      </c>
      <c r="AQ659" s="615">
        <v>1</v>
      </c>
      <c r="AR659" s="615">
        <v>46</v>
      </c>
      <c r="AS659" s="618" t="s">
        <v>605</v>
      </c>
      <c r="AT659" s="627">
        <f>AJ659+20</f>
        <v>41839</v>
      </c>
      <c r="AU659" s="627">
        <f>AT659</f>
        <v>41839</v>
      </c>
      <c r="AV659" s="627">
        <v>42227</v>
      </c>
      <c r="AW659" s="615" t="s">
        <v>99</v>
      </c>
      <c r="AX659" s="618"/>
      <c r="AY659" s="615" t="s">
        <v>186</v>
      </c>
      <c r="AZ659" s="615"/>
      <c r="BA659" s="615">
        <v>2014</v>
      </c>
      <c r="BB659" s="615" t="s">
        <v>4753</v>
      </c>
      <c r="BC659" s="618" t="s">
        <v>4750</v>
      </c>
      <c r="BD659" s="618" t="s">
        <v>1818</v>
      </c>
      <c r="BE659" s="628">
        <v>42277</v>
      </c>
      <c r="BF659" s="629">
        <v>586345.9412</v>
      </c>
      <c r="BG659" s="624">
        <v>652659.28172445239</v>
      </c>
      <c r="BH659" s="624">
        <v>126</v>
      </c>
      <c r="BI659" s="624">
        <v>0</v>
      </c>
      <c r="BJ659" s="615" t="s">
        <v>186</v>
      </c>
      <c r="BK659" s="614"/>
    </row>
    <row r="660" spans="1:63" s="613" customFormat="1" ht="112.5">
      <c r="A660" s="555">
        <v>2</v>
      </c>
      <c r="B660" s="562" t="s">
        <v>5852</v>
      </c>
      <c r="C660" s="555" t="s">
        <v>83</v>
      </c>
      <c r="D660" s="555" t="s">
        <v>213</v>
      </c>
      <c r="E660" s="562" t="s">
        <v>5853</v>
      </c>
      <c r="F660" s="555" t="s">
        <v>1761</v>
      </c>
      <c r="G660" s="555" t="s">
        <v>1762</v>
      </c>
      <c r="H660" s="556">
        <v>821383</v>
      </c>
      <c r="I660" s="486" t="s">
        <v>5854</v>
      </c>
      <c r="J660" s="486" t="s">
        <v>2978</v>
      </c>
      <c r="K660" s="486" t="s">
        <v>2978</v>
      </c>
      <c r="L660" s="486" t="s">
        <v>2325</v>
      </c>
      <c r="M660" s="576" t="s">
        <v>1755</v>
      </c>
      <c r="N660" s="486" t="s">
        <v>1773</v>
      </c>
      <c r="O660" s="486" t="s">
        <v>2234</v>
      </c>
      <c r="P660" s="492">
        <v>48729.627</v>
      </c>
      <c r="Q660" s="492">
        <f t="shared" si="110"/>
        <v>57500.959859999995</v>
      </c>
      <c r="R660" s="492">
        <v>37455.517</v>
      </c>
      <c r="S660" s="555" t="s">
        <v>5970</v>
      </c>
      <c r="T660" s="630">
        <v>1.087</v>
      </c>
      <c r="U660" s="630">
        <v>1.0680000000000001</v>
      </c>
      <c r="V660" s="630">
        <v>1.0589999999999999</v>
      </c>
      <c r="W660" s="630">
        <v>1.0580000000000001</v>
      </c>
      <c r="X660" s="560">
        <v>0.9</v>
      </c>
      <c r="Y660" s="514">
        <v>43856.665000000001</v>
      </c>
      <c r="Z660" s="492">
        <f t="shared" si="111"/>
        <v>51750.864699999998</v>
      </c>
      <c r="AA660" s="492">
        <v>43779.370999999999</v>
      </c>
      <c r="AB660" s="493">
        <f t="shared" si="112"/>
        <v>51659.657779999994</v>
      </c>
      <c r="AC660" s="514">
        <f t="shared" si="109"/>
        <v>43779.370999999999</v>
      </c>
      <c r="AD660" s="492">
        <f t="shared" si="113"/>
        <v>51659.657779999994</v>
      </c>
      <c r="AE660" s="562" t="s">
        <v>1775</v>
      </c>
      <c r="AF660" s="562" t="s">
        <v>83</v>
      </c>
      <c r="AG660" s="562" t="s">
        <v>211</v>
      </c>
      <c r="AH660" s="562" t="s">
        <v>545</v>
      </c>
      <c r="AI660" s="561">
        <v>41685</v>
      </c>
      <c r="AJ660" s="561">
        <v>41720</v>
      </c>
      <c r="AK660" s="562" t="s">
        <v>96</v>
      </c>
      <c r="AL660" s="562" t="s">
        <v>96</v>
      </c>
      <c r="AM660" s="486" t="s">
        <v>5709</v>
      </c>
      <c r="AN660" s="486" t="s">
        <v>1757</v>
      </c>
      <c r="AO660" s="562">
        <v>796</v>
      </c>
      <c r="AP660" s="562" t="s">
        <v>368</v>
      </c>
      <c r="AQ660" s="562">
        <v>1</v>
      </c>
      <c r="AR660" s="562">
        <v>46</v>
      </c>
      <c r="AS660" s="486" t="s">
        <v>605</v>
      </c>
      <c r="AT660" s="561">
        <v>41740</v>
      </c>
      <c r="AU660" s="561">
        <v>41740</v>
      </c>
      <c r="AV660" s="561">
        <v>42185</v>
      </c>
      <c r="AW660" s="562" t="s">
        <v>99</v>
      </c>
      <c r="AX660" s="486"/>
      <c r="AY660" s="562" t="s">
        <v>186</v>
      </c>
      <c r="AZ660" s="562"/>
      <c r="BA660" s="562">
        <v>2014</v>
      </c>
      <c r="BB660" s="562" t="s">
        <v>5855</v>
      </c>
      <c r="BC660" s="486" t="s">
        <v>5856</v>
      </c>
      <c r="BD660" s="486" t="s">
        <v>1818</v>
      </c>
      <c r="BE660" s="575" t="s">
        <v>7292</v>
      </c>
      <c r="BF660" s="580">
        <v>1066329.4199999997</v>
      </c>
      <c r="BG660" s="493">
        <f>BF660</f>
        <v>1066329.4199999997</v>
      </c>
      <c r="BH660" s="493">
        <v>126</v>
      </c>
      <c r="BI660" s="493">
        <v>0</v>
      </c>
      <c r="BJ660" s="562" t="s">
        <v>186</v>
      </c>
      <c r="BK660" s="555"/>
    </row>
    <row r="661" spans="1:63" s="199" customFormat="1" ht="150">
      <c r="A661" s="662">
        <v>2</v>
      </c>
      <c r="B661" s="662" t="s">
        <v>5824</v>
      </c>
      <c r="C661" s="662" t="s">
        <v>83</v>
      </c>
      <c r="D661" s="662" t="s">
        <v>160</v>
      </c>
      <c r="E661" s="662" t="s">
        <v>5853</v>
      </c>
      <c r="F661" s="662" t="s">
        <v>1752</v>
      </c>
      <c r="G661" s="662" t="s">
        <v>2344</v>
      </c>
      <c r="H661" s="675">
        <v>625790</v>
      </c>
      <c r="I661" s="664" t="s">
        <v>5825</v>
      </c>
      <c r="J661" s="664" t="s">
        <v>5826</v>
      </c>
      <c r="K661" s="701" t="s">
        <v>5826</v>
      </c>
      <c r="L661" s="664" t="s">
        <v>5827</v>
      </c>
      <c r="M661" s="702" t="s">
        <v>1755</v>
      </c>
      <c r="N661" s="703" t="s">
        <v>1773</v>
      </c>
      <c r="O661" s="664" t="s">
        <v>2234</v>
      </c>
      <c r="P661" s="665">
        <v>18090.64266400228</v>
      </c>
      <c r="Q661" s="665">
        <f t="shared" si="110"/>
        <v>21346.958343522689</v>
      </c>
      <c r="R661" s="665">
        <v>13908.220607999998</v>
      </c>
      <c r="S661" s="701" t="s">
        <v>6031</v>
      </c>
      <c r="T661" s="662">
        <v>1.087</v>
      </c>
      <c r="U661" s="662">
        <v>1.0680000000000001</v>
      </c>
      <c r="V661" s="662">
        <v>1.0589999999999999</v>
      </c>
      <c r="W661" s="662">
        <v>1.0580000000000001</v>
      </c>
      <c r="X661" s="662">
        <v>0.9</v>
      </c>
      <c r="Y661" s="665">
        <v>16281.578399999999</v>
      </c>
      <c r="Z661" s="665">
        <f t="shared" si="111"/>
        <v>19212.262511999998</v>
      </c>
      <c r="AA661" s="670">
        <v>16255.992102184762</v>
      </c>
      <c r="AB661" s="665">
        <f t="shared" si="112"/>
        <v>19182.070680578017</v>
      </c>
      <c r="AC661" s="672">
        <f t="shared" si="109"/>
        <v>16255.992102184762</v>
      </c>
      <c r="AD661" s="672">
        <f t="shared" si="113"/>
        <v>19182.070680578017</v>
      </c>
      <c r="AE661" s="632" t="s">
        <v>218</v>
      </c>
      <c r="AF661" s="701" t="s">
        <v>83</v>
      </c>
      <c r="AG661" s="701" t="s">
        <v>211</v>
      </c>
      <c r="AH661" s="701" t="s">
        <v>545</v>
      </c>
      <c r="AI661" s="673">
        <v>41675</v>
      </c>
      <c r="AJ661" s="673">
        <v>41735</v>
      </c>
      <c r="AK661" s="701" t="s">
        <v>96</v>
      </c>
      <c r="AL661" s="701" t="s">
        <v>96</v>
      </c>
      <c r="AM661" s="664" t="s">
        <v>6032</v>
      </c>
      <c r="AN661" s="664" t="s">
        <v>1757</v>
      </c>
      <c r="AO661" s="701">
        <v>796</v>
      </c>
      <c r="AP661" s="701" t="s">
        <v>368</v>
      </c>
      <c r="AQ661" s="701">
        <v>1</v>
      </c>
      <c r="AR661" s="701">
        <v>46</v>
      </c>
      <c r="AS661" s="664" t="s">
        <v>605</v>
      </c>
      <c r="AT661" s="673">
        <v>41755</v>
      </c>
      <c r="AU661" s="673">
        <v>41755</v>
      </c>
      <c r="AV661" s="673">
        <v>42004</v>
      </c>
      <c r="AW661" s="701">
        <v>2014</v>
      </c>
      <c r="AX661" s="664"/>
      <c r="AY661" s="701" t="s">
        <v>186</v>
      </c>
      <c r="AZ661" s="701"/>
      <c r="BA661" s="701">
        <v>2014</v>
      </c>
      <c r="BB661" s="701" t="s">
        <v>2271</v>
      </c>
      <c r="BC661" s="664" t="s">
        <v>5836</v>
      </c>
      <c r="BD661" s="664" t="s">
        <v>2272</v>
      </c>
      <c r="BE661" s="704" t="s">
        <v>2272</v>
      </c>
      <c r="BF661" s="705" t="s">
        <v>2272</v>
      </c>
      <c r="BG661" s="641" t="s">
        <v>2272</v>
      </c>
      <c r="BH661" s="671" t="s">
        <v>2272</v>
      </c>
      <c r="BI661" s="671" t="s">
        <v>2272</v>
      </c>
      <c r="BJ661" s="701" t="s">
        <v>186</v>
      </c>
      <c r="BK661" s="662"/>
    </row>
    <row r="662" spans="1:63" s="287" customFormat="1" ht="150">
      <c r="A662" s="523">
        <v>2</v>
      </c>
      <c r="B662" s="523" t="s">
        <v>5828</v>
      </c>
      <c r="C662" s="523" t="s">
        <v>7247</v>
      </c>
      <c r="D662" s="523" t="s">
        <v>231</v>
      </c>
      <c r="E662" s="523" t="s">
        <v>5853</v>
      </c>
      <c r="F662" s="523" t="s">
        <v>1752</v>
      </c>
      <c r="G662" s="523" t="s">
        <v>2344</v>
      </c>
      <c r="H662" s="523">
        <v>832554</v>
      </c>
      <c r="I662" s="582" t="s">
        <v>5829</v>
      </c>
      <c r="J662" s="525" t="s">
        <v>5826</v>
      </c>
      <c r="K662" s="534" t="s">
        <v>5826</v>
      </c>
      <c r="L662" s="525" t="s">
        <v>1772</v>
      </c>
      <c r="M662" s="534" t="s">
        <v>1755</v>
      </c>
      <c r="N662" s="534" t="s">
        <v>1773</v>
      </c>
      <c r="O662" s="534" t="s">
        <v>2234</v>
      </c>
      <c r="P662" s="532">
        <v>4522.66066600057</v>
      </c>
      <c r="Q662" s="532">
        <f t="shared" si="110"/>
        <v>5336.7395858806722</v>
      </c>
      <c r="R662" s="534">
        <v>3477.0551519999999</v>
      </c>
      <c r="S662" s="534" t="s">
        <v>6031</v>
      </c>
      <c r="T662" s="534">
        <v>1.087</v>
      </c>
      <c r="U662" s="534">
        <v>1.0680000000000001</v>
      </c>
      <c r="V662" s="534">
        <v>1.0589999999999999</v>
      </c>
      <c r="W662" s="534">
        <v>1.0580000000000001</v>
      </c>
      <c r="X662" s="534">
        <v>0.9</v>
      </c>
      <c r="Y662" s="532">
        <v>4070.3946000000001</v>
      </c>
      <c r="Z662" s="532">
        <f t="shared" si="111"/>
        <v>4803.0656280000003</v>
      </c>
      <c r="AA662" s="531">
        <v>4203.421779825343</v>
      </c>
      <c r="AB662" s="532">
        <f t="shared" si="112"/>
        <v>4960.0377001939041</v>
      </c>
      <c r="AC662" s="531">
        <f t="shared" si="109"/>
        <v>4070.3946000000001</v>
      </c>
      <c r="AD662" s="532">
        <f t="shared" si="113"/>
        <v>4803.0656280000003</v>
      </c>
      <c r="AE662" s="534" t="s">
        <v>132</v>
      </c>
      <c r="AF662" s="534" t="s">
        <v>83</v>
      </c>
      <c r="AG662" s="534" t="s">
        <v>211</v>
      </c>
      <c r="AH662" s="534" t="s">
        <v>545</v>
      </c>
      <c r="AI662" s="533">
        <v>41675</v>
      </c>
      <c r="AJ662" s="533">
        <v>41735</v>
      </c>
      <c r="AK662" s="534" t="s">
        <v>96</v>
      </c>
      <c r="AL662" s="534" t="s">
        <v>96</v>
      </c>
      <c r="AM662" s="525" t="s">
        <v>6032</v>
      </c>
      <c r="AN662" s="525" t="s">
        <v>1757</v>
      </c>
      <c r="AO662" s="534">
        <v>796</v>
      </c>
      <c r="AP662" s="534" t="s">
        <v>368</v>
      </c>
      <c r="AQ662" s="534">
        <v>1</v>
      </c>
      <c r="AR662" s="534">
        <v>46</v>
      </c>
      <c r="AS662" s="525" t="s">
        <v>605</v>
      </c>
      <c r="AT662" s="533">
        <v>41755</v>
      </c>
      <c r="AU662" s="533">
        <v>41755</v>
      </c>
      <c r="AV662" s="533">
        <v>42004</v>
      </c>
      <c r="AW662" s="534">
        <v>2014</v>
      </c>
      <c r="AX662" s="525"/>
      <c r="AY662" s="534" t="s">
        <v>186</v>
      </c>
      <c r="AZ662" s="534"/>
      <c r="BA662" s="534">
        <v>2014</v>
      </c>
      <c r="BB662" s="534" t="s">
        <v>5837</v>
      </c>
      <c r="BC662" s="525" t="s">
        <v>5838</v>
      </c>
      <c r="BD662" s="525" t="s">
        <v>1818</v>
      </c>
      <c r="BE662" s="545">
        <v>41988</v>
      </c>
      <c r="BF662" s="498">
        <v>46845.80000000001</v>
      </c>
      <c r="BG662" s="488">
        <v>46845.80000000001</v>
      </c>
      <c r="BH662" s="532">
        <v>0</v>
      </c>
      <c r="BI662" s="532">
        <v>0</v>
      </c>
      <c r="BJ662" s="534" t="s">
        <v>186</v>
      </c>
      <c r="BK662" s="401"/>
    </row>
    <row r="663" spans="1:63" s="287" customFormat="1" ht="150">
      <c r="A663" s="523">
        <v>2</v>
      </c>
      <c r="B663" s="523" t="s">
        <v>5830</v>
      </c>
      <c r="C663" s="523" t="s">
        <v>7247</v>
      </c>
      <c r="D663" s="523" t="s">
        <v>235</v>
      </c>
      <c r="E663" s="523" t="s">
        <v>5853</v>
      </c>
      <c r="F663" s="523" t="s">
        <v>1752</v>
      </c>
      <c r="G663" s="523" t="s">
        <v>2344</v>
      </c>
      <c r="H663" s="523">
        <v>841492</v>
      </c>
      <c r="I663" s="582" t="s">
        <v>5831</v>
      </c>
      <c r="J663" s="525" t="s">
        <v>5826</v>
      </c>
      <c r="K663" s="534" t="s">
        <v>5826</v>
      </c>
      <c r="L663" s="525" t="s">
        <v>2325</v>
      </c>
      <c r="M663" s="534" t="s">
        <v>1755</v>
      </c>
      <c r="N663" s="534" t="s">
        <v>1773</v>
      </c>
      <c r="O663" s="534" t="s">
        <v>2234</v>
      </c>
      <c r="P663" s="532">
        <v>6783.9909990008555</v>
      </c>
      <c r="Q663" s="532">
        <f t="shared" si="110"/>
        <v>8005.1093788210092</v>
      </c>
      <c r="R663" s="534">
        <v>5215.5827279999994</v>
      </c>
      <c r="S663" s="534" t="s">
        <v>6031</v>
      </c>
      <c r="T663" s="534">
        <v>1.087</v>
      </c>
      <c r="U663" s="534">
        <v>1.0680000000000001</v>
      </c>
      <c r="V663" s="534">
        <v>1.0589999999999999</v>
      </c>
      <c r="W663" s="534">
        <v>1.0580000000000001</v>
      </c>
      <c r="X663" s="534">
        <v>0.9</v>
      </c>
      <c r="Y663" s="532">
        <v>6105.5918999999994</v>
      </c>
      <c r="Z663" s="532">
        <f t="shared" si="111"/>
        <v>7204.5984419999986</v>
      </c>
      <c r="AA663" s="531">
        <v>5747.4376526214028</v>
      </c>
      <c r="AB663" s="532">
        <f t="shared" si="112"/>
        <v>6781.9764300932547</v>
      </c>
      <c r="AC663" s="531">
        <f t="shared" si="109"/>
        <v>5747.4376526214028</v>
      </c>
      <c r="AD663" s="532">
        <f t="shared" si="113"/>
        <v>6781.9764300932547</v>
      </c>
      <c r="AE663" s="534" t="s">
        <v>132</v>
      </c>
      <c r="AF663" s="534" t="s">
        <v>83</v>
      </c>
      <c r="AG663" s="534" t="s">
        <v>211</v>
      </c>
      <c r="AH663" s="534" t="s">
        <v>545</v>
      </c>
      <c r="AI663" s="533">
        <v>41675</v>
      </c>
      <c r="AJ663" s="533">
        <v>41735</v>
      </c>
      <c r="AK663" s="534" t="s">
        <v>96</v>
      </c>
      <c r="AL663" s="534" t="s">
        <v>96</v>
      </c>
      <c r="AM663" s="525" t="s">
        <v>6032</v>
      </c>
      <c r="AN663" s="525" t="s">
        <v>1757</v>
      </c>
      <c r="AO663" s="534">
        <v>796</v>
      </c>
      <c r="AP663" s="534" t="s">
        <v>368</v>
      </c>
      <c r="AQ663" s="534">
        <v>1</v>
      </c>
      <c r="AR663" s="534">
        <v>46</v>
      </c>
      <c r="AS663" s="525" t="s">
        <v>605</v>
      </c>
      <c r="AT663" s="533">
        <v>41755</v>
      </c>
      <c r="AU663" s="533">
        <v>41755</v>
      </c>
      <c r="AV663" s="533">
        <v>42004</v>
      </c>
      <c r="AW663" s="534">
        <v>2014</v>
      </c>
      <c r="AX663" s="525"/>
      <c r="AY663" s="534" t="s">
        <v>186</v>
      </c>
      <c r="AZ663" s="534"/>
      <c r="BA663" s="534">
        <v>2014</v>
      </c>
      <c r="BB663" s="534" t="s">
        <v>5839</v>
      </c>
      <c r="BC663" s="525" t="s">
        <v>5840</v>
      </c>
      <c r="BD663" s="525" t="s">
        <v>1818</v>
      </c>
      <c r="BE663" s="545">
        <v>41988</v>
      </c>
      <c r="BF663" s="498">
        <v>47813.20361069221</v>
      </c>
      <c r="BG663" s="488">
        <v>47813.20361069221</v>
      </c>
      <c r="BH663" s="532">
        <v>0</v>
      </c>
      <c r="BI663" s="532">
        <v>0</v>
      </c>
      <c r="BJ663" s="534" t="s">
        <v>186</v>
      </c>
      <c r="BK663" s="401"/>
    </row>
    <row r="664" spans="1:63" s="287" customFormat="1" ht="150">
      <c r="A664" s="523">
        <v>2</v>
      </c>
      <c r="B664" s="523" t="s">
        <v>5832</v>
      </c>
      <c r="C664" s="523" t="s">
        <v>7247</v>
      </c>
      <c r="D664" s="523" t="s">
        <v>213</v>
      </c>
      <c r="E664" s="523" t="s">
        <v>5853</v>
      </c>
      <c r="F664" s="523" t="s">
        <v>1752</v>
      </c>
      <c r="G664" s="523" t="s">
        <v>2344</v>
      </c>
      <c r="H664" s="523">
        <v>842734</v>
      </c>
      <c r="I664" s="582" t="s">
        <v>5833</v>
      </c>
      <c r="J664" s="525" t="s">
        <v>5826</v>
      </c>
      <c r="K664" s="534" t="s">
        <v>5826</v>
      </c>
      <c r="L664" s="525" t="s">
        <v>1772</v>
      </c>
      <c r="M664" s="534" t="s">
        <v>1755</v>
      </c>
      <c r="N664" s="534" t="s">
        <v>1773</v>
      </c>
      <c r="O664" s="534" t="s">
        <v>2234</v>
      </c>
      <c r="P664" s="532">
        <v>6783.9909990008555</v>
      </c>
      <c r="Q664" s="532">
        <f t="shared" si="110"/>
        <v>8005.1093788210092</v>
      </c>
      <c r="R664" s="534">
        <v>5215.5827279999994</v>
      </c>
      <c r="S664" s="534" t="s">
        <v>6031</v>
      </c>
      <c r="T664" s="534">
        <v>1.087</v>
      </c>
      <c r="U664" s="534">
        <v>1.0680000000000001</v>
      </c>
      <c r="V664" s="534">
        <v>1.0589999999999999</v>
      </c>
      <c r="W664" s="534">
        <v>1.0580000000000001</v>
      </c>
      <c r="X664" s="534">
        <v>0.9</v>
      </c>
      <c r="Y664" s="532">
        <v>6105.5918999999994</v>
      </c>
      <c r="Z664" s="532">
        <f t="shared" si="111"/>
        <v>7204.5984419999986</v>
      </c>
      <c r="AA664" s="531">
        <v>6305.1326697380164</v>
      </c>
      <c r="AB664" s="532">
        <f t="shared" si="112"/>
        <v>7440.0565502908594</v>
      </c>
      <c r="AC664" s="531">
        <f t="shared" si="109"/>
        <v>6105.5918999999994</v>
      </c>
      <c r="AD664" s="532">
        <f t="shared" si="113"/>
        <v>7204.5984419999986</v>
      </c>
      <c r="AE664" s="534" t="s">
        <v>132</v>
      </c>
      <c r="AF664" s="534" t="s">
        <v>83</v>
      </c>
      <c r="AG664" s="534" t="s">
        <v>211</v>
      </c>
      <c r="AH664" s="534" t="s">
        <v>545</v>
      </c>
      <c r="AI664" s="533">
        <v>41675</v>
      </c>
      <c r="AJ664" s="533">
        <v>41735</v>
      </c>
      <c r="AK664" s="534" t="s">
        <v>96</v>
      </c>
      <c r="AL664" s="534" t="s">
        <v>96</v>
      </c>
      <c r="AM664" s="525" t="s">
        <v>6032</v>
      </c>
      <c r="AN664" s="525" t="s">
        <v>1757</v>
      </c>
      <c r="AO664" s="534">
        <v>796</v>
      </c>
      <c r="AP664" s="534" t="s">
        <v>368</v>
      </c>
      <c r="AQ664" s="534">
        <v>1</v>
      </c>
      <c r="AR664" s="534">
        <v>46</v>
      </c>
      <c r="AS664" s="525" t="s">
        <v>605</v>
      </c>
      <c r="AT664" s="533">
        <v>41755</v>
      </c>
      <c r="AU664" s="533">
        <v>41755</v>
      </c>
      <c r="AV664" s="533">
        <v>42004</v>
      </c>
      <c r="AW664" s="534">
        <v>2014</v>
      </c>
      <c r="AX664" s="525"/>
      <c r="AY664" s="534" t="s">
        <v>186</v>
      </c>
      <c r="AZ664" s="534"/>
      <c r="BA664" s="534">
        <v>2014</v>
      </c>
      <c r="BB664" s="534" t="s">
        <v>5841</v>
      </c>
      <c r="BC664" s="525" t="s">
        <v>5842</v>
      </c>
      <c r="BD664" s="525" t="s">
        <v>1818</v>
      </c>
      <c r="BE664" s="545">
        <v>41988</v>
      </c>
      <c r="BF664" s="498">
        <v>42879.713578264447</v>
      </c>
      <c r="BG664" s="488">
        <v>42879.713578264447</v>
      </c>
      <c r="BH664" s="532">
        <v>0</v>
      </c>
      <c r="BI664" s="532">
        <v>0</v>
      </c>
      <c r="BJ664" s="534" t="s">
        <v>186</v>
      </c>
      <c r="BK664" s="401"/>
    </row>
    <row r="665" spans="1:63" ht="112.5">
      <c r="A665" s="401">
        <v>2</v>
      </c>
      <c r="B665" s="494" t="s">
        <v>5834</v>
      </c>
      <c r="C665" s="401" t="s">
        <v>83</v>
      </c>
      <c r="D665" s="401" t="s">
        <v>235</v>
      </c>
      <c r="E665" s="494" t="s">
        <v>5853</v>
      </c>
      <c r="F665" s="401" t="s">
        <v>1795</v>
      </c>
      <c r="G665" s="401" t="s">
        <v>1769</v>
      </c>
      <c r="H665" s="499">
        <v>841375</v>
      </c>
      <c r="I665" s="486" t="s">
        <v>5835</v>
      </c>
      <c r="J665" s="496" t="s">
        <v>2529</v>
      </c>
      <c r="K665" s="496" t="s">
        <v>2529</v>
      </c>
      <c r="L665" s="496" t="s">
        <v>2325</v>
      </c>
      <c r="M665" s="500" t="s">
        <v>1755</v>
      </c>
      <c r="N665" s="496" t="s">
        <v>1773</v>
      </c>
      <c r="O665" s="496" t="s">
        <v>2234</v>
      </c>
      <c r="P665" s="489">
        <v>302338.47082262224</v>
      </c>
      <c r="Q665" s="489">
        <f t="shared" si="110"/>
        <v>356759.39557069424</v>
      </c>
      <c r="R665" s="489">
        <v>224728.92378079667</v>
      </c>
      <c r="S665" s="401" t="s">
        <v>1774</v>
      </c>
      <c r="T665" s="501">
        <v>1.087</v>
      </c>
      <c r="U665" s="501">
        <v>1.077</v>
      </c>
      <c r="V665" s="501">
        <v>1.073</v>
      </c>
      <c r="W665" s="501">
        <v>1.071</v>
      </c>
      <c r="X665" s="596">
        <v>0.9</v>
      </c>
      <c r="Y665" s="502">
        <v>272104.62374036002</v>
      </c>
      <c r="Z665" s="489">
        <f t="shared" si="111"/>
        <v>321083.45601362479</v>
      </c>
      <c r="AA665" s="489">
        <v>265014.25750724558</v>
      </c>
      <c r="AB665" s="488">
        <f t="shared" si="112"/>
        <v>312716.82385854976</v>
      </c>
      <c r="AC665" s="492">
        <f t="shared" si="109"/>
        <v>265014.25750724558</v>
      </c>
      <c r="AD665" s="493">
        <f t="shared" si="113"/>
        <v>312716.82385854976</v>
      </c>
      <c r="AE665" s="494" t="s">
        <v>218</v>
      </c>
      <c r="AF665" s="494" t="s">
        <v>83</v>
      </c>
      <c r="AG665" s="494" t="s">
        <v>211</v>
      </c>
      <c r="AH665" s="494" t="s">
        <v>545</v>
      </c>
      <c r="AI665" s="495">
        <v>41805</v>
      </c>
      <c r="AJ665" s="495">
        <f>AI665+60</f>
        <v>41865</v>
      </c>
      <c r="AK665" s="494" t="s">
        <v>96</v>
      </c>
      <c r="AL665" s="494" t="s">
        <v>96</v>
      </c>
      <c r="AM665" s="496" t="s">
        <v>2530</v>
      </c>
      <c r="AN665" s="496" t="s">
        <v>1757</v>
      </c>
      <c r="AO665" s="494">
        <v>796</v>
      </c>
      <c r="AP665" s="494" t="s">
        <v>368</v>
      </c>
      <c r="AQ665" s="494">
        <v>1</v>
      </c>
      <c r="AR665" s="494">
        <v>46</v>
      </c>
      <c r="AS665" s="496" t="s">
        <v>605</v>
      </c>
      <c r="AT665" s="495">
        <f>AJ665+20</f>
        <v>41885</v>
      </c>
      <c r="AU665" s="495">
        <f>AT665</f>
        <v>41885</v>
      </c>
      <c r="AV665" s="495">
        <v>42958</v>
      </c>
      <c r="AW665" s="494" t="s">
        <v>1113</v>
      </c>
      <c r="AX665" s="496"/>
      <c r="AY665" s="494" t="s">
        <v>186</v>
      </c>
      <c r="AZ665" s="494"/>
      <c r="BA665" s="494">
        <v>2014</v>
      </c>
      <c r="BB665" s="494" t="s">
        <v>5843</v>
      </c>
      <c r="BC665" s="496" t="s">
        <v>5844</v>
      </c>
      <c r="BD665" s="496" t="s">
        <v>1818</v>
      </c>
      <c r="BE665" s="497">
        <v>42993</v>
      </c>
      <c r="BF665" s="498">
        <v>734204.41</v>
      </c>
      <c r="BG665" s="488">
        <v>734204.41</v>
      </c>
      <c r="BH665" s="488">
        <v>80</v>
      </c>
      <c r="BI665" s="488">
        <v>0</v>
      </c>
      <c r="BJ665" s="494" t="s">
        <v>186</v>
      </c>
      <c r="BK665" s="401"/>
    </row>
    <row r="666" spans="1:63" ht="112.5">
      <c r="A666" s="401">
        <v>2</v>
      </c>
      <c r="B666" s="494" t="s">
        <v>1780</v>
      </c>
      <c r="C666" s="401" t="s">
        <v>83</v>
      </c>
      <c r="D666" s="401" t="s">
        <v>238</v>
      </c>
      <c r="E666" s="494" t="s">
        <v>5853</v>
      </c>
      <c r="F666" s="401" t="s">
        <v>1795</v>
      </c>
      <c r="G666" s="401" t="s">
        <v>1769</v>
      </c>
      <c r="H666" s="499">
        <v>641353</v>
      </c>
      <c r="I666" s="486" t="s">
        <v>6033</v>
      </c>
      <c r="J666" s="496" t="s">
        <v>2529</v>
      </c>
      <c r="K666" s="496" t="s">
        <v>2529</v>
      </c>
      <c r="L666" s="496" t="s">
        <v>1772</v>
      </c>
      <c r="M666" s="500" t="s">
        <v>1755</v>
      </c>
      <c r="N666" s="496" t="s">
        <v>1773</v>
      </c>
      <c r="O666" s="496" t="s">
        <v>1786</v>
      </c>
      <c r="P666" s="489">
        <v>9362.2689100000007</v>
      </c>
      <c r="Q666" s="489">
        <f t="shared" si="110"/>
        <v>11047.4773138</v>
      </c>
      <c r="R666" s="489">
        <v>7197.7819600000003</v>
      </c>
      <c r="S666" s="401" t="s">
        <v>5970</v>
      </c>
      <c r="T666" s="501">
        <v>1.087</v>
      </c>
      <c r="U666" s="501">
        <v>1.0680000000000001</v>
      </c>
      <c r="V666" s="501">
        <v>1.0589999999999999</v>
      </c>
      <c r="W666" s="501">
        <v>1.0580000000000001</v>
      </c>
      <c r="X666" s="596">
        <v>0.9</v>
      </c>
      <c r="Y666" s="502">
        <v>8426.0420200000008</v>
      </c>
      <c r="Z666" s="489">
        <f t="shared" si="111"/>
        <v>9942.7295836000012</v>
      </c>
      <c r="AA666" s="489">
        <v>7434.8860226862498</v>
      </c>
      <c r="AB666" s="488">
        <f t="shared" si="112"/>
        <v>8773.1655067697739</v>
      </c>
      <c r="AC666" s="492">
        <f t="shared" si="109"/>
        <v>7434.8860226862498</v>
      </c>
      <c r="AD666" s="493">
        <f t="shared" si="113"/>
        <v>8773.1655067697739</v>
      </c>
      <c r="AE666" s="494" t="s">
        <v>173</v>
      </c>
      <c r="AF666" s="494" t="s">
        <v>83</v>
      </c>
      <c r="AG666" s="494" t="s">
        <v>211</v>
      </c>
      <c r="AH666" s="494" t="s">
        <v>545</v>
      </c>
      <c r="AI666" s="495">
        <v>41649</v>
      </c>
      <c r="AJ666" s="495">
        <v>41689</v>
      </c>
      <c r="AK666" s="494" t="s">
        <v>96</v>
      </c>
      <c r="AL666" s="494" t="s">
        <v>96</v>
      </c>
      <c r="AM666" s="496" t="s">
        <v>2530</v>
      </c>
      <c r="AN666" s="496" t="s">
        <v>1757</v>
      </c>
      <c r="AO666" s="494">
        <v>796</v>
      </c>
      <c r="AP666" s="494" t="s">
        <v>368</v>
      </c>
      <c r="AQ666" s="494">
        <v>1</v>
      </c>
      <c r="AR666" s="494">
        <v>45</v>
      </c>
      <c r="AS666" s="496" t="s">
        <v>547</v>
      </c>
      <c r="AT666" s="495">
        <v>41709</v>
      </c>
      <c r="AU666" s="495">
        <v>41709</v>
      </c>
      <c r="AV666" s="583">
        <v>42003</v>
      </c>
      <c r="AW666" s="494">
        <v>2014</v>
      </c>
      <c r="AX666" s="496"/>
      <c r="AY666" s="494" t="s">
        <v>186</v>
      </c>
      <c r="AZ666" s="494"/>
      <c r="BA666" s="494">
        <v>2014</v>
      </c>
      <c r="BB666" s="494" t="s">
        <v>1781</v>
      </c>
      <c r="BC666" s="496" t="s">
        <v>1782</v>
      </c>
      <c r="BD666" s="496" t="s">
        <v>6034</v>
      </c>
      <c r="BE666" s="497">
        <v>42019</v>
      </c>
      <c r="BF666" s="498">
        <v>25304.055676399996</v>
      </c>
      <c r="BG666" s="488">
        <v>25304.055676399996</v>
      </c>
      <c r="BH666" s="488">
        <v>0</v>
      </c>
      <c r="BI666" s="488">
        <v>0</v>
      </c>
      <c r="BJ666" s="494" t="s">
        <v>186</v>
      </c>
      <c r="BK666" s="401"/>
    </row>
    <row r="667" spans="1:63" ht="112.5">
      <c r="A667" s="614">
        <v>2</v>
      </c>
      <c r="B667" s="615" t="s">
        <v>1783</v>
      </c>
      <c r="C667" s="614" t="s">
        <v>83</v>
      </c>
      <c r="D667" s="614" t="s">
        <v>238</v>
      </c>
      <c r="E667" s="615" t="s">
        <v>5853</v>
      </c>
      <c r="F667" s="614" t="s">
        <v>1795</v>
      </c>
      <c r="G667" s="614" t="s">
        <v>1769</v>
      </c>
      <c r="H667" s="616">
        <v>641354</v>
      </c>
      <c r="I667" s="617" t="s">
        <v>6035</v>
      </c>
      <c r="J667" s="618" t="s">
        <v>2529</v>
      </c>
      <c r="K667" s="618" t="s">
        <v>2529</v>
      </c>
      <c r="L667" s="618" t="s">
        <v>1772</v>
      </c>
      <c r="M667" s="619" t="s">
        <v>1755</v>
      </c>
      <c r="N667" s="618" t="s">
        <v>1773</v>
      </c>
      <c r="O667" s="618" t="s">
        <v>1786</v>
      </c>
      <c r="P667" s="620">
        <v>7461.76469</v>
      </c>
      <c r="Q667" s="620">
        <f t="shared" si="110"/>
        <v>8804.8823341999996</v>
      </c>
      <c r="R667" s="620">
        <v>5736.6601799999999</v>
      </c>
      <c r="S667" s="614" t="s">
        <v>5970</v>
      </c>
      <c r="T667" s="621">
        <v>1.087</v>
      </c>
      <c r="U667" s="621">
        <v>1.0680000000000001</v>
      </c>
      <c r="V667" s="621">
        <v>1.0589999999999999</v>
      </c>
      <c r="W667" s="621">
        <v>1.0580000000000001</v>
      </c>
      <c r="X667" s="622">
        <v>0.9</v>
      </c>
      <c r="Y667" s="623">
        <v>6715.5879999999997</v>
      </c>
      <c r="Z667" s="620">
        <f t="shared" si="111"/>
        <v>7924.3938399999997</v>
      </c>
      <c r="AA667" s="620">
        <v>5550.1278706132407</v>
      </c>
      <c r="AB667" s="624">
        <f t="shared" si="112"/>
        <v>6549.1508873236235</v>
      </c>
      <c r="AC667" s="625">
        <f t="shared" si="109"/>
        <v>5550.1278706132407</v>
      </c>
      <c r="AD667" s="626">
        <f t="shared" si="113"/>
        <v>6549.1508873236235</v>
      </c>
      <c r="AE667" s="615" t="s">
        <v>173</v>
      </c>
      <c r="AF667" s="615" t="s">
        <v>83</v>
      </c>
      <c r="AG667" s="615" t="s">
        <v>211</v>
      </c>
      <c r="AH667" s="615" t="s">
        <v>545</v>
      </c>
      <c r="AI667" s="627">
        <v>41649</v>
      </c>
      <c r="AJ667" s="627">
        <v>41689</v>
      </c>
      <c r="AK667" s="615" t="s">
        <v>96</v>
      </c>
      <c r="AL667" s="615" t="s">
        <v>96</v>
      </c>
      <c r="AM667" s="618" t="s">
        <v>2530</v>
      </c>
      <c r="AN667" s="618" t="s">
        <v>1757</v>
      </c>
      <c r="AO667" s="615">
        <v>796</v>
      </c>
      <c r="AP667" s="615" t="s">
        <v>368</v>
      </c>
      <c r="AQ667" s="615">
        <v>1</v>
      </c>
      <c r="AR667" s="615">
        <v>45</v>
      </c>
      <c r="AS667" s="618" t="s">
        <v>547</v>
      </c>
      <c r="AT667" s="627">
        <v>41709</v>
      </c>
      <c r="AU667" s="627">
        <v>41709</v>
      </c>
      <c r="AV667" s="766">
        <v>42003</v>
      </c>
      <c r="AW667" s="615">
        <v>2014</v>
      </c>
      <c r="AX667" s="618"/>
      <c r="AY667" s="615" t="s">
        <v>186</v>
      </c>
      <c r="AZ667" s="615"/>
      <c r="BA667" s="615">
        <v>2014</v>
      </c>
      <c r="BB667" s="615" t="s">
        <v>1784</v>
      </c>
      <c r="BC667" s="618" t="s">
        <v>1785</v>
      </c>
      <c r="BD667" s="618" t="s">
        <v>6036</v>
      </c>
      <c r="BE667" s="628">
        <v>42019</v>
      </c>
      <c r="BF667" s="629">
        <v>12645.068776400001</v>
      </c>
      <c r="BG667" s="624">
        <v>12645.068776400001</v>
      </c>
      <c r="BH667" s="624">
        <v>0</v>
      </c>
      <c r="BI667" s="624">
        <v>0</v>
      </c>
      <c r="BJ667" s="615" t="s">
        <v>186</v>
      </c>
      <c r="BK667" s="614"/>
    </row>
    <row r="668" spans="1:63" s="613" customFormat="1" ht="93.75">
      <c r="A668" s="555">
        <v>2</v>
      </c>
      <c r="B668" s="562" t="s">
        <v>6037</v>
      </c>
      <c r="C668" s="555" t="s">
        <v>83</v>
      </c>
      <c r="D668" s="555" t="s">
        <v>238</v>
      </c>
      <c r="E668" s="562" t="s">
        <v>5853</v>
      </c>
      <c r="F668" s="555" t="s">
        <v>1761</v>
      </c>
      <c r="G668" s="555" t="s">
        <v>1762</v>
      </c>
      <c r="H668" s="556">
        <v>641162</v>
      </c>
      <c r="I668" s="486" t="s">
        <v>6137</v>
      </c>
      <c r="J668" s="486" t="s">
        <v>2233</v>
      </c>
      <c r="K668" s="486" t="s">
        <v>2233</v>
      </c>
      <c r="L668" s="486" t="s">
        <v>1772</v>
      </c>
      <c r="M668" s="576" t="s">
        <v>1755</v>
      </c>
      <c r="N668" s="486" t="s">
        <v>1773</v>
      </c>
      <c r="O668" s="486" t="s">
        <v>2234</v>
      </c>
      <c r="P668" s="492">
        <v>16273.574000000001</v>
      </c>
      <c r="Q668" s="492">
        <f t="shared" si="110"/>
        <v>19202.817319999998</v>
      </c>
      <c r="R668" s="492">
        <v>13268.392</v>
      </c>
      <c r="S668" s="555" t="s">
        <v>6138</v>
      </c>
      <c r="T668" s="630">
        <v>1.087</v>
      </c>
      <c r="U668" s="630">
        <v>1.0680000000000001</v>
      </c>
      <c r="V668" s="630">
        <v>1.0589999999999999</v>
      </c>
      <c r="W668" s="630">
        <v>1.0580000000000001</v>
      </c>
      <c r="X668" s="560">
        <v>0.9</v>
      </c>
      <c r="Y668" s="514">
        <v>15532.566720566349</v>
      </c>
      <c r="Z668" s="492">
        <f t="shared" si="111"/>
        <v>18328.42873026829</v>
      </c>
      <c r="AA668" s="492">
        <v>15058.726912131602</v>
      </c>
      <c r="AB668" s="493">
        <f t="shared" si="112"/>
        <v>17769.297756315289</v>
      </c>
      <c r="AC668" s="492">
        <f t="shared" si="109"/>
        <v>15058.726912131602</v>
      </c>
      <c r="AD668" s="493">
        <f t="shared" si="113"/>
        <v>17769.297756315289</v>
      </c>
      <c r="AE668" s="562" t="s">
        <v>1775</v>
      </c>
      <c r="AF668" s="562" t="s">
        <v>83</v>
      </c>
      <c r="AG668" s="562" t="s">
        <v>211</v>
      </c>
      <c r="AH668" s="562" t="s">
        <v>545</v>
      </c>
      <c r="AI668" s="561">
        <v>41687</v>
      </c>
      <c r="AJ668" s="561">
        <f>AI668+35</f>
        <v>41722</v>
      </c>
      <c r="AK668" s="562" t="s">
        <v>96</v>
      </c>
      <c r="AL668" s="562" t="s">
        <v>96</v>
      </c>
      <c r="AM668" s="486" t="s">
        <v>1793</v>
      </c>
      <c r="AN668" s="486" t="s">
        <v>1757</v>
      </c>
      <c r="AO668" s="562">
        <v>796</v>
      </c>
      <c r="AP668" s="562" t="s">
        <v>368</v>
      </c>
      <c r="AQ668" s="562">
        <v>1</v>
      </c>
      <c r="AR668" s="562">
        <v>45</v>
      </c>
      <c r="AS668" s="486" t="s">
        <v>547</v>
      </c>
      <c r="AT668" s="561">
        <f>AJ668+20</f>
        <v>41742</v>
      </c>
      <c r="AU668" s="561">
        <f>AT668</f>
        <v>41742</v>
      </c>
      <c r="AV668" s="714">
        <v>42003</v>
      </c>
      <c r="AW668" s="562">
        <v>2014</v>
      </c>
      <c r="AX668" s="486"/>
      <c r="AY668" s="562" t="s">
        <v>186</v>
      </c>
      <c r="AZ668" s="562"/>
      <c r="BA668" s="562">
        <v>2014</v>
      </c>
      <c r="BB668" s="562" t="s">
        <v>6038</v>
      </c>
      <c r="BC668" s="486" t="s">
        <v>6039</v>
      </c>
      <c r="BD668" s="486" t="s">
        <v>1818</v>
      </c>
      <c r="BE668" s="575">
        <v>42368</v>
      </c>
      <c r="BF668" s="580">
        <v>4229337.6509999996</v>
      </c>
      <c r="BG668" s="493">
        <f>3975.57739194*1000</f>
        <v>3975577.39194</v>
      </c>
      <c r="BH668" s="493">
        <v>700</v>
      </c>
      <c r="BI668" s="493">
        <v>0</v>
      </c>
      <c r="BJ668" s="562" t="s">
        <v>186</v>
      </c>
      <c r="BK668" s="555"/>
    </row>
    <row r="669" spans="1:63" ht="150">
      <c r="A669" s="631">
        <v>2</v>
      </c>
      <c r="B669" s="632" t="s">
        <v>6040</v>
      </c>
      <c r="C669" s="631" t="s">
        <v>83</v>
      </c>
      <c r="D669" s="631" t="s">
        <v>242</v>
      </c>
      <c r="E669" s="632" t="s">
        <v>5853</v>
      </c>
      <c r="F669" s="631" t="s">
        <v>1752</v>
      </c>
      <c r="G669" s="631" t="s">
        <v>2344</v>
      </c>
      <c r="H669" s="633">
        <v>852581</v>
      </c>
      <c r="I669" s="634" t="s">
        <v>6041</v>
      </c>
      <c r="J669" s="635" t="s">
        <v>5317</v>
      </c>
      <c r="K669" s="635" t="s">
        <v>5317</v>
      </c>
      <c r="L669" s="635" t="s">
        <v>1772</v>
      </c>
      <c r="M669" s="636" t="s">
        <v>1755</v>
      </c>
      <c r="N669" s="635" t="s">
        <v>1773</v>
      </c>
      <c r="O669" s="635" t="s">
        <v>2234</v>
      </c>
      <c r="P669" s="637">
        <v>1343.1410297909119</v>
      </c>
      <c r="Q669" s="637">
        <f t="shared" si="110"/>
        <v>1584.9064151532759</v>
      </c>
      <c r="R669" s="637">
        <v>1116.6310000000001</v>
      </c>
      <c r="S669" s="631" t="s">
        <v>1774</v>
      </c>
      <c r="T669" s="638">
        <v>1.087</v>
      </c>
      <c r="U669" s="638">
        <v>1.077</v>
      </c>
      <c r="V669" s="638">
        <v>1.073</v>
      </c>
      <c r="W669" s="638">
        <v>1.071</v>
      </c>
      <c r="X669" s="639">
        <v>0.9</v>
      </c>
      <c r="Y669" s="640">
        <v>1307.463</v>
      </c>
      <c r="Z669" s="637">
        <f t="shared" si="111"/>
        <v>1542.8063399999999</v>
      </c>
      <c r="AA669" s="637">
        <v>1228.7819999999999</v>
      </c>
      <c r="AB669" s="641">
        <f t="shared" si="112"/>
        <v>1449.9627599999999</v>
      </c>
      <c r="AC669" s="642">
        <f t="shared" si="109"/>
        <v>1228.7819999999999</v>
      </c>
      <c r="AD669" s="643">
        <f t="shared" si="113"/>
        <v>1449.9627599999999</v>
      </c>
      <c r="AE669" s="632" t="s">
        <v>1775</v>
      </c>
      <c r="AF669" s="632" t="s">
        <v>83</v>
      </c>
      <c r="AG669" s="632" t="s">
        <v>211</v>
      </c>
      <c r="AH669" s="632" t="s">
        <v>545</v>
      </c>
      <c r="AI669" s="644">
        <v>41927</v>
      </c>
      <c r="AJ669" s="644">
        <v>41962</v>
      </c>
      <c r="AK669" s="632" t="s">
        <v>96</v>
      </c>
      <c r="AL669" s="632" t="s">
        <v>96</v>
      </c>
      <c r="AM669" s="635" t="s">
        <v>1846</v>
      </c>
      <c r="AN669" s="635" t="s">
        <v>1757</v>
      </c>
      <c r="AO669" s="632">
        <v>796</v>
      </c>
      <c r="AP669" s="632" t="s">
        <v>368</v>
      </c>
      <c r="AQ669" s="632">
        <v>1</v>
      </c>
      <c r="AR669" s="632">
        <v>45</v>
      </c>
      <c r="AS669" s="635" t="s">
        <v>547</v>
      </c>
      <c r="AT669" s="644">
        <v>41982</v>
      </c>
      <c r="AU669" s="644">
        <v>41982</v>
      </c>
      <c r="AV669" s="644">
        <v>42369</v>
      </c>
      <c r="AW669" s="632" t="s">
        <v>99</v>
      </c>
      <c r="AX669" s="635"/>
      <c r="AY669" s="632" t="s">
        <v>186</v>
      </c>
      <c r="AZ669" s="632"/>
      <c r="BA669" s="632">
        <v>2014</v>
      </c>
      <c r="BB669" s="632" t="s">
        <v>6042</v>
      </c>
      <c r="BC669" s="635" t="s">
        <v>6043</v>
      </c>
      <c r="BD669" s="635" t="s">
        <v>1818</v>
      </c>
      <c r="BE669" s="645">
        <v>42369</v>
      </c>
      <c r="BF669" s="646">
        <v>2017.6199291999999</v>
      </c>
      <c r="BG669" s="641">
        <v>2017.6199291999999</v>
      </c>
      <c r="BH669" s="641">
        <v>0</v>
      </c>
      <c r="BI669" s="641">
        <v>0.66</v>
      </c>
      <c r="BJ669" s="632" t="s">
        <v>186</v>
      </c>
      <c r="BK669" s="631"/>
    </row>
    <row r="670" spans="1:63" ht="150">
      <c r="A670" s="401">
        <v>2</v>
      </c>
      <c r="B670" s="494" t="s">
        <v>6044</v>
      </c>
      <c r="C670" s="401" t="s">
        <v>83</v>
      </c>
      <c r="D670" s="401" t="s">
        <v>242</v>
      </c>
      <c r="E670" s="494" t="s">
        <v>5853</v>
      </c>
      <c r="F670" s="401" t="s">
        <v>1752</v>
      </c>
      <c r="G670" s="401" t="s">
        <v>2344</v>
      </c>
      <c r="H670" s="499">
        <v>852591</v>
      </c>
      <c r="I670" s="486" t="s">
        <v>6045</v>
      </c>
      <c r="J670" s="496" t="s">
        <v>5317</v>
      </c>
      <c r="K670" s="496" t="s">
        <v>5317</v>
      </c>
      <c r="L670" s="496" t="s">
        <v>1772</v>
      </c>
      <c r="M670" s="500" t="s">
        <v>1755</v>
      </c>
      <c r="N670" s="496" t="s">
        <v>1773</v>
      </c>
      <c r="O670" s="496" t="s">
        <v>1786</v>
      </c>
      <c r="P670" s="489">
        <v>61832.76</v>
      </c>
      <c r="Q670" s="489">
        <f t="shared" si="110"/>
        <v>72962.656799999997</v>
      </c>
      <c r="R670" s="489">
        <v>53959.45</v>
      </c>
      <c r="S670" s="401" t="s">
        <v>1774</v>
      </c>
      <c r="T670" s="501">
        <v>1.087</v>
      </c>
      <c r="U670" s="501">
        <v>1.077</v>
      </c>
      <c r="V670" s="501">
        <v>1.073</v>
      </c>
      <c r="W670" s="501">
        <v>1.071</v>
      </c>
      <c r="X670" s="596">
        <v>0.9</v>
      </c>
      <c r="Y670" s="502">
        <v>60995.76</v>
      </c>
      <c r="Z670" s="489">
        <f t="shared" si="111"/>
        <v>71974.996799999994</v>
      </c>
      <c r="AA670" s="489">
        <v>64082.875999999997</v>
      </c>
      <c r="AB670" s="488">
        <f t="shared" si="112"/>
        <v>75617.793679999988</v>
      </c>
      <c r="AC670" s="492">
        <f t="shared" si="109"/>
        <v>60995.76</v>
      </c>
      <c r="AD670" s="493">
        <f t="shared" si="113"/>
        <v>71974.996799999994</v>
      </c>
      <c r="AE670" s="494" t="s">
        <v>1775</v>
      </c>
      <c r="AF670" s="494" t="s">
        <v>83</v>
      </c>
      <c r="AG670" s="494" t="s">
        <v>211</v>
      </c>
      <c r="AH670" s="494" t="s">
        <v>545</v>
      </c>
      <c r="AI670" s="495">
        <v>41800</v>
      </c>
      <c r="AJ670" s="495">
        <v>41835</v>
      </c>
      <c r="AK670" s="494" t="s">
        <v>96</v>
      </c>
      <c r="AL670" s="494" t="s">
        <v>96</v>
      </c>
      <c r="AM670" s="496" t="s">
        <v>1846</v>
      </c>
      <c r="AN670" s="496" t="s">
        <v>1757</v>
      </c>
      <c r="AO670" s="494">
        <v>796</v>
      </c>
      <c r="AP670" s="494" t="s">
        <v>368</v>
      </c>
      <c r="AQ670" s="494">
        <v>1</v>
      </c>
      <c r="AR670" s="494">
        <v>45</v>
      </c>
      <c r="AS670" s="496" t="s">
        <v>547</v>
      </c>
      <c r="AT670" s="495">
        <v>41855</v>
      </c>
      <c r="AU670" s="495">
        <v>41855</v>
      </c>
      <c r="AV670" s="495">
        <v>42735</v>
      </c>
      <c r="AW670" s="494" t="s">
        <v>1789</v>
      </c>
      <c r="AX670" s="496"/>
      <c r="AY670" s="494" t="s">
        <v>186</v>
      </c>
      <c r="AZ670" s="494"/>
      <c r="BA670" s="494">
        <v>2014</v>
      </c>
      <c r="BB670" s="494" t="s">
        <v>6046</v>
      </c>
      <c r="BC670" s="496" t="s">
        <v>6047</v>
      </c>
      <c r="BD670" s="496" t="s">
        <v>6048</v>
      </c>
      <c r="BE670" s="497">
        <v>42735</v>
      </c>
      <c r="BF670" s="498">
        <v>83776.648799999995</v>
      </c>
      <c r="BG670" s="488">
        <v>83776.648799999995</v>
      </c>
      <c r="BH670" s="488">
        <v>0</v>
      </c>
      <c r="BI670" s="488">
        <v>15.715999999999999</v>
      </c>
      <c r="BJ670" s="494" t="s">
        <v>186</v>
      </c>
      <c r="BK670" s="401"/>
    </row>
    <row r="671" spans="1:63" ht="168.75">
      <c r="A671" s="401">
        <v>2</v>
      </c>
      <c r="B671" s="494" t="s">
        <v>6049</v>
      </c>
      <c r="C671" s="401" t="s">
        <v>83</v>
      </c>
      <c r="D671" s="401" t="s">
        <v>242</v>
      </c>
      <c r="E671" s="494" t="s">
        <v>5853</v>
      </c>
      <c r="F671" s="401" t="s">
        <v>1752</v>
      </c>
      <c r="G671" s="401" t="s">
        <v>2344</v>
      </c>
      <c r="H671" s="499">
        <v>852595</v>
      </c>
      <c r="I671" s="486" t="s">
        <v>6050</v>
      </c>
      <c r="J671" s="496" t="s">
        <v>2237</v>
      </c>
      <c r="K671" s="496" t="s">
        <v>2237</v>
      </c>
      <c r="L671" s="496" t="s">
        <v>1772</v>
      </c>
      <c r="M671" s="500" t="s">
        <v>1755</v>
      </c>
      <c r="N671" s="496" t="s">
        <v>1773</v>
      </c>
      <c r="O671" s="496" t="s">
        <v>2234</v>
      </c>
      <c r="P671" s="489">
        <v>7603.0790000000006</v>
      </c>
      <c r="Q671" s="489">
        <f t="shared" si="110"/>
        <v>8971.6332199999997</v>
      </c>
      <c r="R671" s="489">
        <v>6449.5420000000004</v>
      </c>
      <c r="S671" s="401" t="s">
        <v>1774</v>
      </c>
      <c r="T671" s="501">
        <v>1.087</v>
      </c>
      <c r="U671" s="501">
        <v>1.077</v>
      </c>
      <c r="V671" s="501">
        <v>1.073</v>
      </c>
      <c r="W671" s="501">
        <v>1.071</v>
      </c>
      <c r="X671" s="596">
        <v>0.9</v>
      </c>
      <c r="Y671" s="502">
        <v>7551.7690000000002</v>
      </c>
      <c r="Z671" s="489">
        <f t="shared" si="111"/>
        <v>8911.0874199999998</v>
      </c>
      <c r="AA671" s="489">
        <v>7346.11</v>
      </c>
      <c r="AB671" s="488">
        <f t="shared" si="112"/>
        <v>8668.4097999999994</v>
      </c>
      <c r="AC671" s="492">
        <f t="shared" si="109"/>
        <v>7346.11</v>
      </c>
      <c r="AD671" s="493">
        <f t="shared" si="113"/>
        <v>8668.4097999999994</v>
      </c>
      <c r="AE671" s="494" t="s">
        <v>1775</v>
      </c>
      <c r="AF671" s="494" t="s">
        <v>83</v>
      </c>
      <c r="AG671" s="494" t="s">
        <v>211</v>
      </c>
      <c r="AH671" s="494" t="s">
        <v>545</v>
      </c>
      <c r="AI671" s="495">
        <v>41800</v>
      </c>
      <c r="AJ671" s="495">
        <v>41835</v>
      </c>
      <c r="AK671" s="494" t="s">
        <v>96</v>
      </c>
      <c r="AL671" s="494" t="s">
        <v>96</v>
      </c>
      <c r="AM671" s="496" t="s">
        <v>2238</v>
      </c>
      <c r="AN671" s="496" t="s">
        <v>1757</v>
      </c>
      <c r="AO671" s="494">
        <v>796</v>
      </c>
      <c r="AP671" s="494" t="s">
        <v>368</v>
      </c>
      <c r="AQ671" s="494">
        <v>1</v>
      </c>
      <c r="AR671" s="494">
        <v>45</v>
      </c>
      <c r="AS671" s="496" t="s">
        <v>547</v>
      </c>
      <c r="AT671" s="495">
        <v>41855</v>
      </c>
      <c r="AU671" s="495">
        <v>41855</v>
      </c>
      <c r="AV671" s="495">
        <v>42369</v>
      </c>
      <c r="AW671" s="494" t="s">
        <v>99</v>
      </c>
      <c r="AX671" s="496"/>
      <c r="AY671" s="494" t="s">
        <v>186</v>
      </c>
      <c r="AZ671" s="494"/>
      <c r="BA671" s="494">
        <v>2014</v>
      </c>
      <c r="BB671" s="494" t="s">
        <v>6051</v>
      </c>
      <c r="BC671" s="496" t="s">
        <v>6052</v>
      </c>
      <c r="BD671" s="496" t="s">
        <v>1818</v>
      </c>
      <c r="BE671" s="497">
        <v>42369</v>
      </c>
      <c r="BF671" s="498">
        <v>9522.925229399998</v>
      </c>
      <c r="BG671" s="488">
        <v>9522.925229399998</v>
      </c>
      <c r="BH671" s="488">
        <v>2.8600000000000003</v>
      </c>
      <c r="BI671" s="488">
        <v>1.1599999999999999</v>
      </c>
      <c r="BJ671" s="494" t="s">
        <v>186</v>
      </c>
      <c r="BK671" s="401"/>
    </row>
    <row r="672" spans="1:63" ht="150">
      <c r="A672" s="401">
        <v>2</v>
      </c>
      <c r="B672" s="494" t="s">
        <v>6053</v>
      </c>
      <c r="C672" s="401" t="s">
        <v>83</v>
      </c>
      <c r="D672" s="401" t="s">
        <v>242</v>
      </c>
      <c r="E672" s="494" t="s">
        <v>5853</v>
      </c>
      <c r="F672" s="401" t="s">
        <v>1752</v>
      </c>
      <c r="G672" s="401" t="s">
        <v>2344</v>
      </c>
      <c r="H672" s="499">
        <v>852596</v>
      </c>
      <c r="I672" s="486" t="s">
        <v>6054</v>
      </c>
      <c r="J672" s="496" t="s">
        <v>2237</v>
      </c>
      <c r="K672" s="496" t="s">
        <v>2237</v>
      </c>
      <c r="L672" s="496" t="s">
        <v>1772</v>
      </c>
      <c r="M672" s="500" t="s">
        <v>1755</v>
      </c>
      <c r="N672" s="496" t="s">
        <v>1773</v>
      </c>
      <c r="O672" s="496" t="s">
        <v>2234</v>
      </c>
      <c r="P672" s="489">
        <v>14994.292330999961</v>
      </c>
      <c r="Q672" s="489">
        <f t="shared" si="110"/>
        <v>17693.264950579953</v>
      </c>
      <c r="R672" s="489">
        <v>12461.602000000001</v>
      </c>
      <c r="S672" s="401" t="s">
        <v>1774</v>
      </c>
      <c r="T672" s="501">
        <v>1.087</v>
      </c>
      <c r="U672" s="501">
        <v>1.077</v>
      </c>
      <c r="V672" s="501">
        <v>1.073</v>
      </c>
      <c r="W672" s="501">
        <v>1.071</v>
      </c>
      <c r="X672" s="596">
        <v>0.9</v>
      </c>
      <c r="Y672" s="502">
        <v>14591.29</v>
      </c>
      <c r="Z672" s="489">
        <f t="shared" si="111"/>
        <v>17217.7222</v>
      </c>
      <c r="AA672" s="489">
        <v>14264.125</v>
      </c>
      <c r="AB672" s="488">
        <f t="shared" si="112"/>
        <v>16831.6675</v>
      </c>
      <c r="AC672" s="492">
        <f t="shared" si="109"/>
        <v>14264.125</v>
      </c>
      <c r="AD672" s="493">
        <f t="shared" si="113"/>
        <v>16831.6675</v>
      </c>
      <c r="AE672" s="494" t="s">
        <v>1775</v>
      </c>
      <c r="AF672" s="494" t="s">
        <v>83</v>
      </c>
      <c r="AG672" s="494" t="s">
        <v>211</v>
      </c>
      <c r="AH672" s="494" t="s">
        <v>545</v>
      </c>
      <c r="AI672" s="495">
        <v>41769</v>
      </c>
      <c r="AJ672" s="495">
        <v>41804</v>
      </c>
      <c r="AK672" s="494" t="s">
        <v>96</v>
      </c>
      <c r="AL672" s="494" t="s">
        <v>96</v>
      </c>
      <c r="AM672" s="496" t="s">
        <v>2238</v>
      </c>
      <c r="AN672" s="496" t="s">
        <v>1757</v>
      </c>
      <c r="AO672" s="494">
        <v>796</v>
      </c>
      <c r="AP672" s="494" t="s">
        <v>368</v>
      </c>
      <c r="AQ672" s="494">
        <v>1</v>
      </c>
      <c r="AR672" s="494">
        <v>45</v>
      </c>
      <c r="AS672" s="496" t="s">
        <v>547</v>
      </c>
      <c r="AT672" s="495">
        <v>41824</v>
      </c>
      <c r="AU672" s="495">
        <v>41824</v>
      </c>
      <c r="AV672" s="495">
        <v>42004</v>
      </c>
      <c r="AW672" s="494">
        <v>2014</v>
      </c>
      <c r="AX672" s="496"/>
      <c r="AY672" s="494" t="s">
        <v>186</v>
      </c>
      <c r="AZ672" s="494"/>
      <c r="BA672" s="494">
        <v>2014</v>
      </c>
      <c r="BB672" s="494" t="s">
        <v>6055</v>
      </c>
      <c r="BC672" s="496" t="s">
        <v>6056</v>
      </c>
      <c r="BD672" s="496" t="s">
        <v>1818</v>
      </c>
      <c r="BE672" s="497">
        <v>42004</v>
      </c>
      <c r="BF672" s="498">
        <v>19139.573093200001</v>
      </c>
      <c r="BG672" s="488">
        <v>19139.573093200001</v>
      </c>
      <c r="BH672" s="488">
        <v>2</v>
      </c>
      <c r="BI672" s="488">
        <v>1.98</v>
      </c>
      <c r="BJ672" s="494" t="s">
        <v>186</v>
      </c>
      <c r="BK672" s="401"/>
    </row>
    <row r="673" spans="1:63" ht="150">
      <c r="A673" s="401">
        <v>2</v>
      </c>
      <c r="B673" s="494" t="s">
        <v>6057</v>
      </c>
      <c r="C673" s="401" t="s">
        <v>83</v>
      </c>
      <c r="D673" s="401" t="s">
        <v>242</v>
      </c>
      <c r="E673" s="494" t="s">
        <v>5853</v>
      </c>
      <c r="F673" s="401" t="s">
        <v>1752</v>
      </c>
      <c r="G673" s="401" t="s">
        <v>2344</v>
      </c>
      <c r="H673" s="499">
        <v>852602</v>
      </c>
      <c r="I673" s="486" t="s">
        <v>6058</v>
      </c>
      <c r="J673" s="496" t="s">
        <v>5317</v>
      </c>
      <c r="K673" s="496" t="s">
        <v>5317</v>
      </c>
      <c r="L673" s="496" t="s">
        <v>1772</v>
      </c>
      <c r="M673" s="500" t="s">
        <v>1755</v>
      </c>
      <c r="N673" s="496" t="s">
        <v>1773</v>
      </c>
      <c r="O673" s="496" t="s">
        <v>2234</v>
      </c>
      <c r="P673" s="489">
        <v>68115.024974849992</v>
      </c>
      <c r="Q673" s="489">
        <f t="shared" si="110"/>
        <v>80375.729470322985</v>
      </c>
      <c r="R673" s="489">
        <v>57328.677000000003</v>
      </c>
      <c r="S673" s="401" t="s">
        <v>1774</v>
      </c>
      <c r="T673" s="501">
        <v>1.087</v>
      </c>
      <c r="U673" s="501">
        <v>1.077</v>
      </c>
      <c r="V673" s="501">
        <v>1.073</v>
      </c>
      <c r="W673" s="501">
        <v>1.071</v>
      </c>
      <c r="X673" s="596">
        <v>0.9</v>
      </c>
      <c r="Y673" s="502">
        <v>67126.148000000001</v>
      </c>
      <c r="Z673" s="489">
        <f t="shared" si="111"/>
        <v>79208.85463999999</v>
      </c>
      <c r="AA673" s="489">
        <v>63083.328999999998</v>
      </c>
      <c r="AB673" s="488">
        <f t="shared" si="112"/>
        <v>74438.328219999996</v>
      </c>
      <c r="AC673" s="492">
        <f t="shared" si="109"/>
        <v>63083.328999999998</v>
      </c>
      <c r="AD673" s="493">
        <f t="shared" si="113"/>
        <v>74438.328219999996</v>
      </c>
      <c r="AE673" s="494" t="s">
        <v>1775</v>
      </c>
      <c r="AF673" s="494" t="s">
        <v>83</v>
      </c>
      <c r="AG673" s="494" t="s">
        <v>211</v>
      </c>
      <c r="AH673" s="494" t="s">
        <v>545</v>
      </c>
      <c r="AI673" s="495">
        <v>41922</v>
      </c>
      <c r="AJ673" s="495">
        <v>41957</v>
      </c>
      <c r="AK673" s="494" t="s">
        <v>96</v>
      </c>
      <c r="AL673" s="494" t="s">
        <v>96</v>
      </c>
      <c r="AM673" s="496" t="s">
        <v>1846</v>
      </c>
      <c r="AN673" s="496" t="s">
        <v>1757</v>
      </c>
      <c r="AO673" s="494">
        <v>796</v>
      </c>
      <c r="AP673" s="494" t="s">
        <v>368</v>
      </c>
      <c r="AQ673" s="494">
        <v>1</v>
      </c>
      <c r="AR673" s="494">
        <v>45</v>
      </c>
      <c r="AS673" s="496" t="s">
        <v>547</v>
      </c>
      <c r="AT673" s="495">
        <v>41977</v>
      </c>
      <c r="AU673" s="495">
        <v>41977</v>
      </c>
      <c r="AV673" s="495">
        <v>42369</v>
      </c>
      <c r="AW673" s="494" t="s">
        <v>99</v>
      </c>
      <c r="AX673" s="496"/>
      <c r="AY673" s="494" t="s">
        <v>186</v>
      </c>
      <c r="AZ673" s="494"/>
      <c r="BA673" s="494">
        <v>2014</v>
      </c>
      <c r="BB673" s="494" t="s">
        <v>6059</v>
      </c>
      <c r="BC673" s="496" t="s">
        <v>6060</v>
      </c>
      <c r="BD673" s="496" t="s">
        <v>1818</v>
      </c>
      <c r="BE673" s="497">
        <v>42369</v>
      </c>
      <c r="BF673" s="498">
        <v>87210.357810199988</v>
      </c>
      <c r="BG673" s="488">
        <v>87210.357810199988</v>
      </c>
      <c r="BH673" s="488">
        <v>0</v>
      </c>
      <c r="BI673" s="488">
        <v>9.5</v>
      </c>
      <c r="BJ673" s="494" t="s">
        <v>186</v>
      </c>
      <c r="BK673" s="401"/>
    </row>
    <row r="674" spans="1:63" ht="150">
      <c r="A674" s="401">
        <v>2</v>
      </c>
      <c r="B674" s="494" t="s">
        <v>6061</v>
      </c>
      <c r="C674" s="401" t="s">
        <v>83</v>
      </c>
      <c r="D674" s="401" t="s">
        <v>242</v>
      </c>
      <c r="E674" s="494" t="s">
        <v>5853</v>
      </c>
      <c r="F674" s="401" t="s">
        <v>1752</v>
      </c>
      <c r="G674" s="401" t="s">
        <v>2344</v>
      </c>
      <c r="H674" s="499">
        <v>852608</v>
      </c>
      <c r="I674" s="486" t="s">
        <v>6062</v>
      </c>
      <c r="J674" s="496" t="s">
        <v>5317</v>
      </c>
      <c r="K674" s="496" t="s">
        <v>5317</v>
      </c>
      <c r="L674" s="496" t="s">
        <v>1772</v>
      </c>
      <c r="M674" s="500" t="s">
        <v>1755</v>
      </c>
      <c r="N674" s="496" t="s">
        <v>1773</v>
      </c>
      <c r="O674" s="496" t="s">
        <v>1786</v>
      </c>
      <c r="P674" s="489">
        <v>70348.91</v>
      </c>
      <c r="Q674" s="489">
        <f t="shared" si="110"/>
        <v>83011.713799999998</v>
      </c>
      <c r="R674" s="489">
        <v>60003.31</v>
      </c>
      <c r="S674" s="401" t="s">
        <v>1774</v>
      </c>
      <c r="T674" s="501">
        <v>1.087</v>
      </c>
      <c r="U674" s="501">
        <v>1.077</v>
      </c>
      <c r="V674" s="501">
        <v>1.073</v>
      </c>
      <c r="W674" s="501">
        <v>1.071</v>
      </c>
      <c r="X674" s="596">
        <v>0.9</v>
      </c>
      <c r="Y674" s="502">
        <v>66369.66</v>
      </c>
      <c r="Z674" s="489">
        <f t="shared" si="111"/>
        <v>78316.198799999998</v>
      </c>
      <c r="AA674" s="489">
        <v>71612.510999999999</v>
      </c>
      <c r="AB674" s="488">
        <f t="shared" si="112"/>
        <v>84502.76298</v>
      </c>
      <c r="AC674" s="492">
        <f t="shared" si="109"/>
        <v>66369.66</v>
      </c>
      <c r="AD674" s="493">
        <f t="shared" si="113"/>
        <v>78316.198799999998</v>
      </c>
      <c r="AE674" s="494" t="s">
        <v>1775</v>
      </c>
      <c r="AF674" s="494" t="s">
        <v>83</v>
      </c>
      <c r="AG674" s="494" t="s">
        <v>211</v>
      </c>
      <c r="AH674" s="494" t="s">
        <v>545</v>
      </c>
      <c r="AI674" s="495">
        <v>41800</v>
      </c>
      <c r="AJ674" s="495">
        <v>41835</v>
      </c>
      <c r="AK674" s="494" t="s">
        <v>96</v>
      </c>
      <c r="AL674" s="494" t="s">
        <v>96</v>
      </c>
      <c r="AM674" s="496" t="s">
        <v>1846</v>
      </c>
      <c r="AN674" s="496" t="s">
        <v>1757</v>
      </c>
      <c r="AO674" s="494">
        <v>796</v>
      </c>
      <c r="AP674" s="494" t="s">
        <v>368</v>
      </c>
      <c r="AQ674" s="494">
        <v>1</v>
      </c>
      <c r="AR674" s="494">
        <v>45</v>
      </c>
      <c r="AS674" s="496" t="s">
        <v>547</v>
      </c>
      <c r="AT674" s="495">
        <v>41855</v>
      </c>
      <c r="AU674" s="495">
        <v>41855</v>
      </c>
      <c r="AV674" s="495">
        <v>42735</v>
      </c>
      <c r="AW674" s="494" t="s">
        <v>1789</v>
      </c>
      <c r="AX674" s="496"/>
      <c r="AY674" s="494" t="s">
        <v>186</v>
      </c>
      <c r="AZ674" s="494"/>
      <c r="BA674" s="494">
        <v>2014</v>
      </c>
      <c r="BB674" s="494" t="s">
        <v>6063</v>
      </c>
      <c r="BC674" s="496" t="s">
        <v>6064</v>
      </c>
      <c r="BD674" s="496" t="s">
        <v>6065</v>
      </c>
      <c r="BE674" s="497">
        <v>42735</v>
      </c>
      <c r="BF674" s="498">
        <v>83700.009061891993</v>
      </c>
      <c r="BG674" s="488">
        <v>83700.009061891993</v>
      </c>
      <c r="BH674" s="488">
        <v>0</v>
      </c>
      <c r="BI674" s="488">
        <v>5.5</v>
      </c>
      <c r="BJ674" s="494" t="s">
        <v>186</v>
      </c>
      <c r="BK674" s="401"/>
    </row>
    <row r="675" spans="1:63" ht="150">
      <c r="A675" s="401">
        <v>2</v>
      </c>
      <c r="B675" s="494" t="s">
        <v>6066</v>
      </c>
      <c r="C675" s="401" t="s">
        <v>83</v>
      </c>
      <c r="D675" s="401" t="s">
        <v>242</v>
      </c>
      <c r="E675" s="494" t="s">
        <v>5853</v>
      </c>
      <c r="F675" s="401" t="s">
        <v>1752</v>
      </c>
      <c r="G675" s="401" t="s">
        <v>2344</v>
      </c>
      <c r="H675" s="499">
        <v>852614</v>
      </c>
      <c r="I675" s="486" t="s">
        <v>6067</v>
      </c>
      <c r="J675" s="496" t="s">
        <v>5317</v>
      </c>
      <c r="K675" s="496" t="s">
        <v>5317</v>
      </c>
      <c r="L675" s="496" t="s">
        <v>1772</v>
      </c>
      <c r="M675" s="500" t="s">
        <v>1755</v>
      </c>
      <c r="N675" s="496" t="s">
        <v>1773</v>
      </c>
      <c r="O675" s="496" t="s">
        <v>2234</v>
      </c>
      <c r="P675" s="489">
        <v>1053.932160909091</v>
      </c>
      <c r="Q675" s="489">
        <f t="shared" si="110"/>
        <v>1243.6399498727274</v>
      </c>
      <c r="R675" s="489">
        <v>892.38300000000004</v>
      </c>
      <c r="S675" s="401" t="s">
        <v>1774</v>
      </c>
      <c r="T675" s="501">
        <v>1.087</v>
      </c>
      <c r="U675" s="501">
        <v>1.077</v>
      </c>
      <c r="V675" s="501">
        <v>1.073</v>
      </c>
      <c r="W675" s="501">
        <v>1.071</v>
      </c>
      <c r="X675" s="596">
        <v>0.9</v>
      </c>
      <c r="Y675" s="502">
        <v>1044.8910000000001</v>
      </c>
      <c r="Z675" s="489">
        <f t="shared" si="111"/>
        <v>1232.97138</v>
      </c>
      <c r="AA675" s="489">
        <v>960.35</v>
      </c>
      <c r="AB675" s="488">
        <f t="shared" si="112"/>
        <v>1133.213</v>
      </c>
      <c r="AC675" s="492">
        <f t="shared" si="109"/>
        <v>960.35</v>
      </c>
      <c r="AD675" s="493">
        <f t="shared" si="113"/>
        <v>1133.213</v>
      </c>
      <c r="AE675" s="494" t="s">
        <v>1775</v>
      </c>
      <c r="AF675" s="494" t="s">
        <v>83</v>
      </c>
      <c r="AG675" s="494" t="s">
        <v>211</v>
      </c>
      <c r="AH675" s="494" t="s">
        <v>545</v>
      </c>
      <c r="AI675" s="495">
        <v>41800</v>
      </c>
      <c r="AJ675" s="495">
        <v>41835</v>
      </c>
      <c r="AK675" s="494" t="s">
        <v>96</v>
      </c>
      <c r="AL675" s="494" t="s">
        <v>96</v>
      </c>
      <c r="AM675" s="496" t="s">
        <v>1846</v>
      </c>
      <c r="AN675" s="496" t="s">
        <v>1757</v>
      </c>
      <c r="AO675" s="494">
        <v>796</v>
      </c>
      <c r="AP675" s="494" t="s">
        <v>368</v>
      </c>
      <c r="AQ675" s="494">
        <v>1</v>
      </c>
      <c r="AR675" s="494">
        <v>45</v>
      </c>
      <c r="AS675" s="496" t="s">
        <v>547</v>
      </c>
      <c r="AT675" s="495">
        <v>41855</v>
      </c>
      <c r="AU675" s="495">
        <v>41855</v>
      </c>
      <c r="AV675" s="495">
        <v>42004</v>
      </c>
      <c r="AW675" s="494">
        <v>2014</v>
      </c>
      <c r="AX675" s="496"/>
      <c r="AY675" s="494" t="s">
        <v>186</v>
      </c>
      <c r="AZ675" s="494"/>
      <c r="BA675" s="494">
        <v>2014</v>
      </c>
      <c r="BB675" s="494" t="s">
        <v>6068</v>
      </c>
      <c r="BC675" s="496" t="s">
        <v>6069</v>
      </c>
      <c r="BD675" s="496" t="s">
        <v>1818</v>
      </c>
      <c r="BE675" s="497">
        <v>42004</v>
      </c>
      <c r="BF675" s="498">
        <v>1683.6339855999997</v>
      </c>
      <c r="BG675" s="488">
        <v>1683.6339855999997</v>
      </c>
      <c r="BH675" s="488">
        <v>0</v>
      </c>
      <c r="BI675" s="488">
        <v>0.25</v>
      </c>
      <c r="BJ675" s="494" t="s">
        <v>186</v>
      </c>
      <c r="BK675" s="401"/>
    </row>
    <row r="676" spans="1:63" ht="150">
      <c r="A676" s="401">
        <v>2</v>
      </c>
      <c r="B676" s="494" t="s">
        <v>6070</v>
      </c>
      <c r="C676" s="401" t="s">
        <v>83</v>
      </c>
      <c r="D676" s="401" t="s">
        <v>242</v>
      </c>
      <c r="E676" s="494" t="s">
        <v>5853</v>
      </c>
      <c r="F676" s="401" t="s">
        <v>1752</v>
      </c>
      <c r="G676" s="401" t="s">
        <v>2344</v>
      </c>
      <c r="H676" s="499">
        <v>852615</v>
      </c>
      <c r="I676" s="486" t="s">
        <v>6071</v>
      </c>
      <c r="J676" s="496" t="s">
        <v>2237</v>
      </c>
      <c r="K676" s="496" t="s">
        <v>2237</v>
      </c>
      <c r="L676" s="496" t="s">
        <v>1772</v>
      </c>
      <c r="M676" s="500" t="s">
        <v>1755</v>
      </c>
      <c r="N676" s="496" t="s">
        <v>1773</v>
      </c>
      <c r="O676" s="496" t="s">
        <v>2234</v>
      </c>
      <c r="P676" s="489">
        <v>2057.71</v>
      </c>
      <c r="Q676" s="489">
        <f t="shared" si="110"/>
        <v>2428.0978</v>
      </c>
      <c r="R676" s="489">
        <v>1665.66</v>
      </c>
      <c r="S676" s="401" t="s">
        <v>1774</v>
      </c>
      <c r="T676" s="501">
        <v>1.087</v>
      </c>
      <c r="U676" s="501">
        <v>1.077</v>
      </c>
      <c r="V676" s="501">
        <v>1.073</v>
      </c>
      <c r="W676" s="501">
        <v>1.071</v>
      </c>
      <c r="X676" s="596">
        <v>0.9</v>
      </c>
      <c r="Y676" s="502">
        <v>1950.3219999999999</v>
      </c>
      <c r="Z676" s="489">
        <f t="shared" si="111"/>
        <v>2301.3799599999998</v>
      </c>
      <c r="AA676" s="489">
        <v>1909.9659999999999</v>
      </c>
      <c r="AB676" s="488">
        <f t="shared" si="112"/>
        <v>2253.7598799999996</v>
      </c>
      <c r="AC676" s="492">
        <f t="shared" ref="AC676:AC686" si="114">IF(Y676&lt;AA676,Y676,AA676)</f>
        <v>1909.9659999999999</v>
      </c>
      <c r="AD676" s="493">
        <f t="shared" si="113"/>
        <v>2253.7598799999996</v>
      </c>
      <c r="AE676" s="494" t="s">
        <v>1775</v>
      </c>
      <c r="AF676" s="494" t="s">
        <v>83</v>
      </c>
      <c r="AG676" s="494" t="s">
        <v>211</v>
      </c>
      <c r="AH676" s="494" t="s">
        <v>545</v>
      </c>
      <c r="AI676" s="495">
        <v>41800</v>
      </c>
      <c r="AJ676" s="495">
        <v>41835</v>
      </c>
      <c r="AK676" s="494" t="s">
        <v>96</v>
      </c>
      <c r="AL676" s="494" t="s">
        <v>96</v>
      </c>
      <c r="AM676" s="496" t="s">
        <v>2238</v>
      </c>
      <c r="AN676" s="496" t="s">
        <v>1757</v>
      </c>
      <c r="AO676" s="494">
        <v>796</v>
      </c>
      <c r="AP676" s="494" t="s">
        <v>368</v>
      </c>
      <c r="AQ676" s="494">
        <v>1</v>
      </c>
      <c r="AR676" s="494">
        <v>45</v>
      </c>
      <c r="AS676" s="496" t="s">
        <v>547</v>
      </c>
      <c r="AT676" s="495">
        <v>41855</v>
      </c>
      <c r="AU676" s="495">
        <v>41855</v>
      </c>
      <c r="AV676" s="495">
        <v>42004</v>
      </c>
      <c r="AW676" s="494">
        <v>2014</v>
      </c>
      <c r="AX676" s="496"/>
      <c r="AY676" s="494" t="s">
        <v>186</v>
      </c>
      <c r="AZ676" s="494"/>
      <c r="BA676" s="494">
        <v>2014</v>
      </c>
      <c r="BB676" s="494" t="s">
        <v>6072</v>
      </c>
      <c r="BC676" s="496" t="s">
        <v>6073</v>
      </c>
      <c r="BD676" s="496" t="s">
        <v>1818</v>
      </c>
      <c r="BE676" s="497">
        <v>42004</v>
      </c>
      <c r="BF676" s="498">
        <v>2171.512109968</v>
      </c>
      <c r="BG676" s="488">
        <v>2171.512109968</v>
      </c>
      <c r="BH676" s="488">
        <v>0.8</v>
      </c>
      <c r="BI676" s="488">
        <v>0.33</v>
      </c>
      <c r="BJ676" s="494" t="s">
        <v>186</v>
      </c>
      <c r="BK676" s="401"/>
    </row>
    <row r="677" spans="1:63" ht="150">
      <c r="A677" s="401">
        <v>2</v>
      </c>
      <c r="B677" s="494" t="s">
        <v>6074</v>
      </c>
      <c r="C677" s="401" t="s">
        <v>83</v>
      </c>
      <c r="D677" s="401" t="s">
        <v>242</v>
      </c>
      <c r="E677" s="494" t="s">
        <v>5853</v>
      </c>
      <c r="F677" s="401" t="s">
        <v>1752</v>
      </c>
      <c r="G677" s="401" t="s">
        <v>2344</v>
      </c>
      <c r="H677" s="499">
        <v>851617</v>
      </c>
      <c r="I677" s="486" t="s">
        <v>6075</v>
      </c>
      <c r="J677" s="496" t="s">
        <v>5317</v>
      </c>
      <c r="K677" s="496" t="s">
        <v>5317</v>
      </c>
      <c r="L677" s="496" t="s">
        <v>1772</v>
      </c>
      <c r="M677" s="500" t="s">
        <v>1755</v>
      </c>
      <c r="N677" s="496" t="s">
        <v>1773</v>
      </c>
      <c r="O677" s="496" t="s">
        <v>2234</v>
      </c>
      <c r="P677" s="489">
        <v>509.02704272727271</v>
      </c>
      <c r="Q677" s="489">
        <f t="shared" si="110"/>
        <v>600.65191041818173</v>
      </c>
      <c r="R677" s="489">
        <v>431.62400000000002</v>
      </c>
      <c r="S677" s="401" t="s">
        <v>1774</v>
      </c>
      <c r="T677" s="501">
        <v>1.087</v>
      </c>
      <c r="U677" s="501">
        <v>1.077</v>
      </c>
      <c r="V677" s="501">
        <v>1.073</v>
      </c>
      <c r="W677" s="501">
        <v>1.071</v>
      </c>
      <c r="X677" s="596">
        <v>0.9</v>
      </c>
      <c r="Y677" s="502">
        <v>505.38900000000001</v>
      </c>
      <c r="Z677" s="489">
        <f t="shared" si="111"/>
        <v>596.35901999999999</v>
      </c>
      <c r="AA677" s="489">
        <v>475.798</v>
      </c>
      <c r="AB677" s="488">
        <f t="shared" si="112"/>
        <v>561.44164000000001</v>
      </c>
      <c r="AC677" s="492">
        <f t="shared" si="114"/>
        <v>475.798</v>
      </c>
      <c r="AD677" s="493">
        <f t="shared" si="113"/>
        <v>561.44164000000001</v>
      </c>
      <c r="AE677" s="494" t="s">
        <v>1775</v>
      </c>
      <c r="AF677" s="494" t="s">
        <v>83</v>
      </c>
      <c r="AG677" s="494" t="s">
        <v>211</v>
      </c>
      <c r="AH677" s="494" t="s">
        <v>545</v>
      </c>
      <c r="AI677" s="495">
        <v>41730</v>
      </c>
      <c r="AJ677" s="495">
        <v>41765</v>
      </c>
      <c r="AK677" s="494" t="s">
        <v>96</v>
      </c>
      <c r="AL677" s="494" t="s">
        <v>96</v>
      </c>
      <c r="AM677" s="496" t="s">
        <v>1846</v>
      </c>
      <c r="AN677" s="496" t="s">
        <v>1757</v>
      </c>
      <c r="AO677" s="494">
        <v>796</v>
      </c>
      <c r="AP677" s="494" t="s">
        <v>368</v>
      </c>
      <c r="AQ677" s="494">
        <v>1</v>
      </c>
      <c r="AR677" s="494">
        <v>45</v>
      </c>
      <c r="AS677" s="496" t="s">
        <v>547</v>
      </c>
      <c r="AT677" s="495">
        <v>41785</v>
      </c>
      <c r="AU677" s="495">
        <v>41785</v>
      </c>
      <c r="AV677" s="495">
        <v>42004</v>
      </c>
      <c r="AW677" s="494">
        <v>2014</v>
      </c>
      <c r="AX677" s="496"/>
      <c r="AY677" s="494" t="s">
        <v>186</v>
      </c>
      <c r="AZ677" s="494"/>
      <c r="BA677" s="494">
        <v>2014</v>
      </c>
      <c r="BB677" s="494" t="s">
        <v>6076</v>
      </c>
      <c r="BC677" s="496" t="s">
        <v>6077</v>
      </c>
      <c r="BD677" s="496" t="s">
        <v>1818</v>
      </c>
      <c r="BE677" s="497">
        <v>42004</v>
      </c>
      <c r="BF677" s="498">
        <v>896.38102079999999</v>
      </c>
      <c r="BG677" s="488">
        <v>896.38102079999999</v>
      </c>
      <c r="BH677" s="488">
        <v>0</v>
      </c>
      <c r="BI677" s="488">
        <v>0.26</v>
      </c>
      <c r="BJ677" s="494" t="s">
        <v>186</v>
      </c>
      <c r="BK677" s="401"/>
    </row>
    <row r="678" spans="1:63" ht="150">
      <c r="A678" s="401">
        <v>2</v>
      </c>
      <c r="B678" s="494" t="s">
        <v>6078</v>
      </c>
      <c r="C678" s="401" t="s">
        <v>83</v>
      </c>
      <c r="D678" s="401" t="s">
        <v>242</v>
      </c>
      <c r="E678" s="494" t="s">
        <v>5853</v>
      </c>
      <c r="F678" s="401" t="s">
        <v>1752</v>
      </c>
      <c r="G678" s="401" t="s">
        <v>2344</v>
      </c>
      <c r="H678" s="499">
        <v>852618</v>
      </c>
      <c r="I678" s="486" t="s">
        <v>6079</v>
      </c>
      <c r="J678" s="496" t="s">
        <v>5317</v>
      </c>
      <c r="K678" s="496" t="s">
        <v>5317</v>
      </c>
      <c r="L678" s="496" t="s">
        <v>1772</v>
      </c>
      <c r="M678" s="500" t="s">
        <v>1755</v>
      </c>
      <c r="N678" s="496" t="s">
        <v>1773</v>
      </c>
      <c r="O678" s="496" t="s">
        <v>2234</v>
      </c>
      <c r="P678" s="489">
        <v>665.65074272727281</v>
      </c>
      <c r="Q678" s="489">
        <f t="shared" si="110"/>
        <v>785.46787641818185</v>
      </c>
      <c r="R678" s="489">
        <v>564.43200000000002</v>
      </c>
      <c r="S678" s="401" t="s">
        <v>1774</v>
      </c>
      <c r="T678" s="501">
        <v>1.087</v>
      </c>
      <c r="U678" s="501">
        <v>1.077</v>
      </c>
      <c r="V678" s="501">
        <v>1.073</v>
      </c>
      <c r="W678" s="501">
        <v>1.071</v>
      </c>
      <c r="X678" s="596">
        <v>0.9</v>
      </c>
      <c r="Y678" s="502">
        <v>660.89300000000003</v>
      </c>
      <c r="Z678" s="489">
        <f t="shared" si="111"/>
        <v>779.85374000000002</v>
      </c>
      <c r="AA678" s="489">
        <v>622.197</v>
      </c>
      <c r="AB678" s="488">
        <f t="shared" si="112"/>
        <v>734.19245999999998</v>
      </c>
      <c r="AC678" s="492">
        <f t="shared" si="114"/>
        <v>622.197</v>
      </c>
      <c r="AD678" s="493">
        <f t="shared" si="113"/>
        <v>734.19245999999998</v>
      </c>
      <c r="AE678" s="494" t="s">
        <v>1775</v>
      </c>
      <c r="AF678" s="494" t="s">
        <v>83</v>
      </c>
      <c r="AG678" s="494" t="s">
        <v>211</v>
      </c>
      <c r="AH678" s="494" t="s">
        <v>545</v>
      </c>
      <c r="AI678" s="495">
        <v>41730</v>
      </c>
      <c r="AJ678" s="495">
        <v>41765</v>
      </c>
      <c r="AK678" s="494" t="s">
        <v>96</v>
      </c>
      <c r="AL678" s="494" t="s">
        <v>96</v>
      </c>
      <c r="AM678" s="496" t="s">
        <v>1846</v>
      </c>
      <c r="AN678" s="496" t="s">
        <v>1757</v>
      </c>
      <c r="AO678" s="494">
        <v>796</v>
      </c>
      <c r="AP678" s="494" t="s">
        <v>368</v>
      </c>
      <c r="AQ678" s="494">
        <v>1</v>
      </c>
      <c r="AR678" s="494">
        <v>45</v>
      </c>
      <c r="AS678" s="496" t="s">
        <v>547</v>
      </c>
      <c r="AT678" s="495">
        <v>41785</v>
      </c>
      <c r="AU678" s="495">
        <v>41785</v>
      </c>
      <c r="AV678" s="495">
        <v>42004</v>
      </c>
      <c r="AW678" s="494">
        <v>2014</v>
      </c>
      <c r="AX678" s="496"/>
      <c r="AY678" s="494" t="s">
        <v>186</v>
      </c>
      <c r="AZ678" s="494"/>
      <c r="BA678" s="494">
        <v>2014</v>
      </c>
      <c r="BB678" s="494" t="s">
        <v>6080</v>
      </c>
      <c r="BC678" s="496" t="s">
        <v>6081</v>
      </c>
      <c r="BD678" s="496" t="s">
        <v>1818</v>
      </c>
      <c r="BE678" s="497">
        <v>42004</v>
      </c>
      <c r="BF678" s="498">
        <v>1127.2119683999999</v>
      </c>
      <c r="BG678" s="488">
        <v>1127.2119683999999</v>
      </c>
      <c r="BH678" s="488">
        <v>0</v>
      </c>
      <c r="BI678" s="488">
        <v>0.34</v>
      </c>
      <c r="BJ678" s="494" t="s">
        <v>186</v>
      </c>
      <c r="BK678" s="401"/>
    </row>
    <row r="679" spans="1:63" ht="150">
      <c r="A679" s="401">
        <v>2</v>
      </c>
      <c r="B679" s="494" t="s">
        <v>6082</v>
      </c>
      <c r="C679" s="401" t="s">
        <v>83</v>
      </c>
      <c r="D679" s="401" t="s">
        <v>242</v>
      </c>
      <c r="E679" s="494" t="s">
        <v>5853</v>
      </c>
      <c r="F679" s="401" t="s">
        <v>1752</v>
      </c>
      <c r="G679" s="401" t="s">
        <v>2344</v>
      </c>
      <c r="H679" s="499">
        <v>852623</v>
      </c>
      <c r="I679" s="486" t="s">
        <v>6083</v>
      </c>
      <c r="J679" s="496" t="s">
        <v>5317</v>
      </c>
      <c r="K679" s="496" t="s">
        <v>5317</v>
      </c>
      <c r="L679" s="496" t="s">
        <v>1772</v>
      </c>
      <c r="M679" s="500" t="s">
        <v>1755</v>
      </c>
      <c r="N679" s="496" t="s">
        <v>1773</v>
      </c>
      <c r="O679" s="496" t="s">
        <v>2234</v>
      </c>
      <c r="P679" s="489">
        <v>814.55727636363645</v>
      </c>
      <c r="Q679" s="489">
        <f t="shared" si="110"/>
        <v>961.17758610909095</v>
      </c>
      <c r="R679" s="489">
        <v>690.60799999999995</v>
      </c>
      <c r="S679" s="401" t="s">
        <v>1774</v>
      </c>
      <c r="T679" s="501">
        <v>1.087</v>
      </c>
      <c r="U679" s="501">
        <v>1.077</v>
      </c>
      <c r="V679" s="501">
        <v>1.073</v>
      </c>
      <c r="W679" s="501">
        <v>1.071</v>
      </c>
      <c r="X679" s="596">
        <v>0.9</v>
      </c>
      <c r="Y679" s="502">
        <v>808.63300000000004</v>
      </c>
      <c r="Z679" s="489">
        <f t="shared" si="111"/>
        <v>954.18694000000005</v>
      </c>
      <c r="AA679" s="489">
        <v>761.28499999999997</v>
      </c>
      <c r="AB679" s="488">
        <f t="shared" si="112"/>
        <v>898.31629999999996</v>
      </c>
      <c r="AC679" s="492">
        <f t="shared" si="114"/>
        <v>761.28499999999997</v>
      </c>
      <c r="AD679" s="493">
        <f t="shared" si="113"/>
        <v>898.31629999999996</v>
      </c>
      <c r="AE679" s="494" t="s">
        <v>1775</v>
      </c>
      <c r="AF679" s="494" t="s">
        <v>83</v>
      </c>
      <c r="AG679" s="494" t="s">
        <v>211</v>
      </c>
      <c r="AH679" s="494" t="s">
        <v>545</v>
      </c>
      <c r="AI679" s="495">
        <v>41730</v>
      </c>
      <c r="AJ679" s="495">
        <v>41765</v>
      </c>
      <c r="AK679" s="494" t="s">
        <v>96</v>
      </c>
      <c r="AL679" s="494" t="s">
        <v>96</v>
      </c>
      <c r="AM679" s="496" t="s">
        <v>1846</v>
      </c>
      <c r="AN679" s="496" t="s">
        <v>1757</v>
      </c>
      <c r="AO679" s="494">
        <v>796</v>
      </c>
      <c r="AP679" s="494" t="s">
        <v>368</v>
      </c>
      <c r="AQ679" s="494">
        <v>1</v>
      </c>
      <c r="AR679" s="494">
        <v>45</v>
      </c>
      <c r="AS679" s="496" t="s">
        <v>547</v>
      </c>
      <c r="AT679" s="495">
        <v>41785</v>
      </c>
      <c r="AU679" s="495">
        <v>41785</v>
      </c>
      <c r="AV679" s="495">
        <v>42004</v>
      </c>
      <c r="AW679" s="494">
        <v>2014</v>
      </c>
      <c r="AX679" s="496"/>
      <c r="AY679" s="494" t="s">
        <v>186</v>
      </c>
      <c r="AZ679" s="494"/>
      <c r="BA679" s="494">
        <v>2014</v>
      </c>
      <c r="BB679" s="494" t="s">
        <v>6084</v>
      </c>
      <c r="BC679" s="496" t="s">
        <v>6085</v>
      </c>
      <c r="BD679" s="496" t="s">
        <v>1818</v>
      </c>
      <c r="BE679" s="497">
        <v>42004</v>
      </c>
      <c r="BF679" s="498">
        <v>1344.6673805999999</v>
      </c>
      <c r="BG679" s="488">
        <v>1344.6673805999999</v>
      </c>
      <c r="BH679" s="488">
        <v>0</v>
      </c>
      <c r="BI679" s="488">
        <v>0.4</v>
      </c>
      <c r="BJ679" s="494" t="s">
        <v>186</v>
      </c>
      <c r="BK679" s="401"/>
    </row>
    <row r="680" spans="1:63" ht="150">
      <c r="A680" s="401">
        <v>2</v>
      </c>
      <c r="B680" s="494" t="s">
        <v>6086</v>
      </c>
      <c r="C680" s="401" t="s">
        <v>83</v>
      </c>
      <c r="D680" s="401" t="s">
        <v>242</v>
      </c>
      <c r="E680" s="494" t="s">
        <v>5853</v>
      </c>
      <c r="F680" s="401" t="s">
        <v>1752</v>
      </c>
      <c r="G680" s="401" t="s">
        <v>2344</v>
      </c>
      <c r="H680" s="499">
        <v>852624</v>
      </c>
      <c r="I680" s="486" t="s">
        <v>6087</v>
      </c>
      <c r="J680" s="496" t="s">
        <v>5317</v>
      </c>
      <c r="K680" s="496" t="s">
        <v>5317</v>
      </c>
      <c r="L680" s="496" t="s">
        <v>1772</v>
      </c>
      <c r="M680" s="500" t="s">
        <v>1755</v>
      </c>
      <c r="N680" s="496" t="s">
        <v>1773</v>
      </c>
      <c r="O680" s="496" t="s">
        <v>2234</v>
      </c>
      <c r="P680" s="489">
        <v>1466.2030918181817</v>
      </c>
      <c r="Q680" s="489">
        <f t="shared" si="110"/>
        <v>1730.1196483454544</v>
      </c>
      <c r="R680" s="489">
        <v>1243.0940000000001</v>
      </c>
      <c r="S680" s="401" t="s">
        <v>1774</v>
      </c>
      <c r="T680" s="501">
        <v>1.087</v>
      </c>
      <c r="U680" s="501">
        <v>1.077</v>
      </c>
      <c r="V680" s="501">
        <v>1.073</v>
      </c>
      <c r="W680" s="501">
        <v>1.071</v>
      </c>
      <c r="X680" s="596">
        <v>0.9</v>
      </c>
      <c r="Y680" s="502">
        <v>1455.539</v>
      </c>
      <c r="Z680" s="489">
        <f t="shared" si="111"/>
        <v>1717.53602</v>
      </c>
      <c r="AA680" s="489">
        <v>1370.3119999999999</v>
      </c>
      <c r="AB680" s="488">
        <f t="shared" si="112"/>
        <v>1616.9681599999999</v>
      </c>
      <c r="AC680" s="492">
        <f t="shared" si="114"/>
        <v>1370.3119999999999</v>
      </c>
      <c r="AD680" s="493">
        <f t="shared" si="113"/>
        <v>1616.9681599999999</v>
      </c>
      <c r="AE680" s="494" t="s">
        <v>1775</v>
      </c>
      <c r="AF680" s="494" t="s">
        <v>83</v>
      </c>
      <c r="AG680" s="494" t="s">
        <v>211</v>
      </c>
      <c r="AH680" s="494" t="s">
        <v>545</v>
      </c>
      <c r="AI680" s="495">
        <v>41730</v>
      </c>
      <c r="AJ680" s="495">
        <v>41765</v>
      </c>
      <c r="AK680" s="494" t="s">
        <v>96</v>
      </c>
      <c r="AL680" s="494" t="s">
        <v>96</v>
      </c>
      <c r="AM680" s="496" t="s">
        <v>1846</v>
      </c>
      <c r="AN680" s="496" t="s">
        <v>1757</v>
      </c>
      <c r="AO680" s="494">
        <v>796</v>
      </c>
      <c r="AP680" s="494" t="s">
        <v>368</v>
      </c>
      <c r="AQ680" s="494">
        <v>1</v>
      </c>
      <c r="AR680" s="494">
        <v>45</v>
      </c>
      <c r="AS680" s="496" t="s">
        <v>547</v>
      </c>
      <c r="AT680" s="495">
        <v>41785</v>
      </c>
      <c r="AU680" s="495">
        <v>41785</v>
      </c>
      <c r="AV680" s="495">
        <v>42004</v>
      </c>
      <c r="AW680" s="494">
        <v>2014</v>
      </c>
      <c r="AX680" s="496"/>
      <c r="AY680" s="494" t="s">
        <v>186</v>
      </c>
      <c r="AZ680" s="494"/>
      <c r="BA680" s="494">
        <v>2014</v>
      </c>
      <c r="BB680" s="494" t="s">
        <v>6088</v>
      </c>
      <c r="BC680" s="496" t="s">
        <v>6089</v>
      </c>
      <c r="BD680" s="496" t="s">
        <v>1818</v>
      </c>
      <c r="BE680" s="497">
        <v>42004</v>
      </c>
      <c r="BF680" s="498">
        <v>2336.2565715999995</v>
      </c>
      <c r="BG680" s="488">
        <v>2336.2565715999995</v>
      </c>
      <c r="BH680" s="488">
        <v>0</v>
      </c>
      <c r="BI680" s="488">
        <v>0.72</v>
      </c>
      <c r="BJ680" s="494" t="s">
        <v>186</v>
      </c>
      <c r="BK680" s="401"/>
    </row>
    <row r="681" spans="1:63" ht="150">
      <c r="A681" s="401">
        <v>2</v>
      </c>
      <c r="B681" s="494" t="s">
        <v>6090</v>
      </c>
      <c r="C681" s="401" t="s">
        <v>83</v>
      </c>
      <c r="D681" s="401" t="s">
        <v>242</v>
      </c>
      <c r="E681" s="494" t="s">
        <v>5853</v>
      </c>
      <c r="F681" s="401" t="s">
        <v>1752</v>
      </c>
      <c r="G681" s="401" t="s">
        <v>2344</v>
      </c>
      <c r="H681" s="499">
        <v>852625</v>
      </c>
      <c r="I681" s="486" t="s">
        <v>6091</v>
      </c>
      <c r="J681" s="496" t="s">
        <v>5317</v>
      </c>
      <c r="K681" s="496" t="s">
        <v>5317</v>
      </c>
      <c r="L681" s="496" t="s">
        <v>1772</v>
      </c>
      <c r="M681" s="500" t="s">
        <v>1755</v>
      </c>
      <c r="N681" s="496" t="s">
        <v>1773</v>
      </c>
      <c r="O681" s="496" t="s">
        <v>2234</v>
      </c>
      <c r="P681" s="489">
        <v>3952.8540936363638</v>
      </c>
      <c r="Q681" s="489">
        <f t="shared" si="110"/>
        <v>4664.367830490909</v>
      </c>
      <c r="R681" s="489">
        <v>3342.4189999999999</v>
      </c>
      <c r="S681" s="401" t="s">
        <v>1774</v>
      </c>
      <c r="T681" s="501">
        <v>1.087</v>
      </c>
      <c r="U681" s="501">
        <v>1.077</v>
      </c>
      <c r="V681" s="501">
        <v>1.073</v>
      </c>
      <c r="W681" s="501">
        <v>1.071</v>
      </c>
      <c r="X681" s="596">
        <v>0.9</v>
      </c>
      <c r="Y681" s="502">
        <v>3913.6379999999999</v>
      </c>
      <c r="Z681" s="489">
        <f t="shared" si="111"/>
        <v>4618.0928399999993</v>
      </c>
      <c r="AA681" s="489">
        <v>3684.2849999999999</v>
      </c>
      <c r="AB681" s="488">
        <f t="shared" si="112"/>
        <v>4347.4562999999998</v>
      </c>
      <c r="AC681" s="492">
        <f t="shared" si="114"/>
        <v>3684.2849999999999</v>
      </c>
      <c r="AD681" s="493">
        <f t="shared" si="113"/>
        <v>4347.4562999999998</v>
      </c>
      <c r="AE681" s="494" t="s">
        <v>1775</v>
      </c>
      <c r="AF681" s="494" t="s">
        <v>83</v>
      </c>
      <c r="AG681" s="494" t="s">
        <v>211</v>
      </c>
      <c r="AH681" s="494" t="s">
        <v>545</v>
      </c>
      <c r="AI681" s="495">
        <v>41730</v>
      </c>
      <c r="AJ681" s="495">
        <v>41765</v>
      </c>
      <c r="AK681" s="494" t="s">
        <v>96</v>
      </c>
      <c r="AL681" s="494" t="s">
        <v>96</v>
      </c>
      <c r="AM681" s="496" t="s">
        <v>1846</v>
      </c>
      <c r="AN681" s="496" t="s">
        <v>1757</v>
      </c>
      <c r="AO681" s="494">
        <v>796</v>
      </c>
      <c r="AP681" s="494" t="s">
        <v>368</v>
      </c>
      <c r="AQ681" s="494">
        <v>1</v>
      </c>
      <c r="AR681" s="494">
        <v>45</v>
      </c>
      <c r="AS681" s="496" t="s">
        <v>547</v>
      </c>
      <c r="AT681" s="495">
        <v>41785</v>
      </c>
      <c r="AU681" s="495">
        <v>41785</v>
      </c>
      <c r="AV681" s="495">
        <v>42004</v>
      </c>
      <c r="AW681" s="494">
        <v>2014</v>
      </c>
      <c r="AX681" s="496"/>
      <c r="AY681" s="494" t="s">
        <v>186</v>
      </c>
      <c r="AZ681" s="494"/>
      <c r="BA681" s="494">
        <v>2014</v>
      </c>
      <c r="BB681" s="494" t="s">
        <v>6092</v>
      </c>
      <c r="BC681" s="496" t="s">
        <v>6093</v>
      </c>
      <c r="BD681" s="496" t="s">
        <v>1818</v>
      </c>
      <c r="BE681" s="497">
        <v>42004</v>
      </c>
      <c r="BF681" s="498">
        <v>5286.6775123999987</v>
      </c>
      <c r="BG681" s="488">
        <v>5286.6775123999987</v>
      </c>
      <c r="BH681" s="488">
        <v>0</v>
      </c>
      <c r="BI681" s="488">
        <v>0.28999999999999998</v>
      </c>
      <c r="BJ681" s="494" t="s">
        <v>186</v>
      </c>
      <c r="BK681" s="401"/>
    </row>
    <row r="682" spans="1:63" ht="150">
      <c r="A682" s="401">
        <v>2</v>
      </c>
      <c r="B682" s="494" t="s">
        <v>6094</v>
      </c>
      <c r="C682" s="401" t="s">
        <v>83</v>
      </c>
      <c r="D682" s="401" t="s">
        <v>242</v>
      </c>
      <c r="E682" s="494" t="s">
        <v>5853</v>
      </c>
      <c r="F682" s="401" t="s">
        <v>1752</v>
      </c>
      <c r="G682" s="401" t="s">
        <v>2344</v>
      </c>
      <c r="H682" s="499">
        <v>852916</v>
      </c>
      <c r="I682" s="486" t="s">
        <v>6095</v>
      </c>
      <c r="J682" s="496" t="s">
        <v>2237</v>
      </c>
      <c r="K682" s="496" t="s">
        <v>2237</v>
      </c>
      <c r="L682" s="496" t="s">
        <v>1772</v>
      </c>
      <c r="M682" s="500" t="s">
        <v>1755</v>
      </c>
      <c r="N682" s="496" t="s">
        <v>1773</v>
      </c>
      <c r="O682" s="496" t="s">
        <v>2234</v>
      </c>
      <c r="P682" s="489">
        <v>10394.111629999999</v>
      </c>
      <c r="Q682" s="489">
        <f t="shared" si="110"/>
        <v>12265.051723399998</v>
      </c>
      <c r="R682" s="489">
        <v>8625.4369999999999</v>
      </c>
      <c r="S682" s="401" t="s">
        <v>1774</v>
      </c>
      <c r="T682" s="501">
        <v>1.087</v>
      </c>
      <c r="U682" s="501">
        <v>1.077</v>
      </c>
      <c r="V682" s="501">
        <v>1.073</v>
      </c>
      <c r="W682" s="501">
        <v>1.071</v>
      </c>
      <c r="X682" s="596">
        <v>0.9</v>
      </c>
      <c r="Y682" s="502">
        <v>10099.523999999999</v>
      </c>
      <c r="Z682" s="489">
        <f t="shared" si="111"/>
        <v>11917.438319999999</v>
      </c>
      <c r="AA682" s="489">
        <v>9922.866</v>
      </c>
      <c r="AB682" s="488">
        <f t="shared" si="112"/>
        <v>11708.981879999999</v>
      </c>
      <c r="AC682" s="492">
        <f t="shared" si="114"/>
        <v>9922.866</v>
      </c>
      <c r="AD682" s="493">
        <f t="shared" si="113"/>
        <v>11708.981879999999</v>
      </c>
      <c r="AE682" s="494" t="s">
        <v>1775</v>
      </c>
      <c r="AF682" s="494" t="s">
        <v>83</v>
      </c>
      <c r="AG682" s="494" t="s">
        <v>211</v>
      </c>
      <c r="AH682" s="494" t="s">
        <v>545</v>
      </c>
      <c r="AI682" s="495">
        <v>41730</v>
      </c>
      <c r="AJ682" s="495">
        <v>41765</v>
      </c>
      <c r="AK682" s="494" t="s">
        <v>96</v>
      </c>
      <c r="AL682" s="494" t="s">
        <v>96</v>
      </c>
      <c r="AM682" s="496" t="s">
        <v>2238</v>
      </c>
      <c r="AN682" s="496" t="s">
        <v>1757</v>
      </c>
      <c r="AO682" s="494">
        <v>796</v>
      </c>
      <c r="AP682" s="494" t="s">
        <v>368</v>
      </c>
      <c r="AQ682" s="494">
        <v>1</v>
      </c>
      <c r="AR682" s="494">
        <v>45</v>
      </c>
      <c r="AS682" s="496" t="s">
        <v>547</v>
      </c>
      <c r="AT682" s="495">
        <v>41785</v>
      </c>
      <c r="AU682" s="495">
        <v>41785</v>
      </c>
      <c r="AV682" s="495">
        <v>42004</v>
      </c>
      <c r="AW682" s="494">
        <v>2014</v>
      </c>
      <c r="AX682" s="496"/>
      <c r="AY682" s="494" t="s">
        <v>186</v>
      </c>
      <c r="AZ682" s="494"/>
      <c r="BA682" s="494">
        <v>2014</v>
      </c>
      <c r="BB682" s="494" t="s">
        <v>6096</v>
      </c>
      <c r="BC682" s="496" t="s">
        <v>6097</v>
      </c>
      <c r="BD682" s="496" t="s">
        <v>1818</v>
      </c>
      <c r="BE682" s="497">
        <v>42004</v>
      </c>
      <c r="BF682" s="498">
        <v>11824.380856739997</v>
      </c>
      <c r="BG682" s="488">
        <v>11824.380856739997</v>
      </c>
      <c r="BH682" s="488">
        <v>1.26</v>
      </c>
      <c r="BI682" s="488">
        <v>0</v>
      </c>
      <c r="BJ682" s="494" t="s">
        <v>186</v>
      </c>
      <c r="BK682" s="401"/>
    </row>
    <row r="683" spans="1:63" ht="112.5">
      <c r="A683" s="401">
        <v>2</v>
      </c>
      <c r="B683" s="494" t="s">
        <v>6098</v>
      </c>
      <c r="C683" s="401" t="s">
        <v>83</v>
      </c>
      <c r="D683" s="401" t="s">
        <v>235</v>
      </c>
      <c r="E683" s="494" t="s">
        <v>5853</v>
      </c>
      <c r="F683" s="401" t="s">
        <v>5297</v>
      </c>
      <c r="G683" s="401" t="s">
        <v>5298</v>
      </c>
      <c r="H683" s="499">
        <v>842870</v>
      </c>
      <c r="I683" s="486" t="s">
        <v>6099</v>
      </c>
      <c r="J683" s="496" t="s">
        <v>5999</v>
      </c>
      <c r="K683" s="496" t="s">
        <v>5999</v>
      </c>
      <c r="L683" s="496" t="s">
        <v>2325</v>
      </c>
      <c r="M683" s="500" t="s">
        <v>1755</v>
      </c>
      <c r="N683" s="496" t="s">
        <v>1773</v>
      </c>
      <c r="O683" s="496" t="s">
        <v>2234</v>
      </c>
      <c r="P683" s="489">
        <v>922.44</v>
      </c>
      <c r="Q683" s="489">
        <f t="shared" si="110"/>
        <v>1088.4792</v>
      </c>
      <c r="R683" s="489">
        <v>728.86823439704153</v>
      </c>
      <c r="S683" s="401" t="s">
        <v>5970</v>
      </c>
      <c r="T683" s="501">
        <v>1.087</v>
      </c>
      <c r="U683" s="501">
        <v>1.0680000000000001</v>
      </c>
      <c r="V683" s="501">
        <v>1.0589999999999999</v>
      </c>
      <c r="W683" s="501">
        <v>1.0580000000000001</v>
      </c>
      <c r="X683" s="596">
        <v>0.9</v>
      </c>
      <c r="Y683" s="502">
        <v>853.24540315612035</v>
      </c>
      <c r="Z683" s="489">
        <f t="shared" si="111"/>
        <v>1006.829575724222</v>
      </c>
      <c r="AA683" s="489">
        <v>885.17294159471396</v>
      </c>
      <c r="AB683" s="488">
        <f t="shared" si="112"/>
        <v>1044.5040710817625</v>
      </c>
      <c r="AC683" s="492">
        <f t="shared" si="114"/>
        <v>853.24540315612035</v>
      </c>
      <c r="AD683" s="493">
        <f t="shared" si="113"/>
        <v>1006.829575724222</v>
      </c>
      <c r="AE683" s="494" t="s">
        <v>1775</v>
      </c>
      <c r="AF683" s="494" t="s">
        <v>83</v>
      </c>
      <c r="AG683" s="494" t="s">
        <v>211</v>
      </c>
      <c r="AH683" s="494" t="s">
        <v>545</v>
      </c>
      <c r="AI683" s="495">
        <v>41649</v>
      </c>
      <c r="AJ683" s="495">
        <v>41684</v>
      </c>
      <c r="AK683" s="494" t="s">
        <v>96</v>
      </c>
      <c r="AL683" s="494" t="s">
        <v>96</v>
      </c>
      <c r="AM683" s="496" t="s">
        <v>6000</v>
      </c>
      <c r="AN683" s="496" t="s">
        <v>1757</v>
      </c>
      <c r="AO683" s="494">
        <v>796</v>
      </c>
      <c r="AP683" s="494" t="s">
        <v>368</v>
      </c>
      <c r="AQ683" s="494">
        <v>1</v>
      </c>
      <c r="AR683" s="494">
        <v>46</v>
      </c>
      <c r="AS683" s="496" t="s">
        <v>605</v>
      </c>
      <c r="AT683" s="495">
        <v>41704</v>
      </c>
      <c r="AU683" s="495">
        <v>41704</v>
      </c>
      <c r="AV683" s="495">
        <v>41820</v>
      </c>
      <c r="AW683" s="494">
        <v>2014</v>
      </c>
      <c r="AX683" s="496"/>
      <c r="AY683" s="494" t="s">
        <v>186</v>
      </c>
      <c r="AZ683" s="494"/>
      <c r="BA683" s="494">
        <v>2014</v>
      </c>
      <c r="BB683" s="494" t="s">
        <v>6100</v>
      </c>
      <c r="BC683" s="496" t="s">
        <v>6101</v>
      </c>
      <c r="BD683" s="496" t="s">
        <v>1818</v>
      </c>
      <c r="BE683" s="497">
        <v>41850</v>
      </c>
      <c r="BF683" s="498">
        <v>1088.4792</v>
      </c>
      <c r="BG683" s="488">
        <v>1044.5040710817625</v>
      </c>
      <c r="BH683" s="488">
        <v>0.1</v>
      </c>
      <c r="BI683" s="488">
        <v>0</v>
      </c>
      <c r="BJ683" s="494" t="s">
        <v>1465</v>
      </c>
      <c r="BK683" s="401"/>
    </row>
    <row r="684" spans="1:63" ht="112.5">
      <c r="A684" s="401">
        <v>2</v>
      </c>
      <c r="B684" s="494" t="s">
        <v>6102</v>
      </c>
      <c r="C684" s="401" t="s">
        <v>83</v>
      </c>
      <c r="D684" s="401" t="s">
        <v>235</v>
      </c>
      <c r="E684" s="494" t="s">
        <v>5853</v>
      </c>
      <c r="F684" s="401" t="s">
        <v>5297</v>
      </c>
      <c r="G684" s="401" t="s">
        <v>5298</v>
      </c>
      <c r="H684" s="499">
        <v>842846</v>
      </c>
      <c r="I684" s="486" t="s">
        <v>6103</v>
      </c>
      <c r="J684" s="496" t="s">
        <v>5999</v>
      </c>
      <c r="K684" s="496" t="s">
        <v>5999</v>
      </c>
      <c r="L684" s="496" t="s">
        <v>2325</v>
      </c>
      <c r="M684" s="500" t="s">
        <v>1755</v>
      </c>
      <c r="N684" s="496" t="s">
        <v>1773</v>
      </c>
      <c r="O684" s="496" t="s">
        <v>2234</v>
      </c>
      <c r="P684" s="489">
        <v>3810.83547</v>
      </c>
      <c r="Q684" s="489">
        <f t="shared" si="110"/>
        <v>4496.7858545999998</v>
      </c>
      <c r="R684" s="489">
        <v>2760.1505609703268</v>
      </c>
      <c r="S684" s="401" t="s">
        <v>5970</v>
      </c>
      <c r="T684" s="501">
        <v>1.087</v>
      </c>
      <c r="U684" s="501">
        <v>1.0680000000000001</v>
      </c>
      <c r="V684" s="501">
        <v>1.0589999999999999</v>
      </c>
      <c r="W684" s="501">
        <v>1.0580000000000001</v>
      </c>
      <c r="X684" s="596">
        <v>0.9</v>
      </c>
      <c r="Y684" s="502">
        <v>3231.1543664884371</v>
      </c>
      <c r="Z684" s="489">
        <f t="shared" si="111"/>
        <v>3812.7621524563556</v>
      </c>
      <c r="AA684" s="489">
        <v>3557.0762470913405</v>
      </c>
      <c r="AB684" s="488">
        <f t="shared" si="112"/>
        <v>4197.3499715677817</v>
      </c>
      <c r="AC684" s="492">
        <f t="shared" si="114"/>
        <v>3231.1543664884371</v>
      </c>
      <c r="AD684" s="493">
        <f t="shared" si="113"/>
        <v>3812.7621524563556</v>
      </c>
      <c r="AE684" s="494" t="s">
        <v>1775</v>
      </c>
      <c r="AF684" s="494" t="s">
        <v>83</v>
      </c>
      <c r="AG684" s="494" t="s">
        <v>211</v>
      </c>
      <c r="AH684" s="494" t="s">
        <v>545</v>
      </c>
      <c r="AI684" s="495">
        <v>41649</v>
      </c>
      <c r="AJ684" s="495">
        <v>41684</v>
      </c>
      <c r="AK684" s="494" t="s">
        <v>96</v>
      </c>
      <c r="AL684" s="494" t="s">
        <v>96</v>
      </c>
      <c r="AM684" s="496" t="s">
        <v>6000</v>
      </c>
      <c r="AN684" s="496" t="s">
        <v>1757</v>
      </c>
      <c r="AO684" s="494">
        <v>796</v>
      </c>
      <c r="AP684" s="494" t="s">
        <v>368</v>
      </c>
      <c r="AQ684" s="494">
        <v>1</v>
      </c>
      <c r="AR684" s="494">
        <v>46</v>
      </c>
      <c r="AS684" s="496" t="s">
        <v>605</v>
      </c>
      <c r="AT684" s="495">
        <v>41704</v>
      </c>
      <c r="AU684" s="495">
        <v>41704</v>
      </c>
      <c r="AV684" s="495">
        <v>41943</v>
      </c>
      <c r="AW684" s="494">
        <v>2014</v>
      </c>
      <c r="AX684" s="496"/>
      <c r="AY684" s="494" t="s">
        <v>186</v>
      </c>
      <c r="AZ684" s="494"/>
      <c r="BA684" s="494">
        <v>2014</v>
      </c>
      <c r="BB684" s="494" t="s">
        <v>6104</v>
      </c>
      <c r="BC684" s="496" t="s">
        <v>6105</v>
      </c>
      <c r="BD684" s="496" t="s">
        <v>1818</v>
      </c>
      <c r="BE684" s="497">
        <v>41973</v>
      </c>
      <c r="BF684" s="498">
        <v>4496.7858545999998</v>
      </c>
      <c r="BG684" s="488">
        <v>4197.3499715677817</v>
      </c>
      <c r="BH684" s="488">
        <v>0</v>
      </c>
      <c r="BI684" s="488">
        <v>0</v>
      </c>
      <c r="BJ684" s="494" t="s">
        <v>1465</v>
      </c>
      <c r="BK684" s="401"/>
    </row>
    <row r="685" spans="1:63" ht="141" customHeight="1">
      <c r="A685" s="614">
        <v>2</v>
      </c>
      <c r="B685" s="615" t="s">
        <v>6106</v>
      </c>
      <c r="C685" s="614" t="s">
        <v>83</v>
      </c>
      <c r="D685" s="614" t="s">
        <v>231</v>
      </c>
      <c r="E685" s="615" t="s">
        <v>5853</v>
      </c>
      <c r="F685" s="614" t="s">
        <v>1768</v>
      </c>
      <c r="G685" s="614" t="s">
        <v>1769</v>
      </c>
      <c r="H685" s="616">
        <v>831792</v>
      </c>
      <c r="I685" s="617" t="s">
        <v>6107</v>
      </c>
      <c r="J685" s="618" t="s">
        <v>5442</v>
      </c>
      <c r="K685" s="618" t="s">
        <v>5442</v>
      </c>
      <c r="L685" s="618" t="s">
        <v>1772</v>
      </c>
      <c r="M685" s="619" t="s">
        <v>1755</v>
      </c>
      <c r="N685" s="618" t="s">
        <v>1773</v>
      </c>
      <c r="O685" s="618" t="s">
        <v>1786</v>
      </c>
      <c r="P685" s="620">
        <v>126742.5598029</v>
      </c>
      <c r="Q685" s="620">
        <f t="shared" si="110"/>
        <v>149556.22056742199</v>
      </c>
      <c r="R685" s="620">
        <v>113051.68600351669</v>
      </c>
      <c r="S685" s="614" t="s">
        <v>1774</v>
      </c>
      <c r="T685" s="621">
        <v>1.087</v>
      </c>
      <c r="U685" s="621">
        <v>1.077</v>
      </c>
      <c r="V685" s="621">
        <v>1.073</v>
      </c>
      <c r="W685" s="621">
        <v>1.071</v>
      </c>
      <c r="X685" s="622">
        <v>0.9</v>
      </c>
      <c r="Y685" s="623">
        <v>125046.46988848984</v>
      </c>
      <c r="Z685" s="620">
        <f t="shared" si="111"/>
        <v>147554.834468418</v>
      </c>
      <c r="AA685" s="620">
        <v>130679.39176151635</v>
      </c>
      <c r="AB685" s="624">
        <f t="shared" si="112"/>
        <v>154201.68227858929</v>
      </c>
      <c r="AC685" s="625">
        <f t="shared" si="114"/>
        <v>125046.46988848984</v>
      </c>
      <c r="AD685" s="626">
        <f t="shared" si="113"/>
        <v>147554.834468418</v>
      </c>
      <c r="AE685" s="615" t="s">
        <v>1775</v>
      </c>
      <c r="AF685" s="615" t="s">
        <v>83</v>
      </c>
      <c r="AG685" s="615" t="s">
        <v>211</v>
      </c>
      <c r="AH685" s="615" t="s">
        <v>545</v>
      </c>
      <c r="AI685" s="627">
        <v>41654</v>
      </c>
      <c r="AJ685" s="627">
        <v>41689</v>
      </c>
      <c r="AK685" s="615" t="s">
        <v>96</v>
      </c>
      <c r="AL685" s="615" t="s">
        <v>96</v>
      </c>
      <c r="AM685" s="618" t="s">
        <v>2326</v>
      </c>
      <c r="AN685" s="618" t="s">
        <v>1757</v>
      </c>
      <c r="AO685" s="615">
        <v>796</v>
      </c>
      <c r="AP685" s="615" t="s">
        <v>368</v>
      </c>
      <c r="AQ685" s="615">
        <v>1</v>
      </c>
      <c r="AR685" s="615">
        <v>46</v>
      </c>
      <c r="AS685" s="618" t="s">
        <v>605</v>
      </c>
      <c r="AT685" s="627">
        <v>41709</v>
      </c>
      <c r="AU685" s="627">
        <v>41709</v>
      </c>
      <c r="AV685" s="627">
        <v>42004</v>
      </c>
      <c r="AW685" s="615">
        <v>2014</v>
      </c>
      <c r="AX685" s="618"/>
      <c r="AY685" s="615" t="s">
        <v>186</v>
      </c>
      <c r="AZ685" s="615"/>
      <c r="BA685" s="615">
        <v>2014</v>
      </c>
      <c r="BB685" s="615" t="s">
        <v>6108</v>
      </c>
      <c r="BC685" s="618" t="s">
        <v>6109</v>
      </c>
      <c r="BD685" s="618" t="s">
        <v>6110</v>
      </c>
      <c r="BE685" s="628">
        <v>42004</v>
      </c>
      <c r="BF685" s="629">
        <v>162151.34014099999</v>
      </c>
      <c r="BG685" s="624">
        <v>166870.84474205913</v>
      </c>
      <c r="BH685" s="624">
        <v>12.6</v>
      </c>
      <c r="BI685" s="624">
        <v>10</v>
      </c>
      <c r="BJ685" s="615" t="s">
        <v>186</v>
      </c>
      <c r="BK685" s="614"/>
    </row>
    <row r="686" spans="1:63" s="613" customFormat="1" ht="112.5">
      <c r="A686" s="555">
        <v>2</v>
      </c>
      <c r="B686" s="562" t="s">
        <v>6111</v>
      </c>
      <c r="C686" s="555" t="s">
        <v>83</v>
      </c>
      <c r="D686" s="555" t="s">
        <v>231</v>
      </c>
      <c r="E686" s="562" t="s">
        <v>5853</v>
      </c>
      <c r="F686" s="555" t="s">
        <v>1761</v>
      </c>
      <c r="G686" s="555" t="s">
        <v>1762</v>
      </c>
      <c r="H686" s="556">
        <v>834451</v>
      </c>
      <c r="I686" s="486" t="s">
        <v>6112</v>
      </c>
      <c r="J686" s="486" t="s">
        <v>2233</v>
      </c>
      <c r="K686" s="486" t="s">
        <v>2233</v>
      </c>
      <c r="L686" s="486" t="s">
        <v>1772</v>
      </c>
      <c r="M686" s="576" t="s">
        <v>1755</v>
      </c>
      <c r="N686" s="486" t="s">
        <v>1773</v>
      </c>
      <c r="O686" s="486" t="s">
        <v>2234</v>
      </c>
      <c r="P686" s="492">
        <v>49600.961003999459</v>
      </c>
      <c r="Q686" s="492">
        <f t="shared" si="110"/>
        <v>58529.133984719359</v>
      </c>
      <c r="R686" s="492">
        <v>37425.089999999997</v>
      </c>
      <c r="S686" s="555" t="s">
        <v>1774</v>
      </c>
      <c r="T686" s="630">
        <v>1.087</v>
      </c>
      <c r="U686" s="630">
        <v>1.077</v>
      </c>
      <c r="V686" s="630">
        <v>1.073</v>
      </c>
      <c r="W686" s="630">
        <v>1.071</v>
      </c>
      <c r="X686" s="560">
        <v>0.9</v>
      </c>
      <c r="Y686" s="514">
        <v>44595.517760460047</v>
      </c>
      <c r="Z686" s="492">
        <f t="shared" si="111"/>
        <v>52622.710957342853</v>
      </c>
      <c r="AA686" s="492">
        <v>44931.771999999997</v>
      </c>
      <c r="AB686" s="493">
        <f t="shared" si="112"/>
        <v>53019.490959999996</v>
      </c>
      <c r="AC686" s="492">
        <f t="shared" si="114"/>
        <v>44595.517760460047</v>
      </c>
      <c r="AD686" s="493">
        <f t="shared" si="113"/>
        <v>52622.710957342853</v>
      </c>
      <c r="AE686" s="562" t="s">
        <v>1775</v>
      </c>
      <c r="AF686" s="562" t="s">
        <v>83</v>
      </c>
      <c r="AG686" s="562" t="s">
        <v>211</v>
      </c>
      <c r="AH686" s="562" t="s">
        <v>545</v>
      </c>
      <c r="AI686" s="561">
        <v>41671</v>
      </c>
      <c r="AJ686" s="561">
        <v>41706</v>
      </c>
      <c r="AK686" s="562" t="s">
        <v>96</v>
      </c>
      <c r="AL686" s="562" t="s">
        <v>96</v>
      </c>
      <c r="AM686" s="486" t="s">
        <v>1793</v>
      </c>
      <c r="AN686" s="486" t="s">
        <v>1757</v>
      </c>
      <c r="AO686" s="562">
        <v>796</v>
      </c>
      <c r="AP686" s="562" t="s">
        <v>368</v>
      </c>
      <c r="AQ686" s="562">
        <v>1</v>
      </c>
      <c r="AR686" s="562">
        <v>46</v>
      </c>
      <c r="AS686" s="486" t="s">
        <v>605</v>
      </c>
      <c r="AT686" s="561">
        <v>41726</v>
      </c>
      <c r="AU686" s="561">
        <v>41726</v>
      </c>
      <c r="AV686" s="714">
        <v>41912</v>
      </c>
      <c r="AW686" s="562">
        <v>2014</v>
      </c>
      <c r="AX686" s="486"/>
      <c r="AY686" s="562" t="s">
        <v>186</v>
      </c>
      <c r="AZ686" s="562"/>
      <c r="BA686" s="562">
        <v>2014</v>
      </c>
      <c r="BB686" s="562" t="s">
        <v>2605</v>
      </c>
      <c r="BC686" s="486" t="s">
        <v>2606</v>
      </c>
      <c r="BD686" s="486" t="s">
        <v>1818</v>
      </c>
      <c r="BE686" s="575" t="s">
        <v>7293</v>
      </c>
      <c r="BF686" s="580">
        <v>1569107.81</v>
      </c>
      <c r="BG686" s="493">
        <f>1474.9609184*1000</f>
        <v>1474960.9184000001</v>
      </c>
      <c r="BH686" s="493">
        <v>50</v>
      </c>
      <c r="BI686" s="493">
        <v>59.89</v>
      </c>
      <c r="BJ686" s="562" t="s">
        <v>186</v>
      </c>
      <c r="BK686" s="555"/>
    </row>
    <row r="687" spans="1:63" ht="93.75">
      <c r="A687" s="631">
        <v>2</v>
      </c>
      <c r="B687" s="632" t="s">
        <v>4719</v>
      </c>
      <c r="C687" s="631" t="s">
        <v>83</v>
      </c>
      <c r="D687" s="631" t="s">
        <v>931</v>
      </c>
      <c r="E687" s="632" t="s">
        <v>176</v>
      </c>
      <c r="F687" s="631">
        <v>74.14</v>
      </c>
      <c r="G687" s="631">
        <v>7414</v>
      </c>
      <c r="H687" s="633">
        <v>626673</v>
      </c>
      <c r="I687" s="635" t="s">
        <v>4720</v>
      </c>
      <c r="J687" s="635" t="s">
        <v>352</v>
      </c>
      <c r="K687" s="635" t="s">
        <v>352</v>
      </c>
      <c r="L687" s="635" t="s">
        <v>1772</v>
      </c>
      <c r="M687" s="636">
        <v>20105061203</v>
      </c>
      <c r="N687" s="635" t="s">
        <v>933</v>
      </c>
      <c r="O687" s="635" t="s">
        <v>167</v>
      </c>
      <c r="P687" s="637">
        <v>70000</v>
      </c>
      <c r="Q687" s="637">
        <f t="shared" si="110"/>
        <v>82600</v>
      </c>
      <c r="R687" s="637"/>
      <c r="S687" s="631" t="s">
        <v>934</v>
      </c>
      <c r="T687" s="638"/>
      <c r="U687" s="638"/>
      <c r="V687" s="638"/>
      <c r="W687" s="638"/>
      <c r="X687" s="706"/>
      <c r="Y687" s="640">
        <v>70000</v>
      </c>
      <c r="Z687" s="637">
        <f t="shared" si="111"/>
        <v>82600</v>
      </c>
      <c r="AA687" s="640">
        <v>70000</v>
      </c>
      <c r="AB687" s="637">
        <f t="shared" si="112"/>
        <v>82600</v>
      </c>
      <c r="AC687" s="642">
        <v>70000</v>
      </c>
      <c r="AD687" s="643">
        <f t="shared" si="113"/>
        <v>82600</v>
      </c>
      <c r="AE687" s="632" t="s">
        <v>97</v>
      </c>
      <c r="AF687" s="631" t="s">
        <v>83</v>
      </c>
      <c r="AG687" s="631" t="s">
        <v>83</v>
      </c>
      <c r="AH687" s="631" t="s">
        <v>545</v>
      </c>
      <c r="AI687" s="707">
        <v>41654</v>
      </c>
      <c r="AJ687" s="707">
        <v>41669</v>
      </c>
      <c r="AK687" s="708"/>
      <c r="AL687" s="708"/>
      <c r="AM687" s="708" t="s">
        <v>4720</v>
      </c>
      <c r="AN687" s="708" t="s">
        <v>171</v>
      </c>
      <c r="AO687" s="633">
        <v>796</v>
      </c>
      <c r="AP687" s="631" t="s">
        <v>419</v>
      </c>
      <c r="AQ687" s="631">
        <v>1</v>
      </c>
      <c r="AR687" s="631">
        <v>45.46</v>
      </c>
      <c r="AS687" s="635" t="s">
        <v>92</v>
      </c>
      <c r="AT687" s="644">
        <v>41671</v>
      </c>
      <c r="AU687" s="644">
        <v>41671</v>
      </c>
      <c r="AV687" s="644">
        <v>42063</v>
      </c>
      <c r="AW687" s="709" t="s">
        <v>99</v>
      </c>
      <c r="AX687" s="708"/>
      <c r="AY687" s="710" t="s">
        <v>186</v>
      </c>
      <c r="AZ687" s="708"/>
      <c r="BA687" s="631">
        <v>2014</v>
      </c>
      <c r="BB687" s="631"/>
      <c r="BC687" s="708"/>
      <c r="BD687" s="711"/>
      <c r="BE687" s="712"/>
      <c r="BF687" s="713">
        <v>94400</v>
      </c>
      <c r="BG687" s="641">
        <v>94400</v>
      </c>
      <c r="BH687" s="713"/>
      <c r="BI687" s="713"/>
      <c r="BJ687" s="709"/>
      <c r="BK687" s="631"/>
    </row>
    <row r="688" spans="1:63" ht="112.5">
      <c r="A688" s="401">
        <v>2</v>
      </c>
      <c r="B688" s="494" t="s">
        <v>4787</v>
      </c>
      <c r="C688" s="401" t="s">
        <v>83</v>
      </c>
      <c r="D688" s="401" t="s">
        <v>225</v>
      </c>
      <c r="E688" s="494" t="s">
        <v>5853</v>
      </c>
      <c r="F688" s="401" t="s">
        <v>1768</v>
      </c>
      <c r="G688" s="401" t="s">
        <v>1769</v>
      </c>
      <c r="H688" s="499">
        <v>811484</v>
      </c>
      <c r="I688" s="496" t="s">
        <v>4788</v>
      </c>
      <c r="J688" s="496" t="s">
        <v>1771</v>
      </c>
      <c r="K688" s="496" t="s">
        <v>1771</v>
      </c>
      <c r="L688" s="496" t="s">
        <v>1772</v>
      </c>
      <c r="M688" s="500" t="s">
        <v>1755</v>
      </c>
      <c r="N688" s="496" t="s">
        <v>1773</v>
      </c>
      <c r="O688" s="496" t="s">
        <v>1786</v>
      </c>
      <c r="P688" s="489">
        <v>55815.08</v>
      </c>
      <c r="Q688" s="489">
        <f t="shared" si="110"/>
        <v>65861.794399999999</v>
      </c>
      <c r="R688" s="489">
        <v>20073.5</v>
      </c>
      <c r="S688" s="401" t="s">
        <v>5970</v>
      </c>
      <c r="T688" s="501">
        <v>1.087</v>
      </c>
      <c r="U688" s="501">
        <v>1.0680000000000001</v>
      </c>
      <c r="V688" s="501">
        <v>1.0589999999999999</v>
      </c>
      <c r="W688" s="501">
        <v>1.0580000000000001</v>
      </c>
      <c r="X688" s="596">
        <v>0.9</v>
      </c>
      <c r="Y688" s="502">
        <v>54002.55</v>
      </c>
      <c r="Z688" s="489">
        <f t="shared" si="111"/>
        <v>63723.008999999998</v>
      </c>
      <c r="AA688" s="502">
        <v>58627.59</v>
      </c>
      <c r="AB688" s="489">
        <f t="shared" si="112"/>
        <v>69180.556199999992</v>
      </c>
      <c r="AC688" s="492">
        <f>Y688</f>
        <v>54002.55</v>
      </c>
      <c r="AD688" s="493">
        <f t="shared" si="113"/>
        <v>63723.008999999998</v>
      </c>
      <c r="AE688" s="494" t="s">
        <v>218</v>
      </c>
      <c r="AF688" s="401" t="s">
        <v>83</v>
      </c>
      <c r="AG688" s="401" t="s">
        <v>83</v>
      </c>
      <c r="AH688" s="401" t="s">
        <v>545</v>
      </c>
      <c r="AI688" s="495">
        <v>41654</v>
      </c>
      <c r="AJ688" s="583">
        <v>41714</v>
      </c>
      <c r="AK688" s="487"/>
      <c r="AL688" s="487"/>
      <c r="AM688" s="487" t="str">
        <f t="shared" ref="AM688:AM693" si="115">"Выполнение "&amp;J688</f>
        <v>Выполнение СМР, ПНР, оборудование</v>
      </c>
      <c r="AN688" s="487" t="s">
        <v>1757</v>
      </c>
      <c r="AO688" s="499">
        <v>796</v>
      </c>
      <c r="AP688" s="401" t="s">
        <v>368</v>
      </c>
      <c r="AQ688" s="401">
        <v>1</v>
      </c>
      <c r="AR688" s="401">
        <v>46</v>
      </c>
      <c r="AS688" s="496" t="s">
        <v>605</v>
      </c>
      <c r="AT688" s="495">
        <v>41734</v>
      </c>
      <c r="AU688" s="495">
        <v>41734</v>
      </c>
      <c r="AV688" s="547">
        <v>42369</v>
      </c>
      <c r="AW688" s="548">
        <v>2014</v>
      </c>
      <c r="AX688" s="487"/>
      <c r="AY688" s="549" t="s">
        <v>186</v>
      </c>
      <c r="AZ688" s="487"/>
      <c r="BA688" s="401">
        <v>2014</v>
      </c>
      <c r="BB688" s="401" t="s">
        <v>4789</v>
      </c>
      <c r="BC688" s="487" t="s">
        <v>4790</v>
      </c>
      <c r="BD688" s="550" t="s">
        <v>4791</v>
      </c>
      <c r="BE688" s="551">
        <f t="shared" ref="BE688:BE693" si="116">AV688</f>
        <v>42369</v>
      </c>
      <c r="BF688" s="552">
        <v>164916.16279999999</v>
      </c>
      <c r="BG688" s="488">
        <v>155021.19303199995</v>
      </c>
      <c r="BH688" s="552">
        <v>12.6</v>
      </c>
      <c r="BI688" s="552"/>
      <c r="BJ688" s="548" t="s">
        <v>186</v>
      </c>
      <c r="BK688" s="401"/>
    </row>
    <row r="689" spans="1:63" ht="150">
      <c r="A689" s="401">
        <v>2</v>
      </c>
      <c r="B689" s="494" t="s">
        <v>4927</v>
      </c>
      <c r="C689" s="401" t="s">
        <v>83</v>
      </c>
      <c r="D689" s="401" t="s">
        <v>238</v>
      </c>
      <c r="E689" s="494" t="s">
        <v>5853</v>
      </c>
      <c r="F689" s="401" t="s">
        <v>1752</v>
      </c>
      <c r="G689" s="401" t="s">
        <v>2344</v>
      </c>
      <c r="H689" s="499">
        <v>641396</v>
      </c>
      <c r="I689" s="496" t="s">
        <v>4928</v>
      </c>
      <c r="J689" s="496" t="s">
        <v>2991</v>
      </c>
      <c r="K689" s="496" t="s">
        <v>2991</v>
      </c>
      <c r="L689" s="496" t="s">
        <v>1772</v>
      </c>
      <c r="M689" s="500" t="s">
        <v>1755</v>
      </c>
      <c r="N689" s="496" t="s">
        <v>1773</v>
      </c>
      <c r="O689" s="496" t="s">
        <v>2234</v>
      </c>
      <c r="P689" s="489">
        <v>2654.9162799999999</v>
      </c>
      <c r="Q689" s="489">
        <f t="shared" si="110"/>
        <v>3132.8012103999999</v>
      </c>
      <c r="R689" s="489">
        <v>2049.3270000000002</v>
      </c>
      <c r="S689" s="401" t="s">
        <v>5970</v>
      </c>
      <c r="T689" s="501">
        <v>1.087</v>
      </c>
      <c r="U689" s="501">
        <v>1.0680000000000001</v>
      </c>
      <c r="V689" s="501">
        <v>1.0589999999999999</v>
      </c>
      <c r="W689" s="501">
        <v>1.0580000000000001</v>
      </c>
      <c r="X689" s="596">
        <v>0.9</v>
      </c>
      <c r="Y689" s="502">
        <v>2399.0326339898902</v>
      </c>
      <c r="Z689" s="489">
        <f t="shared" si="111"/>
        <v>2830.8585081080705</v>
      </c>
      <c r="AA689" s="489">
        <v>2463.8905811119498</v>
      </c>
      <c r="AB689" s="488">
        <f t="shared" si="112"/>
        <v>2907.3908857121005</v>
      </c>
      <c r="AC689" s="492">
        <f t="shared" ref="AC689:AC694" si="117">IF(Y689&lt;AA689,Y689,AA689)</f>
        <v>2399.0326339898902</v>
      </c>
      <c r="AD689" s="493">
        <f t="shared" si="113"/>
        <v>2830.8585081080705</v>
      </c>
      <c r="AE689" s="494" t="s">
        <v>1775</v>
      </c>
      <c r="AF689" s="401" t="s">
        <v>83</v>
      </c>
      <c r="AG689" s="401" t="s">
        <v>83</v>
      </c>
      <c r="AH689" s="401" t="s">
        <v>545</v>
      </c>
      <c r="AI689" s="583">
        <v>41649</v>
      </c>
      <c r="AJ689" s="583">
        <f>AI689+35</f>
        <v>41684</v>
      </c>
      <c r="AK689" s="487"/>
      <c r="AL689" s="487"/>
      <c r="AM689" s="487" t="str">
        <f t="shared" si="115"/>
        <v>Выполнение ПИР, СМР, ПНР, оборудование</v>
      </c>
      <c r="AN689" s="487" t="s">
        <v>1757</v>
      </c>
      <c r="AO689" s="499">
        <v>796</v>
      </c>
      <c r="AP689" s="401" t="s">
        <v>368</v>
      </c>
      <c r="AQ689" s="401">
        <v>1</v>
      </c>
      <c r="AR689" s="401">
        <v>45</v>
      </c>
      <c r="AS689" s="496" t="s">
        <v>547</v>
      </c>
      <c r="AT689" s="495">
        <f>AJ689+20</f>
        <v>41704</v>
      </c>
      <c r="AU689" s="495">
        <f>AT689</f>
        <v>41704</v>
      </c>
      <c r="AV689" s="547">
        <v>42004</v>
      </c>
      <c r="AW689" s="548">
        <v>2014</v>
      </c>
      <c r="AX689" s="487"/>
      <c r="AY689" s="549" t="s">
        <v>186</v>
      </c>
      <c r="AZ689" s="487"/>
      <c r="BA689" s="401">
        <v>2014</v>
      </c>
      <c r="BB689" s="401" t="s">
        <v>4930</v>
      </c>
      <c r="BC689" s="487" t="s">
        <v>4931</v>
      </c>
      <c r="BD689" s="550" t="s">
        <v>2982</v>
      </c>
      <c r="BE689" s="551">
        <f t="shared" si="116"/>
        <v>42004</v>
      </c>
      <c r="BF689" s="552">
        <v>3313.2579849999997</v>
      </c>
      <c r="BG689" s="488">
        <v>2961.49</v>
      </c>
      <c r="BH689" s="552"/>
      <c r="BI689" s="552"/>
      <c r="BJ689" s="494" t="s">
        <v>1465</v>
      </c>
      <c r="BK689" s="401"/>
    </row>
    <row r="690" spans="1:63" ht="150">
      <c r="A690" s="401">
        <v>2</v>
      </c>
      <c r="B690" s="494" t="s">
        <v>4932</v>
      </c>
      <c r="C690" s="401" t="s">
        <v>83</v>
      </c>
      <c r="D690" s="401" t="s">
        <v>238</v>
      </c>
      <c r="E690" s="494" t="s">
        <v>5853</v>
      </c>
      <c r="F690" s="401" t="s">
        <v>1752</v>
      </c>
      <c r="G690" s="401" t="s">
        <v>2344</v>
      </c>
      <c r="H690" s="499">
        <v>641397</v>
      </c>
      <c r="I690" s="496" t="s">
        <v>4933</v>
      </c>
      <c r="J690" s="496" t="s">
        <v>2991</v>
      </c>
      <c r="K690" s="496" t="s">
        <v>2991</v>
      </c>
      <c r="L690" s="496" t="s">
        <v>1772</v>
      </c>
      <c r="M690" s="500" t="s">
        <v>1755</v>
      </c>
      <c r="N690" s="496" t="s">
        <v>1773</v>
      </c>
      <c r="O690" s="496" t="s">
        <v>2234</v>
      </c>
      <c r="P690" s="489">
        <v>2303.8398499999998</v>
      </c>
      <c r="Q690" s="489">
        <f t="shared" si="110"/>
        <v>2718.5310229999995</v>
      </c>
      <c r="R690" s="489">
        <v>1803.9159999999999</v>
      </c>
      <c r="S690" s="401" t="s">
        <v>5970</v>
      </c>
      <c r="T690" s="501">
        <v>1.087</v>
      </c>
      <c r="U690" s="501">
        <v>1.0680000000000001</v>
      </c>
      <c r="V690" s="501">
        <v>1.0589999999999999</v>
      </c>
      <c r="W690" s="501">
        <v>1.0580000000000001</v>
      </c>
      <c r="X690" s="596">
        <v>0.9</v>
      </c>
      <c r="Y690" s="502">
        <v>2111.7435399999999</v>
      </c>
      <c r="Z690" s="489">
        <f t="shared" si="111"/>
        <v>2491.8573772</v>
      </c>
      <c r="AA690" s="489">
        <v>2137.85046812475</v>
      </c>
      <c r="AB690" s="488">
        <f t="shared" si="112"/>
        <v>2522.6635523872051</v>
      </c>
      <c r="AC690" s="492">
        <f t="shared" si="117"/>
        <v>2111.7435399999999</v>
      </c>
      <c r="AD690" s="493">
        <f t="shared" si="113"/>
        <v>2491.8573772</v>
      </c>
      <c r="AE690" s="494" t="s">
        <v>1775</v>
      </c>
      <c r="AF690" s="401" t="s">
        <v>83</v>
      </c>
      <c r="AG690" s="401" t="s">
        <v>83</v>
      </c>
      <c r="AH690" s="401" t="s">
        <v>545</v>
      </c>
      <c r="AI690" s="583">
        <v>41649</v>
      </c>
      <c r="AJ690" s="583">
        <f>AI690+35</f>
        <v>41684</v>
      </c>
      <c r="AK690" s="487"/>
      <c r="AL690" s="487"/>
      <c r="AM690" s="487" t="str">
        <f t="shared" si="115"/>
        <v>Выполнение ПИР, СМР, ПНР, оборудование</v>
      </c>
      <c r="AN690" s="487" t="s">
        <v>1757</v>
      </c>
      <c r="AO690" s="499">
        <v>796</v>
      </c>
      <c r="AP690" s="401" t="s">
        <v>368</v>
      </c>
      <c r="AQ690" s="401">
        <v>1</v>
      </c>
      <c r="AR690" s="401">
        <v>45</v>
      </c>
      <c r="AS690" s="496" t="s">
        <v>547</v>
      </c>
      <c r="AT690" s="495">
        <f>AJ690+20</f>
        <v>41704</v>
      </c>
      <c r="AU690" s="495">
        <f>AT690</f>
        <v>41704</v>
      </c>
      <c r="AV690" s="547">
        <v>42004</v>
      </c>
      <c r="AW690" s="548">
        <v>2014</v>
      </c>
      <c r="AX690" s="487"/>
      <c r="AY690" s="549" t="s">
        <v>186</v>
      </c>
      <c r="AZ690" s="487"/>
      <c r="BA690" s="401">
        <v>2014</v>
      </c>
      <c r="BB690" s="401" t="s">
        <v>4934</v>
      </c>
      <c r="BC690" s="487" t="s">
        <v>4935</v>
      </c>
      <c r="BD690" s="550" t="s">
        <v>2982</v>
      </c>
      <c r="BE690" s="551">
        <f t="shared" si="116"/>
        <v>42004</v>
      </c>
      <c r="BF690" s="552">
        <v>2626.3901919999998</v>
      </c>
      <c r="BG690" s="488">
        <v>2569.8000000000002</v>
      </c>
      <c r="BH690" s="552"/>
      <c r="BI690" s="552"/>
      <c r="BJ690" s="494" t="s">
        <v>1465</v>
      </c>
      <c r="BK690" s="401"/>
    </row>
    <row r="691" spans="1:63" ht="112.5">
      <c r="A691" s="401">
        <v>2</v>
      </c>
      <c r="B691" s="494" t="s">
        <v>5107</v>
      </c>
      <c r="C691" s="401" t="s">
        <v>83</v>
      </c>
      <c r="D691" s="401" t="s">
        <v>231</v>
      </c>
      <c r="E691" s="494" t="s">
        <v>5853</v>
      </c>
      <c r="F691" s="401" t="s">
        <v>1768</v>
      </c>
      <c r="G691" s="401" t="s">
        <v>1769</v>
      </c>
      <c r="H691" s="499">
        <v>834310</v>
      </c>
      <c r="I691" s="496" t="s">
        <v>5108</v>
      </c>
      <c r="J691" s="496" t="s">
        <v>3898</v>
      </c>
      <c r="K691" s="496" t="s">
        <v>3898</v>
      </c>
      <c r="L691" s="496" t="s">
        <v>1772</v>
      </c>
      <c r="M691" s="500" t="s">
        <v>1755</v>
      </c>
      <c r="N691" s="496" t="s">
        <v>1773</v>
      </c>
      <c r="O691" s="496" t="s">
        <v>1786</v>
      </c>
      <c r="P691" s="489">
        <v>523.60518352835004</v>
      </c>
      <c r="Q691" s="489">
        <f t="shared" si="110"/>
        <v>617.85411656345298</v>
      </c>
      <c r="R691" s="489">
        <v>447.14</v>
      </c>
      <c r="S691" s="401" t="s">
        <v>1774</v>
      </c>
      <c r="T691" s="501">
        <v>1.087</v>
      </c>
      <c r="U691" s="501">
        <v>1.077</v>
      </c>
      <c r="V691" s="501">
        <v>1.073</v>
      </c>
      <c r="W691" s="501">
        <v>1.071</v>
      </c>
      <c r="X691" s="596">
        <v>0.9</v>
      </c>
      <c r="Y691" s="502">
        <v>471.24466517551514</v>
      </c>
      <c r="Z691" s="489">
        <f t="shared" si="111"/>
        <v>556.06870490710787</v>
      </c>
      <c r="AA691" s="489">
        <v>474.46099982227059</v>
      </c>
      <c r="AB691" s="488">
        <f t="shared" si="112"/>
        <v>559.86397979027925</v>
      </c>
      <c r="AC691" s="492">
        <f t="shared" si="117"/>
        <v>471.24466517551514</v>
      </c>
      <c r="AD691" s="493">
        <f t="shared" si="113"/>
        <v>556.06870490710787</v>
      </c>
      <c r="AE691" s="494" t="s">
        <v>1775</v>
      </c>
      <c r="AF691" s="401" t="s">
        <v>231</v>
      </c>
      <c r="AG691" s="401" t="s">
        <v>231</v>
      </c>
      <c r="AH691" s="401" t="s">
        <v>545</v>
      </c>
      <c r="AI691" s="583">
        <v>41649</v>
      </c>
      <c r="AJ691" s="583">
        <f>AI691+35</f>
        <v>41684</v>
      </c>
      <c r="AK691" s="487"/>
      <c r="AL691" s="487"/>
      <c r="AM691" s="487" t="str">
        <f t="shared" si="115"/>
        <v>Выполнение  СМР, ПНР</v>
      </c>
      <c r="AN691" s="487" t="s">
        <v>1757</v>
      </c>
      <c r="AO691" s="499">
        <v>796</v>
      </c>
      <c r="AP691" s="401" t="s">
        <v>368</v>
      </c>
      <c r="AQ691" s="401">
        <v>1</v>
      </c>
      <c r="AR691" s="401">
        <v>46</v>
      </c>
      <c r="AS691" s="496" t="s">
        <v>605</v>
      </c>
      <c r="AT691" s="495">
        <f>AJ691+20</f>
        <v>41704</v>
      </c>
      <c r="AU691" s="495">
        <f>AT691</f>
        <v>41704</v>
      </c>
      <c r="AV691" s="547">
        <v>41820</v>
      </c>
      <c r="AW691" s="548">
        <v>2014</v>
      </c>
      <c r="AX691" s="487"/>
      <c r="AY691" s="549" t="s">
        <v>186</v>
      </c>
      <c r="AZ691" s="487"/>
      <c r="BA691" s="401">
        <v>2014</v>
      </c>
      <c r="BB691" s="401" t="s">
        <v>5109</v>
      </c>
      <c r="BC691" s="487" t="s">
        <v>5110</v>
      </c>
      <c r="BD691" s="550" t="s">
        <v>5111</v>
      </c>
      <c r="BE691" s="551">
        <f t="shared" si="116"/>
        <v>41820</v>
      </c>
      <c r="BF691" s="552">
        <v>728.70438620000004</v>
      </c>
      <c r="BG691" s="488">
        <v>787.17060258198433</v>
      </c>
      <c r="BH691" s="552">
        <v>12.6</v>
      </c>
      <c r="BI691" s="552"/>
      <c r="BJ691" s="494" t="s">
        <v>1465</v>
      </c>
      <c r="BK691" s="401"/>
    </row>
    <row r="692" spans="1:63" ht="112.5">
      <c r="A692" s="401">
        <v>2</v>
      </c>
      <c r="B692" s="494" t="s">
        <v>5296</v>
      </c>
      <c r="C692" s="401" t="s">
        <v>83</v>
      </c>
      <c r="D692" s="401" t="s">
        <v>235</v>
      </c>
      <c r="E692" s="494" t="s">
        <v>5853</v>
      </c>
      <c r="F692" s="401" t="s">
        <v>5297</v>
      </c>
      <c r="G692" s="401" t="s">
        <v>5298</v>
      </c>
      <c r="H692" s="499">
        <v>842942</v>
      </c>
      <c r="I692" s="496" t="s">
        <v>5299</v>
      </c>
      <c r="J692" s="496" t="s">
        <v>3898</v>
      </c>
      <c r="K692" s="496" t="s">
        <v>3898</v>
      </c>
      <c r="L692" s="496" t="s">
        <v>1772</v>
      </c>
      <c r="M692" s="500" t="s">
        <v>1755</v>
      </c>
      <c r="N692" s="496" t="s">
        <v>1773</v>
      </c>
      <c r="O692" s="496" t="s">
        <v>1786</v>
      </c>
      <c r="P692" s="489">
        <v>49337.428860784654</v>
      </c>
      <c r="Q692" s="489">
        <f t="shared" si="110"/>
        <v>58218.166055725887</v>
      </c>
      <c r="R692" s="489">
        <v>56885.184839252121</v>
      </c>
      <c r="S692" s="401" t="s">
        <v>1774</v>
      </c>
      <c r="T692" s="501">
        <v>1.087</v>
      </c>
      <c r="U692" s="501">
        <v>1.077</v>
      </c>
      <c r="V692" s="501">
        <v>1.073</v>
      </c>
      <c r="W692" s="501">
        <v>1.071</v>
      </c>
      <c r="X692" s="596">
        <v>0.9</v>
      </c>
      <c r="Y692" s="502">
        <v>47997.390191926694</v>
      </c>
      <c r="Z692" s="489">
        <f t="shared" si="111"/>
        <v>56636.920426473494</v>
      </c>
      <c r="AA692" s="489">
        <v>49035.552434577912</v>
      </c>
      <c r="AB692" s="488">
        <v>57861.951872801932</v>
      </c>
      <c r="AC692" s="492">
        <f t="shared" si="117"/>
        <v>47997.390191926694</v>
      </c>
      <c r="AD692" s="493">
        <f t="shared" si="113"/>
        <v>56636.920426473494</v>
      </c>
      <c r="AE692" s="494" t="s">
        <v>218</v>
      </c>
      <c r="AF692" s="401" t="s">
        <v>83</v>
      </c>
      <c r="AG692" s="401" t="s">
        <v>83</v>
      </c>
      <c r="AH692" s="401" t="s">
        <v>545</v>
      </c>
      <c r="AI692" s="583">
        <v>41669</v>
      </c>
      <c r="AJ692" s="583">
        <f>AI692+60</f>
        <v>41729</v>
      </c>
      <c r="AK692" s="487"/>
      <c r="AL692" s="487"/>
      <c r="AM692" s="487" t="str">
        <f t="shared" si="115"/>
        <v>Выполнение  СМР, ПНР</v>
      </c>
      <c r="AN692" s="487" t="s">
        <v>1757</v>
      </c>
      <c r="AO692" s="499">
        <v>796</v>
      </c>
      <c r="AP692" s="401" t="s">
        <v>368</v>
      </c>
      <c r="AQ692" s="401">
        <v>1</v>
      </c>
      <c r="AR692" s="401">
        <v>46</v>
      </c>
      <c r="AS692" s="496" t="s">
        <v>605</v>
      </c>
      <c r="AT692" s="495">
        <f>AJ692+20</f>
        <v>41749</v>
      </c>
      <c r="AU692" s="495">
        <f>AT692</f>
        <v>41749</v>
      </c>
      <c r="AV692" s="547">
        <v>42004</v>
      </c>
      <c r="AW692" s="548">
        <v>2014</v>
      </c>
      <c r="AX692" s="487"/>
      <c r="AY692" s="549" t="s">
        <v>186</v>
      </c>
      <c r="AZ692" s="487"/>
      <c r="BA692" s="401">
        <v>2014</v>
      </c>
      <c r="BB692" s="401" t="s">
        <v>2341</v>
      </c>
      <c r="BC692" s="487" t="s">
        <v>2342</v>
      </c>
      <c r="BD692" s="550" t="s">
        <v>5300</v>
      </c>
      <c r="BE692" s="551">
        <f t="shared" si="116"/>
        <v>42004</v>
      </c>
      <c r="BF692" s="498">
        <v>93151.866799999974</v>
      </c>
      <c r="BG692" s="488">
        <v>93151.866799999974</v>
      </c>
      <c r="BH692" s="552">
        <v>12.6</v>
      </c>
      <c r="BI692" s="552"/>
      <c r="BJ692" s="548" t="s">
        <v>186</v>
      </c>
      <c r="BK692" s="401"/>
    </row>
    <row r="693" spans="1:63" ht="112.5">
      <c r="A693" s="401">
        <v>2</v>
      </c>
      <c r="B693" s="494" t="s">
        <v>5302</v>
      </c>
      <c r="C693" s="401" t="s">
        <v>83</v>
      </c>
      <c r="D693" s="401" t="s">
        <v>225</v>
      </c>
      <c r="E693" s="494" t="s">
        <v>5853</v>
      </c>
      <c r="F693" s="401" t="s">
        <v>1768</v>
      </c>
      <c r="G693" s="401" t="s">
        <v>1769</v>
      </c>
      <c r="H693" s="499">
        <v>814227</v>
      </c>
      <c r="I693" s="496" t="s">
        <v>5303</v>
      </c>
      <c r="J693" s="496" t="s">
        <v>5304</v>
      </c>
      <c r="K693" s="496" t="s">
        <v>5304</v>
      </c>
      <c r="L693" s="496" t="s">
        <v>1772</v>
      </c>
      <c r="M693" s="500" t="s">
        <v>1755</v>
      </c>
      <c r="N693" s="496" t="s">
        <v>1773</v>
      </c>
      <c r="O693" s="496" t="s">
        <v>1786</v>
      </c>
      <c r="P693" s="489">
        <v>19682.707717725862</v>
      </c>
      <c r="Q693" s="489">
        <f t="shared" si="110"/>
        <v>23225.595106916517</v>
      </c>
      <c r="R693" s="489">
        <v>17048.193447631496</v>
      </c>
      <c r="S693" s="401" t="s">
        <v>5970</v>
      </c>
      <c r="T693" s="501">
        <v>1.087</v>
      </c>
      <c r="U693" s="501">
        <v>1.0680000000000001</v>
      </c>
      <c r="V693" s="501">
        <v>1.0589999999999999</v>
      </c>
      <c r="W693" s="501">
        <v>1.0580000000000001</v>
      </c>
      <c r="X693" s="596">
        <v>0.9</v>
      </c>
      <c r="Y693" s="502">
        <v>20959.22025657315</v>
      </c>
      <c r="Z693" s="489">
        <f t="shared" si="111"/>
        <v>24731.879902756315</v>
      </c>
      <c r="AA693" s="489">
        <v>18206.504638896422</v>
      </c>
      <c r="AB693" s="488">
        <f>AA693*1.18</f>
        <v>21483.675473897776</v>
      </c>
      <c r="AC693" s="492">
        <f t="shared" si="117"/>
        <v>18206.504638896422</v>
      </c>
      <c r="AD693" s="493">
        <f t="shared" si="113"/>
        <v>21483.675473897776</v>
      </c>
      <c r="AE693" s="494" t="s">
        <v>1775</v>
      </c>
      <c r="AF693" s="401" t="s">
        <v>83</v>
      </c>
      <c r="AG693" s="401" t="s">
        <v>83</v>
      </c>
      <c r="AH693" s="401" t="s">
        <v>545</v>
      </c>
      <c r="AI693" s="495">
        <v>41669</v>
      </c>
      <c r="AJ693" s="583">
        <f>AI693+35</f>
        <v>41704</v>
      </c>
      <c r="AK693" s="487"/>
      <c r="AL693" s="487"/>
      <c r="AM693" s="487" t="str">
        <f t="shared" si="115"/>
        <v>Выполнение СМР, ПНР, Оборудование</v>
      </c>
      <c r="AN693" s="487" t="s">
        <v>1757</v>
      </c>
      <c r="AO693" s="499">
        <v>796</v>
      </c>
      <c r="AP693" s="401" t="s">
        <v>368</v>
      </c>
      <c r="AQ693" s="401">
        <v>1</v>
      </c>
      <c r="AR693" s="401">
        <v>46</v>
      </c>
      <c r="AS693" s="496" t="s">
        <v>605</v>
      </c>
      <c r="AT693" s="495">
        <f>AJ693+20</f>
        <v>41724</v>
      </c>
      <c r="AU693" s="495">
        <f>AT693</f>
        <v>41724</v>
      </c>
      <c r="AV693" s="547">
        <v>42004</v>
      </c>
      <c r="AW693" s="548">
        <v>2014</v>
      </c>
      <c r="AX693" s="487"/>
      <c r="AY693" s="549" t="s">
        <v>186</v>
      </c>
      <c r="AZ693" s="487"/>
      <c r="BA693" s="401">
        <v>2014</v>
      </c>
      <c r="BB693" s="401" t="s">
        <v>5305</v>
      </c>
      <c r="BC693" s="487" t="s">
        <v>5306</v>
      </c>
      <c r="BD693" s="598">
        <v>41609</v>
      </c>
      <c r="BE693" s="551">
        <f t="shared" si="116"/>
        <v>42004</v>
      </c>
      <c r="BF693" s="498">
        <v>27093.980000000003</v>
      </c>
      <c r="BG693" s="488">
        <v>27093.980000000003</v>
      </c>
      <c r="BH693" s="552" t="s">
        <v>96</v>
      </c>
      <c r="BI693" s="552"/>
      <c r="BJ693" s="548" t="s">
        <v>186</v>
      </c>
      <c r="BK693" s="401"/>
    </row>
    <row r="694" spans="1:63" ht="112.5">
      <c r="A694" s="401">
        <v>2</v>
      </c>
      <c r="B694" s="494" t="s">
        <v>5307</v>
      </c>
      <c r="C694" s="401" t="s">
        <v>83</v>
      </c>
      <c r="D694" s="401" t="s">
        <v>225</v>
      </c>
      <c r="E694" s="494" t="s">
        <v>5853</v>
      </c>
      <c r="F694" s="401" t="s">
        <v>1768</v>
      </c>
      <c r="G694" s="401" t="s">
        <v>1769</v>
      </c>
      <c r="H694" s="499">
        <v>814226</v>
      </c>
      <c r="I694" s="486" t="s">
        <v>5308</v>
      </c>
      <c r="J694" s="496" t="s">
        <v>1771</v>
      </c>
      <c r="K694" s="496" t="s">
        <v>1771</v>
      </c>
      <c r="L694" s="496" t="s">
        <v>2513</v>
      </c>
      <c r="M694" s="500" t="s">
        <v>1755</v>
      </c>
      <c r="N694" s="496" t="s">
        <v>1773</v>
      </c>
      <c r="O694" s="496" t="s">
        <v>1786</v>
      </c>
      <c r="P694" s="489">
        <v>18268.082664999998</v>
      </c>
      <c r="Q694" s="489">
        <f t="shared" si="110"/>
        <v>21556.337544699996</v>
      </c>
      <c r="R694" s="489">
        <v>12434.310506294998</v>
      </c>
      <c r="S694" s="401" t="s">
        <v>5970</v>
      </c>
      <c r="T694" s="501">
        <v>1.087</v>
      </c>
      <c r="U694" s="501">
        <v>1.0680000000000001</v>
      </c>
      <c r="V694" s="501">
        <v>1.0589999999999999</v>
      </c>
      <c r="W694" s="501">
        <v>1.0580000000000001</v>
      </c>
      <c r="X694" s="596">
        <v>0.9</v>
      </c>
      <c r="Y694" s="502">
        <v>16173.504467799716</v>
      </c>
      <c r="Z694" s="489">
        <f t="shared" si="111"/>
        <v>19084.735272003665</v>
      </c>
      <c r="AA694" s="489">
        <v>18847.026590388734</v>
      </c>
      <c r="AB694" s="488">
        <f>AA694*1.18</f>
        <v>22239.491376658705</v>
      </c>
      <c r="AC694" s="492">
        <f t="shared" si="117"/>
        <v>16173.504467799716</v>
      </c>
      <c r="AD694" s="493">
        <f t="shared" si="113"/>
        <v>19084.735272003665</v>
      </c>
      <c r="AE694" s="494" t="s">
        <v>1775</v>
      </c>
      <c r="AF694" s="494" t="s">
        <v>83</v>
      </c>
      <c r="AG694" s="494" t="s">
        <v>211</v>
      </c>
      <c r="AH694" s="494" t="s">
        <v>545</v>
      </c>
      <c r="AI694" s="495">
        <v>41669</v>
      </c>
      <c r="AJ694" s="495">
        <v>41704</v>
      </c>
      <c r="AK694" s="494" t="s">
        <v>96</v>
      </c>
      <c r="AL694" s="494" t="s">
        <v>96</v>
      </c>
      <c r="AM694" s="496" t="s">
        <v>1776</v>
      </c>
      <c r="AN694" s="496" t="s">
        <v>1757</v>
      </c>
      <c r="AO694" s="494">
        <v>796</v>
      </c>
      <c r="AP694" s="494" t="s">
        <v>368</v>
      </c>
      <c r="AQ694" s="494">
        <v>1</v>
      </c>
      <c r="AR694" s="494">
        <v>46</v>
      </c>
      <c r="AS694" s="496" t="s">
        <v>605</v>
      </c>
      <c r="AT694" s="495">
        <v>41724</v>
      </c>
      <c r="AU694" s="495">
        <v>41724</v>
      </c>
      <c r="AV694" s="495">
        <v>42004</v>
      </c>
      <c r="AW694" s="494">
        <v>2014</v>
      </c>
      <c r="AX694" s="496"/>
      <c r="AY694" s="494" t="s">
        <v>186</v>
      </c>
      <c r="AZ694" s="494"/>
      <c r="BA694" s="494">
        <v>2014</v>
      </c>
      <c r="BB694" s="494" t="s">
        <v>2559</v>
      </c>
      <c r="BC694" s="496" t="s">
        <v>2560</v>
      </c>
      <c r="BD694" s="496" t="s">
        <v>6113</v>
      </c>
      <c r="BE694" s="497">
        <v>41974</v>
      </c>
      <c r="BF694" s="498">
        <v>26985.840542517617</v>
      </c>
      <c r="BG694" s="488">
        <v>22151.496807746171</v>
      </c>
      <c r="BH694" s="488">
        <v>0</v>
      </c>
      <c r="BI694" s="488">
        <v>5</v>
      </c>
      <c r="BJ694" s="494" t="s">
        <v>1465</v>
      </c>
      <c r="BK694" s="401"/>
    </row>
    <row r="695" spans="1:63" ht="150">
      <c r="A695" s="504">
        <v>2</v>
      </c>
      <c r="B695" s="570" t="s">
        <v>6664</v>
      </c>
      <c r="C695" s="504" t="s">
        <v>83</v>
      </c>
      <c r="D695" s="504" t="s">
        <v>231</v>
      </c>
      <c r="E695" s="570" t="s">
        <v>5853</v>
      </c>
      <c r="F695" s="504" t="s">
        <v>1752</v>
      </c>
      <c r="G695" s="504" t="s">
        <v>2344</v>
      </c>
      <c r="H695" s="517" t="s">
        <v>6664</v>
      </c>
      <c r="I695" s="506" t="s">
        <v>6665</v>
      </c>
      <c r="J695" s="506" t="s">
        <v>5003</v>
      </c>
      <c r="K695" s="506" t="s">
        <v>5003</v>
      </c>
      <c r="L695" s="506" t="s">
        <v>1772</v>
      </c>
      <c r="M695" s="571" t="s">
        <v>1755</v>
      </c>
      <c r="N695" s="506" t="s">
        <v>1773</v>
      </c>
      <c r="O695" s="506" t="s">
        <v>2234</v>
      </c>
      <c r="P695" s="512">
        <v>7696.2029999999995</v>
      </c>
      <c r="Q695" s="512">
        <v>9081.5195400000011</v>
      </c>
      <c r="R695" s="512">
        <v>6149.9318825194614</v>
      </c>
      <c r="S695" s="504" t="s">
        <v>1774</v>
      </c>
      <c r="T695" s="572">
        <v>1.087</v>
      </c>
      <c r="U695" s="572">
        <v>1.077</v>
      </c>
      <c r="V695" s="572">
        <v>1.073</v>
      </c>
      <c r="W695" s="572">
        <v>1.071</v>
      </c>
      <c r="X695" s="511">
        <v>0.9</v>
      </c>
      <c r="Y695" s="507">
        <v>6951.8829999999998</v>
      </c>
      <c r="Z695" s="512">
        <v>8203.2219399999994</v>
      </c>
      <c r="AA695" s="512">
        <v>7121.7570819979273</v>
      </c>
      <c r="AB695" s="513">
        <v>8403.6733567575538</v>
      </c>
      <c r="AC695" s="512">
        <v>6951.8829999999998</v>
      </c>
      <c r="AD695" s="513">
        <v>8203.2219399999994</v>
      </c>
      <c r="AE695" s="494" t="s">
        <v>1775</v>
      </c>
      <c r="AF695" s="570" t="s">
        <v>83</v>
      </c>
      <c r="AG695" s="570" t="s">
        <v>211</v>
      </c>
      <c r="AH695" s="570" t="s">
        <v>545</v>
      </c>
      <c r="AI695" s="515">
        <v>41685</v>
      </c>
      <c r="AJ695" s="515">
        <v>41720</v>
      </c>
      <c r="AK695" s="570" t="s">
        <v>96</v>
      </c>
      <c r="AL695" s="570" t="s">
        <v>96</v>
      </c>
      <c r="AM695" s="506" t="s">
        <v>6666</v>
      </c>
      <c r="AN695" s="506" t="s">
        <v>1757</v>
      </c>
      <c r="AO695" s="570">
        <v>796</v>
      </c>
      <c r="AP695" s="570" t="s">
        <v>368</v>
      </c>
      <c r="AQ695" s="570">
        <v>1</v>
      </c>
      <c r="AR695" s="570">
        <v>46</v>
      </c>
      <c r="AS695" s="506" t="s">
        <v>605</v>
      </c>
      <c r="AT695" s="515">
        <v>41740</v>
      </c>
      <c r="AU695" s="515">
        <v>41740</v>
      </c>
      <c r="AV695" s="515">
        <v>41820</v>
      </c>
      <c r="AW695" s="570">
        <v>2014</v>
      </c>
      <c r="AX695" s="506"/>
      <c r="AY695" s="570" t="s">
        <v>186</v>
      </c>
      <c r="AZ695" s="570"/>
      <c r="BA695" s="570">
        <v>2014</v>
      </c>
      <c r="BB695" s="570" t="s">
        <v>2271</v>
      </c>
      <c r="BC695" s="506" t="s">
        <v>2271</v>
      </c>
      <c r="BD695" s="570" t="s">
        <v>2272</v>
      </c>
      <c r="BE695" s="573" t="s">
        <v>2272</v>
      </c>
      <c r="BF695" s="574" t="s">
        <v>2272</v>
      </c>
      <c r="BG695" s="488" t="s">
        <v>2272</v>
      </c>
      <c r="BH695" s="513" t="s">
        <v>2272</v>
      </c>
      <c r="BI695" s="513" t="s">
        <v>2272</v>
      </c>
      <c r="BJ695" s="570" t="s">
        <v>186</v>
      </c>
      <c r="BK695" s="401"/>
    </row>
    <row r="696" spans="1:63" ht="150">
      <c r="A696" s="523">
        <v>2</v>
      </c>
      <c r="B696" s="534" t="s">
        <v>6667</v>
      </c>
      <c r="C696" s="523" t="s">
        <v>7112</v>
      </c>
      <c r="D696" s="523" t="s">
        <v>231</v>
      </c>
      <c r="E696" s="534" t="s">
        <v>5853</v>
      </c>
      <c r="F696" s="523" t="s">
        <v>1752</v>
      </c>
      <c r="G696" s="523" t="s">
        <v>2344</v>
      </c>
      <c r="H696" s="524" t="s">
        <v>6667</v>
      </c>
      <c r="I696" s="525" t="s">
        <v>6668</v>
      </c>
      <c r="J696" s="525" t="s">
        <v>5003</v>
      </c>
      <c r="K696" s="525" t="s">
        <v>5003</v>
      </c>
      <c r="L696" s="525" t="s">
        <v>1772</v>
      </c>
      <c r="M696" s="541" t="s">
        <v>1755</v>
      </c>
      <c r="N696" s="525" t="s">
        <v>1773</v>
      </c>
      <c r="O696" s="525" t="s">
        <v>2234</v>
      </c>
      <c r="P696" s="531">
        <v>1920.693</v>
      </c>
      <c r="Q696" s="531">
        <v>2266.4177399999999</v>
      </c>
      <c r="R696" s="531">
        <v>1535.2043524416135</v>
      </c>
      <c r="S696" s="523" t="s">
        <v>1774</v>
      </c>
      <c r="T696" s="542">
        <v>1.087</v>
      </c>
      <c r="U696" s="543">
        <v>1.077</v>
      </c>
      <c r="V696" s="543">
        <v>1.073</v>
      </c>
      <c r="W696" s="543">
        <v>1.071</v>
      </c>
      <c r="X696" s="544">
        <v>0.9</v>
      </c>
      <c r="Y696" s="526">
        <v>1735.395</v>
      </c>
      <c r="Z696" s="531">
        <v>2047.7660999999998</v>
      </c>
      <c r="AA696" s="531">
        <v>1743.3899647650001</v>
      </c>
      <c r="AB696" s="532">
        <v>2057.2001584227</v>
      </c>
      <c r="AC696" s="531">
        <v>1735.395</v>
      </c>
      <c r="AD696" s="532">
        <v>2047.7660999999998</v>
      </c>
      <c r="AE696" s="494" t="s">
        <v>1775</v>
      </c>
      <c r="AF696" s="534" t="s">
        <v>83</v>
      </c>
      <c r="AG696" s="534" t="s">
        <v>211</v>
      </c>
      <c r="AH696" s="534" t="s">
        <v>545</v>
      </c>
      <c r="AI696" s="533">
        <v>41685</v>
      </c>
      <c r="AJ696" s="533">
        <v>41720</v>
      </c>
      <c r="AK696" s="534" t="s">
        <v>96</v>
      </c>
      <c r="AL696" s="534" t="s">
        <v>96</v>
      </c>
      <c r="AM696" s="525" t="s">
        <v>6666</v>
      </c>
      <c r="AN696" s="525" t="s">
        <v>1757</v>
      </c>
      <c r="AO696" s="534">
        <v>796</v>
      </c>
      <c r="AP696" s="534" t="s">
        <v>368</v>
      </c>
      <c r="AQ696" s="534">
        <v>1</v>
      </c>
      <c r="AR696" s="534">
        <v>46</v>
      </c>
      <c r="AS696" s="525" t="s">
        <v>605</v>
      </c>
      <c r="AT696" s="533">
        <v>41740</v>
      </c>
      <c r="AU696" s="533">
        <v>41740</v>
      </c>
      <c r="AV696" s="533">
        <v>41820</v>
      </c>
      <c r="AW696" s="534">
        <v>2014</v>
      </c>
      <c r="AX696" s="525"/>
      <c r="AY696" s="534" t="s">
        <v>186</v>
      </c>
      <c r="AZ696" s="534"/>
      <c r="BA696" s="534">
        <v>2014</v>
      </c>
      <c r="BB696" s="534" t="s">
        <v>6669</v>
      </c>
      <c r="BC696" s="525" t="s">
        <v>6670</v>
      </c>
      <c r="BD696" s="534" t="s">
        <v>1818</v>
      </c>
      <c r="BE696" s="545">
        <v>41850</v>
      </c>
      <c r="BF696" s="498">
        <v>2328.7215866000001</v>
      </c>
      <c r="BG696" s="488">
        <v>2328.7215866000001</v>
      </c>
      <c r="BH696" s="532"/>
      <c r="BI696" s="532">
        <v>1.43</v>
      </c>
      <c r="BJ696" s="534" t="s">
        <v>186</v>
      </c>
      <c r="BK696" s="401"/>
    </row>
    <row r="697" spans="1:63" ht="150">
      <c r="A697" s="523">
        <v>2</v>
      </c>
      <c r="B697" s="534" t="s">
        <v>6671</v>
      </c>
      <c r="C697" s="523" t="s">
        <v>7112</v>
      </c>
      <c r="D697" s="523" t="s">
        <v>231</v>
      </c>
      <c r="E697" s="534" t="s">
        <v>5853</v>
      </c>
      <c r="F697" s="523" t="s">
        <v>1752</v>
      </c>
      <c r="G697" s="523" t="s">
        <v>2344</v>
      </c>
      <c r="H697" s="524" t="s">
        <v>6671</v>
      </c>
      <c r="I697" s="525" t="s">
        <v>6672</v>
      </c>
      <c r="J697" s="525" t="s">
        <v>5003</v>
      </c>
      <c r="K697" s="525" t="s">
        <v>5003</v>
      </c>
      <c r="L697" s="525" t="s">
        <v>1772</v>
      </c>
      <c r="M697" s="541" t="s">
        <v>1755</v>
      </c>
      <c r="N697" s="525" t="s">
        <v>1773</v>
      </c>
      <c r="O697" s="525" t="s">
        <v>2234</v>
      </c>
      <c r="P697" s="531">
        <v>2283.3420000000001</v>
      </c>
      <c r="Q697" s="531">
        <v>2694.3435599999998</v>
      </c>
      <c r="R697" s="531">
        <v>1823.4465675866952</v>
      </c>
      <c r="S697" s="523" t="s">
        <v>1774</v>
      </c>
      <c r="T697" s="542">
        <v>1.087</v>
      </c>
      <c r="U697" s="543">
        <v>1.077</v>
      </c>
      <c r="V697" s="543">
        <v>1.073</v>
      </c>
      <c r="W697" s="543">
        <v>1.071</v>
      </c>
      <c r="X697" s="544">
        <v>0.9</v>
      </c>
      <c r="Y697" s="526">
        <v>2061.2240000000002</v>
      </c>
      <c r="Z697" s="531">
        <v>2432.2443200000002</v>
      </c>
      <c r="AA697" s="531">
        <v>2070.7200589680001</v>
      </c>
      <c r="AB697" s="532">
        <v>2443.4496695822399</v>
      </c>
      <c r="AC697" s="531">
        <v>2061.2240000000002</v>
      </c>
      <c r="AD697" s="532">
        <v>2432.2443200000002</v>
      </c>
      <c r="AE697" s="494" t="s">
        <v>1775</v>
      </c>
      <c r="AF697" s="534" t="s">
        <v>83</v>
      </c>
      <c r="AG697" s="534" t="s">
        <v>211</v>
      </c>
      <c r="AH697" s="534" t="s">
        <v>545</v>
      </c>
      <c r="AI697" s="533">
        <v>41685</v>
      </c>
      <c r="AJ697" s="533">
        <v>41720</v>
      </c>
      <c r="AK697" s="534" t="s">
        <v>96</v>
      </c>
      <c r="AL697" s="534" t="s">
        <v>96</v>
      </c>
      <c r="AM697" s="525" t="s">
        <v>6666</v>
      </c>
      <c r="AN697" s="525" t="s">
        <v>1757</v>
      </c>
      <c r="AO697" s="534">
        <v>796</v>
      </c>
      <c r="AP697" s="534" t="s">
        <v>368</v>
      </c>
      <c r="AQ697" s="534">
        <v>1</v>
      </c>
      <c r="AR697" s="534">
        <v>46</v>
      </c>
      <c r="AS697" s="525" t="s">
        <v>605</v>
      </c>
      <c r="AT697" s="533">
        <v>41740</v>
      </c>
      <c r="AU697" s="533">
        <v>41740</v>
      </c>
      <c r="AV697" s="533">
        <v>41820</v>
      </c>
      <c r="AW697" s="534">
        <v>2014</v>
      </c>
      <c r="AX697" s="525"/>
      <c r="AY697" s="534" t="s">
        <v>186</v>
      </c>
      <c r="AZ697" s="534"/>
      <c r="BA697" s="534">
        <v>2014</v>
      </c>
      <c r="BB697" s="534" t="s">
        <v>6673</v>
      </c>
      <c r="BC697" s="525" t="s">
        <v>6674</v>
      </c>
      <c r="BD697" s="534" t="s">
        <v>1818</v>
      </c>
      <c r="BE697" s="545">
        <v>41850</v>
      </c>
      <c r="BF697" s="498">
        <v>2768.4102614010039</v>
      </c>
      <c r="BG697" s="488">
        <v>2768.4102614010039</v>
      </c>
      <c r="BH697" s="532"/>
      <c r="BI697" s="532">
        <v>1.7</v>
      </c>
      <c r="BJ697" s="534" t="s">
        <v>186</v>
      </c>
      <c r="BK697" s="401"/>
    </row>
    <row r="698" spans="1:63" ht="150">
      <c r="A698" s="523">
        <v>2</v>
      </c>
      <c r="B698" s="534" t="s">
        <v>6675</v>
      </c>
      <c r="C698" s="523" t="s">
        <v>7112</v>
      </c>
      <c r="D698" s="523" t="s">
        <v>231</v>
      </c>
      <c r="E698" s="534" t="s">
        <v>5853</v>
      </c>
      <c r="F698" s="523" t="s">
        <v>1752</v>
      </c>
      <c r="G698" s="523" t="s">
        <v>2344</v>
      </c>
      <c r="H698" s="524" t="s">
        <v>6675</v>
      </c>
      <c r="I698" s="525" t="s">
        <v>6676</v>
      </c>
      <c r="J698" s="525" t="s">
        <v>5003</v>
      </c>
      <c r="K698" s="525" t="s">
        <v>5003</v>
      </c>
      <c r="L698" s="525" t="s">
        <v>1772</v>
      </c>
      <c r="M698" s="541" t="s">
        <v>1755</v>
      </c>
      <c r="N698" s="525" t="s">
        <v>1773</v>
      </c>
      <c r="O698" s="525" t="s">
        <v>2234</v>
      </c>
      <c r="P698" s="531">
        <v>3492.1680000000001</v>
      </c>
      <c r="Q698" s="531">
        <v>4120.7582400000001</v>
      </c>
      <c r="R698" s="531">
        <v>2791.2809624911538</v>
      </c>
      <c r="S698" s="523" t="s">
        <v>1774</v>
      </c>
      <c r="T698" s="542">
        <v>1.087</v>
      </c>
      <c r="U698" s="543">
        <v>1.077</v>
      </c>
      <c r="V698" s="543">
        <v>1.073</v>
      </c>
      <c r="W698" s="543">
        <v>1.071</v>
      </c>
      <c r="X698" s="544">
        <v>0.9</v>
      </c>
      <c r="Y698" s="526">
        <v>3155.2640000000001</v>
      </c>
      <c r="Z698" s="531">
        <v>3723.2115199999998</v>
      </c>
      <c r="AA698" s="531">
        <v>3307.6470582649272</v>
      </c>
      <c r="AB698" s="532">
        <v>3903.0235287526139</v>
      </c>
      <c r="AC698" s="531">
        <v>3155.2640000000001</v>
      </c>
      <c r="AD698" s="532">
        <v>3723.2115199999998</v>
      </c>
      <c r="AE698" s="494" t="s">
        <v>1775</v>
      </c>
      <c r="AF698" s="534" t="s">
        <v>83</v>
      </c>
      <c r="AG698" s="534" t="s">
        <v>211</v>
      </c>
      <c r="AH698" s="534" t="s">
        <v>545</v>
      </c>
      <c r="AI698" s="533">
        <v>41685</v>
      </c>
      <c r="AJ698" s="533">
        <v>41720</v>
      </c>
      <c r="AK698" s="534" t="s">
        <v>96</v>
      </c>
      <c r="AL698" s="534" t="s">
        <v>96</v>
      </c>
      <c r="AM698" s="525" t="s">
        <v>6666</v>
      </c>
      <c r="AN698" s="525" t="s">
        <v>1757</v>
      </c>
      <c r="AO698" s="534">
        <v>796</v>
      </c>
      <c r="AP698" s="534" t="s">
        <v>368</v>
      </c>
      <c r="AQ698" s="534">
        <v>1</v>
      </c>
      <c r="AR698" s="534">
        <v>46</v>
      </c>
      <c r="AS698" s="525" t="s">
        <v>605</v>
      </c>
      <c r="AT698" s="533">
        <v>41740</v>
      </c>
      <c r="AU698" s="533">
        <v>41740</v>
      </c>
      <c r="AV698" s="533">
        <v>41820</v>
      </c>
      <c r="AW698" s="534">
        <v>2014</v>
      </c>
      <c r="AX698" s="525"/>
      <c r="AY698" s="534" t="s">
        <v>186</v>
      </c>
      <c r="AZ698" s="534"/>
      <c r="BA698" s="534">
        <v>2014</v>
      </c>
      <c r="BB698" s="534" t="s">
        <v>6677</v>
      </c>
      <c r="BC698" s="525" t="s">
        <v>6678</v>
      </c>
      <c r="BD698" s="534" t="s">
        <v>1818</v>
      </c>
      <c r="BE698" s="545">
        <v>41850</v>
      </c>
      <c r="BF698" s="498">
        <v>4234.0392430000002</v>
      </c>
      <c r="BG698" s="488">
        <v>4234.0392430000002</v>
      </c>
      <c r="BH698" s="532"/>
      <c r="BI698" s="532">
        <v>2.6</v>
      </c>
      <c r="BJ698" s="534" t="s">
        <v>186</v>
      </c>
      <c r="BK698" s="401"/>
    </row>
    <row r="699" spans="1:63" ht="150">
      <c r="A699" s="504">
        <v>2</v>
      </c>
      <c r="B699" s="570" t="s">
        <v>6679</v>
      </c>
      <c r="C699" s="504" t="s">
        <v>83</v>
      </c>
      <c r="D699" s="504" t="s">
        <v>231</v>
      </c>
      <c r="E699" s="570" t="s">
        <v>5853</v>
      </c>
      <c r="F699" s="504" t="s">
        <v>1752</v>
      </c>
      <c r="G699" s="504" t="s">
        <v>2344</v>
      </c>
      <c r="H699" s="517" t="s">
        <v>6679</v>
      </c>
      <c r="I699" s="506" t="s">
        <v>6680</v>
      </c>
      <c r="J699" s="506" t="s">
        <v>5003</v>
      </c>
      <c r="K699" s="506" t="s">
        <v>5003</v>
      </c>
      <c r="L699" s="506" t="s">
        <v>1772</v>
      </c>
      <c r="M699" s="571" t="s">
        <v>1755</v>
      </c>
      <c r="N699" s="506" t="s">
        <v>1773</v>
      </c>
      <c r="O699" s="506" t="s">
        <v>2234</v>
      </c>
      <c r="P699" s="512">
        <v>14778.231757575757</v>
      </c>
      <c r="Q699" s="512">
        <v>17438.313473939394</v>
      </c>
      <c r="R699" s="512">
        <v>11948.941967445153</v>
      </c>
      <c r="S699" s="504" t="s">
        <v>1774</v>
      </c>
      <c r="T699" s="572">
        <v>1.087</v>
      </c>
      <c r="U699" s="572">
        <v>1.077</v>
      </c>
      <c r="V699" s="572">
        <v>1.073</v>
      </c>
      <c r="W699" s="572">
        <v>1.071</v>
      </c>
      <c r="X699" s="511">
        <v>0.9</v>
      </c>
      <c r="Y699" s="507">
        <v>13507.084000000001</v>
      </c>
      <c r="Z699" s="512">
        <v>15938.359119999997</v>
      </c>
      <c r="AA699" s="512">
        <v>14179.7367832</v>
      </c>
      <c r="AB699" s="513">
        <v>16732.089404176</v>
      </c>
      <c r="AC699" s="512">
        <v>13507.084000000001</v>
      </c>
      <c r="AD699" s="513">
        <v>15938.359119999999</v>
      </c>
      <c r="AE699" s="494" t="s">
        <v>1775</v>
      </c>
      <c r="AF699" s="570" t="s">
        <v>83</v>
      </c>
      <c r="AG699" s="570" t="s">
        <v>211</v>
      </c>
      <c r="AH699" s="570" t="s">
        <v>545</v>
      </c>
      <c r="AI699" s="515">
        <v>41685</v>
      </c>
      <c r="AJ699" s="515">
        <v>41720</v>
      </c>
      <c r="AK699" s="570" t="s">
        <v>96</v>
      </c>
      <c r="AL699" s="570" t="s">
        <v>96</v>
      </c>
      <c r="AM699" s="506" t="s">
        <v>6666</v>
      </c>
      <c r="AN699" s="506" t="s">
        <v>1757</v>
      </c>
      <c r="AO699" s="570">
        <v>796</v>
      </c>
      <c r="AP699" s="570" t="s">
        <v>368</v>
      </c>
      <c r="AQ699" s="570">
        <v>1</v>
      </c>
      <c r="AR699" s="570">
        <v>46</v>
      </c>
      <c r="AS699" s="506" t="s">
        <v>605</v>
      </c>
      <c r="AT699" s="515">
        <v>41740</v>
      </c>
      <c r="AU699" s="515">
        <v>41740</v>
      </c>
      <c r="AV699" s="515">
        <v>41820</v>
      </c>
      <c r="AW699" s="570">
        <v>2014</v>
      </c>
      <c r="AX699" s="506"/>
      <c r="AY699" s="570" t="s">
        <v>186</v>
      </c>
      <c r="AZ699" s="570"/>
      <c r="BA699" s="570">
        <v>2014</v>
      </c>
      <c r="BB699" s="570" t="s">
        <v>2271</v>
      </c>
      <c r="BC699" s="506" t="s">
        <v>2271</v>
      </c>
      <c r="BD699" s="570" t="s">
        <v>2272</v>
      </c>
      <c r="BE699" s="573" t="s">
        <v>2272</v>
      </c>
      <c r="BF699" s="574" t="s">
        <v>2272</v>
      </c>
      <c r="BG699" s="488" t="s">
        <v>2272</v>
      </c>
      <c r="BH699" s="513" t="s">
        <v>2272</v>
      </c>
      <c r="BI699" s="513" t="s">
        <v>2272</v>
      </c>
      <c r="BJ699" s="570" t="s">
        <v>186</v>
      </c>
      <c r="BK699" s="401"/>
    </row>
    <row r="700" spans="1:63" ht="150">
      <c r="A700" s="523">
        <v>2</v>
      </c>
      <c r="B700" s="534" t="s">
        <v>6681</v>
      </c>
      <c r="C700" s="523" t="s">
        <v>7112</v>
      </c>
      <c r="D700" s="523" t="s">
        <v>231</v>
      </c>
      <c r="E700" s="534" t="s">
        <v>5853</v>
      </c>
      <c r="F700" s="523" t="s">
        <v>1752</v>
      </c>
      <c r="G700" s="523" t="s">
        <v>2344</v>
      </c>
      <c r="H700" s="524" t="s">
        <v>6681</v>
      </c>
      <c r="I700" s="525" t="s">
        <v>6682</v>
      </c>
      <c r="J700" s="525" t="s">
        <v>132</v>
      </c>
      <c r="K700" s="525" t="s">
        <v>132</v>
      </c>
      <c r="L700" s="525" t="s">
        <v>1772</v>
      </c>
      <c r="M700" s="541" t="s">
        <v>1755</v>
      </c>
      <c r="N700" s="525" t="s">
        <v>1773</v>
      </c>
      <c r="O700" s="525" t="s">
        <v>2234</v>
      </c>
      <c r="P700" s="531">
        <v>1411.8213151515149</v>
      </c>
      <c r="Q700" s="531">
        <v>1665.9491518787875</v>
      </c>
      <c r="R700" s="531">
        <v>1133.2068294409059</v>
      </c>
      <c r="S700" s="523" t="s">
        <v>1774</v>
      </c>
      <c r="T700" s="542">
        <v>1.087</v>
      </c>
      <c r="U700" s="543">
        <v>1.077</v>
      </c>
      <c r="V700" s="543">
        <v>1.073</v>
      </c>
      <c r="W700" s="543">
        <v>1.071</v>
      </c>
      <c r="X700" s="544">
        <v>0.9</v>
      </c>
      <c r="Y700" s="526">
        <v>1280.9770000000001</v>
      </c>
      <c r="Z700" s="531">
        <v>1511.55286</v>
      </c>
      <c r="AA700" s="531">
        <v>1344.7696546000002</v>
      </c>
      <c r="AB700" s="532">
        <v>1586.8281924280002</v>
      </c>
      <c r="AC700" s="531">
        <v>1280.9770000000001</v>
      </c>
      <c r="AD700" s="532">
        <v>1511.55286</v>
      </c>
      <c r="AE700" s="494" t="s">
        <v>1775</v>
      </c>
      <c r="AF700" s="534" t="s">
        <v>83</v>
      </c>
      <c r="AG700" s="534" t="s">
        <v>211</v>
      </c>
      <c r="AH700" s="534" t="s">
        <v>545</v>
      </c>
      <c r="AI700" s="533">
        <v>41685</v>
      </c>
      <c r="AJ700" s="533">
        <v>41720</v>
      </c>
      <c r="AK700" s="534" t="s">
        <v>96</v>
      </c>
      <c r="AL700" s="534" t="s">
        <v>96</v>
      </c>
      <c r="AM700" s="525" t="s">
        <v>6683</v>
      </c>
      <c r="AN700" s="525" t="s">
        <v>1757</v>
      </c>
      <c r="AO700" s="534">
        <v>796</v>
      </c>
      <c r="AP700" s="534" t="s">
        <v>368</v>
      </c>
      <c r="AQ700" s="534">
        <v>1</v>
      </c>
      <c r="AR700" s="534">
        <v>46</v>
      </c>
      <c r="AS700" s="525" t="s">
        <v>605</v>
      </c>
      <c r="AT700" s="533">
        <v>41740</v>
      </c>
      <c r="AU700" s="533">
        <v>41740</v>
      </c>
      <c r="AV700" s="533">
        <v>41820</v>
      </c>
      <c r="AW700" s="534">
        <v>2014</v>
      </c>
      <c r="AX700" s="525"/>
      <c r="AY700" s="534" t="s">
        <v>186</v>
      </c>
      <c r="AZ700" s="534"/>
      <c r="BA700" s="534">
        <v>2014</v>
      </c>
      <c r="BB700" s="534" t="s">
        <v>6684</v>
      </c>
      <c r="BC700" s="525" t="s">
        <v>6685</v>
      </c>
      <c r="BD700" s="534" t="s">
        <v>1818</v>
      </c>
      <c r="BE700" s="545">
        <v>41850</v>
      </c>
      <c r="BF700" s="498">
        <v>1540.2102111494291</v>
      </c>
      <c r="BG700" s="488">
        <v>1540.2102111494291</v>
      </c>
      <c r="BH700" s="532"/>
      <c r="BI700" s="532">
        <v>0.9</v>
      </c>
      <c r="BJ700" s="534" t="s">
        <v>186</v>
      </c>
      <c r="BK700" s="401"/>
    </row>
    <row r="701" spans="1:63" ht="150">
      <c r="A701" s="523">
        <v>2</v>
      </c>
      <c r="B701" s="534" t="s">
        <v>6686</v>
      </c>
      <c r="C701" s="523" t="s">
        <v>7112</v>
      </c>
      <c r="D701" s="523" t="s">
        <v>231</v>
      </c>
      <c r="E701" s="534" t="s">
        <v>5853</v>
      </c>
      <c r="F701" s="523" t="s">
        <v>1752</v>
      </c>
      <c r="G701" s="523" t="s">
        <v>2344</v>
      </c>
      <c r="H701" s="524" t="s">
        <v>6686</v>
      </c>
      <c r="I701" s="525" t="s">
        <v>6687</v>
      </c>
      <c r="J701" s="525" t="s">
        <v>132</v>
      </c>
      <c r="K701" s="525" t="s">
        <v>132</v>
      </c>
      <c r="L701" s="525" t="s">
        <v>1772</v>
      </c>
      <c r="M701" s="541" t="s">
        <v>1755</v>
      </c>
      <c r="N701" s="525" t="s">
        <v>1773</v>
      </c>
      <c r="O701" s="525" t="s">
        <v>2234</v>
      </c>
      <c r="P701" s="531">
        <v>5366.0870242424253</v>
      </c>
      <c r="Q701" s="531">
        <v>6331.9826886060619</v>
      </c>
      <c r="R701" s="531">
        <v>4394.1817055909405</v>
      </c>
      <c r="S701" s="523" t="s">
        <v>1774</v>
      </c>
      <c r="T701" s="542">
        <v>1.087</v>
      </c>
      <c r="U701" s="543">
        <v>1.077</v>
      </c>
      <c r="V701" s="543">
        <v>1.073</v>
      </c>
      <c r="W701" s="543">
        <v>1.071</v>
      </c>
      <c r="X701" s="544">
        <v>0.9</v>
      </c>
      <c r="Y701" s="526">
        <v>4967.183</v>
      </c>
      <c r="Z701" s="531">
        <v>5861.2759399999995</v>
      </c>
      <c r="AA701" s="531">
        <v>5214.5487134000005</v>
      </c>
      <c r="AB701" s="532">
        <v>6153.167481812</v>
      </c>
      <c r="AC701" s="531">
        <v>4967.183</v>
      </c>
      <c r="AD701" s="532">
        <v>5861.2759399999995</v>
      </c>
      <c r="AE701" s="494" t="s">
        <v>1775</v>
      </c>
      <c r="AF701" s="534" t="s">
        <v>83</v>
      </c>
      <c r="AG701" s="534" t="s">
        <v>211</v>
      </c>
      <c r="AH701" s="534" t="s">
        <v>545</v>
      </c>
      <c r="AI701" s="533">
        <v>41685</v>
      </c>
      <c r="AJ701" s="533">
        <v>41720</v>
      </c>
      <c r="AK701" s="534" t="s">
        <v>96</v>
      </c>
      <c r="AL701" s="534" t="s">
        <v>96</v>
      </c>
      <c r="AM701" s="525" t="s">
        <v>6683</v>
      </c>
      <c r="AN701" s="525" t="s">
        <v>1757</v>
      </c>
      <c r="AO701" s="534">
        <v>796</v>
      </c>
      <c r="AP701" s="534" t="s">
        <v>368</v>
      </c>
      <c r="AQ701" s="534">
        <v>1</v>
      </c>
      <c r="AR701" s="534">
        <v>46</v>
      </c>
      <c r="AS701" s="525" t="s">
        <v>605</v>
      </c>
      <c r="AT701" s="533">
        <v>41740</v>
      </c>
      <c r="AU701" s="533">
        <v>41740</v>
      </c>
      <c r="AV701" s="533">
        <v>41820</v>
      </c>
      <c r="AW701" s="534">
        <v>2014</v>
      </c>
      <c r="AX701" s="525"/>
      <c r="AY701" s="534" t="s">
        <v>186</v>
      </c>
      <c r="AZ701" s="534"/>
      <c r="BA701" s="534">
        <v>2014</v>
      </c>
      <c r="BB701" s="534" t="s">
        <v>6688</v>
      </c>
      <c r="BC701" s="525" t="s">
        <v>6689</v>
      </c>
      <c r="BD701" s="534" t="s">
        <v>1818</v>
      </c>
      <c r="BE701" s="545">
        <v>41850</v>
      </c>
      <c r="BF701" s="498">
        <v>6128.5242467777816</v>
      </c>
      <c r="BG701" s="488">
        <v>6128.5242467777816</v>
      </c>
      <c r="BH701" s="532">
        <v>0.16</v>
      </c>
      <c r="BI701" s="532">
        <v>3.1</v>
      </c>
      <c r="BJ701" s="534" t="s">
        <v>186</v>
      </c>
      <c r="BK701" s="401"/>
    </row>
    <row r="702" spans="1:63" ht="150">
      <c r="A702" s="523">
        <v>2</v>
      </c>
      <c r="B702" s="534" t="s">
        <v>6690</v>
      </c>
      <c r="C702" s="523" t="s">
        <v>7112</v>
      </c>
      <c r="D702" s="523" t="s">
        <v>231</v>
      </c>
      <c r="E702" s="534" t="s">
        <v>5853</v>
      </c>
      <c r="F702" s="523" t="s">
        <v>1752</v>
      </c>
      <c r="G702" s="523" t="s">
        <v>2344</v>
      </c>
      <c r="H702" s="524" t="s">
        <v>6690</v>
      </c>
      <c r="I702" s="525" t="s">
        <v>6691</v>
      </c>
      <c r="J702" s="525" t="s">
        <v>132</v>
      </c>
      <c r="K702" s="525" t="s">
        <v>132</v>
      </c>
      <c r="L702" s="525" t="s">
        <v>1772</v>
      </c>
      <c r="M702" s="541" t="s">
        <v>1755</v>
      </c>
      <c r="N702" s="525" t="s">
        <v>1773</v>
      </c>
      <c r="O702" s="525" t="s">
        <v>2234</v>
      </c>
      <c r="P702" s="531">
        <v>4392.3346606060604</v>
      </c>
      <c r="Q702" s="531">
        <v>5182.9548995151508</v>
      </c>
      <c r="R702" s="531">
        <v>3525.5573248407645</v>
      </c>
      <c r="S702" s="523" t="s">
        <v>1774</v>
      </c>
      <c r="T702" s="542">
        <v>1.087</v>
      </c>
      <c r="U702" s="543">
        <v>1.077</v>
      </c>
      <c r="V702" s="543">
        <v>1.073</v>
      </c>
      <c r="W702" s="543">
        <v>1.071</v>
      </c>
      <c r="X702" s="544">
        <v>0.9</v>
      </c>
      <c r="Y702" s="526">
        <v>3985.29</v>
      </c>
      <c r="Z702" s="531">
        <v>4702.6421999999993</v>
      </c>
      <c r="AA702" s="531">
        <v>4183.7574420000001</v>
      </c>
      <c r="AB702" s="532">
        <v>4936.8337815599998</v>
      </c>
      <c r="AC702" s="531">
        <v>3985.29</v>
      </c>
      <c r="AD702" s="532">
        <v>4702.6421999999993</v>
      </c>
      <c r="AE702" s="494" t="s">
        <v>1775</v>
      </c>
      <c r="AF702" s="534" t="s">
        <v>83</v>
      </c>
      <c r="AG702" s="534" t="s">
        <v>211</v>
      </c>
      <c r="AH702" s="534" t="s">
        <v>545</v>
      </c>
      <c r="AI702" s="533">
        <v>41685</v>
      </c>
      <c r="AJ702" s="533">
        <v>41720</v>
      </c>
      <c r="AK702" s="534" t="s">
        <v>96</v>
      </c>
      <c r="AL702" s="534" t="s">
        <v>96</v>
      </c>
      <c r="AM702" s="525" t="s">
        <v>6683</v>
      </c>
      <c r="AN702" s="525" t="s">
        <v>1757</v>
      </c>
      <c r="AO702" s="534">
        <v>796</v>
      </c>
      <c r="AP702" s="534" t="s">
        <v>368</v>
      </c>
      <c r="AQ702" s="534">
        <v>1</v>
      </c>
      <c r="AR702" s="534">
        <v>46</v>
      </c>
      <c r="AS702" s="525" t="s">
        <v>605</v>
      </c>
      <c r="AT702" s="533">
        <v>41740</v>
      </c>
      <c r="AU702" s="533">
        <v>41740</v>
      </c>
      <c r="AV702" s="533">
        <v>41820</v>
      </c>
      <c r="AW702" s="534">
        <v>2014</v>
      </c>
      <c r="AX702" s="525"/>
      <c r="AY702" s="534" t="s">
        <v>186</v>
      </c>
      <c r="AZ702" s="534"/>
      <c r="BA702" s="534">
        <v>2014</v>
      </c>
      <c r="BB702" s="534" t="s">
        <v>6692</v>
      </c>
      <c r="BC702" s="525" t="s">
        <v>6693</v>
      </c>
      <c r="BD702" s="534" t="s">
        <v>1818</v>
      </c>
      <c r="BE702" s="545">
        <v>41850</v>
      </c>
      <c r="BF702" s="498">
        <v>4791.7651013537752</v>
      </c>
      <c r="BG702" s="488">
        <v>4791.7651013537752</v>
      </c>
      <c r="BH702" s="532"/>
      <c r="BI702" s="532">
        <v>2.8</v>
      </c>
      <c r="BJ702" s="534" t="s">
        <v>186</v>
      </c>
      <c r="BK702" s="401"/>
    </row>
    <row r="703" spans="1:63" ht="150">
      <c r="A703" s="523">
        <v>2</v>
      </c>
      <c r="B703" s="534" t="s">
        <v>6694</v>
      </c>
      <c r="C703" s="523" t="s">
        <v>7112</v>
      </c>
      <c r="D703" s="523" t="s">
        <v>231</v>
      </c>
      <c r="E703" s="534" t="s">
        <v>5853</v>
      </c>
      <c r="F703" s="523" t="s">
        <v>1752</v>
      </c>
      <c r="G703" s="523" t="s">
        <v>2344</v>
      </c>
      <c r="H703" s="524" t="s">
        <v>6694</v>
      </c>
      <c r="I703" s="525" t="s">
        <v>6695</v>
      </c>
      <c r="J703" s="525" t="s">
        <v>132</v>
      </c>
      <c r="K703" s="525" t="s">
        <v>132</v>
      </c>
      <c r="L703" s="525" t="s">
        <v>1772</v>
      </c>
      <c r="M703" s="541" t="s">
        <v>1755</v>
      </c>
      <c r="N703" s="525" t="s">
        <v>1773</v>
      </c>
      <c r="O703" s="525" t="s">
        <v>2234</v>
      </c>
      <c r="P703" s="531">
        <v>3607.9887575757571</v>
      </c>
      <c r="Q703" s="531">
        <v>4257.4267339393928</v>
      </c>
      <c r="R703" s="531">
        <v>2895.996107572541</v>
      </c>
      <c r="S703" s="523" t="s">
        <v>1774</v>
      </c>
      <c r="T703" s="542">
        <v>1.087</v>
      </c>
      <c r="U703" s="543">
        <v>1.077</v>
      </c>
      <c r="V703" s="543">
        <v>1.073</v>
      </c>
      <c r="W703" s="543">
        <v>1.071</v>
      </c>
      <c r="X703" s="544">
        <v>0.9</v>
      </c>
      <c r="Y703" s="526">
        <v>3273.634</v>
      </c>
      <c r="Z703" s="531">
        <v>3862.8881199999996</v>
      </c>
      <c r="AA703" s="531">
        <v>3436.6609732000002</v>
      </c>
      <c r="AB703" s="532">
        <v>4055.259948376</v>
      </c>
      <c r="AC703" s="531">
        <v>3273.634</v>
      </c>
      <c r="AD703" s="532">
        <v>3862.8881199999996</v>
      </c>
      <c r="AE703" s="494" t="s">
        <v>1775</v>
      </c>
      <c r="AF703" s="534" t="s">
        <v>83</v>
      </c>
      <c r="AG703" s="534" t="s">
        <v>211</v>
      </c>
      <c r="AH703" s="534" t="s">
        <v>545</v>
      </c>
      <c r="AI703" s="533">
        <v>41685</v>
      </c>
      <c r="AJ703" s="533">
        <v>41720</v>
      </c>
      <c r="AK703" s="534" t="s">
        <v>96</v>
      </c>
      <c r="AL703" s="534" t="s">
        <v>96</v>
      </c>
      <c r="AM703" s="525" t="s">
        <v>6683</v>
      </c>
      <c r="AN703" s="525" t="s">
        <v>1757</v>
      </c>
      <c r="AO703" s="534">
        <v>796</v>
      </c>
      <c r="AP703" s="534" t="s">
        <v>368</v>
      </c>
      <c r="AQ703" s="534">
        <v>1</v>
      </c>
      <c r="AR703" s="534">
        <v>46</v>
      </c>
      <c r="AS703" s="525" t="s">
        <v>605</v>
      </c>
      <c r="AT703" s="533">
        <v>41740</v>
      </c>
      <c r="AU703" s="533">
        <v>41740</v>
      </c>
      <c r="AV703" s="533">
        <v>41820</v>
      </c>
      <c r="AW703" s="534">
        <v>2014</v>
      </c>
      <c r="AX703" s="525"/>
      <c r="AY703" s="534" t="s">
        <v>186</v>
      </c>
      <c r="AZ703" s="534"/>
      <c r="BA703" s="534">
        <v>2014</v>
      </c>
      <c r="BB703" s="534" t="s">
        <v>6696</v>
      </c>
      <c r="BC703" s="525" t="s">
        <v>6697</v>
      </c>
      <c r="BD703" s="534" t="s">
        <v>1818</v>
      </c>
      <c r="BE703" s="545">
        <v>41850</v>
      </c>
      <c r="BF703" s="498">
        <v>4373.4364020292387</v>
      </c>
      <c r="BG703" s="488">
        <v>4373.4364020292387</v>
      </c>
      <c r="BH703" s="532"/>
      <c r="BI703" s="532">
        <v>2.2999999999999998</v>
      </c>
      <c r="BJ703" s="534" t="s">
        <v>186</v>
      </c>
      <c r="BK703" s="401"/>
    </row>
    <row r="704" spans="1:63" ht="150">
      <c r="A704" s="504">
        <v>2</v>
      </c>
      <c r="B704" s="570" t="s">
        <v>6698</v>
      </c>
      <c r="C704" s="504" t="s">
        <v>83</v>
      </c>
      <c r="D704" s="504" t="s">
        <v>231</v>
      </c>
      <c r="E704" s="570" t="s">
        <v>5853</v>
      </c>
      <c r="F704" s="504" t="s">
        <v>1752</v>
      </c>
      <c r="G704" s="504" t="s">
        <v>2344</v>
      </c>
      <c r="H704" s="517" t="s">
        <v>6698</v>
      </c>
      <c r="I704" s="506" t="s">
        <v>6699</v>
      </c>
      <c r="J704" s="506" t="s">
        <v>5003</v>
      </c>
      <c r="K704" s="506" t="s">
        <v>5003</v>
      </c>
      <c r="L704" s="506" t="s">
        <v>1980</v>
      </c>
      <c r="M704" s="571" t="s">
        <v>1755</v>
      </c>
      <c r="N704" s="506" t="s">
        <v>1773</v>
      </c>
      <c r="O704" s="506" t="s">
        <v>2234</v>
      </c>
      <c r="P704" s="512">
        <v>4690.585</v>
      </c>
      <c r="Q704" s="512">
        <v>5534.8903</v>
      </c>
      <c r="R704" s="512">
        <v>3962.2956475583856</v>
      </c>
      <c r="S704" s="504" t="s">
        <v>1774</v>
      </c>
      <c r="T704" s="572">
        <v>1.087</v>
      </c>
      <c r="U704" s="572">
        <v>1.077</v>
      </c>
      <c r="V704" s="572">
        <v>1.073</v>
      </c>
      <c r="W704" s="572">
        <v>1.071</v>
      </c>
      <c r="X704" s="511">
        <v>0.9</v>
      </c>
      <c r="Y704" s="507">
        <v>4478.9789999999994</v>
      </c>
      <c r="Z704" s="512">
        <v>5285.1952199999987</v>
      </c>
      <c r="AA704" s="512">
        <v>4702.0321542000011</v>
      </c>
      <c r="AB704" s="513">
        <v>5548.397941956001</v>
      </c>
      <c r="AC704" s="512">
        <v>4478.9789999999994</v>
      </c>
      <c r="AD704" s="513">
        <v>5285.1952199999987</v>
      </c>
      <c r="AE704" s="494" t="s">
        <v>1775</v>
      </c>
      <c r="AF704" s="570" t="s">
        <v>83</v>
      </c>
      <c r="AG704" s="570" t="s">
        <v>211</v>
      </c>
      <c r="AH704" s="570" t="s">
        <v>545</v>
      </c>
      <c r="AI704" s="515">
        <v>41685</v>
      </c>
      <c r="AJ704" s="515">
        <v>41720</v>
      </c>
      <c r="AK704" s="570" t="s">
        <v>96</v>
      </c>
      <c r="AL704" s="570" t="s">
        <v>96</v>
      </c>
      <c r="AM704" s="506" t="s">
        <v>6666</v>
      </c>
      <c r="AN704" s="506" t="s">
        <v>1757</v>
      </c>
      <c r="AO704" s="570">
        <v>796</v>
      </c>
      <c r="AP704" s="570" t="s">
        <v>368</v>
      </c>
      <c r="AQ704" s="570">
        <v>1</v>
      </c>
      <c r="AR704" s="570">
        <v>46</v>
      </c>
      <c r="AS704" s="506" t="s">
        <v>605</v>
      </c>
      <c r="AT704" s="515">
        <v>41740</v>
      </c>
      <c r="AU704" s="515">
        <v>41740</v>
      </c>
      <c r="AV704" s="515">
        <v>41820</v>
      </c>
      <c r="AW704" s="570">
        <v>2014</v>
      </c>
      <c r="AX704" s="506"/>
      <c r="AY704" s="570" t="s">
        <v>186</v>
      </c>
      <c r="AZ704" s="570"/>
      <c r="BA704" s="570">
        <v>2014</v>
      </c>
      <c r="BB704" s="570" t="s">
        <v>2271</v>
      </c>
      <c r="BC704" s="506" t="s">
        <v>2271</v>
      </c>
      <c r="BD704" s="570" t="s">
        <v>2272</v>
      </c>
      <c r="BE704" s="573" t="s">
        <v>2272</v>
      </c>
      <c r="BF704" s="574" t="s">
        <v>2272</v>
      </c>
      <c r="BG704" s="488" t="s">
        <v>2272</v>
      </c>
      <c r="BH704" s="513" t="s">
        <v>2272</v>
      </c>
      <c r="BI704" s="513" t="s">
        <v>2272</v>
      </c>
      <c r="BJ704" s="570" t="s">
        <v>1465</v>
      </c>
      <c r="BK704" s="504"/>
    </row>
    <row r="705" spans="1:63" ht="150">
      <c r="A705" s="523">
        <v>2</v>
      </c>
      <c r="B705" s="534" t="s">
        <v>6700</v>
      </c>
      <c r="C705" s="523" t="s">
        <v>7112</v>
      </c>
      <c r="D705" s="523" t="s">
        <v>231</v>
      </c>
      <c r="E705" s="534" t="s">
        <v>5853</v>
      </c>
      <c r="F705" s="523" t="s">
        <v>1752</v>
      </c>
      <c r="G705" s="523" t="s">
        <v>2344</v>
      </c>
      <c r="H705" s="524" t="s">
        <v>6700</v>
      </c>
      <c r="I705" s="525" t="s">
        <v>6701</v>
      </c>
      <c r="J705" s="525" t="s">
        <v>5003</v>
      </c>
      <c r="K705" s="525" t="s">
        <v>5003</v>
      </c>
      <c r="L705" s="525" t="s">
        <v>1980</v>
      </c>
      <c r="M705" s="541" t="s">
        <v>1755</v>
      </c>
      <c r="N705" s="525" t="s">
        <v>1773</v>
      </c>
      <c r="O705" s="525" t="s">
        <v>2234</v>
      </c>
      <c r="P705" s="531">
        <v>614.721</v>
      </c>
      <c r="Q705" s="531">
        <v>725.37077999999997</v>
      </c>
      <c r="R705" s="531">
        <v>504.156050955414</v>
      </c>
      <c r="S705" s="523" t="s">
        <v>1774</v>
      </c>
      <c r="T705" s="542">
        <v>1.087</v>
      </c>
      <c r="U705" s="543">
        <v>1.077</v>
      </c>
      <c r="V705" s="543">
        <v>1.073</v>
      </c>
      <c r="W705" s="543">
        <v>1.071</v>
      </c>
      <c r="X705" s="544">
        <v>0.9</v>
      </c>
      <c r="Y705" s="526">
        <v>569.89800000000002</v>
      </c>
      <c r="Z705" s="531">
        <v>672.47964000000002</v>
      </c>
      <c r="AA705" s="531">
        <v>598.27892040000006</v>
      </c>
      <c r="AB705" s="532">
        <v>705.96912607199999</v>
      </c>
      <c r="AC705" s="531">
        <v>569.89800000000002</v>
      </c>
      <c r="AD705" s="532">
        <v>672.47964000000002</v>
      </c>
      <c r="AE705" s="494" t="s">
        <v>1775</v>
      </c>
      <c r="AF705" s="534" t="s">
        <v>83</v>
      </c>
      <c r="AG705" s="534" t="s">
        <v>211</v>
      </c>
      <c r="AH705" s="534" t="s">
        <v>545</v>
      </c>
      <c r="AI705" s="533">
        <v>41685</v>
      </c>
      <c r="AJ705" s="533">
        <v>41720</v>
      </c>
      <c r="AK705" s="534" t="s">
        <v>96</v>
      </c>
      <c r="AL705" s="534" t="s">
        <v>96</v>
      </c>
      <c r="AM705" s="525" t="s">
        <v>6666</v>
      </c>
      <c r="AN705" s="525" t="s">
        <v>1757</v>
      </c>
      <c r="AO705" s="534">
        <v>796</v>
      </c>
      <c r="AP705" s="534" t="s">
        <v>368</v>
      </c>
      <c r="AQ705" s="534">
        <v>1</v>
      </c>
      <c r="AR705" s="534">
        <v>46</v>
      </c>
      <c r="AS705" s="525" t="s">
        <v>605</v>
      </c>
      <c r="AT705" s="533">
        <v>41740</v>
      </c>
      <c r="AU705" s="533">
        <v>41740</v>
      </c>
      <c r="AV705" s="533">
        <v>41820</v>
      </c>
      <c r="AW705" s="534">
        <v>2014</v>
      </c>
      <c r="AX705" s="525"/>
      <c r="AY705" s="534" t="s">
        <v>186</v>
      </c>
      <c r="AZ705" s="534"/>
      <c r="BA705" s="534">
        <v>2014</v>
      </c>
      <c r="BB705" s="534" t="s">
        <v>6702</v>
      </c>
      <c r="BC705" s="525" t="s">
        <v>6703</v>
      </c>
      <c r="BD705" s="534" t="s">
        <v>1818</v>
      </c>
      <c r="BE705" s="545">
        <v>41850</v>
      </c>
      <c r="BF705" s="498">
        <v>745.0286123999997</v>
      </c>
      <c r="BG705" s="488">
        <v>745.0286123999997</v>
      </c>
      <c r="BH705" s="532"/>
      <c r="BI705" s="532">
        <v>0.3</v>
      </c>
      <c r="BJ705" s="534" t="s">
        <v>1465</v>
      </c>
      <c r="BK705" s="401"/>
    </row>
    <row r="706" spans="1:63" ht="150">
      <c r="A706" s="523">
        <v>2</v>
      </c>
      <c r="B706" s="534" t="s">
        <v>6704</v>
      </c>
      <c r="C706" s="523" t="s">
        <v>7112</v>
      </c>
      <c r="D706" s="523" t="s">
        <v>231</v>
      </c>
      <c r="E706" s="534" t="s">
        <v>5853</v>
      </c>
      <c r="F706" s="523" t="s">
        <v>1752</v>
      </c>
      <c r="G706" s="523" t="s">
        <v>2344</v>
      </c>
      <c r="H706" s="524" t="s">
        <v>6704</v>
      </c>
      <c r="I706" s="525" t="s">
        <v>6705</v>
      </c>
      <c r="J706" s="525" t="s">
        <v>5003</v>
      </c>
      <c r="K706" s="525" t="s">
        <v>5003</v>
      </c>
      <c r="L706" s="525" t="s">
        <v>1772</v>
      </c>
      <c r="M706" s="541" t="s">
        <v>1755</v>
      </c>
      <c r="N706" s="525" t="s">
        <v>1773</v>
      </c>
      <c r="O706" s="525" t="s">
        <v>2234</v>
      </c>
      <c r="P706" s="531">
        <v>702.41</v>
      </c>
      <c r="Q706" s="531">
        <v>828.84379999999987</v>
      </c>
      <c r="R706" s="531">
        <v>599.88499646142952</v>
      </c>
      <c r="S706" s="523" t="s">
        <v>1774</v>
      </c>
      <c r="T706" s="542">
        <v>1.087</v>
      </c>
      <c r="U706" s="543">
        <v>1.077</v>
      </c>
      <c r="V706" s="543">
        <v>1.073</v>
      </c>
      <c r="W706" s="543">
        <v>1.071</v>
      </c>
      <c r="X706" s="544">
        <v>0.9</v>
      </c>
      <c r="Y706" s="526">
        <v>678.11</v>
      </c>
      <c r="Z706" s="531">
        <v>800.16980000000001</v>
      </c>
      <c r="AA706" s="531">
        <v>711.87987800000008</v>
      </c>
      <c r="AB706" s="532">
        <v>840.0182560400001</v>
      </c>
      <c r="AC706" s="531">
        <v>678.11</v>
      </c>
      <c r="AD706" s="532">
        <v>800.16980000000001</v>
      </c>
      <c r="AE706" s="494" t="s">
        <v>1775</v>
      </c>
      <c r="AF706" s="534" t="s">
        <v>83</v>
      </c>
      <c r="AG706" s="534" t="s">
        <v>211</v>
      </c>
      <c r="AH706" s="534" t="s">
        <v>545</v>
      </c>
      <c r="AI706" s="533">
        <v>41685</v>
      </c>
      <c r="AJ706" s="533">
        <v>41720</v>
      </c>
      <c r="AK706" s="534" t="s">
        <v>96</v>
      </c>
      <c r="AL706" s="534" t="s">
        <v>96</v>
      </c>
      <c r="AM706" s="525" t="s">
        <v>6666</v>
      </c>
      <c r="AN706" s="525" t="s">
        <v>1757</v>
      </c>
      <c r="AO706" s="534">
        <v>796</v>
      </c>
      <c r="AP706" s="534" t="s">
        <v>368</v>
      </c>
      <c r="AQ706" s="534">
        <v>1</v>
      </c>
      <c r="AR706" s="534">
        <v>46</v>
      </c>
      <c r="AS706" s="525" t="s">
        <v>605</v>
      </c>
      <c r="AT706" s="533">
        <v>41740</v>
      </c>
      <c r="AU706" s="533">
        <v>41740</v>
      </c>
      <c r="AV706" s="533">
        <v>41820</v>
      </c>
      <c r="AW706" s="534">
        <v>2014</v>
      </c>
      <c r="AX706" s="525"/>
      <c r="AY706" s="534" t="s">
        <v>186</v>
      </c>
      <c r="AZ706" s="534"/>
      <c r="BA706" s="534">
        <v>2014</v>
      </c>
      <c r="BB706" s="534" t="s">
        <v>6706</v>
      </c>
      <c r="BC706" s="525" t="s">
        <v>6707</v>
      </c>
      <c r="BD706" s="534" t="s">
        <v>1818</v>
      </c>
      <c r="BE706" s="545">
        <v>41850</v>
      </c>
      <c r="BF706" s="498">
        <v>851.30069859999992</v>
      </c>
      <c r="BG706" s="488">
        <v>851.30069859999992</v>
      </c>
      <c r="BH706" s="532"/>
      <c r="BI706" s="532">
        <v>0.4</v>
      </c>
      <c r="BJ706" s="534" t="s">
        <v>1465</v>
      </c>
      <c r="BK706" s="401"/>
    </row>
    <row r="707" spans="1:63" ht="150">
      <c r="A707" s="523">
        <v>2</v>
      </c>
      <c r="B707" s="534" t="s">
        <v>6708</v>
      </c>
      <c r="C707" s="523" t="s">
        <v>7112</v>
      </c>
      <c r="D707" s="523" t="s">
        <v>231</v>
      </c>
      <c r="E707" s="534" t="s">
        <v>5853</v>
      </c>
      <c r="F707" s="523" t="s">
        <v>1752</v>
      </c>
      <c r="G707" s="523" t="s">
        <v>2344</v>
      </c>
      <c r="H707" s="524" t="s">
        <v>6708</v>
      </c>
      <c r="I707" s="525" t="s">
        <v>6709</v>
      </c>
      <c r="J707" s="525" t="s">
        <v>5003</v>
      </c>
      <c r="K707" s="525" t="s">
        <v>5003</v>
      </c>
      <c r="L707" s="525" t="s">
        <v>1772</v>
      </c>
      <c r="M707" s="541" t="s">
        <v>1755</v>
      </c>
      <c r="N707" s="525" t="s">
        <v>1773</v>
      </c>
      <c r="O707" s="525" t="s">
        <v>2234</v>
      </c>
      <c r="P707" s="531">
        <v>867.73099999999999</v>
      </c>
      <c r="Q707" s="531">
        <v>1023.9225799999999</v>
      </c>
      <c r="R707" s="531">
        <v>740.6475583864119</v>
      </c>
      <c r="S707" s="523" t="s">
        <v>1774</v>
      </c>
      <c r="T707" s="542">
        <v>1.087</v>
      </c>
      <c r="U707" s="543">
        <v>1.077</v>
      </c>
      <c r="V707" s="543">
        <v>1.073</v>
      </c>
      <c r="W707" s="543">
        <v>1.071</v>
      </c>
      <c r="X707" s="544">
        <v>0.9</v>
      </c>
      <c r="Y707" s="526">
        <v>837.22799999999995</v>
      </c>
      <c r="Z707" s="531">
        <v>987.92903999999987</v>
      </c>
      <c r="AA707" s="531">
        <v>878.9219544</v>
      </c>
      <c r="AB707" s="532">
        <v>1037.127906192</v>
      </c>
      <c r="AC707" s="531">
        <v>837.22799999999995</v>
      </c>
      <c r="AD707" s="532">
        <v>987.92903999999987</v>
      </c>
      <c r="AE707" s="494" t="s">
        <v>1775</v>
      </c>
      <c r="AF707" s="534" t="s">
        <v>83</v>
      </c>
      <c r="AG707" s="534" t="s">
        <v>211</v>
      </c>
      <c r="AH707" s="534" t="s">
        <v>545</v>
      </c>
      <c r="AI707" s="533">
        <v>41685</v>
      </c>
      <c r="AJ707" s="533">
        <v>41720</v>
      </c>
      <c r="AK707" s="534" t="s">
        <v>96</v>
      </c>
      <c r="AL707" s="534" t="s">
        <v>96</v>
      </c>
      <c r="AM707" s="525" t="s">
        <v>6666</v>
      </c>
      <c r="AN707" s="525" t="s">
        <v>1757</v>
      </c>
      <c r="AO707" s="534">
        <v>796</v>
      </c>
      <c r="AP707" s="534" t="s">
        <v>368</v>
      </c>
      <c r="AQ707" s="534">
        <v>1</v>
      </c>
      <c r="AR707" s="534">
        <v>46</v>
      </c>
      <c r="AS707" s="525" t="s">
        <v>605</v>
      </c>
      <c r="AT707" s="533">
        <v>41740</v>
      </c>
      <c r="AU707" s="533">
        <v>41740</v>
      </c>
      <c r="AV707" s="533">
        <v>41820</v>
      </c>
      <c r="AW707" s="534">
        <v>2014</v>
      </c>
      <c r="AX707" s="525"/>
      <c r="AY707" s="534" t="s">
        <v>186</v>
      </c>
      <c r="AZ707" s="534"/>
      <c r="BA707" s="534">
        <v>2014</v>
      </c>
      <c r="BB707" s="534" t="s">
        <v>6710</v>
      </c>
      <c r="BC707" s="525" t="s">
        <v>6711</v>
      </c>
      <c r="BD707" s="534" t="s">
        <v>1818</v>
      </c>
      <c r="BE707" s="545">
        <v>41850</v>
      </c>
      <c r="BF707" s="498">
        <v>1052.6864724</v>
      </c>
      <c r="BG707" s="488">
        <v>1052.6864724</v>
      </c>
      <c r="BH707" s="532"/>
      <c r="BI707" s="532">
        <v>0.56000000000000005</v>
      </c>
      <c r="BJ707" s="534" t="s">
        <v>1465</v>
      </c>
      <c r="BK707" s="401"/>
    </row>
    <row r="708" spans="1:63" ht="150">
      <c r="A708" s="523">
        <v>2</v>
      </c>
      <c r="B708" s="534" t="s">
        <v>6712</v>
      </c>
      <c r="C708" s="523" t="s">
        <v>7112</v>
      </c>
      <c r="D708" s="523" t="s">
        <v>231</v>
      </c>
      <c r="E708" s="534" t="s">
        <v>5853</v>
      </c>
      <c r="F708" s="523" t="s">
        <v>1752</v>
      </c>
      <c r="G708" s="523" t="s">
        <v>2344</v>
      </c>
      <c r="H708" s="524" t="s">
        <v>6712</v>
      </c>
      <c r="I708" s="525" t="s">
        <v>6713</v>
      </c>
      <c r="J708" s="525" t="s">
        <v>5003</v>
      </c>
      <c r="K708" s="525" t="s">
        <v>5003</v>
      </c>
      <c r="L708" s="525" t="s">
        <v>1772</v>
      </c>
      <c r="M708" s="541" t="s">
        <v>1755</v>
      </c>
      <c r="N708" s="525" t="s">
        <v>1773</v>
      </c>
      <c r="O708" s="525" t="s">
        <v>2234</v>
      </c>
      <c r="P708" s="531">
        <v>895.68</v>
      </c>
      <c r="Q708" s="531">
        <v>1056.9023999999999</v>
      </c>
      <c r="R708" s="531">
        <v>755.61305732484072</v>
      </c>
      <c r="S708" s="523" t="s">
        <v>1774</v>
      </c>
      <c r="T708" s="542">
        <v>1.087</v>
      </c>
      <c r="U708" s="543">
        <v>1.077</v>
      </c>
      <c r="V708" s="543">
        <v>1.073</v>
      </c>
      <c r="W708" s="543">
        <v>1.071</v>
      </c>
      <c r="X708" s="544">
        <v>0.9</v>
      </c>
      <c r="Y708" s="526">
        <v>854.14499999999998</v>
      </c>
      <c r="Z708" s="531">
        <v>1007.8910999999999</v>
      </c>
      <c r="AA708" s="531">
        <v>896.681421</v>
      </c>
      <c r="AB708" s="532">
        <v>1058.08407678</v>
      </c>
      <c r="AC708" s="531">
        <v>854.14499999999998</v>
      </c>
      <c r="AD708" s="532">
        <v>1007.8910999999999</v>
      </c>
      <c r="AE708" s="494" t="s">
        <v>1775</v>
      </c>
      <c r="AF708" s="534" t="s">
        <v>83</v>
      </c>
      <c r="AG708" s="534" t="s">
        <v>211</v>
      </c>
      <c r="AH708" s="534" t="s">
        <v>545</v>
      </c>
      <c r="AI708" s="533">
        <v>41685</v>
      </c>
      <c r="AJ708" s="533">
        <v>41720</v>
      </c>
      <c r="AK708" s="534" t="s">
        <v>96</v>
      </c>
      <c r="AL708" s="534" t="s">
        <v>96</v>
      </c>
      <c r="AM708" s="525" t="s">
        <v>6666</v>
      </c>
      <c r="AN708" s="525" t="s">
        <v>1757</v>
      </c>
      <c r="AO708" s="534">
        <v>796</v>
      </c>
      <c r="AP708" s="534" t="s">
        <v>368</v>
      </c>
      <c r="AQ708" s="534">
        <v>1</v>
      </c>
      <c r="AR708" s="534">
        <v>46</v>
      </c>
      <c r="AS708" s="525" t="s">
        <v>605</v>
      </c>
      <c r="AT708" s="533">
        <v>41740</v>
      </c>
      <c r="AU708" s="533">
        <v>41740</v>
      </c>
      <c r="AV708" s="533">
        <v>41820</v>
      </c>
      <c r="AW708" s="534">
        <v>2014</v>
      </c>
      <c r="AX708" s="525"/>
      <c r="AY708" s="534" t="s">
        <v>186</v>
      </c>
      <c r="AZ708" s="534"/>
      <c r="BA708" s="534">
        <v>2014</v>
      </c>
      <c r="BB708" s="534" t="s">
        <v>6714</v>
      </c>
      <c r="BC708" s="525" t="s">
        <v>6715</v>
      </c>
      <c r="BD708" s="534" t="s">
        <v>1818</v>
      </c>
      <c r="BE708" s="545">
        <v>41850</v>
      </c>
      <c r="BF708" s="498">
        <v>1081.9792054</v>
      </c>
      <c r="BG708" s="488">
        <v>1081.9792054</v>
      </c>
      <c r="BH708" s="532"/>
      <c r="BI708" s="532">
        <v>0.72</v>
      </c>
      <c r="BJ708" s="534" t="s">
        <v>1465</v>
      </c>
      <c r="BK708" s="401"/>
    </row>
    <row r="709" spans="1:63" ht="150">
      <c r="A709" s="523">
        <v>2</v>
      </c>
      <c r="B709" s="534" t="s">
        <v>6716</v>
      </c>
      <c r="C709" s="523" t="s">
        <v>7112</v>
      </c>
      <c r="D709" s="523" t="s">
        <v>231</v>
      </c>
      <c r="E709" s="534" t="s">
        <v>5853</v>
      </c>
      <c r="F709" s="523" t="s">
        <v>1752</v>
      </c>
      <c r="G709" s="523" t="s">
        <v>2344</v>
      </c>
      <c r="H709" s="524" t="s">
        <v>6716</v>
      </c>
      <c r="I709" s="525" t="s">
        <v>6717</v>
      </c>
      <c r="J709" s="525" t="s">
        <v>5003</v>
      </c>
      <c r="K709" s="525" t="s">
        <v>5003</v>
      </c>
      <c r="L709" s="525" t="s">
        <v>1772</v>
      </c>
      <c r="M709" s="541" t="s">
        <v>1755</v>
      </c>
      <c r="N709" s="525" t="s">
        <v>1773</v>
      </c>
      <c r="O709" s="525" t="s">
        <v>2234</v>
      </c>
      <c r="P709" s="531">
        <v>878.01400000000001</v>
      </c>
      <c r="Q709" s="531">
        <v>1036.0565199999999</v>
      </c>
      <c r="R709" s="531">
        <v>749.8584571832979</v>
      </c>
      <c r="S709" s="523" t="s">
        <v>1774</v>
      </c>
      <c r="T709" s="542">
        <v>1.087</v>
      </c>
      <c r="U709" s="543">
        <v>1.077</v>
      </c>
      <c r="V709" s="543">
        <v>1.073</v>
      </c>
      <c r="W709" s="543">
        <v>1.071</v>
      </c>
      <c r="X709" s="544">
        <v>0.9</v>
      </c>
      <c r="Y709" s="526">
        <v>847.64</v>
      </c>
      <c r="Z709" s="531">
        <v>1000.2152</v>
      </c>
      <c r="AA709" s="531">
        <v>889.85247200000003</v>
      </c>
      <c r="AB709" s="532">
        <v>1050.0259169599999</v>
      </c>
      <c r="AC709" s="531">
        <v>847.64</v>
      </c>
      <c r="AD709" s="532">
        <v>1000.2152</v>
      </c>
      <c r="AE709" s="494" t="s">
        <v>1775</v>
      </c>
      <c r="AF709" s="534" t="s">
        <v>83</v>
      </c>
      <c r="AG709" s="534" t="s">
        <v>211</v>
      </c>
      <c r="AH709" s="534" t="s">
        <v>545</v>
      </c>
      <c r="AI709" s="533">
        <v>41685</v>
      </c>
      <c r="AJ709" s="533">
        <v>41720</v>
      </c>
      <c r="AK709" s="534" t="s">
        <v>96</v>
      </c>
      <c r="AL709" s="534" t="s">
        <v>96</v>
      </c>
      <c r="AM709" s="525" t="s">
        <v>6666</v>
      </c>
      <c r="AN709" s="525" t="s">
        <v>1757</v>
      </c>
      <c r="AO709" s="534">
        <v>796</v>
      </c>
      <c r="AP709" s="534" t="s">
        <v>368</v>
      </c>
      <c r="AQ709" s="534">
        <v>1</v>
      </c>
      <c r="AR709" s="534">
        <v>46</v>
      </c>
      <c r="AS709" s="525" t="s">
        <v>605</v>
      </c>
      <c r="AT709" s="533">
        <v>41740</v>
      </c>
      <c r="AU709" s="533">
        <v>41740</v>
      </c>
      <c r="AV709" s="533">
        <v>41820</v>
      </c>
      <c r="AW709" s="534">
        <v>2014</v>
      </c>
      <c r="AX709" s="525"/>
      <c r="AY709" s="534" t="s">
        <v>186</v>
      </c>
      <c r="AZ709" s="534"/>
      <c r="BA709" s="534">
        <v>2014</v>
      </c>
      <c r="BB709" s="534" t="s">
        <v>6718</v>
      </c>
      <c r="BC709" s="525" t="s">
        <v>6719</v>
      </c>
      <c r="BD709" s="534" t="s">
        <v>1818</v>
      </c>
      <c r="BE709" s="545">
        <v>41850</v>
      </c>
      <c r="BF709" s="498">
        <v>1064.1258761999998</v>
      </c>
      <c r="BG709" s="488">
        <v>1064.1258761999998</v>
      </c>
      <c r="BH709" s="532"/>
      <c r="BI709" s="532">
        <v>0.5</v>
      </c>
      <c r="BJ709" s="534" t="s">
        <v>1465</v>
      </c>
      <c r="BK709" s="401"/>
    </row>
    <row r="710" spans="1:63" ht="150">
      <c r="A710" s="523">
        <v>2</v>
      </c>
      <c r="B710" s="534" t="s">
        <v>6720</v>
      </c>
      <c r="C710" s="523" t="s">
        <v>7112</v>
      </c>
      <c r="D710" s="523" t="s">
        <v>231</v>
      </c>
      <c r="E710" s="534" t="s">
        <v>5853</v>
      </c>
      <c r="F710" s="523" t="s">
        <v>1752</v>
      </c>
      <c r="G710" s="523" t="s">
        <v>2344</v>
      </c>
      <c r="H710" s="524" t="s">
        <v>6720</v>
      </c>
      <c r="I710" s="525" t="s">
        <v>6721</v>
      </c>
      <c r="J710" s="525" t="s">
        <v>5003</v>
      </c>
      <c r="K710" s="525" t="s">
        <v>5003</v>
      </c>
      <c r="L710" s="525" t="s">
        <v>1772</v>
      </c>
      <c r="M710" s="541" t="s">
        <v>1755</v>
      </c>
      <c r="N710" s="525" t="s">
        <v>1773</v>
      </c>
      <c r="O710" s="525" t="s">
        <v>2234</v>
      </c>
      <c r="P710" s="531">
        <v>732.029</v>
      </c>
      <c r="Q710" s="531">
        <v>863.79422</v>
      </c>
      <c r="R710" s="531">
        <v>612.13552724699218</v>
      </c>
      <c r="S710" s="523" t="s">
        <v>1774</v>
      </c>
      <c r="T710" s="542">
        <v>1.087</v>
      </c>
      <c r="U710" s="543">
        <v>1.077</v>
      </c>
      <c r="V710" s="543">
        <v>1.073</v>
      </c>
      <c r="W710" s="543">
        <v>1.071</v>
      </c>
      <c r="X710" s="544">
        <v>0.9</v>
      </c>
      <c r="Y710" s="526">
        <v>691.95799999999997</v>
      </c>
      <c r="Z710" s="531">
        <v>816.5104399999999</v>
      </c>
      <c r="AA710" s="531">
        <v>726.41750839999997</v>
      </c>
      <c r="AB710" s="532">
        <v>857.17265991199997</v>
      </c>
      <c r="AC710" s="531">
        <v>691.95799999999997</v>
      </c>
      <c r="AD710" s="532">
        <v>816.5104399999999</v>
      </c>
      <c r="AE710" s="494" t="s">
        <v>1775</v>
      </c>
      <c r="AF710" s="534" t="s">
        <v>83</v>
      </c>
      <c r="AG710" s="534" t="s">
        <v>211</v>
      </c>
      <c r="AH710" s="534" t="s">
        <v>545</v>
      </c>
      <c r="AI710" s="533">
        <v>41685</v>
      </c>
      <c r="AJ710" s="533">
        <v>41720</v>
      </c>
      <c r="AK710" s="534" t="s">
        <v>96</v>
      </c>
      <c r="AL710" s="534" t="s">
        <v>96</v>
      </c>
      <c r="AM710" s="525" t="s">
        <v>6666</v>
      </c>
      <c r="AN710" s="525" t="s">
        <v>1757</v>
      </c>
      <c r="AO710" s="534">
        <v>796</v>
      </c>
      <c r="AP710" s="534" t="s">
        <v>368</v>
      </c>
      <c r="AQ710" s="534">
        <v>1</v>
      </c>
      <c r="AR710" s="534">
        <v>46</v>
      </c>
      <c r="AS710" s="525" t="s">
        <v>605</v>
      </c>
      <c r="AT710" s="533">
        <v>41740</v>
      </c>
      <c r="AU710" s="533">
        <v>41740</v>
      </c>
      <c r="AV710" s="533">
        <v>41820</v>
      </c>
      <c r="AW710" s="534">
        <v>2014</v>
      </c>
      <c r="AX710" s="525"/>
      <c r="AY710" s="534" t="s">
        <v>186</v>
      </c>
      <c r="AZ710" s="534"/>
      <c r="BA710" s="534">
        <v>2014</v>
      </c>
      <c r="BB710" s="534" t="s">
        <v>6722</v>
      </c>
      <c r="BC710" s="525" t="s">
        <v>6723</v>
      </c>
      <c r="BD710" s="534" t="s">
        <v>1818</v>
      </c>
      <c r="BE710" s="545">
        <v>41850</v>
      </c>
      <c r="BF710" s="498">
        <v>888.0372137999999</v>
      </c>
      <c r="BG710" s="488">
        <v>888.0372137999999</v>
      </c>
      <c r="BH710" s="532"/>
      <c r="BI710" s="532">
        <v>0.52</v>
      </c>
      <c r="BJ710" s="534" t="s">
        <v>1465</v>
      </c>
      <c r="BK710" s="401"/>
    </row>
    <row r="711" spans="1:63" ht="150">
      <c r="A711" s="504">
        <v>2</v>
      </c>
      <c r="B711" s="570" t="s">
        <v>6724</v>
      </c>
      <c r="C711" s="504" t="s">
        <v>83</v>
      </c>
      <c r="D711" s="504" t="s">
        <v>231</v>
      </c>
      <c r="E711" s="570" t="s">
        <v>5853</v>
      </c>
      <c r="F711" s="504" t="s">
        <v>1752</v>
      </c>
      <c r="G711" s="504" t="s">
        <v>2344</v>
      </c>
      <c r="H711" s="517" t="s">
        <v>6724</v>
      </c>
      <c r="I711" s="506" t="s">
        <v>6725</v>
      </c>
      <c r="J711" s="506" t="s">
        <v>5003</v>
      </c>
      <c r="K711" s="506" t="s">
        <v>5003</v>
      </c>
      <c r="L711" s="506" t="s">
        <v>1772</v>
      </c>
      <c r="M711" s="571" t="s">
        <v>1755</v>
      </c>
      <c r="N711" s="506" t="s">
        <v>1773</v>
      </c>
      <c r="O711" s="506" t="s">
        <v>2234</v>
      </c>
      <c r="P711" s="512">
        <v>1558.6708800000001</v>
      </c>
      <c r="Q711" s="512">
        <v>1839.2316384000001</v>
      </c>
      <c r="R711" s="512">
        <v>1240.98</v>
      </c>
      <c r="S711" s="504" t="s">
        <v>1774</v>
      </c>
      <c r="T711" s="572">
        <v>1.087</v>
      </c>
      <c r="U711" s="572">
        <v>1.077</v>
      </c>
      <c r="V711" s="572">
        <v>1.073</v>
      </c>
      <c r="W711" s="572">
        <v>1.071</v>
      </c>
      <c r="X711" s="511">
        <v>0.9</v>
      </c>
      <c r="Y711" s="507">
        <v>1402.8037920000002</v>
      </c>
      <c r="Z711" s="512">
        <v>1655.3084745600001</v>
      </c>
      <c r="AA711" s="512">
        <v>1472.6634208416003</v>
      </c>
      <c r="AB711" s="513">
        <v>1737.7428365930882</v>
      </c>
      <c r="AC711" s="512">
        <v>1402.8037920000002</v>
      </c>
      <c r="AD711" s="513">
        <v>1655.3084745600001</v>
      </c>
      <c r="AE711" s="494" t="s">
        <v>1775</v>
      </c>
      <c r="AF711" s="570" t="s">
        <v>83</v>
      </c>
      <c r="AG711" s="570" t="s">
        <v>211</v>
      </c>
      <c r="AH711" s="570" t="s">
        <v>545</v>
      </c>
      <c r="AI711" s="515">
        <v>41685</v>
      </c>
      <c r="AJ711" s="515">
        <v>41720</v>
      </c>
      <c r="AK711" s="570" t="s">
        <v>96</v>
      </c>
      <c r="AL711" s="570" t="s">
        <v>96</v>
      </c>
      <c r="AM711" s="506" t="s">
        <v>6666</v>
      </c>
      <c r="AN711" s="506" t="s">
        <v>1757</v>
      </c>
      <c r="AO711" s="570">
        <v>796</v>
      </c>
      <c r="AP711" s="570" t="s">
        <v>368</v>
      </c>
      <c r="AQ711" s="570">
        <v>1</v>
      </c>
      <c r="AR711" s="570">
        <v>46</v>
      </c>
      <c r="AS711" s="506" t="s">
        <v>605</v>
      </c>
      <c r="AT711" s="515">
        <v>41740</v>
      </c>
      <c r="AU711" s="515">
        <v>41740</v>
      </c>
      <c r="AV711" s="515">
        <v>41820</v>
      </c>
      <c r="AW711" s="570">
        <v>2014</v>
      </c>
      <c r="AX711" s="506"/>
      <c r="AY711" s="570" t="s">
        <v>186</v>
      </c>
      <c r="AZ711" s="570"/>
      <c r="BA711" s="570">
        <v>2014</v>
      </c>
      <c r="BB711" s="570" t="s">
        <v>2271</v>
      </c>
      <c r="BC711" s="506" t="s">
        <v>2271</v>
      </c>
      <c r="BD711" s="570" t="s">
        <v>2272</v>
      </c>
      <c r="BE711" s="573" t="s">
        <v>2272</v>
      </c>
      <c r="BF711" s="574" t="s">
        <v>2272</v>
      </c>
      <c r="BG711" s="488" t="s">
        <v>2272</v>
      </c>
      <c r="BH711" s="513" t="s">
        <v>2272</v>
      </c>
      <c r="BI711" s="513" t="s">
        <v>2272</v>
      </c>
      <c r="BJ711" s="570" t="s">
        <v>186</v>
      </c>
      <c r="BK711" s="401"/>
    </row>
    <row r="712" spans="1:63" ht="150">
      <c r="A712" s="523">
        <v>2</v>
      </c>
      <c r="B712" s="534" t="s">
        <v>6726</v>
      </c>
      <c r="C712" s="523" t="s">
        <v>7112</v>
      </c>
      <c r="D712" s="523" t="s">
        <v>231</v>
      </c>
      <c r="E712" s="534" t="s">
        <v>5853</v>
      </c>
      <c r="F712" s="523" t="s">
        <v>1752</v>
      </c>
      <c r="G712" s="523" t="s">
        <v>2344</v>
      </c>
      <c r="H712" s="524" t="s">
        <v>6726</v>
      </c>
      <c r="I712" s="525" t="s">
        <v>6727</v>
      </c>
      <c r="J712" s="525" t="s">
        <v>5003</v>
      </c>
      <c r="K712" s="525" t="s">
        <v>5003</v>
      </c>
      <c r="L712" s="525" t="s">
        <v>1772</v>
      </c>
      <c r="M712" s="541" t="s">
        <v>1755</v>
      </c>
      <c r="N712" s="525" t="s">
        <v>1773</v>
      </c>
      <c r="O712" s="525" t="s">
        <v>2234</v>
      </c>
      <c r="P712" s="531">
        <v>852.59297136000009</v>
      </c>
      <c r="Q712" s="531">
        <v>1006.0597062048</v>
      </c>
      <c r="R712" s="531">
        <v>678.9799186128804</v>
      </c>
      <c r="S712" s="523" t="s">
        <v>1774</v>
      </c>
      <c r="T712" s="542">
        <v>1.087</v>
      </c>
      <c r="U712" s="543">
        <v>1.077</v>
      </c>
      <c r="V712" s="543">
        <v>1.073</v>
      </c>
      <c r="W712" s="543">
        <v>1.071</v>
      </c>
      <c r="X712" s="544">
        <v>0.9</v>
      </c>
      <c r="Y712" s="526">
        <v>767.51890000000003</v>
      </c>
      <c r="Z712" s="531">
        <v>905.67230199999995</v>
      </c>
      <c r="AA712" s="531">
        <v>805.74134122000009</v>
      </c>
      <c r="AB712" s="532">
        <v>950.77478263960006</v>
      </c>
      <c r="AC712" s="531">
        <v>767.51890000000003</v>
      </c>
      <c r="AD712" s="532">
        <v>905.67230199999995</v>
      </c>
      <c r="AE712" s="494" t="s">
        <v>1775</v>
      </c>
      <c r="AF712" s="534" t="s">
        <v>83</v>
      </c>
      <c r="AG712" s="534" t="s">
        <v>211</v>
      </c>
      <c r="AH712" s="534" t="s">
        <v>545</v>
      </c>
      <c r="AI712" s="533">
        <v>41685</v>
      </c>
      <c r="AJ712" s="533">
        <v>41720</v>
      </c>
      <c r="AK712" s="534" t="s">
        <v>96</v>
      </c>
      <c r="AL712" s="534" t="s">
        <v>96</v>
      </c>
      <c r="AM712" s="525" t="s">
        <v>6666</v>
      </c>
      <c r="AN712" s="525" t="s">
        <v>1757</v>
      </c>
      <c r="AO712" s="534">
        <v>796</v>
      </c>
      <c r="AP712" s="534" t="s">
        <v>368</v>
      </c>
      <c r="AQ712" s="534">
        <v>1</v>
      </c>
      <c r="AR712" s="534">
        <v>46</v>
      </c>
      <c r="AS712" s="525" t="s">
        <v>605</v>
      </c>
      <c r="AT712" s="533">
        <v>41740</v>
      </c>
      <c r="AU712" s="533">
        <v>41740</v>
      </c>
      <c r="AV712" s="533">
        <v>41820</v>
      </c>
      <c r="AW712" s="534">
        <v>2014</v>
      </c>
      <c r="AX712" s="525"/>
      <c r="AY712" s="534" t="s">
        <v>186</v>
      </c>
      <c r="AZ712" s="534"/>
      <c r="BA712" s="534">
        <v>2014</v>
      </c>
      <c r="BB712" s="534" t="s">
        <v>6728</v>
      </c>
      <c r="BC712" s="525" t="s">
        <v>6729</v>
      </c>
      <c r="BD712" s="534" t="s">
        <v>1818</v>
      </c>
      <c r="BE712" s="545">
        <v>42004</v>
      </c>
      <c r="BF712" s="546">
        <v>18878.626491799998</v>
      </c>
      <c r="BG712" s="488">
        <v>18878.626491799998</v>
      </c>
      <c r="BH712" s="532"/>
      <c r="BI712" s="532">
        <v>0.4</v>
      </c>
      <c r="BJ712" s="494" t="s">
        <v>1465</v>
      </c>
      <c r="BK712" s="401"/>
    </row>
    <row r="713" spans="1:63" ht="150">
      <c r="A713" s="523">
        <v>2</v>
      </c>
      <c r="B713" s="534" t="s">
        <v>6730</v>
      </c>
      <c r="C713" s="523" t="s">
        <v>7112</v>
      </c>
      <c r="D713" s="523" t="s">
        <v>231</v>
      </c>
      <c r="E713" s="534" t="s">
        <v>5853</v>
      </c>
      <c r="F713" s="523" t="s">
        <v>1752</v>
      </c>
      <c r="G713" s="523" t="s">
        <v>2344</v>
      </c>
      <c r="H713" s="524" t="s">
        <v>6730</v>
      </c>
      <c r="I713" s="525" t="s">
        <v>6731</v>
      </c>
      <c r="J713" s="525" t="s">
        <v>5003</v>
      </c>
      <c r="K713" s="525" t="s">
        <v>5003</v>
      </c>
      <c r="L713" s="525" t="s">
        <v>1772</v>
      </c>
      <c r="M713" s="541" t="s">
        <v>1755</v>
      </c>
      <c r="N713" s="525" t="s">
        <v>1773</v>
      </c>
      <c r="O713" s="525" t="s">
        <v>2234</v>
      </c>
      <c r="P713" s="531">
        <v>706.07790864000003</v>
      </c>
      <c r="Q713" s="531">
        <v>833.17193219520004</v>
      </c>
      <c r="R713" s="531">
        <v>562</v>
      </c>
      <c r="S713" s="523" t="s">
        <v>1774</v>
      </c>
      <c r="T713" s="542">
        <v>1.087</v>
      </c>
      <c r="U713" s="543">
        <v>1.077</v>
      </c>
      <c r="V713" s="543">
        <v>1.073</v>
      </c>
      <c r="W713" s="543">
        <v>1.071</v>
      </c>
      <c r="X713" s="544">
        <v>0.9</v>
      </c>
      <c r="Y713" s="526">
        <v>635.28480000000002</v>
      </c>
      <c r="Z713" s="531">
        <v>749.63606400000003</v>
      </c>
      <c r="AA713" s="531">
        <v>666.9219830400001</v>
      </c>
      <c r="AB713" s="532">
        <v>786.96793998720011</v>
      </c>
      <c r="AC713" s="531">
        <v>635.28480000000002</v>
      </c>
      <c r="AD713" s="532">
        <v>749.63606400000003</v>
      </c>
      <c r="AE713" s="494" t="s">
        <v>1775</v>
      </c>
      <c r="AF713" s="534" t="s">
        <v>83</v>
      </c>
      <c r="AG713" s="534" t="s">
        <v>211</v>
      </c>
      <c r="AH713" s="534" t="s">
        <v>545</v>
      </c>
      <c r="AI713" s="533">
        <v>41685</v>
      </c>
      <c r="AJ713" s="533">
        <v>41720</v>
      </c>
      <c r="AK713" s="534" t="s">
        <v>96</v>
      </c>
      <c r="AL713" s="534" t="s">
        <v>96</v>
      </c>
      <c r="AM713" s="525" t="s">
        <v>6666</v>
      </c>
      <c r="AN713" s="525" t="s">
        <v>1757</v>
      </c>
      <c r="AO713" s="534">
        <v>796</v>
      </c>
      <c r="AP713" s="534" t="s">
        <v>368</v>
      </c>
      <c r="AQ713" s="534">
        <v>1</v>
      </c>
      <c r="AR713" s="534">
        <v>46</v>
      </c>
      <c r="AS713" s="525" t="s">
        <v>605</v>
      </c>
      <c r="AT713" s="533">
        <v>41740</v>
      </c>
      <c r="AU713" s="533">
        <v>41740</v>
      </c>
      <c r="AV713" s="533">
        <v>41820</v>
      </c>
      <c r="AW713" s="534">
        <v>2014</v>
      </c>
      <c r="AX713" s="525"/>
      <c r="AY713" s="534" t="s">
        <v>186</v>
      </c>
      <c r="AZ713" s="534"/>
      <c r="BA713" s="534">
        <v>2014</v>
      </c>
      <c r="BB713" s="534" t="s">
        <v>6732</v>
      </c>
      <c r="BC713" s="525" t="s">
        <v>6733</v>
      </c>
      <c r="BD713" s="534" t="s">
        <v>1818</v>
      </c>
      <c r="BE713" s="545">
        <v>42004</v>
      </c>
      <c r="BF713" s="546">
        <v>15618.757181999999</v>
      </c>
      <c r="BG713" s="488">
        <v>15618.757181999999</v>
      </c>
      <c r="BH713" s="532"/>
      <c r="BI713" s="532">
        <v>0.25</v>
      </c>
      <c r="BJ713" s="494" t="s">
        <v>1465</v>
      </c>
      <c r="BK713" s="401"/>
    </row>
    <row r="714" spans="1:63" ht="150">
      <c r="A714" s="401">
        <v>2</v>
      </c>
      <c r="B714" s="494" t="s">
        <v>6734</v>
      </c>
      <c r="C714" s="401" t="s">
        <v>83</v>
      </c>
      <c r="D714" s="401" t="s">
        <v>231</v>
      </c>
      <c r="E714" s="494" t="s">
        <v>5853</v>
      </c>
      <c r="F714" s="401" t="s">
        <v>1752</v>
      </c>
      <c r="G714" s="401" t="s">
        <v>2344</v>
      </c>
      <c r="H714" s="499" t="s">
        <v>6734</v>
      </c>
      <c r="I714" s="486" t="s">
        <v>6735</v>
      </c>
      <c r="J714" s="496" t="s">
        <v>5003</v>
      </c>
      <c r="K714" s="496" t="s">
        <v>5003</v>
      </c>
      <c r="L714" s="496" t="s">
        <v>1772</v>
      </c>
      <c r="M714" s="500" t="s">
        <v>1755</v>
      </c>
      <c r="N714" s="496" t="s">
        <v>1773</v>
      </c>
      <c r="O714" s="496" t="s">
        <v>2234</v>
      </c>
      <c r="P714" s="489">
        <v>3143.1022848484799</v>
      </c>
      <c r="Q714" s="489">
        <v>3708.8606961212063</v>
      </c>
      <c r="R714" s="489">
        <v>2555.5335945502034</v>
      </c>
      <c r="S714" s="401" t="s">
        <v>1774</v>
      </c>
      <c r="T714" s="501">
        <v>1.087</v>
      </c>
      <c r="U714" s="501">
        <v>1.077</v>
      </c>
      <c r="V714" s="501">
        <v>1.073</v>
      </c>
      <c r="W714" s="501">
        <v>1.071</v>
      </c>
      <c r="X714" s="596">
        <v>0.9</v>
      </c>
      <c r="Y714" s="502">
        <v>2888.7751752795498</v>
      </c>
      <c r="Z714" s="489">
        <v>3408.7547068298686</v>
      </c>
      <c r="AA714" s="489">
        <v>3045.2824101675351</v>
      </c>
      <c r="AB714" s="488">
        <v>3593.4332439976911</v>
      </c>
      <c r="AC714" s="492">
        <v>2888.7751752795498</v>
      </c>
      <c r="AD714" s="493">
        <v>3408.7547068298686</v>
      </c>
      <c r="AE714" s="494" t="s">
        <v>1775</v>
      </c>
      <c r="AF714" s="494" t="s">
        <v>83</v>
      </c>
      <c r="AG714" s="494" t="s">
        <v>211</v>
      </c>
      <c r="AH714" s="494" t="s">
        <v>545</v>
      </c>
      <c r="AI714" s="495">
        <v>41685</v>
      </c>
      <c r="AJ714" s="495">
        <v>41720</v>
      </c>
      <c r="AK714" s="494" t="s">
        <v>96</v>
      </c>
      <c r="AL714" s="494" t="s">
        <v>96</v>
      </c>
      <c r="AM714" s="496" t="s">
        <v>6666</v>
      </c>
      <c r="AN714" s="496" t="s">
        <v>1757</v>
      </c>
      <c r="AO714" s="494">
        <v>796</v>
      </c>
      <c r="AP714" s="494" t="s">
        <v>368</v>
      </c>
      <c r="AQ714" s="494">
        <v>1</v>
      </c>
      <c r="AR714" s="494">
        <v>46</v>
      </c>
      <c r="AS714" s="496" t="s">
        <v>605</v>
      </c>
      <c r="AT714" s="495">
        <v>41740</v>
      </c>
      <c r="AU714" s="495">
        <v>41740</v>
      </c>
      <c r="AV714" s="495">
        <v>42004</v>
      </c>
      <c r="AW714" s="494">
        <v>2014</v>
      </c>
      <c r="AX714" s="496"/>
      <c r="AY714" s="494" t="s">
        <v>186</v>
      </c>
      <c r="AZ714" s="494"/>
      <c r="BA714" s="494">
        <v>2014</v>
      </c>
      <c r="BB714" s="494" t="s">
        <v>6736</v>
      </c>
      <c r="BC714" s="496" t="s">
        <v>6737</v>
      </c>
      <c r="BD714" s="494" t="s">
        <v>1818</v>
      </c>
      <c r="BE714" s="497">
        <v>42004</v>
      </c>
      <c r="BF714" s="498">
        <v>3810.3052393617904</v>
      </c>
      <c r="BG714" s="488">
        <v>3810.3052393617904</v>
      </c>
      <c r="BH714" s="488"/>
      <c r="BI714" s="488">
        <v>2.66</v>
      </c>
      <c r="BJ714" s="494" t="s">
        <v>186</v>
      </c>
      <c r="BK714" s="401"/>
    </row>
    <row r="715" spans="1:63" ht="112.5">
      <c r="A715" s="401">
        <v>2</v>
      </c>
      <c r="B715" s="494" t="s">
        <v>6738</v>
      </c>
      <c r="C715" s="401" t="s">
        <v>83</v>
      </c>
      <c r="D715" s="401" t="s">
        <v>231</v>
      </c>
      <c r="E715" s="494" t="s">
        <v>5853</v>
      </c>
      <c r="F715" s="401" t="s">
        <v>1761</v>
      </c>
      <c r="G715" s="401" t="s">
        <v>1762</v>
      </c>
      <c r="H715" s="499" t="s">
        <v>6738</v>
      </c>
      <c r="I715" s="486" t="s">
        <v>6739</v>
      </c>
      <c r="J715" s="496" t="s">
        <v>6740</v>
      </c>
      <c r="K715" s="496" t="s">
        <v>6740</v>
      </c>
      <c r="L715" s="496" t="s">
        <v>1772</v>
      </c>
      <c r="M715" s="500" t="s">
        <v>1755</v>
      </c>
      <c r="N715" s="496" t="s">
        <v>1773</v>
      </c>
      <c r="O715" s="496" t="s">
        <v>2234</v>
      </c>
      <c r="P715" s="489">
        <v>3727.712</v>
      </c>
      <c r="Q715" s="489">
        <v>4398.7001599999994</v>
      </c>
      <c r="R715" s="489">
        <v>3205.4230000000002</v>
      </c>
      <c r="S715" s="401" t="s">
        <v>1774</v>
      </c>
      <c r="T715" s="501">
        <v>1.087</v>
      </c>
      <c r="U715" s="501">
        <v>1.077</v>
      </c>
      <c r="V715" s="501">
        <v>1.073</v>
      </c>
      <c r="W715" s="501">
        <v>1.071</v>
      </c>
      <c r="X715" s="596">
        <v>0.9</v>
      </c>
      <c r="Y715" s="502">
        <v>3623.4101592000002</v>
      </c>
      <c r="Z715" s="489">
        <v>4275.623987856</v>
      </c>
      <c r="AA715" s="489">
        <v>3746.6150833815391</v>
      </c>
      <c r="AB715" s="488">
        <v>4421.0057983902161</v>
      </c>
      <c r="AC715" s="492">
        <v>3623.4101592000002</v>
      </c>
      <c r="AD715" s="493">
        <v>4275.623987856</v>
      </c>
      <c r="AE715" s="494" t="s">
        <v>1775</v>
      </c>
      <c r="AF715" s="494" t="s">
        <v>83</v>
      </c>
      <c r="AG715" s="494" t="s">
        <v>211</v>
      </c>
      <c r="AH715" s="494" t="s">
        <v>545</v>
      </c>
      <c r="AI715" s="495">
        <v>41671</v>
      </c>
      <c r="AJ715" s="495">
        <v>41706</v>
      </c>
      <c r="AK715" s="494" t="s">
        <v>96</v>
      </c>
      <c r="AL715" s="494" t="s">
        <v>96</v>
      </c>
      <c r="AM715" s="496" t="s">
        <v>6741</v>
      </c>
      <c r="AN715" s="496" t="s">
        <v>1757</v>
      </c>
      <c r="AO715" s="494">
        <v>796</v>
      </c>
      <c r="AP715" s="494" t="s">
        <v>368</v>
      </c>
      <c r="AQ715" s="494">
        <v>1</v>
      </c>
      <c r="AR715" s="494">
        <v>46</v>
      </c>
      <c r="AS715" s="496" t="s">
        <v>605</v>
      </c>
      <c r="AT715" s="495">
        <v>41726</v>
      </c>
      <c r="AU715" s="495">
        <v>41726</v>
      </c>
      <c r="AV715" s="495">
        <v>41789</v>
      </c>
      <c r="AW715" s="494">
        <v>2014</v>
      </c>
      <c r="AX715" s="496"/>
      <c r="AY715" s="494" t="s">
        <v>186</v>
      </c>
      <c r="AZ715" s="494"/>
      <c r="BA715" s="494">
        <v>2014</v>
      </c>
      <c r="BB715" s="494" t="s">
        <v>2589</v>
      </c>
      <c r="BC715" s="496" t="s">
        <v>2590</v>
      </c>
      <c r="BD715" s="494" t="s">
        <v>1818</v>
      </c>
      <c r="BE715" s="497">
        <v>42004</v>
      </c>
      <c r="BF715" s="498">
        <v>78828.400000000009</v>
      </c>
      <c r="BG715" s="488">
        <v>78828.400000000009</v>
      </c>
      <c r="BH715" s="488"/>
      <c r="BI715" s="488"/>
      <c r="BJ715" s="494" t="s">
        <v>186</v>
      </c>
      <c r="BK715" s="401"/>
    </row>
    <row r="716" spans="1:63" ht="112.5">
      <c r="A716" s="401">
        <v>2</v>
      </c>
      <c r="B716" s="494" t="s">
        <v>6742</v>
      </c>
      <c r="C716" s="401" t="s">
        <v>83</v>
      </c>
      <c r="D716" s="401" t="s">
        <v>231</v>
      </c>
      <c r="E716" s="494" t="s">
        <v>5853</v>
      </c>
      <c r="F716" s="401" t="s">
        <v>1768</v>
      </c>
      <c r="G716" s="401" t="s">
        <v>1769</v>
      </c>
      <c r="H716" s="499" t="s">
        <v>6742</v>
      </c>
      <c r="I716" s="486" t="s">
        <v>6743</v>
      </c>
      <c r="J716" s="496" t="s">
        <v>2529</v>
      </c>
      <c r="K716" s="496" t="s">
        <v>2529</v>
      </c>
      <c r="L716" s="496" t="s">
        <v>1772</v>
      </c>
      <c r="M716" s="500" t="s">
        <v>1755</v>
      </c>
      <c r="N716" s="496" t="s">
        <v>1773</v>
      </c>
      <c r="O716" s="496" t="s">
        <v>1786</v>
      </c>
      <c r="P716" s="489">
        <v>1453.4085897521402</v>
      </c>
      <c r="Q716" s="489">
        <v>1715.0221359075254</v>
      </c>
      <c r="R716" s="489">
        <v>1181.3029899894602</v>
      </c>
      <c r="S716" s="401" t="s">
        <v>1774</v>
      </c>
      <c r="T716" s="501">
        <v>1.087</v>
      </c>
      <c r="U716" s="501">
        <v>1.077</v>
      </c>
      <c r="V716" s="501">
        <v>1.073</v>
      </c>
      <c r="W716" s="501">
        <v>1.071</v>
      </c>
      <c r="X716" s="596">
        <v>0.9</v>
      </c>
      <c r="Y716" s="502">
        <v>1335.3448998840859</v>
      </c>
      <c r="Z716" s="489">
        <v>1575.7069818632212</v>
      </c>
      <c r="AA716" s="489">
        <v>1390.0657336463391</v>
      </c>
      <c r="AB716" s="488">
        <v>1640.27756570268</v>
      </c>
      <c r="AC716" s="492">
        <v>1335.3448998840859</v>
      </c>
      <c r="AD716" s="493">
        <v>1575.7069818632212</v>
      </c>
      <c r="AE716" s="494" t="s">
        <v>1775</v>
      </c>
      <c r="AF716" s="494" t="s">
        <v>83</v>
      </c>
      <c r="AG716" s="494" t="s">
        <v>211</v>
      </c>
      <c r="AH716" s="494" t="s">
        <v>545</v>
      </c>
      <c r="AI716" s="495">
        <v>41685</v>
      </c>
      <c r="AJ716" s="495">
        <v>41720</v>
      </c>
      <c r="AK716" s="494" t="s">
        <v>96</v>
      </c>
      <c r="AL716" s="494" t="s">
        <v>96</v>
      </c>
      <c r="AM716" s="496" t="s">
        <v>2530</v>
      </c>
      <c r="AN716" s="496" t="s">
        <v>1757</v>
      </c>
      <c r="AO716" s="494">
        <v>796</v>
      </c>
      <c r="AP716" s="494" t="s">
        <v>368</v>
      </c>
      <c r="AQ716" s="494">
        <v>1</v>
      </c>
      <c r="AR716" s="494">
        <v>46</v>
      </c>
      <c r="AS716" s="496" t="s">
        <v>605</v>
      </c>
      <c r="AT716" s="495">
        <v>41740</v>
      </c>
      <c r="AU716" s="495">
        <v>41740</v>
      </c>
      <c r="AV716" s="495">
        <v>42004</v>
      </c>
      <c r="AW716" s="494">
        <v>2014</v>
      </c>
      <c r="AX716" s="496"/>
      <c r="AY716" s="494" t="s">
        <v>186</v>
      </c>
      <c r="AZ716" s="494"/>
      <c r="BA716" s="494">
        <v>2014</v>
      </c>
      <c r="BB716" s="494" t="s">
        <v>6744</v>
      </c>
      <c r="BC716" s="496" t="s">
        <v>6745</v>
      </c>
      <c r="BD716" s="494" t="s">
        <v>6746</v>
      </c>
      <c r="BE716" s="497">
        <v>42004</v>
      </c>
      <c r="BF716" s="498">
        <v>1741.1440440000001</v>
      </c>
      <c r="BG716" s="488">
        <v>1741.1440440000001</v>
      </c>
      <c r="BH716" s="488"/>
      <c r="BI716" s="488">
        <v>0.9</v>
      </c>
      <c r="BJ716" s="494" t="s">
        <v>186</v>
      </c>
      <c r="BK716" s="401"/>
    </row>
    <row r="717" spans="1:63" ht="112.5">
      <c r="A717" s="401">
        <v>2</v>
      </c>
      <c r="B717" s="494" t="s">
        <v>6747</v>
      </c>
      <c r="C717" s="401" t="s">
        <v>83</v>
      </c>
      <c r="D717" s="401" t="s">
        <v>231</v>
      </c>
      <c r="E717" s="494" t="s">
        <v>5853</v>
      </c>
      <c r="F717" s="401" t="s">
        <v>1768</v>
      </c>
      <c r="G717" s="401" t="s">
        <v>1769</v>
      </c>
      <c r="H717" s="499" t="s">
        <v>6747</v>
      </c>
      <c r="I717" s="486" t="s">
        <v>6748</v>
      </c>
      <c r="J717" s="496" t="s">
        <v>2529</v>
      </c>
      <c r="K717" s="496" t="s">
        <v>2529</v>
      </c>
      <c r="L717" s="496" t="s">
        <v>1772</v>
      </c>
      <c r="M717" s="500" t="s">
        <v>1755</v>
      </c>
      <c r="N717" s="496" t="s">
        <v>1773</v>
      </c>
      <c r="O717" s="496" t="s">
        <v>2234</v>
      </c>
      <c r="P717" s="489">
        <v>1841.2413071989647</v>
      </c>
      <c r="Q717" s="489">
        <v>2172.6647424947782</v>
      </c>
      <c r="R717" s="489">
        <v>1497.6030901016632</v>
      </c>
      <c r="S717" s="401" t="s">
        <v>1774</v>
      </c>
      <c r="T717" s="501">
        <v>1.087</v>
      </c>
      <c r="U717" s="501">
        <v>1.077</v>
      </c>
      <c r="V717" s="501">
        <v>1.073</v>
      </c>
      <c r="W717" s="501">
        <v>1.071</v>
      </c>
      <c r="X717" s="596">
        <v>0.9</v>
      </c>
      <c r="Y717" s="502">
        <v>1692.8905330509201</v>
      </c>
      <c r="Z717" s="489">
        <v>1997.6108290000857</v>
      </c>
      <c r="AA717" s="489">
        <v>1892.4836528249114</v>
      </c>
      <c r="AB717" s="488">
        <v>2233.1307103333952</v>
      </c>
      <c r="AC717" s="492">
        <v>1692.8905330509201</v>
      </c>
      <c r="AD717" s="493">
        <v>1997.6108290000857</v>
      </c>
      <c r="AE717" s="494" t="s">
        <v>1775</v>
      </c>
      <c r="AF717" s="494" t="s">
        <v>83</v>
      </c>
      <c r="AG717" s="494" t="s">
        <v>211</v>
      </c>
      <c r="AH717" s="494" t="s">
        <v>545</v>
      </c>
      <c r="AI717" s="495">
        <v>41685</v>
      </c>
      <c r="AJ717" s="495">
        <v>41720</v>
      </c>
      <c r="AK717" s="494" t="s">
        <v>96</v>
      </c>
      <c r="AL717" s="494" t="s">
        <v>96</v>
      </c>
      <c r="AM717" s="496" t="s">
        <v>2530</v>
      </c>
      <c r="AN717" s="496" t="s">
        <v>1757</v>
      </c>
      <c r="AO717" s="494">
        <v>796</v>
      </c>
      <c r="AP717" s="494" t="s">
        <v>368</v>
      </c>
      <c r="AQ717" s="494">
        <v>1</v>
      </c>
      <c r="AR717" s="494">
        <v>46</v>
      </c>
      <c r="AS717" s="496" t="s">
        <v>605</v>
      </c>
      <c r="AT717" s="495">
        <v>41740</v>
      </c>
      <c r="AU717" s="495">
        <v>41740</v>
      </c>
      <c r="AV717" s="495">
        <v>42004</v>
      </c>
      <c r="AW717" s="494">
        <v>2014</v>
      </c>
      <c r="AX717" s="496"/>
      <c r="AY717" s="494" t="s">
        <v>186</v>
      </c>
      <c r="AZ717" s="494"/>
      <c r="BA717" s="494">
        <v>2014</v>
      </c>
      <c r="BB717" s="494" t="s">
        <v>6749</v>
      </c>
      <c r="BC717" s="496" t="s">
        <v>6750</v>
      </c>
      <c r="BD717" s="494" t="s">
        <v>1818</v>
      </c>
      <c r="BE717" s="497">
        <v>42004</v>
      </c>
      <c r="BF717" s="498">
        <v>2201.4373820000001</v>
      </c>
      <c r="BG717" s="488">
        <v>2201.4373820000001</v>
      </c>
      <c r="BH717" s="488"/>
      <c r="BI717" s="488">
        <v>1.3</v>
      </c>
      <c r="BJ717" s="494" t="s">
        <v>186</v>
      </c>
      <c r="BK717" s="401"/>
    </row>
    <row r="718" spans="1:63" ht="78.75" customHeight="1">
      <c r="A718" s="401">
        <v>2</v>
      </c>
      <c r="B718" s="494" t="s">
        <v>6751</v>
      </c>
      <c r="C718" s="401" t="s">
        <v>83</v>
      </c>
      <c r="D718" s="401" t="s">
        <v>231</v>
      </c>
      <c r="E718" s="494" t="s">
        <v>5853</v>
      </c>
      <c r="F718" s="401" t="s">
        <v>1761</v>
      </c>
      <c r="G718" s="401" t="s">
        <v>1762</v>
      </c>
      <c r="H718" s="499" t="s">
        <v>6751</v>
      </c>
      <c r="I718" s="486" t="s">
        <v>6752</v>
      </c>
      <c r="J718" s="496" t="s">
        <v>2233</v>
      </c>
      <c r="K718" s="496" t="s">
        <v>2233</v>
      </c>
      <c r="L718" s="496" t="s">
        <v>1772</v>
      </c>
      <c r="M718" s="500" t="s">
        <v>1755</v>
      </c>
      <c r="N718" s="496" t="s">
        <v>1773</v>
      </c>
      <c r="O718" s="496" t="s">
        <v>2234</v>
      </c>
      <c r="P718" s="489">
        <v>20477.733</v>
      </c>
      <c r="Q718" s="489">
        <v>24163.72494</v>
      </c>
      <c r="R718" s="489">
        <v>16303.926928520876</v>
      </c>
      <c r="S718" s="401" t="s">
        <v>1774</v>
      </c>
      <c r="T718" s="501">
        <v>1.087</v>
      </c>
      <c r="U718" s="501">
        <v>1.077</v>
      </c>
      <c r="V718" s="501">
        <v>1.073</v>
      </c>
      <c r="W718" s="501">
        <v>1.071</v>
      </c>
      <c r="X718" s="596">
        <v>0.9</v>
      </c>
      <c r="Y718" s="502">
        <v>18429.958999999999</v>
      </c>
      <c r="Z718" s="489">
        <v>21747.351619999998</v>
      </c>
      <c r="AA718" s="489">
        <v>17767.477012336709</v>
      </c>
      <c r="AB718" s="488">
        <v>20965.622874557317</v>
      </c>
      <c r="AC718" s="492">
        <v>17767.477012336709</v>
      </c>
      <c r="AD718" s="493">
        <v>20965.622874557317</v>
      </c>
      <c r="AE718" s="494" t="s">
        <v>1775</v>
      </c>
      <c r="AF718" s="494" t="s">
        <v>83</v>
      </c>
      <c r="AG718" s="494" t="s">
        <v>211</v>
      </c>
      <c r="AH718" s="494" t="s">
        <v>545</v>
      </c>
      <c r="AI718" s="495">
        <v>41690</v>
      </c>
      <c r="AJ718" s="495">
        <v>41725</v>
      </c>
      <c r="AK718" s="494" t="s">
        <v>96</v>
      </c>
      <c r="AL718" s="494" t="s">
        <v>96</v>
      </c>
      <c r="AM718" s="496" t="s">
        <v>1793</v>
      </c>
      <c r="AN718" s="496" t="s">
        <v>1757</v>
      </c>
      <c r="AO718" s="494">
        <v>796</v>
      </c>
      <c r="AP718" s="494" t="s">
        <v>368</v>
      </c>
      <c r="AQ718" s="494">
        <v>1</v>
      </c>
      <c r="AR718" s="494">
        <v>46</v>
      </c>
      <c r="AS718" s="496" t="s">
        <v>605</v>
      </c>
      <c r="AT718" s="495">
        <v>41745</v>
      </c>
      <c r="AU718" s="495">
        <v>41745</v>
      </c>
      <c r="AV718" s="495">
        <v>42004</v>
      </c>
      <c r="AW718" s="494">
        <v>2014</v>
      </c>
      <c r="AX718" s="496"/>
      <c r="AY718" s="494" t="s">
        <v>186</v>
      </c>
      <c r="AZ718" s="494"/>
      <c r="BA718" s="494">
        <v>2014</v>
      </c>
      <c r="BB718" s="494" t="s">
        <v>6753</v>
      </c>
      <c r="BC718" s="496" t="s">
        <v>6754</v>
      </c>
      <c r="BD718" s="494" t="s">
        <v>1818</v>
      </c>
      <c r="BE718" s="497">
        <v>42369</v>
      </c>
      <c r="BF718" s="498">
        <v>89468.959999999992</v>
      </c>
      <c r="BG718" s="488">
        <v>89468.959999999992</v>
      </c>
      <c r="BH718" s="488">
        <v>20</v>
      </c>
      <c r="BI718" s="488"/>
      <c r="BJ718" s="494" t="s">
        <v>186</v>
      </c>
      <c r="BK718" s="401"/>
    </row>
    <row r="719" spans="1:63" ht="99" customHeight="1">
      <c r="A719" s="401">
        <v>2</v>
      </c>
      <c r="B719" s="494" t="s">
        <v>6755</v>
      </c>
      <c r="C719" s="401" t="s">
        <v>83</v>
      </c>
      <c r="D719" s="401" t="s">
        <v>231</v>
      </c>
      <c r="E719" s="494" t="s">
        <v>5853</v>
      </c>
      <c r="F719" s="401" t="s">
        <v>1752</v>
      </c>
      <c r="G719" s="401" t="s">
        <v>6141</v>
      </c>
      <c r="H719" s="499">
        <v>834829</v>
      </c>
      <c r="I719" s="486" t="s">
        <v>6756</v>
      </c>
      <c r="J719" s="496" t="s">
        <v>2991</v>
      </c>
      <c r="K719" s="496" t="s">
        <v>2991</v>
      </c>
      <c r="L719" s="496" t="s">
        <v>2513</v>
      </c>
      <c r="M719" s="500" t="s">
        <v>1755</v>
      </c>
      <c r="N719" s="496" t="s">
        <v>1773</v>
      </c>
      <c r="O719" s="496" t="s">
        <v>2234</v>
      </c>
      <c r="P719" s="489">
        <v>3804.2640000000001</v>
      </c>
      <c r="Q719" s="489">
        <v>4489.0315199999995</v>
      </c>
      <c r="R719" s="489">
        <v>3137.005484784147</v>
      </c>
      <c r="S719" s="401" t="s">
        <v>1774</v>
      </c>
      <c r="T719" s="501">
        <v>1.087</v>
      </c>
      <c r="U719" s="501">
        <v>1.077</v>
      </c>
      <c r="V719" s="501">
        <v>1.073</v>
      </c>
      <c r="W719" s="501">
        <v>1.071</v>
      </c>
      <c r="X719" s="596">
        <v>0.9</v>
      </c>
      <c r="Y719" s="502">
        <v>3546.0709999999999</v>
      </c>
      <c r="Z719" s="489">
        <v>4184.3637799999997</v>
      </c>
      <c r="AA719" s="489">
        <v>3722.6653358000003</v>
      </c>
      <c r="AB719" s="488">
        <v>4392.7450962439998</v>
      </c>
      <c r="AC719" s="492">
        <v>3546.0709999999999</v>
      </c>
      <c r="AD719" s="493">
        <v>4184.3637799999997</v>
      </c>
      <c r="AE719" s="494" t="s">
        <v>1775</v>
      </c>
      <c r="AF719" s="494" t="s">
        <v>83</v>
      </c>
      <c r="AG719" s="494" t="s">
        <v>211</v>
      </c>
      <c r="AH719" s="494" t="s">
        <v>545</v>
      </c>
      <c r="AI719" s="495">
        <v>41315</v>
      </c>
      <c r="AJ719" s="495">
        <v>41350</v>
      </c>
      <c r="AK719" s="494" t="s">
        <v>96</v>
      </c>
      <c r="AL719" s="494" t="s">
        <v>96</v>
      </c>
      <c r="AM719" s="496" t="s">
        <v>4929</v>
      </c>
      <c r="AN719" s="496" t="s">
        <v>1757</v>
      </c>
      <c r="AO719" s="494">
        <v>796</v>
      </c>
      <c r="AP719" s="494" t="s">
        <v>368</v>
      </c>
      <c r="AQ719" s="494">
        <v>1</v>
      </c>
      <c r="AR719" s="494">
        <v>46</v>
      </c>
      <c r="AS719" s="496" t="s">
        <v>605</v>
      </c>
      <c r="AT719" s="495">
        <v>41370</v>
      </c>
      <c r="AU719" s="495">
        <v>41370</v>
      </c>
      <c r="AV719" s="495">
        <v>42004</v>
      </c>
      <c r="AW719" s="494">
        <v>2014</v>
      </c>
      <c r="AX719" s="496"/>
      <c r="AY719" s="494" t="s">
        <v>186</v>
      </c>
      <c r="AZ719" s="494"/>
      <c r="BA719" s="494">
        <v>2014</v>
      </c>
      <c r="BB719" s="494" t="s">
        <v>6757</v>
      </c>
      <c r="BC719" s="496" t="s">
        <v>6758</v>
      </c>
      <c r="BD719" s="494" t="s">
        <v>1818</v>
      </c>
      <c r="BE719" s="575">
        <v>42004</v>
      </c>
      <c r="BF719" s="498">
        <v>4600.2370799999999</v>
      </c>
      <c r="BG719" s="488">
        <v>4600.2370799999999</v>
      </c>
      <c r="BH719" s="488">
        <v>0</v>
      </c>
      <c r="BI719" s="488">
        <v>0.5</v>
      </c>
      <c r="BJ719" s="494" t="s">
        <v>5016</v>
      </c>
      <c r="BK719" s="401"/>
    </row>
    <row r="720" spans="1:63" ht="99" customHeight="1">
      <c r="A720" s="401">
        <v>2</v>
      </c>
      <c r="B720" s="494" t="s">
        <v>6759</v>
      </c>
      <c r="C720" s="401" t="s">
        <v>83</v>
      </c>
      <c r="D720" s="401" t="s">
        <v>231</v>
      </c>
      <c r="E720" s="494" t="s">
        <v>5853</v>
      </c>
      <c r="F720" s="401" t="s">
        <v>1752</v>
      </c>
      <c r="G720" s="401" t="s">
        <v>6141</v>
      </c>
      <c r="H720" s="499">
        <v>834830</v>
      </c>
      <c r="I720" s="486" t="s">
        <v>6760</v>
      </c>
      <c r="J720" s="496" t="s">
        <v>2991</v>
      </c>
      <c r="K720" s="496" t="s">
        <v>2991</v>
      </c>
      <c r="L720" s="496" t="s">
        <v>2513</v>
      </c>
      <c r="M720" s="500" t="s">
        <v>1755</v>
      </c>
      <c r="N720" s="496" t="s">
        <v>1773</v>
      </c>
      <c r="O720" s="496" t="s">
        <v>2234</v>
      </c>
      <c r="P720" s="489">
        <v>3128.5949999999998</v>
      </c>
      <c r="Q720" s="489">
        <v>3691.7420999999995</v>
      </c>
      <c r="R720" s="489">
        <v>2579.8434182590236</v>
      </c>
      <c r="S720" s="401" t="s">
        <v>1774</v>
      </c>
      <c r="T720" s="501">
        <v>1.087</v>
      </c>
      <c r="U720" s="501">
        <v>1.077</v>
      </c>
      <c r="V720" s="501">
        <v>1.073</v>
      </c>
      <c r="W720" s="501">
        <v>1.071</v>
      </c>
      <c r="X720" s="596">
        <v>0.9</v>
      </c>
      <c r="Y720" s="502">
        <v>2916.2550000000001</v>
      </c>
      <c r="Z720" s="489">
        <v>3441.1808999999998</v>
      </c>
      <c r="AA720" s="489">
        <v>3061.4844990000001</v>
      </c>
      <c r="AB720" s="488">
        <v>3612.5517088199999</v>
      </c>
      <c r="AC720" s="492">
        <v>2916.2550000000001</v>
      </c>
      <c r="AD720" s="493">
        <v>3441.1808999999998</v>
      </c>
      <c r="AE720" s="494" t="s">
        <v>1775</v>
      </c>
      <c r="AF720" s="494" t="s">
        <v>83</v>
      </c>
      <c r="AG720" s="494" t="s">
        <v>211</v>
      </c>
      <c r="AH720" s="494" t="s">
        <v>545</v>
      </c>
      <c r="AI720" s="495">
        <v>41315</v>
      </c>
      <c r="AJ720" s="495">
        <v>41350</v>
      </c>
      <c r="AK720" s="494" t="s">
        <v>96</v>
      </c>
      <c r="AL720" s="494" t="s">
        <v>96</v>
      </c>
      <c r="AM720" s="496" t="s">
        <v>4929</v>
      </c>
      <c r="AN720" s="496" t="s">
        <v>1757</v>
      </c>
      <c r="AO720" s="494">
        <v>796</v>
      </c>
      <c r="AP720" s="494" t="s">
        <v>368</v>
      </c>
      <c r="AQ720" s="494">
        <v>1</v>
      </c>
      <c r="AR720" s="494">
        <v>46</v>
      </c>
      <c r="AS720" s="496" t="s">
        <v>605</v>
      </c>
      <c r="AT720" s="495">
        <v>41370</v>
      </c>
      <c r="AU720" s="495">
        <v>41370</v>
      </c>
      <c r="AV720" s="495">
        <v>42004</v>
      </c>
      <c r="AW720" s="494">
        <v>2014</v>
      </c>
      <c r="AX720" s="496"/>
      <c r="AY720" s="494" t="s">
        <v>186</v>
      </c>
      <c r="AZ720" s="494"/>
      <c r="BA720" s="494">
        <v>2014</v>
      </c>
      <c r="BB720" s="494" t="s">
        <v>6761</v>
      </c>
      <c r="BC720" s="496" t="s">
        <v>6762</v>
      </c>
      <c r="BD720" s="494" t="s">
        <v>1818</v>
      </c>
      <c r="BE720" s="575">
        <v>42004</v>
      </c>
      <c r="BF720" s="498">
        <v>3784.1207599999998</v>
      </c>
      <c r="BG720" s="488">
        <v>3784.1207599999998</v>
      </c>
      <c r="BH720" s="488">
        <v>0</v>
      </c>
      <c r="BI720" s="488">
        <v>0.48</v>
      </c>
      <c r="BJ720" s="494" t="s">
        <v>5016</v>
      </c>
      <c r="BK720" s="401"/>
    </row>
    <row r="721" spans="1:63" ht="99" customHeight="1">
      <c r="A721" s="401">
        <v>2</v>
      </c>
      <c r="B721" s="494" t="s">
        <v>6763</v>
      </c>
      <c r="C721" s="401" t="s">
        <v>83</v>
      </c>
      <c r="D721" s="401" t="s">
        <v>231</v>
      </c>
      <c r="E721" s="494" t="s">
        <v>5853</v>
      </c>
      <c r="F721" s="401" t="s">
        <v>1752</v>
      </c>
      <c r="G721" s="401" t="s">
        <v>6141</v>
      </c>
      <c r="H721" s="499">
        <v>834831</v>
      </c>
      <c r="I721" s="486" t="s">
        <v>6764</v>
      </c>
      <c r="J721" s="496" t="s">
        <v>2991</v>
      </c>
      <c r="K721" s="496" t="s">
        <v>2991</v>
      </c>
      <c r="L721" s="496" t="s">
        <v>2513</v>
      </c>
      <c r="M721" s="500" t="s">
        <v>1755</v>
      </c>
      <c r="N721" s="496" t="s">
        <v>1773</v>
      </c>
      <c r="O721" s="496" t="s">
        <v>2234</v>
      </c>
      <c r="P721" s="489">
        <v>6958.8909999999996</v>
      </c>
      <c r="Q721" s="489">
        <v>8211.4913799999995</v>
      </c>
      <c r="R721" s="489">
        <v>5738.3006015569699</v>
      </c>
      <c r="S721" s="401" t="s">
        <v>1774</v>
      </c>
      <c r="T721" s="501">
        <v>1.087</v>
      </c>
      <c r="U721" s="501">
        <v>1.077</v>
      </c>
      <c r="V721" s="501">
        <v>1.073</v>
      </c>
      <c r="W721" s="501">
        <v>1.071</v>
      </c>
      <c r="X721" s="596">
        <v>0.9</v>
      </c>
      <c r="Y721" s="502">
        <v>6486.5749999999998</v>
      </c>
      <c r="Z721" s="489">
        <v>7654.1584999999995</v>
      </c>
      <c r="AA721" s="489">
        <v>6809.6064350000006</v>
      </c>
      <c r="AB721" s="488">
        <v>8035.3355933000003</v>
      </c>
      <c r="AC721" s="492">
        <v>6486.5749999999998</v>
      </c>
      <c r="AD721" s="493">
        <v>7654.1584999999995</v>
      </c>
      <c r="AE721" s="494" t="s">
        <v>1775</v>
      </c>
      <c r="AF721" s="494" t="s">
        <v>83</v>
      </c>
      <c r="AG721" s="494" t="s">
        <v>211</v>
      </c>
      <c r="AH721" s="494" t="s">
        <v>545</v>
      </c>
      <c r="AI721" s="495">
        <v>41315</v>
      </c>
      <c r="AJ721" s="495">
        <v>41350</v>
      </c>
      <c r="AK721" s="494" t="s">
        <v>96</v>
      </c>
      <c r="AL721" s="494" t="s">
        <v>96</v>
      </c>
      <c r="AM721" s="496" t="s">
        <v>4929</v>
      </c>
      <c r="AN721" s="496" t="s">
        <v>1757</v>
      </c>
      <c r="AO721" s="494">
        <v>796</v>
      </c>
      <c r="AP721" s="494" t="s">
        <v>368</v>
      </c>
      <c r="AQ721" s="494">
        <v>1</v>
      </c>
      <c r="AR721" s="494">
        <v>46</v>
      </c>
      <c r="AS721" s="496" t="s">
        <v>605</v>
      </c>
      <c r="AT721" s="495">
        <v>41370</v>
      </c>
      <c r="AU721" s="495">
        <v>41370</v>
      </c>
      <c r="AV721" s="495">
        <v>42004</v>
      </c>
      <c r="AW721" s="494">
        <v>2014</v>
      </c>
      <c r="AX721" s="496"/>
      <c r="AY721" s="494" t="s">
        <v>186</v>
      </c>
      <c r="AZ721" s="494"/>
      <c r="BA721" s="494">
        <v>2014</v>
      </c>
      <c r="BB721" s="494" t="s">
        <v>6765</v>
      </c>
      <c r="BC721" s="496" t="s">
        <v>6766</v>
      </c>
      <c r="BD721" s="494" t="s">
        <v>1818</v>
      </c>
      <c r="BE721" s="575">
        <v>42004</v>
      </c>
      <c r="BF721" s="498">
        <v>8507.3350799999989</v>
      </c>
      <c r="BG721" s="488">
        <v>8507.3350799999989</v>
      </c>
      <c r="BH721" s="488">
        <v>2</v>
      </c>
      <c r="BI721" s="488">
        <v>1.4</v>
      </c>
      <c r="BJ721" s="494" t="s">
        <v>5016</v>
      </c>
      <c r="BK721" s="401"/>
    </row>
    <row r="722" spans="1:63" ht="99" customHeight="1">
      <c r="A722" s="401">
        <v>2</v>
      </c>
      <c r="B722" s="494" t="s">
        <v>6767</v>
      </c>
      <c r="C722" s="401" t="s">
        <v>83</v>
      </c>
      <c r="D722" s="401" t="s">
        <v>231</v>
      </c>
      <c r="E722" s="494" t="s">
        <v>5853</v>
      </c>
      <c r="F722" s="401" t="s">
        <v>1752</v>
      </c>
      <c r="G722" s="401" t="s">
        <v>6141</v>
      </c>
      <c r="H722" s="499">
        <v>834778</v>
      </c>
      <c r="I722" s="486" t="s">
        <v>6768</v>
      </c>
      <c r="J722" s="496" t="s">
        <v>2991</v>
      </c>
      <c r="K722" s="496" t="s">
        <v>2991</v>
      </c>
      <c r="L722" s="496" t="s">
        <v>2513</v>
      </c>
      <c r="M722" s="500" t="s">
        <v>1755</v>
      </c>
      <c r="N722" s="496" t="s">
        <v>1773</v>
      </c>
      <c r="O722" s="496" t="s">
        <v>2234</v>
      </c>
      <c r="P722" s="489">
        <v>2999.4380000000001</v>
      </c>
      <c r="Q722" s="489">
        <v>3539.3368399999999</v>
      </c>
      <c r="R722" s="489">
        <v>2473.3395258315636</v>
      </c>
      <c r="S722" s="401" t="s">
        <v>1774</v>
      </c>
      <c r="T722" s="501">
        <v>1.087</v>
      </c>
      <c r="U722" s="501">
        <v>1.077</v>
      </c>
      <c r="V722" s="501">
        <v>1.073</v>
      </c>
      <c r="W722" s="501">
        <v>1.071</v>
      </c>
      <c r="X722" s="596">
        <v>0.9</v>
      </c>
      <c r="Y722" s="502">
        <v>2795.8629999999998</v>
      </c>
      <c r="Z722" s="489">
        <v>3299.1183399999995</v>
      </c>
      <c r="AA722" s="489">
        <v>2935.0969774</v>
      </c>
      <c r="AB722" s="488">
        <v>3463.414433332</v>
      </c>
      <c r="AC722" s="492">
        <v>2795.8629999999998</v>
      </c>
      <c r="AD722" s="493">
        <v>3299.1183399999995</v>
      </c>
      <c r="AE722" s="494" t="s">
        <v>1775</v>
      </c>
      <c r="AF722" s="494" t="s">
        <v>83</v>
      </c>
      <c r="AG722" s="494" t="s">
        <v>211</v>
      </c>
      <c r="AH722" s="494" t="s">
        <v>545</v>
      </c>
      <c r="AI722" s="495">
        <v>41315</v>
      </c>
      <c r="AJ722" s="495">
        <v>41350</v>
      </c>
      <c r="AK722" s="494" t="s">
        <v>96</v>
      </c>
      <c r="AL722" s="494" t="s">
        <v>96</v>
      </c>
      <c r="AM722" s="496" t="s">
        <v>4929</v>
      </c>
      <c r="AN722" s="496" t="s">
        <v>1757</v>
      </c>
      <c r="AO722" s="494">
        <v>796</v>
      </c>
      <c r="AP722" s="494" t="s">
        <v>368</v>
      </c>
      <c r="AQ722" s="494">
        <v>1</v>
      </c>
      <c r="AR722" s="494">
        <v>46</v>
      </c>
      <c r="AS722" s="496" t="s">
        <v>605</v>
      </c>
      <c r="AT722" s="495">
        <v>41370</v>
      </c>
      <c r="AU722" s="495">
        <v>41370</v>
      </c>
      <c r="AV722" s="495">
        <v>42004</v>
      </c>
      <c r="AW722" s="494">
        <v>2014</v>
      </c>
      <c r="AX722" s="496"/>
      <c r="AY722" s="494" t="s">
        <v>186</v>
      </c>
      <c r="AZ722" s="494"/>
      <c r="BA722" s="494">
        <v>2014</v>
      </c>
      <c r="BB722" s="494" t="s">
        <v>6769</v>
      </c>
      <c r="BC722" s="496" t="s">
        <v>6770</v>
      </c>
      <c r="BD722" s="494" t="s">
        <v>1818</v>
      </c>
      <c r="BE722" s="575">
        <v>42004</v>
      </c>
      <c r="BF722" s="498">
        <v>3628.3727605999998</v>
      </c>
      <c r="BG722" s="488">
        <v>3628.3727605999998</v>
      </c>
      <c r="BH722" s="488">
        <v>0.16</v>
      </c>
      <c r="BI722" s="488">
        <v>0.87</v>
      </c>
      <c r="BJ722" s="494" t="s">
        <v>5016</v>
      </c>
      <c r="BK722" s="401"/>
    </row>
    <row r="723" spans="1:63" ht="96.75" customHeight="1">
      <c r="A723" s="504">
        <v>2</v>
      </c>
      <c r="B723" s="570" t="s">
        <v>6771</v>
      </c>
      <c r="C723" s="504" t="s">
        <v>83</v>
      </c>
      <c r="D723" s="504" t="s">
        <v>231</v>
      </c>
      <c r="E723" s="570" t="s">
        <v>5853</v>
      </c>
      <c r="F723" s="504" t="s">
        <v>1752</v>
      </c>
      <c r="G723" s="504" t="s">
        <v>2344</v>
      </c>
      <c r="H723" s="517">
        <v>834847</v>
      </c>
      <c r="I723" s="506" t="s">
        <v>6772</v>
      </c>
      <c r="J723" s="506" t="s">
        <v>6773</v>
      </c>
      <c r="K723" s="506" t="s">
        <v>6773</v>
      </c>
      <c r="L723" s="506" t="s">
        <v>6774</v>
      </c>
      <c r="M723" s="571" t="s">
        <v>1755</v>
      </c>
      <c r="N723" s="506" t="s">
        <v>1773</v>
      </c>
      <c r="O723" s="506" t="s">
        <v>2234</v>
      </c>
      <c r="P723" s="512">
        <v>2183.6990000000001</v>
      </c>
      <c r="Q723" s="512">
        <v>2576.7648199999999</v>
      </c>
      <c r="R723" s="512">
        <v>1800.9058740268931</v>
      </c>
      <c r="S723" s="504" t="s">
        <v>1774</v>
      </c>
      <c r="T723" s="572">
        <v>1.087</v>
      </c>
      <c r="U723" s="572">
        <v>1.077</v>
      </c>
      <c r="V723" s="572">
        <v>1.073</v>
      </c>
      <c r="W723" s="572">
        <v>1.071</v>
      </c>
      <c r="X723" s="511">
        <v>0.9</v>
      </c>
      <c r="Y723" s="507">
        <v>2035.7439999999999</v>
      </c>
      <c r="Z723" s="512">
        <v>2402.1779199999996</v>
      </c>
      <c r="AA723" s="512">
        <v>2137.1240511999999</v>
      </c>
      <c r="AB723" s="513">
        <v>2521.8063804159997</v>
      </c>
      <c r="AC723" s="512">
        <v>2035.7439999999999</v>
      </c>
      <c r="AD723" s="513">
        <v>2402.1779199999996</v>
      </c>
      <c r="AE723" s="494" t="s">
        <v>1775</v>
      </c>
      <c r="AF723" s="570" t="s">
        <v>83</v>
      </c>
      <c r="AG723" s="570" t="s">
        <v>211</v>
      </c>
      <c r="AH723" s="570" t="s">
        <v>545</v>
      </c>
      <c r="AI723" s="515">
        <v>41315</v>
      </c>
      <c r="AJ723" s="515">
        <v>41350</v>
      </c>
      <c r="AK723" s="570" t="s">
        <v>96</v>
      </c>
      <c r="AL723" s="570" t="s">
        <v>96</v>
      </c>
      <c r="AM723" s="506" t="s">
        <v>6775</v>
      </c>
      <c r="AN723" s="506" t="s">
        <v>1757</v>
      </c>
      <c r="AO723" s="570">
        <v>796</v>
      </c>
      <c r="AP723" s="570" t="s">
        <v>368</v>
      </c>
      <c r="AQ723" s="570">
        <v>1</v>
      </c>
      <c r="AR723" s="570">
        <v>46</v>
      </c>
      <c r="AS723" s="506" t="s">
        <v>605</v>
      </c>
      <c r="AT723" s="515">
        <v>41370</v>
      </c>
      <c r="AU723" s="515">
        <v>41370</v>
      </c>
      <c r="AV723" s="515">
        <v>42004</v>
      </c>
      <c r="AW723" s="570">
        <v>2014</v>
      </c>
      <c r="AX723" s="506"/>
      <c r="AY723" s="570" t="s">
        <v>186</v>
      </c>
      <c r="AZ723" s="570"/>
      <c r="BA723" s="570">
        <v>2014</v>
      </c>
      <c r="BB723" s="570" t="s">
        <v>2271</v>
      </c>
      <c r="BC723" s="506" t="s">
        <v>2271</v>
      </c>
      <c r="BD723" s="570" t="s">
        <v>2272</v>
      </c>
      <c r="BE723" s="573" t="s">
        <v>2272</v>
      </c>
      <c r="BF723" s="574" t="s">
        <v>2272</v>
      </c>
      <c r="BG723" s="488" t="s">
        <v>2272</v>
      </c>
      <c r="BH723" s="513" t="s">
        <v>2272</v>
      </c>
      <c r="BI723" s="513" t="s">
        <v>2272</v>
      </c>
      <c r="BJ723" s="570" t="s">
        <v>1465</v>
      </c>
      <c r="BK723" s="504"/>
    </row>
    <row r="724" spans="1:63" ht="150">
      <c r="A724" s="523">
        <v>2</v>
      </c>
      <c r="B724" s="534" t="s">
        <v>6776</v>
      </c>
      <c r="C724" s="523" t="s">
        <v>7112</v>
      </c>
      <c r="D724" s="523" t="s">
        <v>231</v>
      </c>
      <c r="E724" s="534" t="s">
        <v>5853</v>
      </c>
      <c r="F724" s="523" t="s">
        <v>1752</v>
      </c>
      <c r="G724" s="523" t="s">
        <v>2344</v>
      </c>
      <c r="H724" s="524">
        <v>834409</v>
      </c>
      <c r="I724" s="525" t="s">
        <v>6777</v>
      </c>
      <c r="J724" s="525" t="s">
        <v>6773</v>
      </c>
      <c r="K724" s="525" t="s">
        <v>6773</v>
      </c>
      <c r="L724" s="525" t="s">
        <v>6774</v>
      </c>
      <c r="M724" s="541" t="s">
        <v>1755</v>
      </c>
      <c r="N724" s="525" t="s">
        <v>1773</v>
      </c>
      <c r="O724" s="525" t="s">
        <v>2234</v>
      </c>
      <c r="P724" s="531">
        <v>1143.596</v>
      </c>
      <c r="Q724" s="531">
        <v>1349.44328</v>
      </c>
      <c r="R724" s="531">
        <v>943.12898089171983</v>
      </c>
      <c r="S724" s="523" t="s">
        <v>1774</v>
      </c>
      <c r="T724" s="542">
        <v>1.087</v>
      </c>
      <c r="U724" s="543">
        <v>1.077</v>
      </c>
      <c r="V724" s="543">
        <v>1.073</v>
      </c>
      <c r="W724" s="543">
        <v>1.071</v>
      </c>
      <c r="X724" s="544">
        <v>0.9</v>
      </c>
      <c r="Y724" s="526">
        <v>1066.1130000000001</v>
      </c>
      <c r="Z724" s="531">
        <v>1258.01334</v>
      </c>
      <c r="AA724" s="531">
        <v>1119.2054274000002</v>
      </c>
      <c r="AB724" s="532">
        <v>1320.6624043320001</v>
      </c>
      <c r="AC724" s="531">
        <v>1066.1130000000001</v>
      </c>
      <c r="AD724" s="532">
        <v>1258.01334</v>
      </c>
      <c r="AE724" s="494" t="s">
        <v>1775</v>
      </c>
      <c r="AF724" s="534" t="s">
        <v>83</v>
      </c>
      <c r="AG724" s="534" t="s">
        <v>211</v>
      </c>
      <c r="AH724" s="534" t="s">
        <v>545</v>
      </c>
      <c r="AI724" s="533">
        <v>41315</v>
      </c>
      <c r="AJ724" s="533">
        <v>41350</v>
      </c>
      <c r="AK724" s="534" t="s">
        <v>96</v>
      </c>
      <c r="AL724" s="534" t="s">
        <v>96</v>
      </c>
      <c r="AM724" s="525" t="s">
        <v>6775</v>
      </c>
      <c r="AN724" s="525" t="s">
        <v>1757</v>
      </c>
      <c r="AO724" s="534">
        <v>796</v>
      </c>
      <c r="AP724" s="534" t="s">
        <v>368</v>
      </c>
      <c r="AQ724" s="534">
        <v>1</v>
      </c>
      <c r="AR724" s="534">
        <v>46</v>
      </c>
      <c r="AS724" s="525" t="s">
        <v>605</v>
      </c>
      <c r="AT724" s="533">
        <v>41370</v>
      </c>
      <c r="AU724" s="533">
        <v>41370</v>
      </c>
      <c r="AV724" s="533">
        <v>42004</v>
      </c>
      <c r="AW724" s="534">
        <v>2014</v>
      </c>
      <c r="AX724" s="525"/>
      <c r="AY724" s="534" t="s">
        <v>186</v>
      </c>
      <c r="AZ724" s="534"/>
      <c r="BA724" s="534">
        <v>2014</v>
      </c>
      <c r="BB724" s="534" t="s">
        <v>6778</v>
      </c>
      <c r="BC724" s="525" t="s">
        <v>6779</v>
      </c>
      <c r="BD724" s="534" t="s">
        <v>1818</v>
      </c>
      <c r="BE724" s="545">
        <v>42004</v>
      </c>
      <c r="BF724" s="546">
        <v>1412.983035</v>
      </c>
      <c r="BG724" s="488">
        <v>1412.983035</v>
      </c>
      <c r="BH724" s="532"/>
      <c r="BI724" s="532"/>
      <c r="BJ724" s="534" t="s">
        <v>1465</v>
      </c>
      <c r="BK724" s="523"/>
    </row>
    <row r="725" spans="1:63" ht="150">
      <c r="A725" s="523">
        <v>2</v>
      </c>
      <c r="B725" s="534" t="s">
        <v>6780</v>
      </c>
      <c r="C725" s="523" t="s">
        <v>7112</v>
      </c>
      <c r="D725" s="523" t="s">
        <v>231</v>
      </c>
      <c r="E725" s="534" t="s">
        <v>5853</v>
      </c>
      <c r="F725" s="523" t="s">
        <v>1752</v>
      </c>
      <c r="G725" s="523" t="s">
        <v>2344</v>
      </c>
      <c r="H725" s="524">
        <v>834410</v>
      </c>
      <c r="I725" s="525" t="s">
        <v>6781</v>
      </c>
      <c r="J725" s="525" t="s">
        <v>6773</v>
      </c>
      <c r="K725" s="525" t="s">
        <v>6773</v>
      </c>
      <c r="L725" s="525" t="s">
        <v>2325</v>
      </c>
      <c r="M725" s="541" t="s">
        <v>1755</v>
      </c>
      <c r="N725" s="525" t="s">
        <v>1773</v>
      </c>
      <c r="O725" s="525" t="s">
        <v>2234</v>
      </c>
      <c r="P725" s="531">
        <v>1040.1030000000001</v>
      </c>
      <c r="Q725" s="531">
        <v>1227.3215399999999</v>
      </c>
      <c r="R725" s="531">
        <v>857.77689313517328</v>
      </c>
      <c r="S725" s="523" t="s">
        <v>1774</v>
      </c>
      <c r="T725" s="542">
        <v>1.087</v>
      </c>
      <c r="U725" s="543">
        <v>1.077</v>
      </c>
      <c r="V725" s="543">
        <v>1.073</v>
      </c>
      <c r="W725" s="543">
        <v>1.071</v>
      </c>
      <c r="X725" s="544">
        <v>0.9</v>
      </c>
      <c r="Y725" s="526">
        <v>969.63099999999997</v>
      </c>
      <c r="Z725" s="531">
        <v>1144.1645799999999</v>
      </c>
      <c r="AA725" s="531">
        <v>1017.9186238000001</v>
      </c>
      <c r="AB725" s="532">
        <v>1201.1439760840001</v>
      </c>
      <c r="AC725" s="531">
        <v>969.63099999999997</v>
      </c>
      <c r="AD725" s="532">
        <v>1144.1645799999999</v>
      </c>
      <c r="AE725" s="494" t="s">
        <v>1775</v>
      </c>
      <c r="AF725" s="534" t="s">
        <v>83</v>
      </c>
      <c r="AG725" s="534" t="s">
        <v>211</v>
      </c>
      <c r="AH725" s="534" t="s">
        <v>545</v>
      </c>
      <c r="AI725" s="533">
        <v>41315</v>
      </c>
      <c r="AJ725" s="533">
        <v>41350</v>
      </c>
      <c r="AK725" s="534" t="s">
        <v>96</v>
      </c>
      <c r="AL725" s="534" t="s">
        <v>96</v>
      </c>
      <c r="AM725" s="525" t="s">
        <v>6775</v>
      </c>
      <c r="AN725" s="525" t="s">
        <v>1757</v>
      </c>
      <c r="AO725" s="534">
        <v>796</v>
      </c>
      <c r="AP725" s="534" t="s">
        <v>368</v>
      </c>
      <c r="AQ725" s="534">
        <v>1</v>
      </c>
      <c r="AR725" s="534">
        <v>46</v>
      </c>
      <c r="AS725" s="525" t="s">
        <v>605</v>
      </c>
      <c r="AT725" s="533">
        <v>41370</v>
      </c>
      <c r="AU725" s="533">
        <v>41370</v>
      </c>
      <c r="AV725" s="533">
        <v>42004</v>
      </c>
      <c r="AW725" s="534">
        <v>2014</v>
      </c>
      <c r="AX725" s="525"/>
      <c r="AY725" s="534" t="s">
        <v>186</v>
      </c>
      <c r="AZ725" s="534"/>
      <c r="BA725" s="534">
        <v>2014</v>
      </c>
      <c r="BB725" s="534" t="s">
        <v>6782</v>
      </c>
      <c r="BC725" s="525" t="s">
        <v>6783</v>
      </c>
      <c r="BD725" s="534" t="s">
        <v>1818</v>
      </c>
      <c r="BE725" s="545">
        <v>42004</v>
      </c>
      <c r="BF725" s="546">
        <v>1279.7645514000001</v>
      </c>
      <c r="BG725" s="488">
        <v>1279.7645514000001</v>
      </c>
      <c r="BH725" s="532">
        <v>0.25</v>
      </c>
      <c r="BI725" s="532"/>
      <c r="BJ725" s="534" t="s">
        <v>1465</v>
      </c>
      <c r="BK725" s="523"/>
    </row>
    <row r="726" spans="1:63" ht="99" customHeight="1">
      <c r="A726" s="401">
        <v>2</v>
      </c>
      <c r="B726" s="494" t="s">
        <v>6784</v>
      </c>
      <c r="C726" s="401" t="s">
        <v>83</v>
      </c>
      <c r="D726" s="401" t="s">
        <v>231</v>
      </c>
      <c r="E726" s="494" t="s">
        <v>5853</v>
      </c>
      <c r="F726" s="401" t="s">
        <v>1752</v>
      </c>
      <c r="G726" s="401" t="s">
        <v>2344</v>
      </c>
      <c r="H726" s="499">
        <v>834864</v>
      </c>
      <c r="I726" s="486" t="s">
        <v>6785</v>
      </c>
      <c r="J726" s="496" t="s">
        <v>6786</v>
      </c>
      <c r="K726" s="496" t="s">
        <v>6786</v>
      </c>
      <c r="L726" s="496" t="s">
        <v>5025</v>
      </c>
      <c r="M726" s="500" t="s">
        <v>1755</v>
      </c>
      <c r="N726" s="496" t="s">
        <v>1773</v>
      </c>
      <c r="O726" s="496" t="s">
        <v>2234</v>
      </c>
      <c r="P726" s="489">
        <v>19639.552</v>
      </c>
      <c r="Q726" s="489">
        <v>23174.671359999997</v>
      </c>
      <c r="R726" s="489">
        <v>15714.394904458597</v>
      </c>
      <c r="S726" s="401" t="s">
        <v>1774</v>
      </c>
      <c r="T726" s="501">
        <v>1.087</v>
      </c>
      <c r="U726" s="501">
        <v>1.077</v>
      </c>
      <c r="V726" s="501">
        <v>1.073</v>
      </c>
      <c r="W726" s="501">
        <v>1.071</v>
      </c>
      <c r="X726" s="596">
        <v>0.9</v>
      </c>
      <c r="Y726" s="502">
        <v>17763.552</v>
      </c>
      <c r="Z726" s="489">
        <v>20960.99136</v>
      </c>
      <c r="AA726" s="489">
        <v>18648.176889599999</v>
      </c>
      <c r="AB726" s="488">
        <v>22004.848729727997</v>
      </c>
      <c r="AC726" s="492">
        <v>17763.552</v>
      </c>
      <c r="AD726" s="493">
        <v>20960.99136</v>
      </c>
      <c r="AE726" s="494" t="s">
        <v>1775</v>
      </c>
      <c r="AF726" s="494" t="s">
        <v>83</v>
      </c>
      <c r="AG726" s="494" t="s">
        <v>211</v>
      </c>
      <c r="AH726" s="494" t="s">
        <v>545</v>
      </c>
      <c r="AI726" s="495">
        <v>41315</v>
      </c>
      <c r="AJ726" s="495">
        <v>41350</v>
      </c>
      <c r="AK726" s="494" t="s">
        <v>96</v>
      </c>
      <c r="AL726" s="494" t="s">
        <v>96</v>
      </c>
      <c r="AM726" s="496" t="s">
        <v>6787</v>
      </c>
      <c r="AN726" s="496" t="s">
        <v>1757</v>
      </c>
      <c r="AO726" s="494">
        <v>796</v>
      </c>
      <c r="AP726" s="494" t="s">
        <v>368</v>
      </c>
      <c r="AQ726" s="494">
        <v>1</v>
      </c>
      <c r="AR726" s="494">
        <v>46</v>
      </c>
      <c r="AS726" s="496" t="s">
        <v>605</v>
      </c>
      <c r="AT726" s="495">
        <v>41370</v>
      </c>
      <c r="AU726" s="495">
        <v>41370</v>
      </c>
      <c r="AV726" s="495">
        <v>42004</v>
      </c>
      <c r="AW726" s="494">
        <v>2014</v>
      </c>
      <c r="AX726" s="496"/>
      <c r="AY726" s="494" t="s">
        <v>186</v>
      </c>
      <c r="AZ726" s="494"/>
      <c r="BA726" s="494">
        <v>2014</v>
      </c>
      <c r="BB726" s="494" t="s">
        <v>6788</v>
      </c>
      <c r="BC726" s="496" t="s">
        <v>6789</v>
      </c>
      <c r="BD726" s="494" t="s">
        <v>1818</v>
      </c>
      <c r="BE726" s="575">
        <v>42004</v>
      </c>
      <c r="BF726" s="498">
        <v>23812.858996399998</v>
      </c>
      <c r="BG726" s="488">
        <v>23812.858996399998</v>
      </c>
      <c r="BH726" s="488"/>
      <c r="BI726" s="488">
        <v>4</v>
      </c>
      <c r="BJ726" s="494" t="s">
        <v>1465</v>
      </c>
      <c r="BK726" s="401"/>
    </row>
    <row r="727" spans="1:63" ht="99" customHeight="1">
      <c r="A727" s="401">
        <v>2</v>
      </c>
      <c r="B727" s="494" t="s">
        <v>6790</v>
      </c>
      <c r="C727" s="401" t="s">
        <v>83</v>
      </c>
      <c r="D727" s="401" t="s">
        <v>231</v>
      </c>
      <c r="E727" s="494" t="s">
        <v>5853</v>
      </c>
      <c r="F727" s="401" t="s">
        <v>1752</v>
      </c>
      <c r="G727" s="401" t="s">
        <v>2344</v>
      </c>
      <c r="H727" s="499">
        <v>832370</v>
      </c>
      <c r="I727" s="486" t="s">
        <v>6791</v>
      </c>
      <c r="J727" s="496" t="s">
        <v>2991</v>
      </c>
      <c r="K727" s="496" t="s">
        <v>2991</v>
      </c>
      <c r="L727" s="496" t="s">
        <v>6294</v>
      </c>
      <c r="M727" s="500" t="s">
        <v>1755</v>
      </c>
      <c r="N727" s="496" t="s">
        <v>1773</v>
      </c>
      <c r="O727" s="496" t="s">
        <v>2234</v>
      </c>
      <c r="P727" s="489">
        <v>2678.7109099999998</v>
      </c>
      <c r="Q727" s="489">
        <v>3160.8788737999994</v>
      </c>
      <c r="R727" s="489">
        <v>2059.8033213939402</v>
      </c>
      <c r="S727" s="401" t="s">
        <v>1774</v>
      </c>
      <c r="T727" s="501">
        <v>1.087</v>
      </c>
      <c r="U727" s="501">
        <v>1.077</v>
      </c>
      <c r="V727" s="501">
        <v>1.073</v>
      </c>
      <c r="W727" s="501">
        <v>1.071</v>
      </c>
      <c r="X727" s="596">
        <v>0.9</v>
      </c>
      <c r="Y727" s="502">
        <v>2328.4016745037102</v>
      </c>
      <c r="Z727" s="489">
        <v>2747.5139759143781</v>
      </c>
      <c r="AA727" s="489">
        <v>2444.356077893995</v>
      </c>
      <c r="AB727" s="488">
        <v>2884.3401719149138</v>
      </c>
      <c r="AC727" s="492">
        <v>2328.4016745037102</v>
      </c>
      <c r="AD727" s="493">
        <v>2747.5139759143781</v>
      </c>
      <c r="AE727" s="494" t="s">
        <v>1775</v>
      </c>
      <c r="AF727" s="494" t="s">
        <v>231</v>
      </c>
      <c r="AG727" s="494"/>
      <c r="AH727" s="494" t="s">
        <v>545</v>
      </c>
      <c r="AI727" s="495">
        <v>41315</v>
      </c>
      <c r="AJ727" s="495">
        <v>41350</v>
      </c>
      <c r="AK727" s="494" t="s">
        <v>96</v>
      </c>
      <c r="AL727" s="494" t="s">
        <v>96</v>
      </c>
      <c r="AM727" s="496" t="s">
        <v>4929</v>
      </c>
      <c r="AN727" s="496" t="s">
        <v>1757</v>
      </c>
      <c r="AO727" s="494">
        <v>796</v>
      </c>
      <c r="AP727" s="494" t="s">
        <v>368</v>
      </c>
      <c r="AQ727" s="494">
        <v>1</v>
      </c>
      <c r="AR727" s="494">
        <v>46</v>
      </c>
      <c r="AS727" s="496" t="s">
        <v>605</v>
      </c>
      <c r="AT727" s="495">
        <v>41370</v>
      </c>
      <c r="AU727" s="495">
        <v>41370</v>
      </c>
      <c r="AV727" s="495">
        <v>42004</v>
      </c>
      <c r="AW727" s="494">
        <v>2014</v>
      </c>
      <c r="AX727" s="496"/>
      <c r="AY727" s="494" t="s">
        <v>186</v>
      </c>
      <c r="AZ727" s="494"/>
      <c r="BA727" s="494">
        <v>2014</v>
      </c>
      <c r="BB727" s="494" t="s">
        <v>6792</v>
      </c>
      <c r="BC727" s="496" t="s">
        <v>6793</v>
      </c>
      <c r="BD727" s="494" t="s">
        <v>1818</v>
      </c>
      <c r="BE727" s="575">
        <v>42004</v>
      </c>
      <c r="BF727" s="498">
        <v>3179.5643862000002</v>
      </c>
      <c r="BG727" s="488">
        <v>3179.5643862000002</v>
      </c>
      <c r="BH727" s="488">
        <v>0.25</v>
      </c>
      <c r="BI727" s="488">
        <v>0.44</v>
      </c>
      <c r="BJ727" s="494" t="s">
        <v>1465</v>
      </c>
      <c r="BK727" s="401"/>
    </row>
    <row r="728" spans="1:63" ht="99" customHeight="1">
      <c r="A728" s="401">
        <v>2</v>
      </c>
      <c r="B728" s="494" t="s">
        <v>6794</v>
      </c>
      <c r="C728" s="401" t="s">
        <v>83</v>
      </c>
      <c r="D728" s="401" t="s">
        <v>231</v>
      </c>
      <c r="E728" s="494" t="s">
        <v>5853</v>
      </c>
      <c r="F728" s="401" t="s">
        <v>1752</v>
      </c>
      <c r="G728" s="401" t="s">
        <v>2344</v>
      </c>
      <c r="H728" s="499" t="s">
        <v>6795</v>
      </c>
      <c r="I728" s="486" t="s">
        <v>6796</v>
      </c>
      <c r="J728" s="496" t="s">
        <v>6773</v>
      </c>
      <c r="K728" s="496" t="s">
        <v>6773</v>
      </c>
      <c r="L728" s="496" t="s">
        <v>2513</v>
      </c>
      <c r="M728" s="500" t="s">
        <v>1755</v>
      </c>
      <c r="N728" s="496" t="s">
        <v>1773</v>
      </c>
      <c r="O728" s="496" t="s">
        <v>2234</v>
      </c>
      <c r="P728" s="489">
        <v>650.21500000000003</v>
      </c>
      <c r="Q728" s="489">
        <v>767.25369999999998</v>
      </c>
      <c r="R728" s="489">
        <v>517.62031139419685</v>
      </c>
      <c r="S728" s="401" t="s">
        <v>1774</v>
      </c>
      <c r="T728" s="501">
        <v>1.087</v>
      </c>
      <c r="U728" s="501">
        <v>1.077</v>
      </c>
      <c r="V728" s="501">
        <v>1.073</v>
      </c>
      <c r="W728" s="501">
        <v>1.071</v>
      </c>
      <c r="X728" s="596">
        <v>0.9</v>
      </c>
      <c r="Y728" s="502">
        <v>585.11800000000005</v>
      </c>
      <c r="Z728" s="489">
        <v>690.43924000000004</v>
      </c>
      <c r="AA728" s="489">
        <v>614.25687640000012</v>
      </c>
      <c r="AB728" s="488">
        <v>724.82311415200013</v>
      </c>
      <c r="AC728" s="492">
        <v>585.11800000000005</v>
      </c>
      <c r="AD728" s="493">
        <v>690.43924000000004</v>
      </c>
      <c r="AE728" s="494" t="s">
        <v>1775</v>
      </c>
      <c r="AF728" s="494" t="s">
        <v>231</v>
      </c>
      <c r="AG728" s="494"/>
      <c r="AH728" s="494" t="s">
        <v>545</v>
      </c>
      <c r="AI728" s="495">
        <v>41315</v>
      </c>
      <c r="AJ728" s="495">
        <v>41350</v>
      </c>
      <c r="AK728" s="494" t="s">
        <v>96</v>
      </c>
      <c r="AL728" s="494" t="s">
        <v>96</v>
      </c>
      <c r="AM728" s="496" t="s">
        <v>6775</v>
      </c>
      <c r="AN728" s="496" t="s">
        <v>1757</v>
      </c>
      <c r="AO728" s="494">
        <v>796</v>
      </c>
      <c r="AP728" s="494" t="s">
        <v>368</v>
      </c>
      <c r="AQ728" s="494">
        <v>1</v>
      </c>
      <c r="AR728" s="494">
        <v>46</v>
      </c>
      <c r="AS728" s="496" t="s">
        <v>605</v>
      </c>
      <c r="AT728" s="495">
        <v>41370</v>
      </c>
      <c r="AU728" s="495">
        <v>41370</v>
      </c>
      <c r="AV728" s="495">
        <v>42004</v>
      </c>
      <c r="AW728" s="494">
        <v>2014</v>
      </c>
      <c r="AX728" s="496"/>
      <c r="AY728" s="494" t="s">
        <v>186</v>
      </c>
      <c r="AZ728" s="494"/>
      <c r="BA728" s="494">
        <v>2014</v>
      </c>
      <c r="BB728" s="494" t="s">
        <v>6797</v>
      </c>
      <c r="BC728" s="496" t="s">
        <v>6798</v>
      </c>
      <c r="BD728" s="494" t="s">
        <v>1818</v>
      </c>
      <c r="BE728" s="575">
        <v>42004</v>
      </c>
      <c r="BF728" s="498">
        <v>786.71160499999996</v>
      </c>
      <c r="BG728" s="488">
        <v>786.71160499999996</v>
      </c>
      <c r="BH728" s="488">
        <v>0.04</v>
      </c>
      <c r="BI728" s="488">
        <v>0.1</v>
      </c>
      <c r="BJ728" s="494" t="s">
        <v>1465</v>
      </c>
      <c r="BK728" s="401"/>
    </row>
    <row r="729" spans="1:63" ht="99" customHeight="1">
      <c r="A729" s="401">
        <v>2</v>
      </c>
      <c r="B729" s="494" t="s">
        <v>6799</v>
      </c>
      <c r="C729" s="401" t="s">
        <v>83</v>
      </c>
      <c r="D729" s="401" t="s">
        <v>231</v>
      </c>
      <c r="E729" s="494" t="s">
        <v>5853</v>
      </c>
      <c r="F729" s="401" t="s">
        <v>1761</v>
      </c>
      <c r="G729" s="401" t="s">
        <v>1762</v>
      </c>
      <c r="H729" s="499" t="s">
        <v>6800</v>
      </c>
      <c r="I729" s="486" t="s">
        <v>6801</v>
      </c>
      <c r="J729" s="496" t="s">
        <v>2233</v>
      </c>
      <c r="K729" s="496" t="s">
        <v>2233</v>
      </c>
      <c r="L729" s="496" t="s">
        <v>2513</v>
      </c>
      <c r="M729" s="500" t="s">
        <v>1755</v>
      </c>
      <c r="N729" s="496" t="s">
        <v>1773</v>
      </c>
      <c r="O729" s="496" t="s">
        <v>2234</v>
      </c>
      <c r="P729" s="489">
        <v>4956.5020000000004</v>
      </c>
      <c r="Q729" s="489">
        <v>5848.6723600000005</v>
      </c>
      <c r="R729" s="489">
        <v>4135.4352890127393</v>
      </c>
      <c r="S729" s="401" t="s">
        <v>1774</v>
      </c>
      <c r="T729" s="501">
        <v>1.087</v>
      </c>
      <c r="U729" s="501">
        <v>1.077</v>
      </c>
      <c r="V729" s="501">
        <v>1.073</v>
      </c>
      <c r="W729" s="501">
        <v>1.071</v>
      </c>
      <c r="X729" s="596">
        <v>0.9</v>
      </c>
      <c r="Y729" s="502">
        <v>4674.6960507000003</v>
      </c>
      <c r="Z729" s="489">
        <v>5516.1413398260001</v>
      </c>
      <c r="AA729" s="489">
        <v>4907.4959140248611</v>
      </c>
      <c r="AB729" s="488">
        <v>5790.8451785493362</v>
      </c>
      <c r="AC729" s="492">
        <v>4674.6960507000003</v>
      </c>
      <c r="AD729" s="493">
        <v>5516.1413398260001</v>
      </c>
      <c r="AE729" s="494" t="s">
        <v>1775</v>
      </c>
      <c r="AF729" s="494" t="s">
        <v>83</v>
      </c>
      <c r="AG729" s="494" t="s">
        <v>211</v>
      </c>
      <c r="AH729" s="494" t="s">
        <v>545</v>
      </c>
      <c r="AI729" s="495">
        <v>41315</v>
      </c>
      <c r="AJ729" s="495">
        <v>41350</v>
      </c>
      <c r="AK729" s="494" t="s">
        <v>96</v>
      </c>
      <c r="AL729" s="494" t="s">
        <v>96</v>
      </c>
      <c r="AM729" s="496" t="s">
        <v>1793</v>
      </c>
      <c r="AN729" s="496" t="s">
        <v>1757</v>
      </c>
      <c r="AO729" s="494">
        <v>796</v>
      </c>
      <c r="AP729" s="494" t="s">
        <v>368</v>
      </c>
      <c r="AQ729" s="494">
        <v>1</v>
      </c>
      <c r="AR729" s="494">
        <v>46</v>
      </c>
      <c r="AS729" s="496" t="s">
        <v>605</v>
      </c>
      <c r="AT729" s="495">
        <v>41370</v>
      </c>
      <c r="AU729" s="495">
        <v>41370</v>
      </c>
      <c r="AV729" s="583">
        <v>41912</v>
      </c>
      <c r="AW729" s="494">
        <v>2014</v>
      </c>
      <c r="AX729" s="496"/>
      <c r="AY729" s="494" t="s">
        <v>186</v>
      </c>
      <c r="AZ729" s="494"/>
      <c r="BA729" s="494">
        <v>2014</v>
      </c>
      <c r="BB729" s="494" t="s">
        <v>5572</v>
      </c>
      <c r="BC729" s="496" t="s">
        <v>5573</v>
      </c>
      <c r="BD729" s="494" t="s">
        <v>1818</v>
      </c>
      <c r="BE729" s="575">
        <v>42004</v>
      </c>
      <c r="BF729" s="580">
        <v>124839.19691378159</v>
      </c>
      <c r="BG729" s="493">
        <v>106660.54616432753</v>
      </c>
      <c r="BH729" s="488"/>
      <c r="BI729" s="488">
        <v>9</v>
      </c>
      <c r="BJ729" s="494" t="s">
        <v>1465</v>
      </c>
      <c r="BK729" s="401"/>
    </row>
    <row r="730" spans="1:63" ht="99" customHeight="1">
      <c r="A730" s="401">
        <v>2</v>
      </c>
      <c r="B730" s="494" t="s">
        <v>6802</v>
      </c>
      <c r="C730" s="401" t="s">
        <v>83</v>
      </c>
      <c r="D730" s="401" t="s">
        <v>231</v>
      </c>
      <c r="E730" s="494" t="s">
        <v>5853</v>
      </c>
      <c r="F730" s="401" t="s">
        <v>1752</v>
      </c>
      <c r="G730" s="401" t="s">
        <v>2344</v>
      </c>
      <c r="H730" s="499" t="s">
        <v>6803</v>
      </c>
      <c r="I730" s="486" t="s">
        <v>6804</v>
      </c>
      <c r="J730" s="496" t="s">
        <v>6786</v>
      </c>
      <c r="K730" s="496" t="s">
        <v>6786</v>
      </c>
      <c r="L730" s="496" t="s">
        <v>5004</v>
      </c>
      <c r="M730" s="500" t="s">
        <v>1755</v>
      </c>
      <c r="N730" s="496" t="s">
        <v>1773</v>
      </c>
      <c r="O730" s="496" t="s">
        <v>2234</v>
      </c>
      <c r="P730" s="489">
        <v>802.91</v>
      </c>
      <c r="Q730" s="489">
        <v>947.43379999999991</v>
      </c>
      <c r="R730" s="489">
        <v>639.17993630573255</v>
      </c>
      <c r="S730" s="401" t="s">
        <v>1774</v>
      </c>
      <c r="T730" s="501">
        <v>1.087</v>
      </c>
      <c r="U730" s="501">
        <v>1.077</v>
      </c>
      <c r="V730" s="501">
        <v>1.073</v>
      </c>
      <c r="W730" s="501">
        <v>1.071</v>
      </c>
      <c r="X730" s="596">
        <v>0.9</v>
      </c>
      <c r="Y730" s="502">
        <v>722.529</v>
      </c>
      <c r="Z730" s="489">
        <v>852.58421999999996</v>
      </c>
      <c r="AA730" s="489">
        <v>758.51094420000004</v>
      </c>
      <c r="AB730" s="488">
        <v>895.04291415600005</v>
      </c>
      <c r="AC730" s="492">
        <v>722.529</v>
      </c>
      <c r="AD730" s="493">
        <v>852.58421999999996</v>
      </c>
      <c r="AE730" s="494" t="s">
        <v>1775</v>
      </c>
      <c r="AF730" s="494" t="s">
        <v>231</v>
      </c>
      <c r="AG730" s="494"/>
      <c r="AH730" s="494" t="s">
        <v>545</v>
      </c>
      <c r="AI730" s="495">
        <v>41315</v>
      </c>
      <c r="AJ730" s="495">
        <v>41350</v>
      </c>
      <c r="AK730" s="494" t="s">
        <v>96</v>
      </c>
      <c r="AL730" s="494" t="s">
        <v>96</v>
      </c>
      <c r="AM730" s="496" t="s">
        <v>6787</v>
      </c>
      <c r="AN730" s="496" t="s">
        <v>1757</v>
      </c>
      <c r="AO730" s="494">
        <v>796</v>
      </c>
      <c r="AP730" s="494" t="s">
        <v>368</v>
      </c>
      <c r="AQ730" s="494">
        <v>1</v>
      </c>
      <c r="AR730" s="494">
        <v>46</v>
      </c>
      <c r="AS730" s="496" t="s">
        <v>605</v>
      </c>
      <c r="AT730" s="495">
        <v>41370</v>
      </c>
      <c r="AU730" s="495">
        <v>41370</v>
      </c>
      <c r="AV730" s="495">
        <v>42004</v>
      </c>
      <c r="AW730" s="494">
        <v>2014</v>
      </c>
      <c r="AX730" s="496"/>
      <c r="AY730" s="494" t="s">
        <v>186</v>
      </c>
      <c r="AZ730" s="494"/>
      <c r="BA730" s="494">
        <v>2014</v>
      </c>
      <c r="BB730" s="494" t="s">
        <v>6805</v>
      </c>
      <c r="BC730" s="496" t="s">
        <v>6806</v>
      </c>
      <c r="BD730" s="494" t="s">
        <v>1818</v>
      </c>
      <c r="BE730" s="575">
        <v>42004</v>
      </c>
      <c r="BF730" s="498">
        <v>971.69386839999993</v>
      </c>
      <c r="BG730" s="488">
        <v>971.69386839999993</v>
      </c>
      <c r="BH730" s="488">
        <v>0.25</v>
      </c>
      <c r="BI730" s="488">
        <v>0.04</v>
      </c>
      <c r="BJ730" s="494" t="s">
        <v>1465</v>
      </c>
      <c r="BK730" s="401"/>
    </row>
    <row r="731" spans="1:63" ht="99" customHeight="1">
      <c r="A731" s="401">
        <v>2</v>
      </c>
      <c r="B731" s="494" t="s">
        <v>6807</v>
      </c>
      <c r="C731" s="401" t="s">
        <v>83</v>
      </c>
      <c r="D731" s="401" t="s">
        <v>231</v>
      </c>
      <c r="E731" s="494" t="s">
        <v>5853</v>
      </c>
      <c r="F731" s="401" t="s">
        <v>1752</v>
      </c>
      <c r="G731" s="401" t="s">
        <v>2344</v>
      </c>
      <c r="H731" s="499" t="s">
        <v>6808</v>
      </c>
      <c r="I731" s="486" t="s">
        <v>6809</v>
      </c>
      <c r="J731" s="496" t="s">
        <v>5698</v>
      </c>
      <c r="K731" s="496" t="s">
        <v>5698</v>
      </c>
      <c r="L731" s="496" t="s">
        <v>5019</v>
      </c>
      <c r="M731" s="500" t="s">
        <v>1755</v>
      </c>
      <c r="N731" s="496" t="s">
        <v>1773</v>
      </c>
      <c r="O731" s="496" t="s">
        <v>2234</v>
      </c>
      <c r="P731" s="489">
        <v>795.66</v>
      </c>
      <c r="Q731" s="489">
        <v>938.87879999999996</v>
      </c>
      <c r="R731" s="489">
        <v>656.10403397027596</v>
      </c>
      <c r="S731" s="401" t="s">
        <v>1774</v>
      </c>
      <c r="T731" s="501">
        <v>1.087</v>
      </c>
      <c r="U731" s="501">
        <v>1.077</v>
      </c>
      <c r="V731" s="501">
        <v>1.073</v>
      </c>
      <c r="W731" s="501">
        <v>1.071</v>
      </c>
      <c r="X731" s="596">
        <v>0.9</v>
      </c>
      <c r="Y731" s="502">
        <v>741.66</v>
      </c>
      <c r="Z731" s="489">
        <v>875.15879999999993</v>
      </c>
      <c r="AA731" s="489">
        <v>778.59466800000007</v>
      </c>
      <c r="AB731" s="488">
        <v>918.74170823999998</v>
      </c>
      <c r="AC731" s="492">
        <v>741.66</v>
      </c>
      <c r="AD731" s="493">
        <v>875.15879999999993</v>
      </c>
      <c r="AE731" s="494" t="s">
        <v>1775</v>
      </c>
      <c r="AF731" s="494" t="s">
        <v>83</v>
      </c>
      <c r="AG731" s="494" t="s">
        <v>211</v>
      </c>
      <c r="AH731" s="494" t="s">
        <v>545</v>
      </c>
      <c r="AI731" s="495">
        <v>41315</v>
      </c>
      <c r="AJ731" s="495">
        <v>41350</v>
      </c>
      <c r="AK731" s="494" t="s">
        <v>96</v>
      </c>
      <c r="AL731" s="494" t="s">
        <v>96</v>
      </c>
      <c r="AM731" s="496" t="s">
        <v>5699</v>
      </c>
      <c r="AN731" s="496" t="s">
        <v>1757</v>
      </c>
      <c r="AO731" s="494">
        <v>796</v>
      </c>
      <c r="AP731" s="494" t="s">
        <v>368</v>
      </c>
      <c r="AQ731" s="494">
        <v>1</v>
      </c>
      <c r="AR731" s="494">
        <v>46</v>
      </c>
      <c r="AS731" s="496" t="s">
        <v>605</v>
      </c>
      <c r="AT731" s="495">
        <v>41370</v>
      </c>
      <c r="AU731" s="495">
        <v>41370</v>
      </c>
      <c r="AV731" s="495">
        <v>42004</v>
      </c>
      <c r="AW731" s="494">
        <v>2014</v>
      </c>
      <c r="AX731" s="496"/>
      <c r="AY731" s="494" t="s">
        <v>186</v>
      </c>
      <c r="AZ731" s="494"/>
      <c r="BA731" s="494">
        <v>2014</v>
      </c>
      <c r="BB731" s="494" t="s">
        <v>6810</v>
      </c>
      <c r="BC731" s="496" t="s">
        <v>6811</v>
      </c>
      <c r="BD731" s="494" t="s">
        <v>1818</v>
      </c>
      <c r="BE731" s="575">
        <v>42004</v>
      </c>
      <c r="BF731" s="498">
        <v>967.93042360000004</v>
      </c>
      <c r="BG731" s="488">
        <v>967.93042360000004</v>
      </c>
      <c r="BH731" s="488">
        <v>0.16</v>
      </c>
      <c r="BI731" s="488">
        <v>0.01</v>
      </c>
      <c r="BJ731" s="494" t="s">
        <v>1465</v>
      </c>
      <c r="BK731" s="401"/>
    </row>
    <row r="732" spans="1:63" ht="99" customHeight="1">
      <c r="A732" s="401">
        <v>2</v>
      </c>
      <c r="B732" s="494" t="s">
        <v>6812</v>
      </c>
      <c r="C732" s="401" t="s">
        <v>83</v>
      </c>
      <c r="D732" s="401" t="s">
        <v>231</v>
      </c>
      <c r="E732" s="494" t="s">
        <v>5853</v>
      </c>
      <c r="F732" s="401" t="s">
        <v>1761</v>
      </c>
      <c r="G732" s="401" t="s">
        <v>1762</v>
      </c>
      <c r="H732" s="499" t="s">
        <v>6813</v>
      </c>
      <c r="I732" s="486" t="s">
        <v>6814</v>
      </c>
      <c r="J732" s="496" t="s">
        <v>2233</v>
      </c>
      <c r="K732" s="496" t="s">
        <v>2233</v>
      </c>
      <c r="L732" s="496" t="s">
        <v>5025</v>
      </c>
      <c r="M732" s="500" t="s">
        <v>1755</v>
      </c>
      <c r="N732" s="496" t="s">
        <v>1773</v>
      </c>
      <c r="O732" s="496" t="s">
        <v>2234</v>
      </c>
      <c r="P732" s="489">
        <v>6482.2370000000001</v>
      </c>
      <c r="Q732" s="489">
        <v>7649.0396599999995</v>
      </c>
      <c r="R732" s="489">
        <v>5457.0819275477706</v>
      </c>
      <c r="S732" s="401" t="s">
        <v>1774</v>
      </c>
      <c r="T732" s="501">
        <v>1.087</v>
      </c>
      <c r="U732" s="501">
        <v>1.077</v>
      </c>
      <c r="V732" s="501">
        <v>1.073</v>
      </c>
      <c r="W732" s="501">
        <v>1.071</v>
      </c>
      <c r="X732" s="596">
        <v>0.9</v>
      </c>
      <c r="Y732" s="502">
        <v>6168.6854108999996</v>
      </c>
      <c r="Z732" s="489">
        <v>7279.0487848619996</v>
      </c>
      <c r="AA732" s="489">
        <v>6475.8859443628198</v>
      </c>
      <c r="AB732" s="488">
        <v>7641.5454143481265</v>
      </c>
      <c r="AC732" s="492">
        <v>6168.6854108999996</v>
      </c>
      <c r="AD732" s="493">
        <v>7279.0487848619996</v>
      </c>
      <c r="AE732" s="494" t="s">
        <v>1775</v>
      </c>
      <c r="AF732" s="494" t="s">
        <v>83</v>
      </c>
      <c r="AG732" s="494" t="s">
        <v>211</v>
      </c>
      <c r="AH732" s="494" t="s">
        <v>545</v>
      </c>
      <c r="AI732" s="495">
        <v>41315</v>
      </c>
      <c r="AJ732" s="495">
        <v>41350</v>
      </c>
      <c r="AK732" s="494" t="s">
        <v>96</v>
      </c>
      <c r="AL732" s="494" t="s">
        <v>96</v>
      </c>
      <c r="AM732" s="496" t="s">
        <v>1793</v>
      </c>
      <c r="AN732" s="496" t="s">
        <v>1757</v>
      </c>
      <c r="AO732" s="494">
        <v>796</v>
      </c>
      <c r="AP732" s="494" t="s">
        <v>368</v>
      </c>
      <c r="AQ732" s="494">
        <v>1</v>
      </c>
      <c r="AR732" s="494">
        <v>46</v>
      </c>
      <c r="AS732" s="496" t="s">
        <v>605</v>
      </c>
      <c r="AT732" s="495">
        <v>41370</v>
      </c>
      <c r="AU732" s="495">
        <v>41370</v>
      </c>
      <c r="AV732" s="583">
        <v>41912</v>
      </c>
      <c r="AW732" s="494">
        <v>2014</v>
      </c>
      <c r="AX732" s="496"/>
      <c r="AY732" s="494" t="s">
        <v>186</v>
      </c>
      <c r="AZ732" s="494"/>
      <c r="BA732" s="494">
        <v>2014</v>
      </c>
      <c r="BB732" s="494" t="s">
        <v>5570</v>
      </c>
      <c r="BC732" s="496" t="s">
        <v>5571</v>
      </c>
      <c r="BD732" s="494" t="s">
        <v>1818</v>
      </c>
      <c r="BE732" s="575">
        <v>42004</v>
      </c>
      <c r="BF732" s="580">
        <v>150567.82875839999</v>
      </c>
      <c r="BG732" s="493">
        <v>132660.84353101798</v>
      </c>
      <c r="BH732" s="488"/>
      <c r="BI732" s="488">
        <v>14.8</v>
      </c>
      <c r="BJ732" s="494" t="s">
        <v>1465</v>
      </c>
      <c r="BK732" s="401"/>
    </row>
    <row r="733" spans="1:63" ht="356.25">
      <c r="A733" s="401">
        <v>2</v>
      </c>
      <c r="B733" s="494" t="s">
        <v>6815</v>
      </c>
      <c r="C733" s="401" t="s">
        <v>83</v>
      </c>
      <c r="D733" s="401" t="s">
        <v>238</v>
      </c>
      <c r="E733" s="494" t="s">
        <v>5853</v>
      </c>
      <c r="F733" s="401" t="s">
        <v>1768</v>
      </c>
      <c r="G733" s="401" t="s">
        <v>1769</v>
      </c>
      <c r="H733" s="499">
        <v>641054</v>
      </c>
      <c r="I733" s="486" t="s">
        <v>6816</v>
      </c>
      <c r="J733" s="496" t="s">
        <v>1805</v>
      </c>
      <c r="K733" s="496" t="s">
        <v>1805</v>
      </c>
      <c r="L733" s="500" t="s">
        <v>1772</v>
      </c>
      <c r="M733" s="500" t="s">
        <v>1755</v>
      </c>
      <c r="N733" s="496" t="s">
        <v>1773</v>
      </c>
      <c r="O733" s="496" t="s">
        <v>1786</v>
      </c>
      <c r="P733" s="489">
        <v>120733.092</v>
      </c>
      <c r="Q733" s="489">
        <v>142465.04856</v>
      </c>
      <c r="R733" s="584">
        <v>94404.82</v>
      </c>
      <c r="S733" s="401" t="s">
        <v>6138</v>
      </c>
      <c r="T733" s="490">
        <v>1.087</v>
      </c>
      <c r="U733" s="490">
        <v>1.0680000000000001</v>
      </c>
      <c r="V733" s="490">
        <v>1.0589999999999999</v>
      </c>
      <c r="W733" s="490" t="s">
        <v>6817</v>
      </c>
      <c r="X733" s="491">
        <v>0.9</v>
      </c>
      <c r="Y733" s="502">
        <v>114225.412</v>
      </c>
      <c r="Z733" s="489">
        <v>134785.98616</v>
      </c>
      <c r="AA733" s="489">
        <v>108465.02175840879</v>
      </c>
      <c r="AB733" s="488">
        <v>127988.72567492237</v>
      </c>
      <c r="AC733" s="492">
        <v>108465.02175840879</v>
      </c>
      <c r="AD733" s="493">
        <v>127988.72567492237</v>
      </c>
      <c r="AE733" s="494" t="s">
        <v>218</v>
      </c>
      <c r="AF733" s="494" t="s">
        <v>83</v>
      </c>
      <c r="AG733" s="494" t="s">
        <v>211</v>
      </c>
      <c r="AH733" s="494" t="s">
        <v>545</v>
      </c>
      <c r="AI733" s="495">
        <v>41695</v>
      </c>
      <c r="AJ733" s="495">
        <v>41755</v>
      </c>
      <c r="AK733" s="494" t="s">
        <v>96</v>
      </c>
      <c r="AL733" s="494" t="s">
        <v>96</v>
      </c>
      <c r="AM733" s="496" t="s">
        <v>1806</v>
      </c>
      <c r="AN733" s="496" t="s">
        <v>1757</v>
      </c>
      <c r="AO733" s="494">
        <v>796</v>
      </c>
      <c r="AP733" s="494" t="s">
        <v>368</v>
      </c>
      <c r="AQ733" s="494">
        <v>1</v>
      </c>
      <c r="AR733" s="494">
        <v>45</v>
      </c>
      <c r="AS733" s="496" t="s">
        <v>547</v>
      </c>
      <c r="AT733" s="495">
        <v>41775</v>
      </c>
      <c r="AU733" s="495">
        <v>41775</v>
      </c>
      <c r="AV733" s="495">
        <v>42368</v>
      </c>
      <c r="AW733" s="494" t="s">
        <v>99</v>
      </c>
      <c r="AX733" s="496"/>
      <c r="AY733" s="494" t="s">
        <v>186</v>
      </c>
      <c r="AZ733" s="494"/>
      <c r="BA733" s="494">
        <v>2014</v>
      </c>
      <c r="BB733" s="494" t="s">
        <v>6818</v>
      </c>
      <c r="BC733" s="496" t="s">
        <v>6819</v>
      </c>
      <c r="BD733" s="494" t="s">
        <v>6820</v>
      </c>
      <c r="BE733" s="575">
        <v>42368</v>
      </c>
      <c r="BF733" s="498">
        <v>136396.65538560002</v>
      </c>
      <c r="BG733" s="488">
        <v>135038.10999999999</v>
      </c>
      <c r="BH733" s="488"/>
      <c r="BI733" s="488"/>
      <c r="BJ733" s="494" t="s">
        <v>186</v>
      </c>
      <c r="BK733" s="401"/>
    </row>
    <row r="734" spans="1:63" ht="82.5" customHeight="1">
      <c r="A734" s="401">
        <v>2</v>
      </c>
      <c r="B734" s="494" t="s">
        <v>6821</v>
      </c>
      <c r="C734" s="401" t="s">
        <v>83</v>
      </c>
      <c r="D734" s="401" t="s">
        <v>238</v>
      </c>
      <c r="E734" s="494" t="s">
        <v>5853</v>
      </c>
      <c r="F734" s="401" t="s">
        <v>1768</v>
      </c>
      <c r="G734" s="401" t="s">
        <v>1804</v>
      </c>
      <c r="H734" s="499">
        <v>641144</v>
      </c>
      <c r="I734" s="486" t="s">
        <v>6822</v>
      </c>
      <c r="J734" s="496" t="s">
        <v>1805</v>
      </c>
      <c r="K734" s="496" t="s">
        <v>1805</v>
      </c>
      <c r="L734" s="500" t="s">
        <v>1772</v>
      </c>
      <c r="M734" s="500" t="s">
        <v>1755</v>
      </c>
      <c r="N734" s="496" t="s">
        <v>1773</v>
      </c>
      <c r="O734" s="496" t="s">
        <v>1786</v>
      </c>
      <c r="P734" s="489">
        <v>19919.182000000001</v>
      </c>
      <c r="Q734" s="489">
        <v>23504.634760000001</v>
      </c>
      <c r="R734" s="584">
        <v>15545.91389</v>
      </c>
      <c r="S734" s="401" t="s">
        <v>6138</v>
      </c>
      <c r="T734" s="490">
        <v>1.087</v>
      </c>
      <c r="U734" s="490">
        <v>1.0680000000000001</v>
      </c>
      <c r="V734" s="490">
        <v>1.0589999999999999</v>
      </c>
      <c r="W734" s="490">
        <v>1.0580000000000001</v>
      </c>
      <c r="X734" s="491">
        <v>0.9</v>
      </c>
      <c r="Y734" s="502">
        <v>18198.734611443811</v>
      </c>
      <c r="Z734" s="489">
        <v>21474.506841503695</v>
      </c>
      <c r="AA734" s="489">
        <v>18425.251304672554</v>
      </c>
      <c r="AB734" s="488">
        <v>21741.796539513613</v>
      </c>
      <c r="AC734" s="492">
        <v>18198.734611443811</v>
      </c>
      <c r="AD734" s="493">
        <v>21474.506841503695</v>
      </c>
      <c r="AE734" s="494" t="s">
        <v>218</v>
      </c>
      <c r="AF734" s="494" t="s">
        <v>83</v>
      </c>
      <c r="AG734" s="494" t="s">
        <v>211</v>
      </c>
      <c r="AH734" s="494" t="s">
        <v>545</v>
      </c>
      <c r="AI734" s="495">
        <v>41695</v>
      </c>
      <c r="AJ734" s="495">
        <v>41755</v>
      </c>
      <c r="AK734" s="494" t="s">
        <v>96</v>
      </c>
      <c r="AL734" s="494" t="s">
        <v>96</v>
      </c>
      <c r="AM734" s="496" t="s">
        <v>1806</v>
      </c>
      <c r="AN734" s="496" t="s">
        <v>1757</v>
      </c>
      <c r="AO734" s="494">
        <v>796</v>
      </c>
      <c r="AP734" s="494" t="s">
        <v>368</v>
      </c>
      <c r="AQ734" s="494">
        <v>1</v>
      </c>
      <c r="AR734" s="494">
        <v>45</v>
      </c>
      <c r="AS734" s="496" t="s">
        <v>547</v>
      </c>
      <c r="AT734" s="495">
        <v>41775</v>
      </c>
      <c r="AU734" s="495">
        <v>41775</v>
      </c>
      <c r="AV734" s="583">
        <v>42003</v>
      </c>
      <c r="AW734" s="494">
        <v>2014</v>
      </c>
      <c r="AX734" s="496"/>
      <c r="AY734" s="494" t="s">
        <v>186</v>
      </c>
      <c r="AZ734" s="494"/>
      <c r="BA734" s="494">
        <v>2014</v>
      </c>
      <c r="BB734" s="494" t="s">
        <v>6823</v>
      </c>
      <c r="BC734" s="496" t="s">
        <v>6824</v>
      </c>
      <c r="BD734" s="494" t="s">
        <v>6825</v>
      </c>
      <c r="BE734" s="575">
        <v>42003</v>
      </c>
      <c r="BF734" s="498">
        <v>35479.291279999998</v>
      </c>
      <c r="BG734" s="488">
        <v>35479.291279999998</v>
      </c>
      <c r="BH734" s="488"/>
      <c r="BI734" s="488">
        <v>0.7</v>
      </c>
      <c r="BJ734" s="494" t="s">
        <v>186</v>
      </c>
      <c r="BK734" s="401"/>
    </row>
    <row r="735" spans="1:63" ht="71.25" customHeight="1">
      <c r="A735" s="401">
        <v>2</v>
      </c>
      <c r="B735" s="494" t="s">
        <v>6826</v>
      </c>
      <c r="C735" s="401" t="s">
        <v>83</v>
      </c>
      <c r="D735" s="401" t="s">
        <v>238</v>
      </c>
      <c r="E735" s="494" t="s">
        <v>5853</v>
      </c>
      <c r="F735" s="401" t="s">
        <v>1768</v>
      </c>
      <c r="G735" s="401" t="s">
        <v>1804</v>
      </c>
      <c r="H735" s="499">
        <v>641150</v>
      </c>
      <c r="I735" s="486" t="s">
        <v>6827</v>
      </c>
      <c r="J735" s="496" t="s">
        <v>1805</v>
      </c>
      <c r="K735" s="496" t="s">
        <v>1805</v>
      </c>
      <c r="L735" s="500" t="s">
        <v>1772</v>
      </c>
      <c r="M735" s="500" t="s">
        <v>1755</v>
      </c>
      <c r="N735" s="496" t="s">
        <v>1773</v>
      </c>
      <c r="O735" s="496" t="s">
        <v>1786</v>
      </c>
      <c r="P735" s="489">
        <v>49766.626689999997</v>
      </c>
      <c r="Q735" s="489">
        <v>58724.619494199993</v>
      </c>
      <c r="R735" s="584">
        <v>38840.33</v>
      </c>
      <c r="S735" s="401" t="s">
        <v>6138</v>
      </c>
      <c r="T735" s="490">
        <v>1.087</v>
      </c>
      <c r="U735" s="490">
        <v>1.0680000000000001</v>
      </c>
      <c r="V735" s="490">
        <v>1.0589999999999999</v>
      </c>
      <c r="W735" s="490">
        <v>1.0580000000000001</v>
      </c>
      <c r="X735" s="491">
        <v>0.9</v>
      </c>
      <c r="Y735" s="502">
        <v>45468.208745552205</v>
      </c>
      <c r="Z735" s="489">
        <v>53652.486319751602</v>
      </c>
      <c r="AA735" s="489">
        <v>46034.127468712497</v>
      </c>
      <c r="AB735" s="488">
        <v>54320.270413080747</v>
      </c>
      <c r="AC735" s="492">
        <v>45468.208745552205</v>
      </c>
      <c r="AD735" s="493">
        <v>53652.486319751602</v>
      </c>
      <c r="AE735" s="494" t="s">
        <v>218</v>
      </c>
      <c r="AF735" s="494" t="s">
        <v>83</v>
      </c>
      <c r="AG735" s="494" t="s">
        <v>211</v>
      </c>
      <c r="AH735" s="494" t="s">
        <v>545</v>
      </c>
      <c r="AI735" s="495">
        <v>41695</v>
      </c>
      <c r="AJ735" s="495">
        <v>41755</v>
      </c>
      <c r="AK735" s="494" t="s">
        <v>96</v>
      </c>
      <c r="AL735" s="494" t="s">
        <v>96</v>
      </c>
      <c r="AM735" s="496" t="s">
        <v>1806</v>
      </c>
      <c r="AN735" s="496" t="s">
        <v>1757</v>
      </c>
      <c r="AO735" s="494">
        <v>796</v>
      </c>
      <c r="AP735" s="494" t="s">
        <v>368</v>
      </c>
      <c r="AQ735" s="494">
        <v>1</v>
      </c>
      <c r="AR735" s="494">
        <v>45</v>
      </c>
      <c r="AS735" s="496" t="s">
        <v>547</v>
      </c>
      <c r="AT735" s="495">
        <v>41775</v>
      </c>
      <c r="AU735" s="495">
        <v>41775</v>
      </c>
      <c r="AV735" s="583">
        <v>42003</v>
      </c>
      <c r="AW735" s="494">
        <v>2014</v>
      </c>
      <c r="AX735" s="496"/>
      <c r="AY735" s="494" t="s">
        <v>186</v>
      </c>
      <c r="AZ735" s="494"/>
      <c r="BA735" s="494">
        <v>2014</v>
      </c>
      <c r="BB735" s="494" t="s">
        <v>6828</v>
      </c>
      <c r="BC735" s="496" t="s">
        <v>6829</v>
      </c>
      <c r="BD735" s="494" t="s">
        <v>6830</v>
      </c>
      <c r="BE735" s="575">
        <v>42003</v>
      </c>
      <c r="BF735" s="498">
        <v>60408.318199999994</v>
      </c>
      <c r="BG735" s="488">
        <v>60408.318199999994</v>
      </c>
      <c r="BH735" s="488"/>
      <c r="BI735" s="488">
        <v>1.67</v>
      </c>
      <c r="BJ735" s="494" t="s">
        <v>186</v>
      </c>
      <c r="BK735" s="401"/>
    </row>
    <row r="736" spans="1:63" ht="79.5" customHeight="1">
      <c r="A736" s="401">
        <v>2</v>
      </c>
      <c r="B736" s="494" t="s">
        <v>6831</v>
      </c>
      <c r="C736" s="401" t="s">
        <v>83</v>
      </c>
      <c r="D736" s="401" t="s">
        <v>238</v>
      </c>
      <c r="E736" s="494" t="s">
        <v>5853</v>
      </c>
      <c r="F736" s="401" t="s">
        <v>1768</v>
      </c>
      <c r="G736" s="401" t="s">
        <v>1804</v>
      </c>
      <c r="H736" s="499">
        <v>641154</v>
      </c>
      <c r="I736" s="486" t="s">
        <v>6832</v>
      </c>
      <c r="J736" s="496" t="s">
        <v>1805</v>
      </c>
      <c r="K736" s="496" t="s">
        <v>1805</v>
      </c>
      <c r="L736" s="500" t="s">
        <v>1772</v>
      </c>
      <c r="M736" s="500" t="s">
        <v>1755</v>
      </c>
      <c r="N736" s="496" t="s">
        <v>1773</v>
      </c>
      <c r="O736" s="496" t="s">
        <v>1786</v>
      </c>
      <c r="P736" s="489">
        <v>7583.165</v>
      </c>
      <c r="Q736" s="489">
        <v>8948.1346999999987</v>
      </c>
      <c r="R736" s="584">
        <v>5918.2768299999998</v>
      </c>
      <c r="S736" s="401" t="s">
        <v>6138</v>
      </c>
      <c r="T736" s="490">
        <v>1.087</v>
      </c>
      <c r="U736" s="490">
        <v>1.0680000000000001</v>
      </c>
      <c r="V736" s="490">
        <v>1.0589999999999999</v>
      </c>
      <c r="W736" s="490">
        <v>1.0580000000000001</v>
      </c>
      <c r="X736" s="491">
        <v>0.9</v>
      </c>
      <c r="Y736" s="502">
        <v>6928.1967048273009</v>
      </c>
      <c r="Z736" s="489">
        <v>8175.2721116962148</v>
      </c>
      <c r="AA736" s="489">
        <v>7014.4266923262003</v>
      </c>
      <c r="AB736" s="488">
        <v>8277.0234969449157</v>
      </c>
      <c r="AC736" s="492">
        <v>6928.1967048273009</v>
      </c>
      <c r="AD736" s="493">
        <v>8175.2721116962148</v>
      </c>
      <c r="AE736" s="494" t="s">
        <v>173</v>
      </c>
      <c r="AF736" s="494" t="s">
        <v>83</v>
      </c>
      <c r="AG736" s="494" t="s">
        <v>211</v>
      </c>
      <c r="AH736" s="494" t="s">
        <v>545</v>
      </c>
      <c r="AI736" s="495">
        <v>41696</v>
      </c>
      <c r="AJ736" s="495">
        <v>41736</v>
      </c>
      <c r="AK736" s="494" t="s">
        <v>96</v>
      </c>
      <c r="AL736" s="494" t="s">
        <v>96</v>
      </c>
      <c r="AM736" s="496" t="s">
        <v>1806</v>
      </c>
      <c r="AN736" s="496" t="s">
        <v>1757</v>
      </c>
      <c r="AO736" s="494">
        <v>796</v>
      </c>
      <c r="AP736" s="494" t="s">
        <v>368</v>
      </c>
      <c r="AQ736" s="494">
        <v>1</v>
      </c>
      <c r="AR736" s="494">
        <v>45</v>
      </c>
      <c r="AS736" s="496" t="s">
        <v>547</v>
      </c>
      <c r="AT736" s="495">
        <v>41756</v>
      </c>
      <c r="AU736" s="495">
        <v>41756</v>
      </c>
      <c r="AV736" s="583">
        <v>42003</v>
      </c>
      <c r="AW736" s="494">
        <v>2014</v>
      </c>
      <c r="AX736" s="496"/>
      <c r="AY736" s="494" t="s">
        <v>186</v>
      </c>
      <c r="AZ736" s="494"/>
      <c r="BA736" s="494">
        <v>2014</v>
      </c>
      <c r="BB736" s="494" t="s">
        <v>6833</v>
      </c>
      <c r="BC736" s="496" t="s">
        <v>6834</v>
      </c>
      <c r="BD736" s="494" t="s">
        <v>6835</v>
      </c>
      <c r="BE736" s="575">
        <v>42003</v>
      </c>
      <c r="BF736" s="498">
        <v>19898.575999999997</v>
      </c>
      <c r="BG736" s="488">
        <v>19898.575999999997</v>
      </c>
      <c r="BH736" s="488"/>
      <c r="BI736" s="488">
        <v>0.43</v>
      </c>
      <c r="BJ736" s="494" t="s">
        <v>186</v>
      </c>
      <c r="BK736" s="401"/>
    </row>
    <row r="737" spans="1:63" ht="93.75">
      <c r="A737" s="401">
        <v>2</v>
      </c>
      <c r="B737" s="494" t="s">
        <v>6836</v>
      </c>
      <c r="C737" s="401" t="s">
        <v>83</v>
      </c>
      <c r="D737" s="401" t="s">
        <v>238</v>
      </c>
      <c r="E737" s="494" t="s">
        <v>5853</v>
      </c>
      <c r="F737" s="401" t="s">
        <v>1761</v>
      </c>
      <c r="G737" s="401" t="s">
        <v>1762</v>
      </c>
      <c r="H737" s="499">
        <v>641381</v>
      </c>
      <c r="I737" s="486" t="s">
        <v>6837</v>
      </c>
      <c r="J737" s="496" t="s">
        <v>2233</v>
      </c>
      <c r="K737" s="496" t="s">
        <v>2233</v>
      </c>
      <c r="L737" s="500" t="s">
        <v>1772</v>
      </c>
      <c r="M737" s="500" t="s">
        <v>1755</v>
      </c>
      <c r="N737" s="496" t="s">
        <v>1773</v>
      </c>
      <c r="O737" s="496" t="s">
        <v>2234</v>
      </c>
      <c r="P737" s="489">
        <v>2175.288</v>
      </c>
      <c r="Q737" s="489">
        <v>2566.8398400000001</v>
      </c>
      <c r="R737" s="584">
        <v>1773.586</v>
      </c>
      <c r="S737" s="401" t="s">
        <v>6138</v>
      </c>
      <c r="T737" s="490">
        <v>1.087</v>
      </c>
      <c r="U737" s="490">
        <v>1.0680000000000001</v>
      </c>
      <c r="V737" s="490">
        <v>1.0589999999999999</v>
      </c>
      <c r="W737" s="490">
        <v>1.0580000000000001</v>
      </c>
      <c r="X737" s="491">
        <v>0.9</v>
      </c>
      <c r="Y737" s="502">
        <v>2076.2382419559499</v>
      </c>
      <c r="Z737" s="489">
        <v>2449.9611255080208</v>
      </c>
      <c r="AA737" s="489">
        <v>2012.9001383577004</v>
      </c>
      <c r="AB737" s="488">
        <v>2375.2221632620863</v>
      </c>
      <c r="AC737" s="492">
        <v>2012.9001383577004</v>
      </c>
      <c r="AD737" s="493">
        <v>2375.2221632620863</v>
      </c>
      <c r="AE737" s="494" t="s">
        <v>173</v>
      </c>
      <c r="AF737" s="494" t="s">
        <v>83</v>
      </c>
      <c r="AG737" s="494" t="s">
        <v>211</v>
      </c>
      <c r="AH737" s="494" t="s">
        <v>545</v>
      </c>
      <c r="AI737" s="495">
        <v>41663</v>
      </c>
      <c r="AJ737" s="495">
        <v>41703</v>
      </c>
      <c r="AK737" s="494" t="s">
        <v>96</v>
      </c>
      <c r="AL737" s="494" t="s">
        <v>96</v>
      </c>
      <c r="AM737" s="496" t="s">
        <v>1793</v>
      </c>
      <c r="AN737" s="496" t="s">
        <v>1757</v>
      </c>
      <c r="AO737" s="494">
        <v>796</v>
      </c>
      <c r="AP737" s="494" t="s">
        <v>368</v>
      </c>
      <c r="AQ737" s="494">
        <v>1</v>
      </c>
      <c r="AR737" s="494">
        <v>45</v>
      </c>
      <c r="AS737" s="496" t="s">
        <v>547</v>
      </c>
      <c r="AT737" s="495">
        <v>41723</v>
      </c>
      <c r="AU737" s="495">
        <v>41723</v>
      </c>
      <c r="AV737" s="495">
        <v>41815</v>
      </c>
      <c r="AW737" s="494">
        <v>2014</v>
      </c>
      <c r="AX737" s="496"/>
      <c r="AY737" s="494" t="s">
        <v>186</v>
      </c>
      <c r="AZ737" s="494"/>
      <c r="BA737" s="494">
        <v>2014</v>
      </c>
      <c r="BB737" s="494" t="s">
        <v>6838</v>
      </c>
      <c r="BC737" s="496" t="s">
        <v>1794</v>
      </c>
      <c r="BD737" s="494" t="s">
        <v>1818</v>
      </c>
      <c r="BE737" s="575">
        <v>42003</v>
      </c>
      <c r="BF737" s="498">
        <v>38083.130740000001</v>
      </c>
      <c r="BG737" s="488">
        <v>38083.130740000001</v>
      </c>
      <c r="BH737" s="488"/>
      <c r="BI737" s="488">
        <v>1.1439999999999999</v>
      </c>
      <c r="BJ737" s="494" t="s">
        <v>186</v>
      </c>
      <c r="BK737" s="401"/>
    </row>
    <row r="738" spans="1:63" ht="104.25" customHeight="1">
      <c r="A738" s="401">
        <v>2</v>
      </c>
      <c r="B738" s="494" t="s">
        <v>6839</v>
      </c>
      <c r="C738" s="401" t="s">
        <v>83</v>
      </c>
      <c r="D738" s="401" t="s">
        <v>238</v>
      </c>
      <c r="E738" s="494" t="s">
        <v>5853</v>
      </c>
      <c r="F738" s="401" t="s">
        <v>1752</v>
      </c>
      <c r="G738" s="401" t="s">
        <v>6141</v>
      </c>
      <c r="H738" s="499">
        <v>641386</v>
      </c>
      <c r="I738" s="486" t="s">
        <v>6840</v>
      </c>
      <c r="J738" s="496" t="s">
        <v>2991</v>
      </c>
      <c r="K738" s="496" t="s">
        <v>2991</v>
      </c>
      <c r="L738" s="500" t="s">
        <v>438</v>
      </c>
      <c r="M738" s="500" t="s">
        <v>1755</v>
      </c>
      <c r="N738" s="496" t="s">
        <v>1773</v>
      </c>
      <c r="O738" s="496" t="s">
        <v>2234</v>
      </c>
      <c r="P738" s="489">
        <v>2821.9983999999999</v>
      </c>
      <c r="Q738" s="489">
        <v>3329.9581119999998</v>
      </c>
      <c r="R738" s="584">
        <v>2205.3636099999999</v>
      </c>
      <c r="S738" s="401" t="s">
        <v>6138</v>
      </c>
      <c r="T738" s="490">
        <v>1.087</v>
      </c>
      <c r="U738" s="490">
        <v>1.0680000000000001</v>
      </c>
      <c r="V738" s="490">
        <v>1.0589999999999999</v>
      </c>
      <c r="W738" s="490">
        <v>1.0580000000000001</v>
      </c>
      <c r="X738" s="491">
        <v>0.9</v>
      </c>
      <c r="Y738" s="502">
        <v>2581.6962157459666</v>
      </c>
      <c r="Z738" s="489">
        <v>3046.4015345802404</v>
      </c>
      <c r="AA738" s="489">
        <v>2616.23581700055</v>
      </c>
      <c r="AB738" s="488">
        <v>3087.1582640606489</v>
      </c>
      <c r="AC738" s="492">
        <v>2581.6962157459666</v>
      </c>
      <c r="AD738" s="493">
        <v>3046.4015345802404</v>
      </c>
      <c r="AE738" s="494" t="s">
        <v>1775</v>
      </c>
      <c r="AF738" s="494" t="s">
        <v>83</v>
      </c>
      <c r="AG738" s="494" t="s">
        <v>211</v>
      </c>
      <c r="AH738" s="494" t="s">
        <v>545</v>
      </c>
      <c r="AI738" s="495">
        <v>41666</v>
      </c>
      <c r="AJ738" s="495">
        <v>41701</v>
      </c>
      <c r="AK738" s="494" t="s">
        <v>96</v>
      </c>
      <c r="AL738" s="494" t="s">
        <v>96</v>
      </c>
      <c r="AM738" s="496" t="s">
        <v>4929</v>
      </c>
      <c r="AN738" s="496" t="s">
        <v>1757</v>
      </c>
      <c r="AO738" s="494">
        <v>796</v>
      </c>
      <c r="AP738" s="494" t="s">
        <v>368</v>
      </c>
      <c r="AQ738" s="494">
        <v>1</v>
      </c>
      <c r="AR738" s="494">
        <v>45</v>
      </c>
      <c r="AS738" s="496" t="s">
        <v>547</v>
      </c>
      <c r="AT738" s="495">
        <v>41721</v>
      </c>
      <c r="AU738" s="495">
        <v>41721</v>
      </c>
      <c r="AV738" s="583">
        <v>41912</v>
      </c>
      <c r="AW738" s="494">
        <v>2014</v>
      </c>
      <c r="AX738" s="496"/>
      <c r="AY738" s="494" t="s">
        <v>186</v>
      </c>
      <c r="AZ738" s="494"/>
      <c r="BA738" s="494">
        <v>2014</v>
      </c>
      <c r="BB738" s="494" t="s">
        <v>6841</v>
      </c>
      <c r="BC738" s="496" t="s">
        <v>6842</v>
      </c>
      <c r="BD738" s="494" t="s">
        <v>1818</v>
      </c>
      <c r="BE738" s="575">
        <v>41912</v>
      </c>
      <c r="BF738" s="498">
        <v>3528.95</v>
      </c>
      <c r="BG738" s="488">
        <v>3528.95</v>
      </c>
      <c r="BH738" s="488"/>
      <c r="BI738" s="488"/>
      <c r="BJ738" s="494" t="s">
        <v>1465</v>
      </c>
      <c r="BK738" s="401"/>
    </row>
    <row r="739" spans="1:63" ht="118.5" customHeight="1">
      <c r="A739" s="401">
        <v>2</v>
      </c>
      <c r="B739" s="494" t="s">
        <v>6843</v>
      </c>
      <c r="C739" s="401" t="s">
        <v>83</v>
      </c>
      <c r="D739" s="401" t="s">
        <v>238</v>
      </c>
      <c r="E739" s="494" t="s">
        <v>5853</v>
      </c>
      <c r="F739" s="401" t="s">
        <v>1752</v>
      </c>
      <c r="G739" s="401" t="s">
        <v>6141</v>
      </c>
      <c r="H739" s="499">
        <v>641387</v>
      </c>
      <c r="I739" s="486" t="s">
        <v>6844</v>
      </c>
      <c r="J739" s="496" t="s">
        <v>2991</v>
      </c>
      <c r="K739" s="496" t="s">
        <v>2991</v>
      </c>
      <c r="L739" s="500" t="s">
        <v>438</v>
      </c>
      <c r="M739" s="500" t="s">
        <v>1755</v>
      </c>
      <c r="N739" s="496" t="s">
        <v>1773</v>
      </c>
      <c r="O739" s="496" t="s">
        <v>2234</v>
      </c>
      <c r="P739" s="489">
        <v>4486.5587100000002</v>
      </c>
      <c r="Q739" s="489">
        <v>5294.1392777999999</v>
      </c>
      <c r="R739" s="584">
        <v>3513.6698299999998</v>
      </c>
      <c r="S739" s="401" t="s">
        <v>6138</v>
      </c>
      <c r="T739" s="490">
        <v>1.087</v>
      </c>
      <c r="U739" s="490">
        <v>1.0680000000000001</v>
      </c>
      <c r="V739" s="490">
        <v>1.0589999999999999</v>
      </c>
      <c r="W739" s="490">
        <v>1.0580000000000001</v>
      </c>
      <c r="X739" s="491">
        <v>0.9</v>
      </c>
      <c r="Y739" s="502">
        <v>4113.2573614433468</v>
      </c>
      <c r="Z739" s="489">
        <v>4853.6436865031492</v>
      </c>
      <c r="AA739" s="489">
        <v>4163.3759137261504</v>
      </c>
      <c r="AB739" s="488">
        <v>4912.783578196857</v>
      </c>
      <c r="AC739" s="492">
        <v>4113.2573614433468</v>
      </c>
      <c r="AD739" s="493">
        <v>4853.6436865031492</v>
      </c>
      <c r="AE739" s="494" t="s">
        <v>1775</v>
      </c>
      <c r="AF739" s="494" t="s">
        <v>83</v>
      </c>
      <c r="AG739" s="494" t="s">
        <v>211</v>
      </c>
      <c r="AH739" s="494" t="s">
        <v>545</v>
      </c>
      <c r="AI739" s="495">
        <v>41666</v>
      </c>
      <c r="AJ739" s="495">
        <v>41701</v>
      </c>
      <c r="AK739" s="494" t="s">
        <v>96</v>
      </c>
      <c r="AL739" s="494" t="s">
        <v>96</v>
      </c>
      <c r="AM739" s="496" t="s">
        <v>4929</v>
      </c>
      <c r="AN739" s="496" t="s">
        <v>1757</v>
      </c>
      <c r="AO739" s="494">
        <v>796</v>
      </c>
      <c r="AP739" s="494" t="s">
        <v>368</v>
      </c>
      <c r="AQ739" s="494">
        <v>1</v>
      </c>
      <c r="AR739" s="494">
        <v>45</v>
      </c>
      <c r="AS739" s="496" t="s">
        <v>547</v>
      </c>
      <c r="AT739" s="495">
        <v>41721</v>
      </c>
      <c r="AU739" s="495">
        <v>41721</v>
      </c>
      <c r="AV739" s="583">
        <v>42003</v>
      </c>
      <c r="AW739" s="494">
        <v>2014</v>
      </c>
      <c r="AX739" s="496"/>
      <c r="AY739" s="494" t="s">
        <v>186</v>
      </c>
      <c r="AZ739" s="494"/>
      <c r="BA739" s="494">
        <v>2014</v>
      </c>
      <c r="BB739" s="494" t="s">
        <v>6845</v>
      </c>
      <c r="BC739" s="496" t="s">
        <v>6846</v>
      </c>
      <c r="BD739" s="494" t="s">
        <v>1818</v>
      </c>
      <c r="BE739" s="575">
        <v>42003</v>
      </c>
      <c r="BF739" s="498">
        <v>5600.3425399999996</v>
      </c>
      <c r="BG739" s="488">
        <v>5600.3425399999996</v>
      </c>
      <c r="BH739" s="488"/>
      <c r="BI739" s="488"/>
      <c r="BJ739" s="494" t="s">
        <v>1465</v>
      </c>
      <c r="BK739" s="401"/>
    </row>
    <row r="740" spans="1:63" ht="96" customHeight="1">
      <c r="A740" s="401">
        <v>2</v>
      </c>
      <c r="B740" s="494" t="s">
        <v>6847</v>
      </c>
      <c r="C740" s="401" t="s">
        <v>83</v>
      </c>
      <c r="D740" s="401" t="s">
        <v>238</v>
      </c>
      <c r="E740" s="494" t="s">
        <v>5853</v>
      </c>
      <c r="F740" s="401" t="s">
        <v>1752</v>
      </c>
      <c r="G740" s="401" t="s">
        <v>6141</v>
      </c>
      <c r="H740" s="499">
        <v>641388</v>
      </c>
      <c r="I740" s="486" t="s">
        <v>6848</v>
      </c>
      <c r="J740" s="496" t="s">
        <v>2991</v>
      </c>
      <c r="K740" s="496" t="s">
        <v>2991</v>
      </c>
      <c r="L740" s="500" t="s">
        <v>438</v>
      </c>
      <c r="M740" s="500" t="s">
        <v>1755</v>
      </c>
      <c r="N740" s="496" t="s">
        <v>1773</v>
      </c>
      <c r="O740" s="496" t="s">
        <v>2234</v>
      </c>
      <c r="P740" s="489">
        <v>1051.0572199999999</v>
      </c>
      <c r="Q740" s="489">
        <v>1240.2475195999998</v>
      </c>
      <c r="R740" s="584">
        <v>822.84432000000004</v>
      </c>
      <c r="S740" s="401" t="s">
        <v>6138</v>
      </c>
      <c r="T740" s="490">
        <v>1.087</v>
      </c>
      <c r="U740" s="490">
        <v>1.0680000000000001</v>
      </c>
      <c r="V740" s="490">
        <v>1.0589999999999999</v>
      </c>
      <c r="W740" s="490">
        <v>1.0580000000000001</v>
      </c>
      <c r="X740" s="491">
        <v>0.9</v>
      </c>
      <c r="Y740" s="502">
        <v>963.25796683117653</v>
      </c>
      <c r="Z740" s="489">
        <v>1136.6444008607882</v>
      </c>
      <c r="AA740" s="489">
        <v>975.30861194204999</v>
      </c>
      <c r="AB740" s="488">
        <v>1150.8641620916189</v>
      </c>
      <c r="AC740" s="492">
        <v>963.25796683117653</v>
      </c>
      <c r="AD740" s="493">
        <v>1136.6444008607882</v>
      </c>
      <c r="AE740" s="494" t="s">
        <v>1775</v>
      </c>
      <c r="AF740" s="494" t="s">
        <v>83</v>
      </c>
      <c r="AG740" s="494" t="s">
        <v>211</v>
      </c>
      <c r="AH740" s="494" t="s">
        <v>545</v>
      </c>
      <c r="AI740" s="495">
        <v>41666</v>
      </c>
      <c r="AJ740" s="495">
        <v>41701</v>
      </c>
      <c r="AK740" s="494" t="s">
        <v>96</v>
      </c>
      <c r="AL740" s="494" t="s">
        <v>96</v>
      </c>
      <c r="AM740" s="496" t="s">
        <v>4929</v>
      </c>
      <c r="AN740" s="496" t="s">
        <v>1757</v>
      </c>
      <c r="AO740" s="494">
        <v>796</v>
      </c>
      <c r="AP740" s="494" t="s">
        <v>368</v>
      </c>
      <c r="AQ740" s="494">
        <v>1</v>
      </c>
      <c r="AR740" s="494">
        <v>45</v>
      </c>
      <c r="AS740" s="496" t="s">
        <v>547</v>
      </c>
      <c r="AT740" s="495">
        <v>41721</v>
      </c>
      <c r="AU740" s="495">
        <v>41721</v>
      </c>
      <c r="AV740" s="495">
        <v>41820</v>
      </c>
      <c r="AW740" s="494">
        <v>2014</v>
      </c>
      <c r="AX740" s="496"/>
      <c r="AY740" s="494" t="s">
        <v>186</v>
      </c>
      <c r="AZ740" s="494"/>
      <c r="BA740" s="494">
        <v>2014</v>
      </c>
      <c r="BB740" s="494" t="s">
        <v>6849</v>
      </c>
      <c r="BC740" s="496" t="s">
        <v>6850</v>
      </c>
      <c r="BD740" s="494" t="s">
        <v>1818</v>
      </c>
      <c r="BE740" s="575">
        <v>41820</v>
      </c>
      <c r="BF740" s="498">
        <v>1312.33818</v>
      </c>
      <c r="BG740" s="488">
        <v>1312.33818</v>
      </c>
      <c r="BH740" s="488"/>
      <c r="BI740" s="488"/>
      <c r="BJ740" s="494" t="s">
        <v>1465</v>
      </c>
      <c r="BK740" s="401"/>
    </row>
    <row r="741" spans="1:63" ht="93" customHeight="1">
      <c r="A741" s="401">
        <v>2</v>
      </c>
      <c r="B741" s="494" t="s">
        <v>6851</v>
      </c>
      <c r="C741" s="401" t="s">
        <v>83</v>
      </c>
      <c r="D741" s="401" t="s">
        <v>238</v>
      </c>
      <c r="E741" s="494" t="s">
        <v>5853</v>
      </c>
      <c r="F741" s="401" t="s">
        <v>1752</v>
      </c>
      <c r="G741" s="401" t="s">
        <v>6141</v>
      </c>
      <c r="H741" s="499">
        <v>641389</v>
      </c>
      <c r="I741" s="486" t="s">
        <v>6852</v>
      </c>
      <c r="J741" s="496" t="s">
        <v>2991</v>
      </c>
      <c r="K741" s="496" t="s">
        <v>2991</v>
      </c>
      <c r="L741" s="500" t="s">
        <v>438</v>
      </c>
      <c r="M741" s="500" t="s">
        <v>1755</v>
      </c>
      <c r="N741" s="496" t="s">
        <v>1773</v>
      </c>
      <c r="O741" s="496" t="s">
        <v>2234</v>
      </c>
      <c r="P741" s="489">
        <v>2066.3561500000001</v>
      </c>
      <c r="Q741" s="489">
        <v>2438.3002569999999</v>
      </c>
      <c r="R741" s="584">
        <v>1617.3637900000001</v>
      </c>
      <c r="S741" s="401" t="s">
        <v>6138</v>
      </c>
      <c r="T741" s="490">
        <v>1.087</v>
      </c>
      <c r="U741" s="490">
        <v>1.0680000000000001</v>
      </c>
      <c r="V741" s="490">
        <v>1.0589999999999999</v>
      </c>
      <c r="W741" s="490">
        <v>1.0580000000000001</v>
      </c>
      <c r="X741" s="491">
        <v>0.9</v>
      </c>
      <c r="Y741" s="502">
        <v>1893.3576110506128</v>
      </c>
      <c r="Z741" s="489">
        <v>2234.1619810397228</v>
      </c>
      <c r="AA741" s="489">
        <v>1917.1273061141999</v>
      </c>
      <c r="AB741" s="488">
        <v>2262.2102212147556</v>
      </c>
      <c r="AC741" s="492">
        <v>1893.3576110506128</v>
      </c>
      <c r="AD741" s="493">
        <v>2234.1619810397228</v>
      </c>
      <c r="AE741" s="494" t="s">
        <v>1775</v>
      </c>
      <c r="AF741" s="494" t="s">
        <v>83</v>
      </c>
      <c r="AG741" s="494" t="s">
        <v>211</v>
      </c>
      <c r="AH741" s="494" t="s">
        <v>545</v>
      </c>
      <c r="AI741" s="495">
        <v>41666</v>
      </c>
      <c r="AJ741" s="495">
        <v>41701</v>
      </c>
      <c r="AK741" s="494" t="s">
        <v>96</v>
      </c>
      <c r="AL741" s="494" t="s">
        <v>96</v>
      </c>
      <c r="AM741" s="496" t="s">
        <v>4929</v>
      </c>
      <c r="AN741" s="496" t="s">
        <v>1757</v>
      </c>
      <c r="AO741" s="494">
        <v>796</v>
      </c>
      <c r="AP741" s="494" t="s">
        <v>368</v>
      </c>
      <c r="AQ741" s="494">
        <v>1</v>
      </c>
      <c r="AR741" s="494">
        <v>45</v>
      </c>
      <c r="AS741" s="496" t="s">
        <v>547</v>
      </c>
      <c r="AT741" s="495">
        <v>41721</v>
      </c>
      <c r="AU741" s="495">
        <v>41721</v>
      </c>
      <c r="AV741" s="583">
        <v>42003</v>
      </c>
      <c r="AW741" s="494">
        <v>2014</v>
      </c>
      <c r="AX741" s="496"/>
      <c r="AY741" s="494" t="s">
        <v>186</v>
      </c>
      <c r="AZ741" s="494"/>
      <c r="BA741" s="494">
        <v>2014</v>
      </c>
      <c r="BB741" s="494" t="s">
        <v>6853</v>
      </c>
      <c r="BC741" s="496" t="s">
        <v>6854</v>
      </c>
      <c r="BD741" s="494" t="s">
        <v>1818</v>
      </c>
      <c r="BE741" s="575">
        <v>42003</v>
      </c>
      <c r="BF741" s="498">
        <v>2580.1911623999999</v>
      </c>
      <c r="BG741" s="488">
        <v>2580.1911623999999</v>
      </c>
      <c r="BH741" s="488"/>
      <c r="BI741" s="488"/>
      <c r="BJ741" s="494" t="s">
        <v>1465</v>
      </c>
      <c r="BK741" s="401"/>
    </row>
    <row r="742" spans="1:63" ht="105.75" customHeight="1">
      <c r="A742" s="401">
        <v>2</v>
      </c>
      <c r="B742" s="494" t="s">
        <v>6855</v>
      </c>
      <c r="C742" s="401" t="s">
        <v>83</v>
      </c>
      <c r="D742" s="401" t="s">
        <v>238</v>
      </c>
      <c r="E742" s="494" t="s">
        <v>5853</v>
      </c>
      <c r="F742" s="401" t="s">
        <v>1768</v>
      </c>
      <c r="G742" s="401" t="s">
        <v>1769</v>
      </c>
      <c r="H742" s="499">
        <v>641399</v>
      </c>
      <c r="I742" s="486" t="s">
        <v>6856</v>
      </c>
      <c r="J742" s="496" t="s">
        <v>2991</v>
      </c>
      <c r="K742" s="496" t="s">
        <v>2991</v>
      </c>
      <c r="L742" s="500" t="s">
        <v>438</v>
      </c>
      <c r="M742" s="500" t="s">
        <v>1755</v>
      </c>
      <c r="N742" s="496" t="s">
        <v>1773</v>
      </c>
      <c r="O742" s="496" t="s">
        <v>2234</v>
      </c>
      <c r="P742" s="489">
        <v>1378.5624800000001</v>
      </c>
      <c r="Q742" s="489">
        <v>1626.7037264000001</v>
      </c>
      <c r="R742" s="584">
        <v>1190.81205</v>
      </c>
      <c r="S742" s="401" t="s">
        <v>6138</v>
      </c>
      <c r="T742" s="490">
        <v>1.087</v>
      </c>
      <c r="U742" s="490">
        <v>1.0680000000000001</v>
      </c>
      <c r="V742" s="490">
        <v>1.0589999999999999</v>
      </c>
      <c r="W742" s="490"/>
      <c r="X742" s="491">
        <v>0.9</v>
      </c>
      <c r="Y742" s="502">
        <v>1317.5966653076073</v>
      </c>
      <c r="Z742" s="489">
        <v>1554.7640650629764</v>
      </c>
      <c r="AA742" s="489">
        <v>1861.2928123983002</v>
      </c>
      <c r="AB742" s="488">
        <v>2196.3255186299939</v>
      </c>
      <c r="AC742" s="492">
        <v>1317.5966653076073</v>
      </c>
      <c r="AD742" s="493">
        <v>1554.7640650629764</v>
      </c>
      <c r="AE742" s="494" t="s">
        <v>1775</v>
      </c>
      <c r="AF742" s="494" t="s">
        <v>83</v>
      </c>
      <c r="AG742" s="494" t="s">
        <v>211</v>
      </c>
      <c r="AH742" s="494" t="s">
        <v>545</v>
      </c>
      <c r="AI742" s="495">
        <v>41654</v>
      </c>
      <c r="AJ742" s="495">
        <v>41689</v>
      </c>
      <c r="AK742" s="494" t="s">
        <v>96</v>
      </c>
      <c r="AL742" s="494" t="s">
        <v>96</v>
      </c>
      <c r="AM742" s="496" t="s">
        <v>4929</v>
      </c>
      <c r="AN742" s="496" t="s">
        <v>1757</v>
      </c>
      <c r="AO742" s="494">
        <v>796</v>
      </c>
      <c r="AP742" s="494" t="s">
        <v>368</v>
      </c>
      <c r="AQ742" s="494">
        <v>1</v>
      </c>
      <c r="AR742" s="494">
        <v>45</v>
      </c>
      <c r="AS742" s="496" t="s">
        <v>547</v>
      </c>
      <c r="AT742" s="495">
        <v>41709</v>
      </c>
      <c r="AU742" s="495">
        <v>41709</v>
      </c>
      <c r="AV742" s="583">
        <v>41912</v>
      </c>
      <c r="AW742" s="494">
        <v>2014</v>
      </c>
      <c r="AX742" s="496"/>
      <c r="AY742" s="494" t="s">
        <v>186</v>
      </c>
      <c r="AZ742" s="494"/>
      <c r="BA742" s="494">
        <v>2014</v>
      </c>
      <c r="BB742" s="494" t="s">
        <v>6857</v>
      </c>
      <c r="BC742" s="496" t="s">
        <v>6858</v>
      </c>
      <c r="BD742" s="494" t="s">
        <v>1818</v>
      </c>
      <c r="BE742" s="575">
        <v>41912</v>
      </c>
      <c r="BF742" s="498">
        <v>1571.42842</v>
      </c>
      <c r="BG742" s="488">
        <v>2232.38</v>
      </c>
      <c r="BH742" s="488"/>
      <c r="BI742" s="488"/>
      <c r="BJ742" s="494" t="s">
        <v>1465</v>
      </c>
      <c r="BK742" s="401"/>
    </row>
    <row r="743" spans="1:63" ht="105.75" customHeight="1">
      <c r="A743" s="401">
        <v>2</v>
      </c>
      <c r="B743" s="494" t="s">
        <v>6859</v>
      </c>
      <c r="C743" s="401" t="s">
        <v>83</v>
      </c>
      <c r="D743" s="401" t="s">
        <v>235</v>
      </c>
      <c r="E743" s="494" t="s">
        <v>5853</v>
      </c>
      <c r="F743" s="401" t="s">
        <v>1761</v>
      </c>
      <c r="G743" s="401" t="s">
        <v>1762</v>
      </c>
      <c r="H743" s="499">
        <v>842550</v>
      </c>
      <c r="I743" s="486" t="s">
        <v>6860</v>
      </c>
      <c r="J743" s="496" t="s">
        <v>2978</v>
      </c>
      <c r="K743" s="496" t="s">
        <v>2978</v>
      </c>
      <c r="L743" s="500" t="s">
        <v>438</v>
      </c>
      <c r="M743" s="500" t="s">
        <v>1755</v>
      </c>
      <c r="N743" s="496" t="s">
        <v>1773</v>
      </c>
      <c r="O743" s="496" t="s">
        <v>2234</v>
      </c>
      <c r="P743" s="489">
        <v>15195.141</v>
      </c>
      <c r="Q743" s="489">
        <v>17930.266379999997</v>
      </c>
      <c r="R743" s="584">
        <v>11336.065648625767</v>
      </c>
      <c r="S743" s="401" t="s">
        <v>1774</v>
      </c>
      <c r="T743" s="490">
        <v>1.087</v>
      </c>
      <c r="U743" s="490">
        <v>1.0680000000000001</v>
      </c>
      <c r="V743" s="490">
        <v>1.0589999999999999</v>
      </c>
      <c r="W743" s="490">
        <v>1.0580000000000001</v>
      </c>
      <c r="X743" s="491">
        <v>0.9</v>
      </c>
      <c r="Y743" s="502">
        <v>13270.5</v>
      </c>
      <c r="Z743" s="489">
        <v>15659.189999999999</v>
      </c>
      <c r="AA743" s="489">
        <v>12611.903895169176</v>
      </c>
      <c r="AB743" s="488">
        <v>14882.046596299628</v>
      </c>
      <c r="AC743" s="492">
        <v>12611.903895169176</v>
      </c>
      <c r="AD743" s="493">
        <v>14882.046596299628</v>
      </c>
      <c r="AE743" s="494" t="s">
        <v>1775</v>
      </c>
      <c r="AF743" s="494" t="s">
        <v>83</v>
      </c>
      <c r="AG743" s="494" t="s">
        <v>211</v>
      </c>
      <c r="AH743" s="494" t="s">
        <v>545</v>
      </c>
      <c r="AI743" s="495">
        <v>41669</v>
      </c>
      <c r="AJ743" s="495">
        <v>41704</v>
      </c>
      <c r="AK743" s="494" t="s">
        <v>96</v>
      </c>
      <c r="AL743" s="494" t="s">
        <v>96</v>
      </c>
      <c r="AM743" s="496" t="s">
        <v>5709</v>
      </c>
      <c r="AN743" s="496" t="s">
        <v>1757</v>
      </c>
      <c r="AO743" s="494">
        <v>796</v>
      </c>
      <c r="AP743" s="494" t="s">
        <v>368</v>
      </c>
      <c r="AQ743" s="494">
        <v>1</v>
      </c>
      <c r="AR743" s="494">
        <v>46</v>
      </c>
      <c r="AS743" s="496" t="s">
        <v>605</v>
      </c>
      <c r="AT743" s="495">
        <v>41724</v>
      </c>
      <c r="AU743" s="495">
        <v>41724</v>
      </c>
      <c r="AV743" s="583">
        <v>41912</v>
      </c>
      <c r="AW743" s="494">
        <v>2014</v>
      </c>
      <c r="AX743" s="496"/>
      <c r="AY743" s="494" t="s">
        <v>186</v>
      </c>
      <c r="AZ743" s="494"/>
      <c r="BA743" s="494">
        <v>2014</v>
      </c>
      <c r="BB743" s="494" t="s">
        <v>6861</v>
      </c>
      <c r="BC743" s="496" t="s">
        <v>6862</v>
      </c>
      <c r="BD743" s="494" t="s">
        <v>1818</v>
      </c>
      <c r="BE743" s="575">
        <v>41912</v>
      </c>
      <c r="BF743" s="498">
        <v>172374.39999999999</v>
      </c>
      <c r="BG743" s="488">
        <v>157020.26005999997</v>
      </c>
      <c r="BH743" s="488">
        <v>4</v>
      </c>
      <c r="BI743" s="488">
        <v>0</v>
      </c>
      <c r="BJ743" s="494" t="s">
        <v>1465</v>
      </c>
      <c r="BK743" s="401"/>
    </row>
    <row r="744" spans="1:63" ht="158.25" customHeight="1">
      <c r="A744" s="555">
        <v>2</v>
      </c>
      <c r="B744" s="562" t="s">
        <v>6863</v>
      </c>
      <c r="C744" s="555" t="s">
        <v>83</v>
      </c>
      <c r="D744" s="555" t="s">
        <v>225</v>
      </c>
      <c r="E744" s="562" t="s">
        <v>5853</v>
      </c>
      <c r="F744" s="555" t="s">
        <v>1752</v>
      </c>
      <c r="G744" s="555" t="s">
        <v>2344</v>
      </c>
      <c r="H744" s="556" t="s">
        <v>6864</v>
      </c>
      <c r="I744" s="486" t="s">
        <v>6865</v>
      </c>
      <c r="J744" s="486" t="s">
        <v>2991</v>
      </c>
      <c r="K744" s="486" t="s">
        <v>2991</v>
      </c>
      <c r="L744" s="576" t="s">
        <v>2513</v>
      </c>
      <c r="M744" s="576" t="s">
        <v>1755</v>
      </c>
      <c r="N744" s="486" t="s">
        <v>1773</v>
      </c>
      <c r="O744" s="486" t="s">
        <v>2234</v>
      </c>
      <c r="P744" s="492">
        <v>6742.37</v>
      </c>
      <c r="Q744" s="492">
        <v>7955.9965999999995</v>
      </c>
      <c r="R744" s="585">
        <v>4430.0857500000002</v>
      </c>
      <c r="S744" s="555" t="s">
        <v>6272</v>
      </c>
      <c r="T744" s="577">
        <v>1.087</v>
      </c>
      <c r="U744" s="577">
        <v>1.0680000000000001</v>
      </c>
      <c r="V744" s="577">
        <v>1.0589999999999999</v>
      </c>
      <c r="W744" s="577">
        <v>1.0580000000000001</v>
      </c>
      <c r="X744" s="597">
        <v>0.9</v>
      </c>
      <c r="Y744" s="514">
        <v>5762.2826480074873</v>
      </c>
      <c r="Z744" s="492">
        <v>7923.4758000000002</v>
      </c>
      <c r="AA744" s="492">
        <v>5798.7881446744304</v>
      </c>
      <c r="AB744" s="493">
        <v>6842.5700107158273</v>
      </c>
      <c r="AC744" s="492">
        <v>5762.2826480074873</v>
      </c>
      <c r="AD744" s="493">
        <v>6799.4935246488349</v>
      </c>
      <c r="AE744" s="494" t="s">
        <v>1775</v>
      </c>
      <c r="AF744" s="562" t="s">
        <v>83</v>
      </c>
      <c r="AG744" s="562" t="s">
        <v>211</v>
      </c>
      <c r="AH744" s="562" t="s">
        <v>545</v>
      </c>
      <c r="AI744" s="561">
        <v>41669</v>
      </c>
      <c r="AJ744" s="561">
        <v>41704</v>
      </c>
      <c r="AK744" s="562" t="s">
        <v>96</v>
      </c>
      <c r="AL744" s="562" t="s">
        <v>96</v>
      </c>
      <c r="AM744" s="486" t="str">
        <f t="shared" ref="AM744:AM807" si="118">"Выполнение "&amp;J744</f>
        <v>Выполнение ПИР, СМР, ПНР, оборудование</v>
      </c>
      <c r="AN744" s="486" t="s">
        <v>4784</v>
      </c>
      <c r="AO744" s="562">
        <v>796</v>
      </c>
      <c r="AP744" s="562" t="s">
        <v>368</v>
      </c>
      <c r="AQ744" s="562">
        <v>1</v>
      </c>
      <c r="AR744" s="562">
        <v>46</v>
      </c>
      <c r="AS744" s="486" t="s">
        <v>605</v>
      </c>
      <c r="AT744" s="561">
        <v>41724</v>
      </c>
      <c r="AU744" s="561">
        <v>41724</v>
      </c>
      <c r="AV744" s="561">
        <v>42215</v>
      </c>
      <c r="AW744" s="562" t="s">
        <v>99</v>
      </c>
      <c r="AX744" s="486"/>
      <c r="AY744" s="562" t="s">
        <v>186</v>
      </c>
      <c r="AZ744" s="562"/>
      <c r="BA744" s="562">
        <v>2014</v>
      </c>
      <c r="BB744" s="562" t="s">
        <v>6866</v>
      </c>
      <c r="BC744" s="486" t="s">
        <v>6867</v>
      </c>
      <c r="BD744" s="562" t="s">
        <v>1818</v>
      </c>
      <c r="BE744" s="575">
        <v>42215</v>
      </c>
      <c r="BF744" s="580">
        <v>8205</v>
      </c>
      <c r="BG744" s="488">
        <v>8205</v>
      </c>
      <c r="BH744" s="493">
        <v>0.1</v>
      </c>
      <c r="BI744" s="493">
        <v>2</v>
      </c>
      <c r="BJ744" s="562" t="s">
        <v>1465</v>
      </c>
      <c r="BK744" s="555"/>
    </row>
    <row r="745" spans="1:63" ht="96.75" customHeight="1">
      <c r="A745" s="504">
        <v>2</v>
      </c>
      <c r="B745" s="570" t="s">
        <v>6868</v>
      </c>
      <c r="C745" s="504" t="s">
        <v>83</v>
      </c>
      <c r="D745" s="504" t="s">
        <v>225</v>
      </c>
      <c r="E745" s="570" t="s">
        <v>5853</v>
      </c>
      <c r="F745" s="504" t="s">
        <v>1752</v>
      </c>
      <c r="G745" s="504" t="s">
        <v>2344</v>
      </c>
      <c r="H745" s="517">
        <v>814147</v>
      </c>
      <c r="I745" s="506" t="s">
        <v>6869</v>
      </c>
      <c r="J745" s="506" t="s">
        <v>2991</v>
      </c>
      <c r="K745" s="506" t="s">
        <v>2991</v>
      </c>
      <c r="L745" s="506" t="s">
        <v>2513</v>
      </c>
      <c r="M745" s="571" t="s">
        <v>1755</v>
      </c>
      <c r="N745" s="506" t="s">
        <v>1773</v>
      </c>
      <c r="O745" s="506" t="s">
        <v>2234</v>
      </c>
      <c r="P745" s="512">
        <f>SUM(P746:P747)</f>
        <v>1612.106</v>
      </c>
      <c r="Q745" s="512">
        <f>SUM(Q746:Q747)</f>
        <v>1902.2850799999999</v>
      </c>
      <c r="R745" s="512">
        <f>SUM(R746:R747)</f>
        <v>258.5</v>
      </c>
      <c r="S745" s="504" t="s">
        <v>6272</v>
      </c>
      <c r="T745" s="572">
        <v>1.087</v>
      </c>
      <c r="U745" s="572">
        <v>1.0680000000000001</v>
      </c>
      <c r="V745" s="572">
        <v>1.0589999999999999</v>
      </c>
      <c r="W745" s="572">
        <v>1.0580000000000001</v>
      </c>
      <c r="X745" s="511">
        <v>0.9</v>
      </c>
      <c r="Y745" s="512">
        <f t="shared" ref="Y745:AD745" si="119">SUM(Y746:Y747)</f>
        <v>1640.26</v>
      </c>
      <c r="Z745" s="512">
        <f t="shared" si="119"/>
        <v>1935.5067999999999</v>
      </c>
      <c r="AA745" s="512">
        <f t="shared" si="119"/>
        <v>1604.1779999999999</v>
      </c>
      <c r="AB745" s="512">
        <f t="shared" si="119"/>
        <v>1892.93004</v>
      </c>
      <c r="AC745" s="512">
        <f t="shared" si="119"/>
        <v>1604.1779999999999</v>
      </c>
      <c r="AD745" s="513">
        <f t="shared" si="119"/>
        <v>1892.93004</v>
      </c>
      <c r="AE745" s="494" t="s">
        <v>1775</v>
      </c>
      <c r="AF745" s="570" t="s">
        <v>83</v>
      </c>
      <c r="AG745" s="570" t="s">
        <v>211</v>
      </c>
      <c r="AH745" s="570" t="s">
        <v>545</v>
      </c>
      <c r="AI745" s="515">
        <v>41669</v>
      </c>
      <c r="AJ745" s="515">
        <v>41704</v>
      </c>
      <c r="AK745" s="570" t="s">
        <v>96</v>
      </c>
      <c r="AL745" s="570" t="s">
        <v>96</v>
      </c>
      <c r="AM745" s="506" t="str">
        <f t="shared" si="118"/>
        <v>Выполнение ПИР, СМР, ПНР, оборудование</v>
      </c>
      <c r="AN745" s="506" t="s">
        <v>4784</v>
      </c>
      <c r="AO745" s="570">
        <v>796</v>
      </c>
      <c r="AP745" s="570" t="s">
        <v>368</v>
      </c>
      <c r="AQ745" s="570">
        <v>1</v>
      </c>
      <c r="AR745" s="570">
        <v>46</v>
      </c>
      <c r="AS745" s="506" t="s">
        <v>605</v>
      </c>
      <c r="AT745" s="515">
        <v>41724</v>
      </c>
      <c r="AU745" s="515">
        <v>41724</v>
      </c>
      <c r="AV745" s="759">
        <v>41912</v>
      </c>
      <c r="AW745" s="570">
        <v>2014</v>
      </c>
      <c r="AX745" s="506"/>
      <c r="AY745" s="570" t="s">
        <v>186</v>
      </c>
      <c r="AZ745" s="570"/>
      <c r="BA745" s="570">
        <v>2014</v>
      </c>
      <c r="BB745" s="570" t="s">
        <v>2271</v>
      </c>
      <c r="BC745" s="506" t="s">
        <v>5807</v>
      </c>
      <c r="BD745" s="570" t="s">
        <v>2272</v>
      </c>
      <c r="BE745" s="573" t="s">
        <v>2272</v>
      </c>
      <c r="BF745" s="574" t="s">
        <v>2272</v>
      </c>
      <c r="BG745" s="488" t="s">
        <v>2272</v>
      </c>
      <c r="BH745" s="513" t="s">
        <v>2272</v>
      </c>
      <c r="BI745" s="513" t="s">
        <v>2272</v>
      </c>
      <c r="BJ745" s="570" t="s">
        <v>1465</v>
      </c>
      <c r="BK745" s="504"/>
    </row>
    <row r="746" spans="1:63" ht="95.25" customHeight="1">
      <c r="A746" s="523">
        <v>2</v>
      </c>
      <c r="B746" s="534" t="s">
        <v>6870</v>
      </c>
      <c r="C746" s="523" t="s">
        <v>7112</v>
      </c>
      <c r="D746" s="523" t="s">
        <v>225</v>
      </c>
      <c r="E746" s="534" t="s">
        <v>5853</v>
      </c>
      <c r="F746" s="523" t="s">
        <v>1752</v>
      </c>
      <c r="G746" s="523" t="s">
        <v>2344</v>
      </c>
      <c r="H746" s="524" t="s">
        <v>6160</v>
      </c>
      <c r="I746" s="525" t="s">
        <v>6871</v>
      </c>
      <c r="J746" s="525" t="s">
        <v>2991</v>
      </c>
      <c r="K746" s="525" t="s">
        <v>2991</v>
      </c>
      <c r="L746" s="525" t="s">
        <v>2513</v>
      </c>
      <c r="M746" s="541" t="s">
        <v>1755</v>
      </c>
      <c r="N746" s="525" t="s">
        <v>1773</v>
      </c>
      <c r="O746" s="525" t="s">
        <v>2234</v>
      </c>
      <c r="P746" s="531">
        <v>769.21600000000001</v>
      </c>
      <c r="Q746" s="531">
        <v>907.67487999999992</v>
      </c>
      <c r="R746" s="531">
        <v>125.94</v>
      </c>
      <c r="S746" s="523" t="s">
        <v>6272</v>
      </c>
      <c r="T746" s="542">
        <v>1.087</v>
      </c>
      <c r="U746" s="543">
        <v>1.0680000000000001</v>
      </c>
      <c r="V746" s="543">
        <v>1.0589999999999999</v>
      </c>
      <c r="W746" s="543">
        <v>1.0580000000000001</v>
      </c>
      <c r="X746" s="544">
        <v>0.9</v>
      </c>
      <c r="Y746" s="526">
        <v>785.77</v>
      </c>
      <c r="Z746" s="531">
        <v>927.20859999999993</v>
      </c>
      <c r="AA746" s="531">
        <v>761.75400000000002</v>
      </c>
      <c r="AB746" s="532">
        <v>898.86972000000003</v>
      </c>
      <c r="AC746" s="531">
        <v>761.75400000000002</v>
      </c>
      <c r="AD746" s="532">
        <v>898.86972000000003</v>
      </c>
      <c r="AE746" s="494" t="s">
        <v>1775</v>
      </c>
      <c r="AF746" s="534" t="s">
        <v>83</v>
      </c>
      <c r="AG746" s="534" t="s">
        <v>211</v>
      </c>
      <c r="AH746" s="534" t="s">
        <v>545</v>
      </c>
      <c r="AI746" s="533">
        <v>41669</v>
      </c>
      <c r="AJ746" s="533">
        <v>41704</v>
      </c>
      <c r="AK746" s="534" t="s">
        <v>96</v>
      </c>
      <c r="AL746" s="534" t="s">
        <v>96</v>
      </c>
      <c r="AM746" s="525" t="str">
        <f t="shared" si="118"/>
        <v>Выполнение ПИР, СМР, ПНР, оборудование</v>
      </c>
      <c r="AN746" s="525" t="s">
        <v>4784</v>
      </c>
      <c r="AO746" s="534">
        <v>796</v>
      </c>
      <c r="AP746" s="534" t="s">
        <v>368</v>
      </c>
      <c r="AQ746" s="534">
        <v>1</v>
      </c>
      <c r="AR746" s="534">
        <v>46</v>
      </c>
      <c r="AS746" s="525" t="s">
        <v>605</v>
      </c>
      <c r="AT746" s="533">
        <v>41724</v>
      </c>
      <c r="AU746" s="533">
        <v>41724</v>
      </c>
      <c r="AV746" s="760">
        <v>41912</v>
      </c>
      <c r="AW746" s="534">
        <v>2014</v>
      </c>
      <c r="AX746" s="525"/>
      <c r="AY746" s="534" t="s">
        <v>186</v>
      </c>
      <c r="AZ746" s="534"/>
      <c r="BA746" s="534">
        <v>2014</v>
      </c>
      <c r="BB746" s="534" t="s">
        <v>6872</v>
      </c>
      <c r="BC746" s="525" t="s">
        <v>6873</v>
      </c>
      <c r="BD746" s="534" t="s">
        <v>1818</v>
      </c>
      <c r="BE746" s="545">
        <v>41912</v>
      </c>
      <c r="BF746" s="546">
        <v>932.64131999999995</v>
      </c>
      <c r="BG746" s="488">
        <v>932.64131999999995</v>
      </c>
      <c r="BH746" s="532">
        <v>0</v>
      </c>
      <c r="BI746" s="532">
        <v>0.45</v>
      </c>
      <c r="BJ746" s="534" t="s">
        <v>1465</v>
      </c>
      <c r="BK746" s="523"/>
    </row>
    <row r="747" spans="1:63" ht="95.25" customHeight="1">
      <c r="A747" s="523">
        <v>2</v>
      </c>
      <c r="B747" s="534" t="s">
        <v>6874</v>
      </c>
      <c r="C747" s="523" t="s">
        <v>7112</v>
      </c>
      <c r="D747" s="523" t="s">
        <v>225</v>
      </c>
      <c r="E747" s="534" t="s">
        <v>5853</v>
      </c>
      <c r="F747" s="523" t="s">
        <v>1752</v>
      </c>
      <c r="G747" s="523" t="s">
        <v>2344</v>
      </c>
      <c r="H747" s="524" t="s">
        <v>6160</v>
      </c>
      <c r="I747" s="525" t="s">
        <v>6875</v>
      </c>
      <c r="J747" s="525" t="s">
        <v>5003</v>
      </c>
      <c r="K747" s="525" t="s">
        <v>5003</v>
      </c>
      <c r="L747" s="525" t="s">
        <v>2513</v>
      </c>
      <c r="M747" s="541" t="s">
        <v>1755</v>
      </c>
      <c r="N747" s="525" t="s">
        <v>1773</v>
      </c>
      <c r="O747" s="525" t="s">
        <v>2234</v>
      </c>
      <c r="P747" s="531">
        <v>842.89</v>
      </c>
      <c r="Q747" s="531">
        <v>994.61019999999996</v>
      </c>
      <c r="R747" s="531">
        <v>132.56</v>
      </c>
      <c r="S747" s="523" t="s">
        <v>6272</v>
      </c>
      <c r="T747" s="542">
        <v>1.087</v>
      </c>
      <c r="U747" s="543">
        <v>1.0680000000000001</v>
      </c>
      <c r="V747" s="543">
        <v>1.0589999999999999</v>
      </c>
      <c r="W747" s="543">
        <v>1.0580000000000001</v>
      </c>
      <c r="X747" s="544">
        <v>0.9</v>
      </c>
      <c r="Y747" s="526">
        <v>854.49</v>
      </c>
      <c r="Z747" s="531">
        <v>1008.2982</v>
      </c>
      <c r="AA747" s="531">
        <v>842.42399999999998</v>
      </c>
      <c r="AB747" s="532">
        <v>994.06031999999993</v>
      </c>
      <c r="AC747" s="531">
        <v>842.42399999999998</v>
      </c>
      <c r="AD747" s="532">
        <v>994.06031999999993</v>
      </c>
      <c r="AE747" s="494" t="s">
        <v>1775</v>
      </c>
      <c r="AF747" s="534" t="s">
        <v>83</v>
      </c>
      <c r="AG747" s="534" t="s">
        <v>211</v>
      </c>
      <c r="AH747" s="534" t="s">
        <v>545</v>
      </c>
      <c r="AI747" s="533">
        <v>41669</v>
      </c>
      <c r="AJ747" s="533">
        <v>41704</v>
      </c>
      <c r="AK747" s="534" t="s">
        <v>96</v>
      </c>
      <c r="AL747" s="534" t="s">
        <v>96</v>
      </c>
      <c r="AM747" s="525" t="str">
        <f t="shared" si="118"/>
        <v>Выполнение ПИР, СМР, ПНР</v>
      </c>
      <c r="AN747" s="525" t="s">
        <v>4784</v>
      </c>
      <c r="AO747" s="534">
        <v>796</v>
      </c>
      <c r="AP747" s="534" t="s">
        <v>368</v>
      </c>
      <c r="AQ747" s="534">
        <v>1</v>
      </c>
      <c r="AR747" s="534">
        <v>46</v>
      </c>
      <c r="AS747" s="525" t="s">
        <v>605</v>
      </c>
      <c r="AT747" s="533">
        <v>41724</v>
      </c>
      <c r="AU747" s="533">
        <v>41724</v>
      </c>
      <c r="AV747" s="760">
        <v>41912</v>
      </c>
      <c r="AW747" s="534">
        <v>2014</v>
      </c>
      <c r="AX747" s="525"/>
      <c r="AY747" s="534" t="s">
        <v>186</v>
      </c>
      <c r="AZ747" s="534"/>
      <c r="BA747" s="534">
        <v>2014</v>
      </c>
      <c r="BB747" s="534" t="s">
        <v>6876</v>
      </c>
      <c r="BC747" s="525" t="s">
        <v>6877</v>
      </c>
      <c r="BD747" s="534" t="s">
        <v>1818</v>
      </c>
      <c r="BE747" s="545">
        <v>41912</v>
      </c>
      <c r="BF747" s="546">
        <v>1021.5448799999999</v>
      </c>
      <c r="BG747" s="488">
        <v>1021.5448799999999</v>
      </c>
      <c r="BH747" s="532">
        <v>0</v>
      </c>
      <c r="BI747" s="532">
        <v>0.6</v>
      </c>
      <c r="BJ747" s="534" t="s">
        <v>1465</v>
      </c>
      <c r="BK747" s="523"/>
    </row>
    <row r="748" spans="1:63" ht="105.75" customHeight="1">
      <c r="A748" s="401">
        <v>2</v>
      </c>
      <c r="B748" s="494" t="s">
        <v>6878</v>
      </c>
      <c r="C748" s="401" t="s">
        <v>83</v>
      </c>
      <c r="D748" s="401" t="s">
        <v>225</v>
      </c>
      <c r="E748" s="494" t="s">
        <v>5853</v>
      </c>
      <c r="F748" s="401" t="s">
        <v>1752</v>
      </c>
      <c r="G748" s="401" t="s">
        <v>2344</v>
      </c>
      <c r="H748" s="499">
        <v>814141</v>
      </c>
      <c r="I748" s="486" t="s">
        <v>6879</v>
      </c>
      <c r="J748" s="496" t="s">
        <v>2991</v>
      </c>
      <c r="K748" s="496" t="s">
        <v>2991</v>
      </c>
      <c r="L748" s="500" t="s">
        <v>2513</v>
      </c>
      <c r="M748" s="500" t="s">
        <v>1755</v>
      </c>
      <c r="N748" s="496" t="s">
        <v>1773</v>
      </c>
      <c r="O748" s="496" t="s">
        <v>2234</v>
      </c>
      <c r="P748" s="489">
        <v>4273.607</v>
      </c>
      <c r="Q748" s="489">
        <v>5042.8562599999996</v>
      </c>
      <c r="R748" s="584">
        <v>757.20100000000002</v>
      </c>
      <c r="S748" s="401" t="s">
        <v>6272</v>
      </c>
      <c r="T748" s="490">
        <v>1.087</v>
      </c>
      <c r="U748" s="490">
        <v>1.0680000000000001</v>
      </c>
      <c r="V748" s="490">
        <v>1.0589999999999999</v>
      </c>
      <c r="W748" s="490">
        <v>1.0580000000000001</v>
      </c>
      <c r="X748" s="491">
        <v>0.9</v>
      </c>
      <c r="Y748" s="502">
        <v>4210.7579999999998</v>
      </c>
      <c r="Z748" s="489">
        <v>4968.6944399999993</v>
      </c>
      <c r="AA748" s="489">
        <v>4236.2910000000002</v>
      </c>
      <c r="AB748" s="488">
        <v>4998.8233799999998</v>
      </c>
      <c r="AC748" s="492">
        <v>4210.7579999999998</v>
      </c>
      <c r="AD748" s="493">
        <v>4968.6944399999993</v>
      </c>
      <c r="AE748" s="494" t="s">
        <v>1775</v>
      </c>
      <c r="AF748" s="494" t="s">
        <v>83</v>
      </c>
      <c r="AG748" s="494" t="s">
        <v>211</v>
      </c>
      <c r="AH748" s="494" t="s">
        <v>545</v>
      </c>
      <c r="AI748" s="495">
        <v>41669</v>
      </c>
      <c r="AJ748" s="495">
        <v>41704</v>
      </c>
      <c r="AK748" s="494" t="s">
        <v>96</v>
      </c>
      <c r="AL748" s="494" t="s">
        <v>96</v>
      </c>
      <c r="AM748" s="496" t="str">
        <f t="shared" si="118"/>
        <v>Выполнение ПИР, СМР, ПНР, оборудование</v>
      </c>
      <c r="AN748" s="496" t="s">
        <v>4784</v>
      </c>
      <c r="AO748" s="494">
        <v>796</v>
      </c>
      <c r="AP748" s="494" t="s">
        <v>368</v>
      </c>
      <c r="AQ748" s="494">
        <v>1</v>
      </c>
      <c r="AR748" s="494">
        <v>46</v>
      </c>
      <c r="AS748" s="496" t="s">
        <v>605</v>
      </c>
      <c r="AT748" s="495">
        <v>41724</v>
      </c>
      <c r="AU748" s="495">
        <v>41724</v>
      </c>
      <c r="AV748" s="583">
        <v>41912</v>
      </c>
      <c r="AW748" s="494">
        <v>2014</v>
      </c>
      <c r="AX748" s="496"/>
      <c r="AY748" s="494" t="s">
        <v>186</v>
      </c>
      <c r="AZ748" s="494"/>
      <c r="BA748" s="494">
        <v>2014</v>
      </c>
      <c r="BB748" s="494" t="s">
        <v>6880</v>
      </c>
      <c r="BC748" s="496" t="s">
        <v>6881</v>
      </c>
      <c r="BD748" s="494" t="s">
        <v>1818</v>
      </c>
      <c r="BE748" s="575">
        <v>41912</v>
      </c>
      <c r="BF748" s="498">
        <v>5192.2713999999996</v>
      </c>
      <c r="BG748" s="488">
        <v>5192.2713999999996</v>
      </c>
      <c r="BH748" s="488">
        <v>0.63</v>
      </c>
      <c r="BI748" s="488">
        <v>0.3</v>
      </c>
      <c r="BJ748" s="494" t="s">
        <v>1465</v>
      </c>
      <c r="BK748" s="401"/>
    </row>
    <row r="749" spans="1:63" ht="105.75" customHeight="1">
      <c r="A749" s="401">
        <v>2</v>
      </c>
      <c r="B749" s="494" t="s">
        <v>6882</v>
      </c>
      <c r="C749" s="401" t="s">
        <v>83</v>
      </c>
      <c r="D749" s="401" t="s">
        <v>225</v>
      </c>
      <c r="E749" s="494" t="s">
        <v>5853</v>
      </c>
      <c r="F749" s="401" t="s">
        <v>1752</v>
      </c>
      <c r="G749" s="401" t="s">
        <v>2344</v>
      </c>
      <c r="H749" s="499">
        <v>814131</v>
      </c>
      <c r="I749" s="486" t="s">
        <v>6883</v>
      </c>
      <c r="J749" s="496" t="s">
        <v>2991</v>
      </c>
      <c r="K749" s="496" t="s">
        <v>2991</v>
      </c>
      <c r="L749" s="500" t="s">
        <v>2513</v>
      </c>
      <c r="M749" s="500" t="s">
        <v>1755</v>
      </c>
      <c r="N749" s="496" t="s">
        <v>1773</v>
      </c>
      <c r="O749" s="496" t="s">
        <v>2234</v>
      </c>
      <c r="P749" s="489">
        <v>1204.0619999999999</v>
      </c>
      <c r="Q749" s="489">
        <v>1420.7931599999997</v>
      </c>
      <c r="R749" s="584">
        <v>182.98400000000001</v>
      </c>
      <c r="S749" s="401" t="s">
        <v>6272</v>
      </c>
      <c r="T749" s="490">
        <v>1.087</v>
      </c>
      <c r="U749" s="490">
        <v>1.0680000000000001</v>
      </c>
      <c r="V749" s="490">
        <v>1.0589999999999999</v>
      </c>
      <c r="W749" s="490">
        <v>1.0580000000000001</v>
      </c>
      <c r="X749" s="491">
        <v>0.9</v>
      </c>
      <c r="Y749" s="502">
        <v>1072.01</v>
      </c>
      <c r="Z749" s="489">
        <v>1264.9718</v>
      </c>
      <c r="AA749" s="489">
        <v>1070.5129999999999</v>
      </c>
      <c r="AB749" s="488">
        <v>1263.2053399999998</v>
      </c>
      <c r="AC749" s="492">
        <v>1070.5129999999999</v>
      </c>
      <c r="AD749" s="493">
        <v>1263.2053399999998</v>
      </c>
      <c r="AE749" s="494" t="s">
        <v>1775</v>
      </c>
      <c r="AF749" s="494" t="s">
        <v>83</v>
      </c>
      <c r="AG749" s="494" t="s">
        <v>211</v>
      </c>
      <c r="AH749" s="494" t="s">
        <v>545</v>
      </c>
      <c r="AI749" s="495">
        <v>41669</v>
      </c>
      <c r="AJ749" s="495">
        <v>41704</v>
      </c>
      <c r="AK749" s="494" t="s">
        <v>96</v>
      </c>
      <c r="AL749" s="494" t="s">
        <v>96</v>
      </c>
      <c r="AM749" s="496" t="str">
        <f t="shared" si="118"/>
        <v>Выполнение ПИР, СМР, ПНР, оборудование</v>
      </c>
      <c r="AN749" s="496" t="s">
        <v>4784</v>
      </c>
      <c r="AO749" s="494">
        <v>796</v>
      </c>
      <c r="AP749" s="494" t="s">
        <v>368</v>
      </c>
      <c r="AQ749" s="494">
        <v>1</v>
      </c>
      <c r="AR749" s="494">
        <v>46</v>
      </c>
      <c r="AS749" s="496" t="s">
        <v>605</v>
      </c>
      <c r="AT749" s="495">
        <v>41724</v>
      </c>
      <c r="AU749" s="495">
        <v>41724</v>
      </c>
      <c r="AV749" s="495">
        <v>41820</v>
      </c>
      <c r="AW749" s="494">
        <v>2014</v>
      </c>
      <c r="AX749" s="496"/>
      <c r="AY749" s="494" t="s">
        <v>186</v>
      </c>
      <c r="AZ749" s="494"/>
      <c r="BA749" s="494">
        <v>2014</v>
      </c>
      <c r="BB749" s="494" t="s">
        <v>6884</v>
      </c>
      <c r="BC749" s="496" t="s">
        <v>6885</v>
      </c>
      <c r="BD749" s="494" t="s">
        <v>1818</v>
      </c>
      <c r="BE749" s="575">
        <v>41820</v>
      </c>
      <c r="BF749" s="498">
        <v>1452.9794300000001</v>
      </c>
      <c r="BG749" s="488">
        <v>1452.9794300000001</v>
      </c>
      <c r="BH749" s="488">
        <v>0.16</v>
      </c>
      <c r="BI749" s="488">
        <v>0.4</v>
      </c>
      <c r="BJ749" s="494" t="s">
        <v>1465</v>
      </c>
      <c r="BK749" s="401"/>
    </row>
    <row r="750" spans="1:63" ht="105.75" customHeight="1">
      <c r="A750" s="401">
        <v>2</v>
      </c>
      <c r="B750" s="494" t="s">
        <v>6886</v>
      </c>
      <c r="C750" s="401" t="s">
        <v>83</v>
      </c>
      <c r="D750" s="401" t="s">
        <v>225</v>
      </c>
      <c r="E750" s="494" t="s">
        <v>5853</v>
      </c>
      <c r="F750" s="401" t="s">
        <v>1752</v>
      </c>
      <c r="G750" s="401" t="s">
        <v>2344</v>
      </c>
      <c r="H750" s="499">
        <v>814135</v>
      </c>
      <c r="I750" s="486" t="s">
        <v>6887</v>
      </c>
      <c r="J750" s="496" t="s">
        <v>2991</v>
      </c>
      <c r="K750" s="496" t="s">
        <v>2991</v>
      </c>
      <c r="L750" s="500" t="s">
        <v>2513</v>
      </c>
      <c r="M750" s="500" t="s">
        <v>1755</v>
      </c>
      <c r="N750" s="496" t="s">
        <v>1773</v>
      </c>
      <c r="O750" s="496" t="s">
        <v>2234</v>
      </c>
      <c r="P750" s="489">
        <v>1588.8720000000001</v>
      </c>
      <c r="Q750" s="489">
        <v>1874.86896</v>
      </c>
      <c r="R750" s="584">
        <v>249.29300000000001</v>
      </c>
      <c r="S750" s="401" t="s">
        <v>6272</v>
      </c>
      <c r="T750" s="490">
        <v>1.087</v>
      </c>
      <c r="U750" s="490">
        <v>1.0680000000000001</v>
      </c>
      <c r="V750" s="490">
        <v>1.0589999999999999</v>
      </c>
      <c r="W750" s="490">
        <v>1.0580000000000001</v>
      </c>
      <c r="X750" s="491">
        <v>0.9</v>
      </c>
      <c r="Y750" s="502">
        <v>1585.7139999999999</v>
      </c>
      <c r="Z750" s="489">
        <v>1871.1425199999999</v>
      </c>
      <c r="AA750" s="489">
        <v>1595.8691671864772</v>
      </c>
      <c r="AB750" s="488">
        <v>1883.1256172800429</v>
      </c>
      <c r="AC750" s="492">
        <v>1585.7139999999999</v>
      </c>
      <c r="AD750" s="493">
        <v>1871.1425199999999</v>
      </c>
      <c r="AE750" s="494" t="s">
        <v>1775</v>
      </c>
      <c r="AF750" s="494" t="s">
        <v>83</v>
      </c>
      <c r="AG750" s="494" t="s">
        <v>211</v>
      </c>
      <c r="AH750" s="494" t="s">
        <v>545</v>
      </c>
      <c r="AI750" s="495">
        <v>41669</v>
      </c>
      <c r="AJ750" s="495">
        <v>41704</v>
      </c>
      <c r="AK750" s="494" t="s">
        <v>96</v>
      </c>
      <c r="AL750" s="494" t="s">
        <v>96</v>
      </c>
      <c r="AM750" s="496" t="str">
        <f t="shared" si="118"/>
        <v>Выполнение ПИР, СМР, ПНР, оборудование</v>
      </c>
      <c r="AN750" s="496" t="s">
        <v>4784</v>
      </c>
      <c r="AO750" s="494">
        <v>796</v>
      </c>
      <c r="AP750" s="494" t="s">
        <v>368</v>
      </c>
      <c r="AQ750" s="494">
        <v>1</v>
      </c>
      <c r="AR750" s="494">
        <v>46</v>
      </c>
      <c r="AS750" s="496" t="s">
        <v>605</v>
      </c>
      <c r="AT750" s="495">
        <v>41724</v>
      </c>
      <c r="AU750" s="495">
        <v>41724</v>
      </c>
      <c r="AV750" s="495">
        <v>41820</v>
      </c>
      <c r="AW750" s="494">
        <v>2014</v>
      </c>
      <c r="AX750" s="496"/>
      <c r="AY750" s="494" t="s">
        <v>186</v>
      </c>
      <c r="AZ750" s="494"/>
      <c r="BA750" s="494">
        <v>2014</v>
      </c>
      <c r="BB750" s="494" t="s">
        <v>6888</v>
      </c>
      <c r="BC750" s="496" t="s">
        <v>6889</v>
      </c>
      <c r="BD750" s="494" t="s">
        <v>1818</v>
      </c>
      <c r="BE750" s="575">
        <v>41820</v>
      </c>
      <c r="BF750" s="498">
        <v>1922.6400799999999</v>
      </c>
      <c r="BG750" s="488">
        <v>1922.6400799999999</v>
      </c>
      <c r="BH750" s="488">
        <v>0.16</v>
      </c>
      <c r="BI750" s="488">
        <v>0.7</v>
      </c>
      <c r="BJ750" s="494" t="s">
        <v>1465</v>
      </c>
      <c r="BK750" s="401"/>
    </row>
    <row r="751" spans="1:63" ht="96.75" customHeight="1">
      <c r="A751" s="504">
        <v>2</v>
      </c>
      <c r="B751" s="570" t="s">
        <v>6890</v>
      </c>
      <c r="C751" s="504" t="s">
        <v>83</v>
      </c>
      <c r="D751" s="504" t="s">
        <v>225</v>
      </c>
      <c r="E751" s="570" t="s">
        <v>5853</v>
      </c>
      <c r="F751" s="504" t="s">
        <v>1752</v>
      </c>
      <c r="G751" s="504" t="s">
        <v>2344</v>
      </c>
      <c r="H751" s="517" t="s">
        <v>6891</v>
      </c>
      <c r="I751" s="506" t="s">
        <v>6892</v>
      </c>
      <c r="J751" s="506" t="s">
        <v>2991</v>
      </c>
      <c r="K751" s="506" t="s">
        <v>2991</v>
      </c>
      <c r="L751" s="506" t="s">
        <v>2513</v>
      </c>
      <c r="M751" s="571" t="s">
        <v>1755</v>
      </c>
      <c r="N751" s="506" t="s">
        <v>1773</v>
      </c>
      <c r="O751" s="506" t="s">
        <v>2234</v>
      </c>
      <c r="P751" s="512">
        <f t="shared" ref="P751:R751" si="120">SUM(P752:P753)</f>
        <v>12836.297999999999</v>
      </c>
      <c r="Q751" s="512">
        <f t="shared" si="120"/>
        <v>15146.831639999999</v>
      </c>
      <c r="R751" s="512">
        <f t="shared" si="120"/>
        <v>10896.808000000001</v>
      </c>
      <c r="S751" s="504" t="s">
        <v>6272</v>
      </c>
      <c r="T751" s="572">
        <v>1.087</v>
      </c>
      <c r="U751" s="572">
        <v>1.0680000000000001</v>
      </c>
      <c r="V751" s="572">
        <v>1.0589999999999999</v>
      </c>
      <c r="W751" s="572">
        <v>1.0580000000000001</v>
      </c>
      <c r="X751" s="511">
        <v>0.9</v>
      </c>
      <c r="Y751" s="512">
        <f t="shared" ref="Y751:AB751" si="121">SUM(Y752:Y753)</f>
        <v>11778.315000000001</v>
      </c>
      <c r="Z751" s="512">
        <f t="shared" si="121"/>
        <v>13898.411700000001</v>
      </c>
      <c r="AA751" s="512">
        <f t="shared" si="121"/>
        <v>12584.712454193364</v>
      </c>
      <c r="AB751" s="512">
        <f t="shared" si="121"/>
        <v>14849.960695948168</v>
      </c>
      <c r="AC751" s="512">
        <f>SUM(AC752:AC753)</f>
        <v>11778.315000000001</v>
      </c>
      <c r="AD751" s="512">
        <f>SUM(AD752:AD753)</f>
        <v>13898.411700000001</v>
      </c>
      <c r="AE751" s="494" t="s">
        <v>1775</v>
      </c>
      <c r="AF751" s="570" t="s">
        <v>83</v>
      </c>
      <c r="AG751" s="570" t="s">
        <v>211</v>
      </c>
      <c r="AH751" s="570" t="s">
        <v>545</v>
      </c>
      <c r="AI751" s="515">
        <v>41669</v>
      </c>
      <c r="AJ751" s="515">
        <v>41704</v>
      </c>
      <c r="AK751" s="570"/>
      <c r="AL751" s="570"/>
      <c r="AM751" s="506" t="str">
        <f t="shared" si="118"/>
        <v>Выполнение ПИР, СМР, ПНР, оборудование</v>
      </c>
      <c r="AN751" s="506" t="s">
        <v>4784</v>
      </c>
      <c r="AO751" s="570">
        <v>796</v>
      </c>
      <c r="AP751" s="570" t="s">
        <v>368</v>
      </c>
      <c r="AQ751" s="570">
        <v>1</v>
      </c>
      <c r="AR751" s="570">
        <v>46</v>
      </c>
      <c r="AS751" s="506" t="s">
        <v>605</v>
      </c>
      <c r="AT751" s="515">
        <v>41724</v>
      </c>
      <c r="AU751" s="515">
        <v>41724</v>
      </c>
      <c r="AV751" s="759">
        <v>41912</v>
      </c>
      <c r="AW751" s="570">
        <v>2014</v>
      </c>
      <c r="AX751" s="506"/>
      <c r="AY751" s="570" t="s">
        <v>186</v>
      </c>
      <c r="AZ751" s="570"/>
      <c r="BA751" s="570">
        <v>2014</v>
      </c>
      <c r="BB751" s="570" t="s">
        <v>2271</v>
      </c>
      <c r="BC751" s="506" t="s">
        <v>5807</v>
      </c>
      <c r="BD751" s="570" t="s">
        <v>2272</v>
      </c>
      <c r="BE751" s="573" t="s">
        <v>2272</v>
      </c>
      <c r="BF751" s="574" t="s">
        <v>2272</v>
      </c>
      <c r="BG751" s="488" t="s">
        <v>2272</v>
      </c>
      <c r="BH751" s="513" t="s">
        <v>2272</v>
      </c>
      <c r="BI751" s="513" t="s">
        <v>2272</v>
      </c>
      <c r="BJ751" s="570" t="s">
        <v>1465</v>
      </c>
      <c r="BK751" s="504"/>
    </row>
    <row r="752" spans="1:63" ht="95.25" customHeight="1">
      <c r="A752" s="523">
        <v>2</v>
      </c>
      <c r="B752" s="534" t="s">
        <v>6893</v>
      </c>
      <c r="C752" s="523" t="s">
        <v>7112</v>
      </c>
      <c r="D752" s="523" t="s">
        <v>225</v>
      </c>
      <c r="E752" s="534" t="s">
        <v>5853</v>
      </c>
      <c r="F752" s="523" t="s">
        <v>1752</v>
      </c>
      <c r="G752" s="523" t="s">
        <v>2344</v>
      </c>
      <c r="H752" s="524" t="s">
        <v>6160</v>
      </c>
      <c r="I752" s="525" t="s">
        <v>6894</v>
      </c>
      <c r="J752" s="525" t="s">
        <v>2991</v>
      </c>
      <c r="K752" s="525" t="s">
        <v>2991</v>
      </c>
      <c r="L752" s="525" t="s">
        <v>2513</v>
      </c>
      <c r="M752" s="541" t="s">
        <v>1755</v>
      </c>
      <c r="N752" s="525" t="s">
        <v>1773</v>
      </c>
      <c r="O752" s="525" t="s">
        <v>2234</v>
      </c>
      <c r="P752" s="531">
        <v>5938.58</v>
      </c>
      <c r="Q752" s="531">
        <v>7007.5243999999993</v>
      </c>
      <c r="R752" s="531">
        <v>5137.3990000000003</v>
      </c>
      <c r="S752" s="523" t="s">
        <v>6272</v>
      </c>
      <c r="T752" s="542">
        <v>1.087</v>
      </c>
      <c r="U752" s="543">
        <v>1.0680000000000001</v>
      </c>
      <c r="V752" s="543">
        <v>1.0589999999999999</v>
      </c>
      <c r="W752" s="543">
        <v>1.0580000000000001</v>
      </c>
      <c r="X752" s="544">
        <v>0.9</v>
      </c>
      <c r="Y752" s="526">
        <v>5453.0540000000001</v>
      </c>
      <c r="Z752" s="531">
        <v>6434.6037200000001</v>
      </c>
      <c r="AA752" s="531">
        <v>5832.6100896617127</v>
      </c>
      <c r="AB752" s="532">
        <v>6882.4799058008202</v>
      </c>
      <c r="AC752" s="531">
        <v>5453.0540000000001</v>
      </c>
      <c r="AD752" s="532">
        <v>6434.6037200000001</v>
      </c>
      <c r="AE752" s="494" t="s">
        <v>1775</v>
      </c>
      <c r="AF752" s="534" t="s">
        <v>83</v>
      </c>
      <c r="AG752" s="534" t="s">
        <v>211</v>
      </c>
      <c r="AH752" s="534" t="s">
        <v>545</v>
      </c>
      <c r="AI752" s="533">
        <v>41669</v>
      </c>
      <c r="AJ752" s="533">
        <v>41704</v>
      </c>
      <c r="AK752" s="534" t="s">
        <v>96</v>
      </c>
      <c r="AL752" s="534" t="s">
        <v>96</v>
      </c>
      <c r="AM752" s="525" t="str">
        <f t="shared" si="118"/>
        <v>Выполнение ПИР, СМР, ПНР, оборудование</v>
      </c>
      <c r="AN752" s="525" t="s">
        <v>4784</v>
      </c>
      <c r="AO752" s="534">
        <v>796</v>
      </c>
      <c r="AP752" s="534" t="s">
        <v>368</v>
      </c>
      <c r="AQ752" s="534">
        <v>1</v>
      </c>
      <c r="AR752" s="534">
        <v>46</v>
      </c>
      <c r="AS752" s="525" t="s">
        <v>605</v>
      </c>
      <c r="AT752" s="533">
        <v>41724</v>
      </c>
      <c r="AU752" s="533">
        <v>41724</v>
      </c>
      <c r="AV752" s="760">
        <v>41912</v>
      </c>
      <c r="AW752" s="534">
        <v>2014</v>
      </c>
      <c r="AX752" s="525"/>
      <c r="AY752" s="534" t="s">
        <v>186</v>
      </c>
      <c r="AZ752" s="534"/>
      <c r="BA752" s="534">
        <v>2014</v>
      </c>
      <c r="BB752" s="534" t="s">
        <v>6895</v>
      </c>
      <c r="BC752" s="525" t="s">
        <v>6896</v>
      </c>
      <c r="BD752" s="534" t="s">
        <v>1818</v>
      </c>
      <c r="BE752" s="545">
        <v>41912</v>
      </c>
      <c r="BF752" s="546">
        <v>7182</v>
      </c>
      <c r="BG752" s="488">
        <v>7182</v>
      </c>
      <c r="BH752" s="532">
        <v>0.63</v>
      </c>
      <c r="BI752" s="532">
        <v>3</v>
      </c>
      <c r="BJ752" s="534" t="s">
        <v>1465</v>
      </c>
      <c r="BK752" s="523"/>
    </row>
    <row r="753" spans="1:63" ht="95.25" customHeight="1">
      <c r="A753" s="523">
        <v>2</v>
      </c>
      <c r="B753" s="534" t="s">
        <v>6897</v>
      </c>
      <c r="C753" s="523" t="s">
        <v>7112</v>
      </c>
      <c r="D753" s="523" t="s">
        <v>225</v>
      </c>
      <c r="E753" s="534" t="s">
        <v>5853</v>
      </c>
      <c r="F753" s="523" t="s">
        <v>1752</v>
      </c>
      <c r="G753" s="523" t="s">
        <v>2344</v>
      </c>
      <c r="H753" s="524" t="s">
        <v>6160</v>
      </c>
      <c r="I753" s="525" t="s">
        <v>6898</v>
      </c>
      <c r="J753" s="525" t="s">
        <v>2991</v>
      </c>
      <c r="K753" s="525" t="s">
        <v>2991</v>
      </c>
      <c r="L753" s="525" t="s">
        <v>2513</v>
      </c>
      <c r="M753" s="541" t="s">
        <v>1755</v>
      </c>
      <c r="N753" s="525" t="s">
        <v>1773</v>
      </c>
      <c r="O753" s="525" t="s">
        <v>2234</v>
      </c>
      <c r="P753" s="531">
        <v>6897.7179999999998</v>
      </c>
      <c r="Q753" s="531">
        <v>8139.3072399999992</v>
      </c>
      <c r="R753" s="531">
        <v>5759.4089999999997</v>
      </c>
      <c r="S753" s="523" t="s">
        <v>6272</v>
      </c>
      <c r="T753" s="542">
        <v>1.087</v>
      </c>
      <c r="U753" s="543">
        <v>1.0680000000000001</v>
      </c>
      <c r="V753" s="543">
        <v>1.0589999999999999</v>
      </c>
      <c r="W753" s="543">
        <v>1.0580000000000001</v>
      </c>
      <c r="X753" s="544">
        <v>0.9</v>
      </c>
      <c r="Y753" s="526">
        <v>6325.2610000000004</v>
      </c>
      <c r="Z753" s="531">
        <v>7463.8079800000005</v>
      </c>
      <c r="AA753" s="531">
        <v>6752.1023645316518</v>
      </c>
      <c r="AB753" s="532">
        <v>7967.4807901473487</v>
      </c>
      <c r="AC753" s="531">
        <v>6325.2610000000004</v>
      </c>
      <c r="AD753" s="532">
        <v>7463.8079800000005</v>
      </c>
      <c r="AE753" s="494" t="s">
        <v>1775</v>
      </c>
      <c r="AF753" s="534" t="s">
        <v>83</v>
      </c>
      <c r="AG753" s="534" t="s">
        <v>211</v>
      </c>
      <c r="AH753" s="534" t="s">
        <v>545</v>
      </c>
      <c r="AI753" s="533">
        <v>41669</v>
      </c>
      <c r="AJ753" s="533">
        <v>41704</v>
      </c>
      <c r="AK753" s="534" t="s">
        <v>96</v>
      </c>
      <c r="AL753" s="534" t="s">
        <v>96</v>
      </c>
      <c r="AM753" s="525" t="str">
        <f t="shared" si="118"/>
        <v>Выполнение ПИР, СМР, ПНР, оборудование</v>
      </c>
      <c r="AN753" s="525" t="s">
        <v>4784</v>
      </c>
      <c r="AO753" s="534">
        <v>796</v>
      </c>
      <c r="AP753" s="534" t="s">
        <v>368</v>
      </c>
      <c r="AQ753" s="534">
        <v>1</v>
      </c>
      <c r="AR753" s="534">
        <v>46</v>
      </c>
      <c r="AS753" s="525" t="s">
        <v>605</v>
      </c>
      <c r="AT753" s="533">
        <v>41724</v>
      </c>
      <c r="AU753" s="533">
        <v>41724</v>
      </c>
      <c r="AV753" s="760">
        <v>41912</v>
      </c>
      <c r="AW753" s="534">
        <v>2014</v>
      </c>
      <c r="AX753" s="525"/>
      <c r="AY753" s="534" t="s">
        <v>186</v>
      </c>
      <c r="AZ753" s="534"/>
      <c r="BA753" s="534">
        <v>2014</v>
      </c>
      <c r="BB753" s="534" t="s">
        <v>6899</v>
      </c>
      <c r="BC753" s="525" t="s">
        <v>6900</v>
      </c>
      <c r="BD753" s="534" t="s">
        <v>1818</v>
      </c>
      <c r="BE753" s="545">
        <v>41912</v>
      </c>
      <c r="BF753" s="546">
        <v>8447</v>
      </c>
      <c r="BG753" s="488">
        <v>8447</v>
      </c>
      <c r="BH753" s="532">
        <v>0.8</v>
      </c>
      <c r="BI753" s="532">
        <v>0.46</v>
      </c>
      <c r="BJ753" s="534" t="s">
        <v>1465</v>
      </c>
      <c r="BK753" s="523"/>
    </row>
    <row r="754" spans="1:63" ht="105.75" customHeight="1">
      <c r="A754" s="401">
        <v>2</v>
      </c>
      <c r="B754" s="494" t="s">
        <v>6901</v>
      </c>
      <c r="C754" s="401" t="s">
        <v>83</v>
      </c>
      <c r="D754" s="401" t="s">
        <v>225</v>
      </c>
      <c r="E754" s="494" t="s">
        <v>5853</v>
      </c>
      <c r="F754" s="401" t="s">
        <v>1752</v>
      </c>
      <c r="G754" s="401" t="s">
        <v>2344</v>
      </c>
      <c r="H754" s="499" t="s">
        <v>6902</v>
      </c>
      <c r="I754" s="486" t="s">
        <v>6903</v>
      </c>
      <c r="J754" s="496" t="s">
        <v>2991</v>
      </c>
      <c r="K754" s="496" t="s">
        <v>2991</v>
      </c>
      <c r="L754" s="500" t="s">
        <v>2513</v>
      </c>
      <c r="M754" s="500" t="s">
        <v>1755</v>
      </c>
      <c r="N754" s="496" t="s">
        <v>1773</v>
      </c>
      <c r="O754" s="496" t="s">
        <v>2234</v>
      </c>
      <c r="P754" s="489">
        <v>1544.1610000000001</v>
      </c>
      <c r="Q754" s="489">
        <v>1822.10998</v>
      </c>
      <c r="R754" s="489">
        <v>1169.461</v>
      </c>
      <c r="S754" s="401" t="s">
        <v>6272</v>
      </c>
      <c r="T754" s="490">
        <v>1.087</v>
      </c>
      <c r="U754" s="490">
        <v>1.0680000000000001</v>
      </c>
      <c r="V754" s="490">
        <v>1.0589999999999999</v>
      </c>
      <c r="W754" s="490">
        <v>1.0580000000000001</v>
      </c>
      <c r="X754" s="491">
        <v>0.9</v>
      </c>
      <c r="Y754" s="502">
        <v>1389.7449999999999</v>
      </c>
      <c r="Z754" s="489">
        <v>1639.8990999999999</v>
      </c>
      <c r="AA754" s="489">
        <v>1495.6294986108401</v>
      </c>
      <c r="AB754" s="488">
        <v>1764.8428083607912</v>
      </c>
      <c r="AC754" s="492">
        <v>1389.7449999999999</v>
      </c>
      <c r="AD754" s="493">
        <v>1639.8990999999999</v>
      </c>
      <c r="AE754" s="494" t="s">
        <v>1775</v>
      </c>
      <c r="AF754" s="494" t="s">
        <v>83</v>
      </c>
      <c r="AG754" s="494" t="s">
        <v>211</v>
      </c>
      <c r="AH754" s="494" t="s">
        <v>545</v>
      </c>
      <c r="AI754" s="495">
        <v>41669</v>
      </c>
      <c r="AJ754" s="495">
        <v>41704</v>
      </c>
      <c r="AK754" s="494" t="s">
        <v>96</v>
      </c>
      <c r="AL754" s="494" t="s">
        <v>96</v>
      </c>
      <c r="AM754" s="496" t="str">
        <f t="shared" si="118"/>
        <v>Выполнение ПИР, СМР, ПНР, оборудование</v>
      </c>
      <c r="AN754" s="496" t="s">
        <v>4784</v>
      </c>
      <c r="AO754" s="494">
        <v>796</v>
      </c>
      <c r="AP754" s="494" t="s">
        <v>368</v>
      </c>
      <c r="AQ754" s="494">
        <v>1</v>
      </c>
      <c r="AR754" s="494">
        <v>46</v>
      </c>
      <c r="AS754" s="496" t="s">
        <v>605</v>
      </c>
      <c r="AT754" s="495">
        <v>41724</v>
      </c>
      <c r="AU754" s="495">
        <v>41724</v>
      </c>
      <c r="AV754" s="583">
        <v>41912</v>
      </c>
      <c r="AW754" s="494">
        <v>2014</v>
      </c>
      <c r="AX754" s="496"/>
      <c r="AY754" s="494" t="s">
        <v>186</v>
      </c>
      <c r="AZ754" s="494"/>
      <c r="BA754" s="494">
        <v>2014</v>
      </c>
      <c r="BB754" s="494" t="s">
        <v>6904</v>
      </c>
      <c r="BC754" s="496" t="s">
        <v>6905</v>
      </c>
      <c r="BD754" s="494" t="s">
        <v>1818</v>
      </c>
      <c r="BE754" s="575">
        <v>41912</v>
      </c>
      <c r="BF754" s="498">
        <v>1857</v>
      </c>
      <c r="BG754" s="488">
        <v>1857</v>
      </c>
      <c r="BH754" s="488">
        <v>0.1</v>
      </c>
      <c r="BI754" s="488">
        <v>0.34</v>
      </c>
      <c r="BJ754" s="494" t="s">
        <v>1465</v>
      </c>
      <c r="BK754" s="401"/>
    </row>
    <row r="755" spans="1:63" ht="105.75" customHeight="1">
      <c r="A755" s="401">
        <v>2</v>
      </c>
      <c r="B755" s="494" t="s">
        <v>6906</v>
      </c>
      <c r="C755" s="401" t="s">
        <v>83</v>
      </c>
      <c r="D755" s="401" t="s">
        <v>225</v>
      </c>
      <c r="E755" s="494" t="s">
        <v>5853</v>
      </c>
      <c r="F755" s="401" t="s">
        <v>1752</v>
      </c>
      <c r="G755" s="401" t="s">
        <v>6141</v>
      </c>
      <c r="H755" s="499">
        <v>825556</v>
      </c>
      <c r="I755" s="486" t="s">
        <v>6907</v>
      </c>
      <c r="J755" s="496" t="s">
        <v>2991</v>
      </c>
      <c r="K755" s="496" t="s">
        <v>2991</v>
      </c>
      <c r="L755" s="500" t="s">
        <v>2513</v>
      </c>
      <c r="M755" s="500" t="s">
        <v>1755</v>
      </c>
      <c r="N755" s="496" t="s">
        <v>1773</v>
      </c>
      <c r="O755" s="496" t="s">
        <v>2234</v>
      </c>
      <c r="P755" s="489">
        <v>1723.83</v>
      </c>
      <c r="Q755" s="489">
        <v>2034.1193999999998</v>
      </c>
      <c r="R755" s="584">
        <v>1321.6</v>
      </c>
      <c r="S755" s="401" t="s">
        <v>1774</v>
      </c>
      <c r="T755" s="490">
        <v>1.087</v>
      </c>
      <c r="U755" s="490">
        <v>1.077</v>
      </c>
      <c r="V755" s="490">
        <v>1.073</v>
      </c>
      <c r="W755" s="490">
        <v>1.071</v>
      </c>
      <c r="X755" s="491">
        <v>0.9</v>
      </c>
      <c r="Y755" s="502">
        <v>1581.4469999999999</v>
      </c>
      <c r="Z755" s="489">
        <v>1866.1074599999997</v>
      </c>
      <c r="AA755" s="489">
        <v>1707.7409272018094</v>
      </c>
      <c r="AB755" s="488">
        <v>2015.1342940981351</v>
      </c>
      <c r="AC755" s="492">
        <v>1581.4469999999999</v>
      </c>
      <c r="AD755" s="493">
        <v>1866.1074599999997</v>
      </c>
      <c r="AE755" s="494" t="s">
        <v>1775</v>
      </c>
      <c r="AF755" s="494" t="s">
        <v>83</v>
      </c>
      <c r="AG755" s="494" t="s">
        <v>211</v>
      </c>
      <c r="AH755" s="494" t="s">
        <v>545</v>
      </c>
      <c r="AI755" s="495">
        <v>41669</v>
      </c>
      <c r="AJ755" s="495">
        <v>41704</v>
      </c>
      <c r="AK755" s="494" t="s">
        <v>96</v>
      </c>
      <c r="AL755" s="494" t="s">
        <v>96</v>
      </c>
      <c r="AM755" s="496" t="str">
        <f t="shared" si="118"/>
        <v>Выполнение ПИР, СМР, ПНР, оборудование</v>
      </c>
      <c r="AN755" s="496" t="s">
        <v>4784</v>
      </c>
      <c r="AO755" s="494">
        <v>796</v>
      </c>
      <c r="AP755" s="494" t="s">
        <v>368</v>
      </c>
      <c r="AQ755" s="494">
        <v>1</v>
      </c>
      <c r="AR755" s="494">
        <v>46</v>
      </c>
      <c r="AS755" s="496" t="s">
        <v>605</v>
      </c>
      <c r="AT755" s="495">
        <v>41724</v>
      </c>
      <c r="AU755" s="495">
        <v>41724</v>
      </c>
      <c r="AV755" s="495">
        <v>41820</v>
      </c>
      <c r="AW755" s="494">
        <v>2014</v>
      </c>
      <c r="AX755" s="496"/>
      <c r="AY755" s="494" t="s">
        <v>186</v>
      </c>
      <c r="AZ755" s="494"/>
      <c r="BA755" s="494">
        <v>2014</v>
      </c>
      <c r="BB755" s="494" t="s">
        <v>6908</v>
      </c>
      <c r="BC755" s="496" t="s">
        <v>6909</v>
      </c>
      <c r="BD755" s="494" t="s">
        <v>1818</v>
      </c>
      <c r="BE755" s="575">
        <v>41820</v>
      </c>
      <c r="BF755" s="498">
        <v>2093.3471399999999</v>
      </c>
      <c r="BG755" s="488">
        <v>2093.3471399999999</v>
      </c>
      <c r="BH755" s="488">
        <v>0.63</v>
      </c>
      <c r="BI755" s="488">
        <v>0</v>
      </c>
      <c r="BJ755" s="494" t="s">
        <v>1465</v>
      </c>
      <c r="BK755" s="401"/>
    </row>
    <row r="756" spans="1:63" ht="105.75" customHeight="1">
      <c r="A756" s="401">
        <v>2</v>
      </c>
      <c r="B756" s="494" t="s">
        <v>6910</v>
      </c>
      <c r="C756" s="401" t="s">
        <v>83</v>
      </c>
      <c r="D756" s="401" t="s">
        <v>225</v>
      </c>
      <c r="E756" s="494" t="s">
        <v>5853</v>
      </c>
      <c r="F756" s="401" t="s">
        <v>1752</v>
      </c>
      <c r="G756" s="401" t="s">
        <v>6141</v>
      </c>
      <c r="H756" s="499">
        <v>825557</v>
      </c>
      <c r="I756" s="486" t="s">
        <v>6911</v>
      </c>
      <c r="J756" s="496" t="s">
        <v>2991</v>
      </c>
      <c r="K756" s="496" t="s">
        <v>2991</v>
      </c>
      <c r="L756" s="500" t="s">
        <v>5004</v>
      </c>
      <c r="M756" s="500" t="s">
        <v>1755</v>
      </c>
      <c r="N756" s="496" t="s">
        <v>1773</v>
      </c>
      <c r="O756" s="496" t="s">
        <v>2234</v>
      </c>
      <c r="P756" s="489">
        <v>760.04100000000005</v>
      </c>
      <c r="Q756" s="489">
        <v>896.84838000000002</v>
      </c>
      <c r="R756" s="584">
        <v>599.70000000000005</v>
      </c>
      <c r="S756" s="401" t="s">
        <v>1774</v>
      </c>
      <c r="T756" s="490">
        <v>1.087</v>
      </c>
      <c r="U756" s="490">
        <v>1.077</v>
      </c>
      <c r="V756" s="490">
        <v>1.073</v>
      </c>
      <c r="W756" s="490">
        <v>1.071</v>
      </c>
      <c r="X756" s="491">
        <v>0.9</v>
      </c>
      <c r="Y756" s="502">
        <v>697.49199999999996</v>
      </c>
      <c r="Z756" s="489">
        <v>823.04055999999991</v>
      </c>
      <c r="AA756" s="489">
        <v>753.23478951453387</v>
      </c>
      <c r="AB756" s="488">
        <v>888.81705162714991</v>
      </c>
      <c r="AC756" s="492">
        <v>697.49199999999996</v>
      </c>
      <c r="AD756" s="493">
        <v>823.04055999999991</v>
      </c>
      <c r="AE756" s="494" t="s">
        <v>1775</v>
      </c>
      <c r="AF756" s="494" t="s">
        <v>83</v>
      </c>
      <c r="AG756" s="494" t="s">
        <v>211</v>
      </c>
      <c r="AH756" s="494" t="s">
        <v>545</v>
      </c>
      <c r="AI756" s="495">
        <v>41669</v>
      </c>
      <c r="AJ756" s="495">
        <v>41704</v>
      </c>
      <c r="AK756" s="494" t="s">
        <v>96</v>
      </c>
      <c r="AL756" s="494" t="s">
        <v>96</v>
      </c>
      <c r="AM756" s="496" t="str">
        <f t="shared" si="118"/>
        <v>Выполнение ПИР, СМР, ПНР, оборудование</v>
      </c>
      <c r="AN756" s="496" t="s">
        <v>4784</v>
      </c>
      <c r="AO756" s="494">
        <v>796</v>
      </c>
      <c r="AP756" s="494" t="s">
        <v>368</v>
      </c>
      <c r="AQ756" s="494">
        <v>1</v>
      </c>
      <c r="AR756" s="494">
        <v>46</v>
      </c>
      <c r="AS756" s="496" t="s">
        <v>605</v>
      </c>
      <c r="AT756" s="495">
        <v>41724</v>
      </c>
      <c r="AU756" s="495">
        <v>41724</v>
      </c>
      <c r="AV756" s="495">
        <v>41820</v>
      </c>
      <c r="AW756" s="494">
        <v>2014</v>
      </c>
      <c r="AX756" s="496"/>
      <c r="AY756" s="494" t="s">
        <v>186</v>
      </c>
      <c r="AZ756" s="494"/>
      <c r="BA756" s="494">
        <v>2014</v>
      </c>
      <c r="BB756" s="494" t="s">
        <v>6912</v>
      </c>
      <c r="BC756" s="496" t="s">
        <v>6913</v>
      </c>
      <c r="BD756" s="494" t="s">
        <v>1818</v>
      </c>
      <c r="BE756" s="575">
        <v>41820</v>
      </c>
      <c r="BF756" s="498">
        <v>5771.6632</v>
      </c>
      <c r="BG756" s="488">
        <v>5771.6632</v>
      </c>
      <c r="BH756" s="488">
        <v>0.16</v>
      </c>
      <c r="BI756" s="488">
        <v>0.03</v>
      </c>
      <c r="BJ756" s="494" t="s">
        <v>1465</v>
      </c>
      <c r="BK756" s="401"/>
    </row>
    <row r="757" spans="1:63" ht="105.75" customHeight="1">
      <c r="A757" s="401">
        <v>2</v>
      </c>
      <c r="B757" s="494" t="s">
        <v>6914</v>
      </c>
      <c r="C757" s="401" t="s">
        <v>83</v>
      </c>
      <c r="D757" s="401" t="s">
        <v>225</v>
      </c>
      <c r="E757" s="494" t="s">
        <v>5853</v>
      </c>
      <c r="F757" s="401" t="s">
        <v>1752</v>
      </c>
      <c r="G757" s="401" t="s">
        <v>6141</v>
      </c>
      <c r="H757" s="499">
        <v>825558</v>
      </c>
      <c r="I757" s="486" t="s">
        <v>6915</v>
      </c>
      <c r="J757" s="496" t="s">
        <v>2991</v>
      </c>
      <c r="K757" s="496" t="s">
        <v>2991</v>
      </c>
      <c r="L757" s="500" t="s">
        <v>2325</v>
      </c>
      <c r="M757" s="500" t="s">
        <v>1755</v>
      </c>
      <c r="N757" s="496" t="s">
        <v>1773</v>
      </c>
      <c r="O757" s="496" t="s">
        <v>2234</v>
      </c>
      <c r="P757" s="489">
        <v>1181.855</v>
      </c>
      <c r="Q757" s="489">
        <v>1394.5889</v>
      </c>
      <c r="R757" s="584">
        <v>846.87054505109995</v>
      </c>
      <c r="S757" s="401" t="s">
        <v>1774</v>
      </c>
      <c r="T757" s="490">
        <v>1.087</v>
      </c>
      <c r="U757" s="490">
        <v>1.077</v>
      </c>
      <c r="V757" s="490">
        <v>1.073</v>
      </c>
      <c r="W757" s="490">
        <v>1.071</v>
      </c>
      <c r="X757" s="491">
        <v>0.9</v>
      </c>
      <c r="Y757" s="502">
        <v>998.12800000000004</v>
      </c>
      <c r="Z757" s="489">
        <v>1177.7910400000001</v>
      </c>
      <c r="AA757" s="489">
        <v>1096.6346572208611</v>
      </c>
      <c r="AB757" s="488">
        <v>1294.0288955206161</v>
      </c>
      <c r="AC757" s="492">
        <v>998.12800000000004</v>
      </c>
      <c r="AD757" s="493">
        <v>1177.7910400000001</v>
      </c>
      <c r="AE757" s="494" t="s">
        <v>1775</v>
      </c>
      <c r="AF757" s="494" t="s">
        <v>83</v>
      </c>
      <c r="AG757" s="494" t="s">
        <v>211</v>
      </c>
      <c r="AH757" s="494" t="s">
        <v>545</v>
      </c>
      <c r="AI757" s="495">
        <v>41669</v>
      </c>
      <c r="AJ757" s="495">
        <v>41704</v>
      </c>
      <c r="AK757" s="494" t="s">
        <v>96</v>
      </c>
      <c r="AL757" s="494" t="s">
        <v>96</v>
      </c>
      <c r="AM757" s="496" t="str">
        <f t="shared" si="118"/>
        <v>Выполнение ПИР, СМР, ПНР, оборудование</v>
      </c>
      <c r="AN757" s="496" t="s">
        <v>4784</v>
      </c>
      <c r="AO757" s="494">
        <v>796</v>
      </c>
      <c r="AP757" s="494" t="s">
        <v>368</v>
      </c>
      <c r="AQ757" s="494">
        <v>1</v>
      </c>
      <c r="AR757" s="494">
        <v>46</v>
      </c>
      <c r="AS757" s="496" t="s">
        <v>605</v>
      </c>
      <c r="AT757" s="495">
        <v>41724</v>
      </c>
      <c r="AU757" s="495">
        <v>41724</v>
      </c>
      <c r="AV757" s="495">
        <v>41882</v>
      </c>
      <c r="AW757" s="494">
        <v>2014</v>
      </c>
      <c r="AX757" s="496"/>
      <c r="AY757" s="494" t="s">
        <v>186</v>
      </c>
      <c r="AZ757" s="494"/>
      <c r="BA757" s="494">
        <v>2014</v>
      </c>
      <c r="BB757" s="494" t="s">
        <v>6916</v>
      </c>
      <c r="BC757" s="496" t="s">
        <v>6917</v>
      </c>
      <c r="BD757" s="494" t="s">
        <v>1818</v>
      </c>
      <c r="BE757" s="575">
        <v>41882</v>
      </c>
      <c r="BF757" s="498">
        <v>1434.5237933999999</v>
      </c>
      <c r="BG757" s="488">
        <v>1434.5237933999999</v>
      </c>
      <c r="BH757" s="488">
        <v>0</v>
      </c>
      <c r="BI757" s="488">
        <v>0</v>
      </c>
      <c r="BJ757" s="494" t="s">
        <v>1465</v>
      </c>
      <c r="BK757" s="401"/>
    </row>
    <row r="758" spans="1:63" ht="105.75" customHeight="1">
      <c r="A758" s="401">
        <v>2</v>
      </c>
      <c r="B758" s="494" t="s">
        <v>6918</v>
      </c>
      <c r="C758" s="401" t="s">
        <v>83</v>
      </c>
      <c r="D758" s="401" t="s">
        <v>225</v>
      </c>
      <c r="E758" s="494" t="s">
        <v>5853</v>
      </c>
      <c r="F758" s="401" t="s">
        <v>1752</v>
      </c>
      <c r="G758" s="401" t="s">
        <v>6141</v>
      </c>
      <c r="H758" s="499">
        <v>825324</v>
      </c>
      <c r="I758" s="486" t="s">
        <v>6919</v>
      </c>
      <c r="J758" s="496" t="s">
        <v>2991</v>
      </c>
      <c r="K758" s="496" t="s">
        <v>2991</v>
      </c>
      <c r="L758" s="500" t="s">
        <v>2513</v>
      </c>
      <c r="M758" s="500" t="s">
        <v>1755</v>
      </c>
      <c r="N758" s="496" t="s">
        <v>1773</v>
      </c>
      <c r="O758" s="496" t="s">
        <v>2234</v>
      </c>
      <c r="P758" s="489">
        <v>6204.9290000000001</v>
      </c>
      <c r="Q758" s="489">
        <v>7321.8162199999997</v>
      </c>
      <c r="R758" s="584">
        <v>4614.1300889529703</v>
      </c>
      <c r="S758" s="401" t="s">
        <v>1774</v>
      </c>
      <c r="T758" s="490">
        <v>1.087</v>
      </c>
      <c r="U758" s="490">
        <v>1.077</v>
      </c>
      <c r="V758" s="490">
        <v>1.073</v>
      </c>
      <c r="W758" s="490">
        <v>1.071</v>
      </c>
      <c r="X758" s="491">
        <v>0.9</v>
      </c>
      <c r="Y758" s="502">
        <v>5790.6840000000002</v>
      </c>
      <c r="Z758" s="489">
        <v>6833.0071200000002</v>
      </c>
      <c r="AA758" s="489">
        <v>6156.7346940793777</v>
      </c>
      <c r="AB758" s="488">
        <v>7264.9469390136655</v>
      </c>
      <c r="AC758" s="492">
        <v>5790.6840000000002</v>
      </c>
      <c r="AD758" s="493">
        <v>6833.0071200000002</v>
      </c>
      <c r="AE758" s="494" t="s">
        <v>1775</v>
      </c>
      <c r="AF758" s="494" t="s">
        <v>83</v>
      </c>
      <c r="AG758" s="494" t="s">
        <v>211</v>
      </c>
      <c r="AH758" s="494" t="s">
        <v>545</v>
      </c>
      <c r="AI758" s="495">
        <v>41669</v>
      </c>
      <c r="AJ758" s="495">
        <v>41704</v>
      </c>
      <c r="AK758" s="494" t="s">
        <v>96</v>
      </c>
      <c r="AL758" s="494" t="s">
        <v>96</v>
      </c>
      <c r="AM758" s="496" t="str">
        <f t="shared" si="118"/>
        <v>Выполнение ПИР, СМР, ПНР, оборудование</v>
      </c>
      <c r="AN758" s="496" t="s">
        <v>4784</v>
      </c>
      <c r="AO758" s="494">
        <v>796</v>
      </c>
      <c r="AP758" s="494" t="s">
        <v>368</v>
      </c>
      <c r="AQ758" s="494">
        <v>1</v>
      </c>
      <c r="AR758" s="494">
        <v>46</v>
      </c>
      <c r="AS758" s="496" t="s">
        <v>605</v>
      </c>
      <c r="AT758" s="495">
        <v>41724</v>
      </c>
      <c r="AU758" s="495">
        <v>41724</v>
      </c>
      <c r="AV758" s="495">
        <v>41820</v>
      </c>
      <c r="AW758" s="494">
        <v>2014</v>
      </c>
      <c r="AX758" s="496"/>
      <c r="AY758" s="494" t="s">
        <v>186</v>
      </c>
      <c r="AZ758" s="494"/>
      <c r="BA758" s="494">
        <v>2014</v>
      </c>
      <c r="BB758" s="494" t="s">
        <v>6920</v>
      </c>
      <c r="BC758" s="496" t="s">
        <v>6921</v>
      </c>
      <c r="BD758" s="494" t="s">
        <v>1818</v>
      </c>
      <c r="BE758" s="575">
        <v>41820</v>
      </c>
      <c r="BF758" s="498">
        <v>7525.9963399999997</v>
      </c>
      <c r="BG758" s="488">
        <v>7525.9963399999997</v>
      </c>
      <c r="BH758" s="488">
        <v>0.2</v>
      </c>
      <c r="BI758" s="488">
        <v>1.6</v>
      </c>
      <c r="BJ758" s="494" t="s">
        <v>1465</v>
      </c>
      <c r="BK758" s="401"/>
    </row>
    <row r="759" spans="1:63" ht="105.75" customHeight="1">
      <c r="A759" s="401">
        <v>2</v>
      </c>
      <c r="B759" s="494" t="s">
        <v>6922</v>
      </c>
      <c r="C759" s="401" t="s">
        <v>83</v>
      </c>
      <c r="D759" s="401" t="s">
        <v>225</v>
      </c>
      <c r="E759" s="494" t="s">
        <v>5853</v>
      </c>
      <c r="F759" s="401" t="s">
        <v>1761</v>
      </c>
      <c r="G759" s="401" t="s">
        <v>1762</v>
      </c>
      <c r="H759" s="499">
        <v>825598</v>
      </c>
      <c r="I759" s="486" t="s">
        <v>6923</v>
      </c>
      <c r="J759" s="496" t="s">
        <v>2978</v>
      </c>
      <c r="K759" s="496" t="s">
        <v>2978</v>
      </c>
      <c r="L759" s="500" t="s">
        <v>2513</v>
      </c>
      <c r="M759" s="500" t="s">
        <v>1755</v>
      </c>
      <c r="N759" s="496" t="s">
        <v>1773</v>
      </c>
      <c r="O759" s="496" t="s">
        <v>2234</v>
      </c>
      <c r="P759" s="489">
        <v>7291.72</v>
      </c>
      <c r="Q759" s="489">
        <v>8604.2296000000006</v>
      </c>
      <c r="R759" s="584">
        <v>5443.6846287726003</v>
      </c>
      <c r="S759" s="401" t="s">
        <v>1774</v>
      </c>
      <c r="T759" s="490">
        <v>1.087</v>
      </c>
      <c r="U759" s="490">
        <v>1.077</v>
      </c>
      <c r="V759" s="490">
        <v>1.073</v>
      </c>
      <c r="W759" s="490">
        <v>1.071</v>
      </c>
      <c r="X759" s="491">
        <v>0.9</v>
      </c>
      <c r="Y759" s="502">
        <v>6831.77</v>
      </c>
      <c r="Z759" s="489">
        <v>8061.4885999999997</v>
      </c>
      <c r="AA759" s="489">
        <v>7069.7519447967679</v>
      </c>
      <c r="AB759" s="488">
        <v>8342.3072948601857</v>
      </c>
      <c r="AC759" s="492">
        <v>6831.77</v>
      </c>
      <c r="AD759" s="493">
        <v>8061.4885999999997</v>
      </c>
      <c r="AE759" s="494" t="s">
        <v>1775</v>
      </c>
      <c r="AF759" s="494" t="s">
        <v>83</v>
      </c>
      <c r="AG759" s="494" t="s">
        <v>211</v>
      </c>
      <c r="AH759" s="494" t="s">
        <v>545</v>
      </c>
      <c r="AI759" s="495">
        <v>41669</v>
      </c>
      <c r="AJ759" s="495">
        <v>41704</v>
      </c>
      <c r="AK759" s="494" t="s">
        <v>96</v>
      </c>
      <c r="AL759" s="494" t="s">
        <v>96</v>
      </c>
      <c r="AM759" s="496" t="str">
        <f t="shared" si="118"/>
        <v>Выполнение ПИР</v>
      </c>
      <c r="AN759" s="496" t="s">
        <v>4784</v>
      </c>
      <c r="AO759" s="494">
        <v>796</v>
      </c>
      <c r="AP759" s="494" t="s">
        <v>368</v>
      </c>
      <c r="AQ759" s="494">
        <v>1</v>
      </c>
      <c r="AR759" s="494">
        <v>46</v>
      </c>
      <c r="AS759" s="496" t="s">
        <v>605</v>
      </c>
      <c r="AT759" s="495">
        <v>41724</v>
      </c>
      <c r="AU759" s="495">
        <v>41724</v>
      </c>
      <c r="AV759" s="495">
        <v>41882</v>
      </c>
      <c r="AW759" s="494">
        <v>2014</v>
      </c>
      <c r="AX759" s="496"/>
      <c r="AY759" s="494" t="s">
        <v>186</v>
      </c>
      <c r="AZ759" s="494"/>
      <c r="BA759" s="494">
        <v>2014</v>
      </c>
      <c r="BB759" s="494" t="s">
        <v>6924</v>
      </c>
      <c r="BC759" s="496" t="s">
        <v>6925</v>
      </c>
      <c r="BD759" s="494" t="s">
        <v>1818</v>
      </c>
      <c r="BE759" s="575">
        <v>41882</v>
      </c>
      <c r="BF759" s="498">
        <v>108422.8132</v>
      </c>
      <c r="BG759" s="488">
        <v>107915.67248991203</v>
      </c>
      <c r="BH759" s="488">
        <v>1.26</v>
      </c>
      <c r="BI759" s="488">
        <v>7.4</v>
      </c>
      <c r="BJ759" s="494" t="s">
        <v>1465</v>
      </c>
      <c r="BK759" s="401"/>
    </row>
    <row r="760" spans="1:63" ht="130.5" customHeight="1">
      <c r="A760" s="401">
        <v>2</v>
      </c>
      <c r="B760" s="494" t="s">
        <v>6926</v>
      </c>
      <c r="C760" s="401" t="s">
        <v>83</v>
      </c>
      <c r="D760" s="401" t="s">
        <v>225</v>
      </c>
      <c r="E760" s="494" t="s">
        <v>5853</v>
      </c>
      <c r="F760" s="401" t="s">
        <v>1752</v>
      </c>
      <c r="G760" s="401" t="s">
        <v>6141</v>
      </c>
      <c r="H760" s="499">
        <v>825606</v>
      </c>
      <c r="I760" s="486" t="s">
        <v>6927</v>
      </c>
      <c r="J760" s="496" t="s">
        <v>2991</v>
      </c>
      <c r="K760" s="496" t="s">
        <v>2991</v>
      </c>
      <c r="L760" s="500" t="s">
        <v>2513</v>
      </c>
      <c r="M760" s="500" t="s">
        <v>1755</v>
      </c>
      <c r="N760" s="496" t="s">
        <v>1773</v>
      </c>
      <c r="O760" s="496" t="s">
        <v>2234</v>
      </c>
      <c r="P760" s="489">
        <v>11105.56</v>
      </c>
      <c r="Q760" s="489">
        <v>13104.560799999999</v>
      </c>
      <c r="R760" s="584">
        <v>7431.2299965071097</v>
      </c>
      <c r="S760" s="401" t="s">
        <v>1774</v>
      </c>
      <c r="T760" s="490">
        <v>1.087</v>
      </c>
      <c r="U760" s="490">
        <v>1.077</v>
      </c>
      <c r="V760" s="490">
        <v>1.073</v>
      </c>
      <c r="W760" s="490">
        <v>1.071</v>
      </c>
      <c r="X760" s="491">
        <v>0.9</v>
      </c>
      <c r="Y760" s="502">
        <v>9995.0040000000008</v>
      </c>
      <c r="Z760" s="489">
        <v>11794.104720000001</v>
      </c>
      <c r="AA760" s="489">
        <v>10157.52</v>
      </c>
      <c r="AB760" s="488">
        <v>11985.873599999999</v>
      </c>
      <c r="AC760" s="492">
        <v>9995.0040000000008</v>
      </c>
      <c r="AD760" s="493">
        <v>11794.104720000001</v>
      </c>
      <c r="AE760" s="494" t="s">
        <v>1775</v>
      </c>
      <c r="AF760" s="494" t="s">
        <v>83</v>
      </c>
      <c r="AG760" s="494" t="s">
        <v>211</v>
      </c>
      <c r="AH760" s="494" t="s">
        <v>545</v>
      </c>
      <c r="AI760" s="495">
        <v>41669</v>
      </c>
      <c r="AJ760" s="495">
        <v>41704</v>
      </c>
      <c r="AK760" s="494" t="s">
        <v>96</v>
      </c>
      <c r="AL760" s="494" t="s">
        <v>96</v>
      </c>
      <c r="AM760" s="496" t="str">
        <f>"Выполнение "&amp;J760</f>
        <v>Выполнение ПИР, СМР, ПНР, оборудование</v>
      </c>
      <c r="AN760" s="496" t="s">
        <v>4784</v>
      </c>
      <c r="AO760" s="494">
        <v>796</v>
      </c>
      <c r="AP760" s="494" t="s">
        <v>368</v>
      </c>
      <c r="AQ760" s="494">
        <v>1</v>
      </c>
      <c r="AR760" s="494">
        <v>46</v>
      </c>
      <c r="AS760" s="496" t="s">
        <v>605</v>
      </c>
      <c r="AT760" s="495">
        <v>41724</v>
      </c>
      <c r="AU760" s="495">
        <v>41724</v>
      </c>
      <c r="AV760" s="495">
        <v>41820</v>
      </c>
      <c r="AW760" s="494">
        <v>2014</v>
      </c>
      <c r="AX760" s="496"/>
      <c r="AY760" s="494" t="s">
        <v>186</v>
      </c>
      <c r="AZ760" s="494"/>
      <c r="BA760" s="494">
        <v>2014</v>
      </c>
      <c r="BB760" s="494" t="s">
        <v>6928</v>
      </c>
      <c r="BC760" s="496" t="s">
        <v>6929</v>
      </c>
      <c r="BD760" s="494" t="s">
        <v>1818</v>
      </c>
      <c r="BE760" s="575">
        <v>41820</v>
      </c>
      <c r="BF760" s="498">
        <v>13384.851486400001</v>
      </c>
      <c r="BG760" s="488">
        <v>13384.851486400001</v>
      </c>
      <c r="BH760" s="488">
        <v>0</v>
      </c>
      <c r="BI760" s="488">
        <v>1.02</v>
      </c>
      <c r="BJ760" s="494" t="s">
        <v>1465</v>
      </c>
      <c r="BK760" s="401"/>
    </row>
    <row r="761" spans="1:63" ht="130.5" customHeight="1">
      <c r="A761" s="401">
        <v>2</v>
      </c>
      <c r="B761" s="494" t="s">
        <v>6930</v>
      </c>
      <c r="C761" s="401" t="s">
        <v>83</v>
      </c>
      <c r="D761" s="401" t="s">
        <v>225</v>
      </c>
      <c r="E761" s="494" t="s">
        <v>5853</v>
      </c>
      <c r="F761" s="401" t="s">
        <v>1752</v>
      </c>
      <c r="G761" s="401" t="s">
        <v>6141</v>
      </c>
      <c r="H761" s="499">
        <v>825564</v>
      </c>
      <c r="I761" s="486" t="s">
        <v>6931</v>
      </c>
      <c r="J761" s="496" t="s">
        <v>2991</v>
      </c>
      <c r="K761" s="496" t="s">
        <v>2991</v>
      </c>
      <c r="L761" s="500" t="s">
        <v>2513</v>
      </c>
      <c r="M761" s="500" t="s">
        <v>1755</v>
      </c>
      <c r="N761" s="496" t="s">
        <v>1773</v>
      </c>
      <c r="O761" s="496" t="s">
        <v>2234</v>
      </c>
      <c r="P761" s="489">
        <v>1590.5740000000001</v>
      </c>
      <c r="Q761" s="489">
        <v>1876.8773200000001</v>
      </c>
      <c r="R761" s="584">
        <v>1064.0498826640801</v>
      </c>
      <c r="S761" s="401" t="s">
        <v>1774</v>
      </c>
      <c r="T761" s="490">
        <v>1.087</v>
      </c>
      <c r="U761" s="490">
        <v>1.077</v>
      </c>
      <c r="V761" s="490">
        <v>1.073</v>
      </c>
      <c r="W761" s="490">
        <v>1.071</v>
      </c>
      <c r="X761" s="491">
        <v>0.9</v>
      </c>
      <c r="Y761" s="502">
        <v>1431.5170000000001</v>
      </c>
      <c r="Z761" s="489">
        <v>1689.1900599999999</v>
      </c>
      <c r="AA761" s="489">
        <v>1563.47</v>
      </c>
      <c r="AB761" s="488">
        <v>1844.8945999999999</v>
      </c>
      <c r="AC761" s="492">
        <v>1431.5170000000001</v>
      </c>
      <c r="AD761" s="493">
        <v>1689.1900599999999</v>
      </c>
      <c r="AE761" s="494" t="s">
        <v>1775</v>
      </c>
      <c r="AF761" s="494" t="s">
        <v>83</v>
      </c>
      <c r="AG761" s="494" t="s">
        <v>211</v>
      </c>
      <c r="AH761" s="494" t="s">
        <v>545</v>
      </c>
      <c r="AI761" s="495">
        <v>41669</v>
      </c>
      <c r="AJ761" s="495">
        <v>41704</v>
      </c>
      <c r="AK761" s="494" t="s">
        <v>96</v>
      </c>
      <c r="AL761" s="494" t="s">
        <v>96</v>
      </c>
      <c r="AM761" s="496" t="str">
        <f>"Выполнение "&amp;J761</f>
        <v>Выполнение ПИР, СМР, ПНР, оборудование</v>
      </c>
      <c r="AN761" s="496" t="s">
        <v>4784</v>
      </c>
      <c r="AO761" s="494">
        <v>796</v>
      </c>
      <c r="AP761" s="494" t="s">
        <v>368</v>
      </c>
      <c r="AQ761" s="494">
        <v>1</v>
      </c>
      <c r="AR761" s="494">
        <v>46</v>
      </c>
      <c r="AS761" s="496" t="s">
        <v>605</v>
      </c>
      <c r="AT761" s="495">
        <v>41724</v>
      </c>
      <c r="AU761" s="495">
        <v>41724</v>
      </c>
      <c r="AV761" s="495">
        <v>41820</v>
      </c>
      <c r="AW761" s="494">
        <v>2014</v>
      </c>
      <c r="AX761" s="496"/>
      <c r="AY761" s="494" t="s">
        <v>186</v>
      </c>
      <c r="AZ761" s="494"/>
      <c r="BA761" s="494">
        <v>2014</v>
      </c>
      <c r="BB761" s="494" t="s">
        <v>6932</v>
      </c>
      <c r="BC761" s="496" t="s">
        <v>6933</v>
      </c>
      <c r="BD761" s="494" t="s">
        <v>1818</v>
      </c>
      <c r="BE761" s="575">
        <v>41820</v>
      </c>
      <c r="BF761" s="498">
        <v>1909.9423477999999</v>
      </c>
      <c r="BG761" s="488">
        <v>1909.9423477999999</v>
      </c>
      <c r="BH761" s="488">
        <v>0</v>
      </c>
      <c r="BI761" s="488">
        <v>0.98</v>
      </c>
      <c r="BJ761" s="494" t="s">
        <v>1465</v>
      </c>
      <c r="BK761" s="401"/>
    </row>
    <row r="762" spans="1:63" ht="96.75" customHeight="1">
      <c r="A762" s="504">
        <v>2</v>
      </c>
      <c r="B762" s="570" t="s">
        <v>6934</v>
      </c>
      <c r="C762" s="504" t="s">
        <v>83</v>
      </c>
      <c r="D762" s="504" t="s">
        <v>225</v>
      </c>
      <c r="E762" s="570" t="s">
        <v>5853</v>
      </c>
      <c r="F762" s="504" t="s">
        <v>1752</v>
      </c>
      <c r="G762" s="504" t="s">
        <v>6141</v>
      </c>
      <c r="H762" s="517">
        <v>825599</v>
      </c>
      <c r="I762" s="506" t="s">
        <v>6935</v>
      </c>
      <c r="J762" s="506" t="s">
        <v>2991</v>
      </c>
      <c r="K762" s="506" t="s">
        <v>2991</v>
      </c>
      <c r="L762" s="506" t="s">
        <v>2513</v>
      </c>
      <c r="M762" s="571" t="s">
        <v>1755</v>
      </c>
      <c r="N762" s="506" t="s">
        <v>1773</v>
      </c>
      <c r="O762" s="506" t="s">
        <v>2234</v>
      </c>
      <c r="P762" s="512">
        <f>SUM(P763:P764)</f>
        <v>4956.6550000000007</v>
      </c>
      <c r="Q762" s="512">
        <f>SUM(Q763:Q764)</f>
        <v>5848.8528999999999</v>
      </c>
      <c r="R762" s="512">
        <f>SUM(R763:R764)</f>
        <v>3667.1288627957251</v>
      </c>
      <c r="S762" s="504" t="s">
        <v>1774</v>
      </c>
      <c r="T762" s="572">
        <v>1.087</v>
      </c>
      <c r="U762" s="572">
        <v>1.077</v>
      </c>
      <c r="V762" s="572">
        <v>1.073</v>
      </c>
      <c r="W762" s="572">
        <v>1.071</v>
      </c>
      <c r="X762" s="511">
        <v>0.9</v>
      </c>
      <c r="Y762" s="512">
        <f t="shared" ref="Y762:AD762" si="122">SUM(Y763:Y764)</f>
        <v>4602.21</v>
      </c>
      <c r="Z762" s="512">
        <f t="shared" si="122"/>
        <v>5430.6077999999998</v>
      </c>
      <c r="AA762" s="512">
        <f t="shared" si="122"/>
        <v>4899.7026525274459</v>
      </c>
      <c r="AB762" s="512">
        <f t="shared" si="122"/>
        <v>5781.6491299823856</v>
      </c>
      <c r="AC762" s="512">
        <f t="shared" si="122"/>
        <v>4602.21</v>
      </c>
      <c r="AD762" s="512">
        <f t="shared" si="122"/>
        <v>5430.6077999999998</v>
      </c>
      <c r="AE762" s="494" t="s">
        <v>1775</v>
      </c>
      <c r="AF762" s="570" t="s">
        <v>83</v>
      </c>
      <c r="AG762" s="570" t="s">
        <v>211</v>
      </c>
      <c r="AH762" s="570" t="s">
        <v>545</v>
      </c>
      <c r="AI762" s="515">
        <v>41669</v>
      </c>
      <c r="AJ762" s="515">
        <v>41704</v>
      </c>
      <c r="AK762" s="570" t="s">
        <v>96</v>
      </c>
      <c r="AL762" s="570" t="s">
        <v>96</v>
      </c>
      <c r="AM762" s="506" t="str">
        <f t="shared" si="118"/>
        <v>Выполнение ПИР, СМР, ПНР, оборудование</v>
      </c>
      <c r="AN762" s="506" t="s">
        <v>4784</v>
      </c>
      <c r="AO762" s="570">
        <v>796</v>
      </c>
      <c r="AP762" s="570" t="s">
        <v>368</v>
      </c>
      <c r="AQ762" s="570">
        <v>1</v>
      </c>
      <c r="AR762" s="570">
        <v>46</v>
      </c>
      <c r="AS762" s="506" t="s">
        <v>605</v>
      </c>
      <c r="AT762" s="515">
        <v>41724</v>
      </c>
      <c r="AU762" s="515">
        <v>41724</v>
      </c>
      <c r="AV762" s="515">
        <v>41820</v>
      </c>
      <c r="AW762" s="570">
        <v>2014</v>
      </c>
      <c r="AX762" s="506"/>
      <c r="AY762" s="570" t="s">
        <v>186</v>
      </c>
      <c r="AZ762" s="570"/>
      <c r="BA762" s="570">
        <v>2014</v>
      </c>
      <c r="BB762" s="570" t="s">
        <v>2271</v>
      </c>
      <c r="BC762" s="506" t="s">
        <v>2271</v>
      </c>
      <c r="BD762" s="570" t="s">
        <v>2272</v>
      </c>
      <c r="BE762" s="573" t="s">
        <v>2272</v>
      </c>
      <c r="BF762" s="574" t="s">
        <v>2272</v>
      </c>
      <c r="BG762" s="488" t="s">
        <v>2272</v>
      </c>
      <c r="BH762" s="513" t="s">
        <v>2272</v>
      </c>
      <c r="BI762" s="513" t="s">
        <v>2272</v>
      </c>
      <c r="BJ762" s="570" t="s">
        <v>1465</v>
      </c>
      <c r="BK762" s="504"/>
    </row>
    <row r="763" spans="1:63" ht="95.25" customHeight="1">
      <c r="A763" s="523">
        <v>2</v>
      </c>
      <c r="B763" s="534" t="s">
        <v>6936</v>
      </c>
      <c r="C763" s="523" t="s">
        <v>7112</v>
      </c>
      <c r="D763" s="523" t="s">
        <v>225</v>
      </c>
      <c r="E763" s="534" t="s">
        <v>5853</v>
      </c>
      <c r="F763" s="523" t="s">
        <v>1752</v>
      </c>
      <c r="G763" s="523" t="s">
        <v>6141</v>
      </c>
      <c r="H763" s="524">
        <v>825600</v>
      </c>
      <c r="I763" s="525" t="s">
        <v>6937</v>
      </c>
      <c r="J763" s="525" t="s">
        <v>2991</v>
      </c>
      <c r="K763" s="525" t="s">
        <v>2991</v>
      </c>
      <c r="L763" s="525" t="s">
        <v>2513</v>
      </c>
      <c r="M763" s="541" t="s">
        <v>1755</v>
      </c>
      <c r="N763" s="525" t="s">
        <v>1773</v>
      </c>
      <c r="O763" s="525" t="s">
        <v>2234</v>
      </c>
      <c r="P763" s="531">
        <v>2983.6480000000001</v>
      </c>
      <c r="Q763" s="531">
        <v>3520.7046399999999</v>
      </c>
      <c r="R763" s="531">
        <v>2167.0488627957252</v>
      </c>
      <c r="S763" s="523" t="s">
        <v>1774</v>
      </c>
      <c r="T763" s="542">
        <v>1.087</v>
      </c>
      <c r="U763" s="543">
        <v>1.077</v>
      </c>
      <c r="V763" s="543">
        <v>1.073</v>
      </c>
      <c r="W763" s="543">
        <v>1.071</v>
      </c>
      <c r="X763" s="544">
        <v>0.9</v>
      </c>
      <c r="Y763" s="526">
        <v>2719.623</v>
      </c>
      <c r="Z763" s="531">
        <v>3209.1551399999998</v>
      </c>
      <c r="AA763" s="531">
        <v>2922.6960818963798</v>
      </c>
      <c r="AB763" s="532">
        <v>3448.781376637728</v>
      </c>
      <c r="AC763" s="531">
        <v>2719.623</v>
      </c>
      <c r="AD763" s="532">
        <v>3209.1551399999998</v>
      </c>
      <c r="AE763" s="494" t="s">
        <v>1775</v>
      </c>
      <c r="AF763" s="534" t="s">
        <v>83</v>
      </c>
      <c r="AG763" s="534" t="s">
        <v>211</v>
      </c>
      <c r="AH763" s="534" t="s">
        <v>545</v>
      </c>
      <c r="AI763" s="533">
        <v>41669</v>
      </c>
      <c r="AJ763" s="533">
        <v>41704</v>
      </c>
      <c r="AK763" s="534" t="s">
        <v>96</v>
      </c>
      <c r="AL763" s="534" t="s">
        <v>96</v>
      </c>
      <c r="AM763" s="525" t="str">
        <f t="shared" si="118"/>
        <v>Выполнение ПИР, СМР, ПНР, оборудование</v>
      </c>
      <c r="AN763" s="525" t="s">
        <v>4784</v>
      </c>
      <c r="AO763" s="534">
        <v>796</v>
      </c>
      <c r="AP763" s="534" t="s">
        <v>368</v>
      </c>
      <c r="AQ763" s="534">
        <v>1</v>
      </c>
      <c r="AR763" s="534">
        <v>46</v>
      </c>
      <c r="AS763" s="525" t="s">
        <v>605</v>
      </c>
      <c r="AT763" s="533">
        <v>41724</v>
      </c>
      <c r="AU763" s="533">
        <v>41724</v>
      </c>
      <c r="AV763" s="533">
        <v>41820</v>
      </c>
      <c r="AW763" s="534">
        <v>2014</v>
      </c>
      <c r="AX763" s="525"/>
      <c r="AY763" s="534" t="s">
        <v>186</v>
      </c>
      <c r="AZ763" s="534"/>
      <c r="BA763" s="534">
        <v>2014</v>
      </c>
      <c r="BB763" s="534" t="s">
        <v>6938</v>
      </c>
      <c r="BC763" s="525" t="s">
        <v>6939</v>
      </c>
      <c r="BD763" s="534" t="s">
        <v>1818</v>
      </c>
      <c r="BE763" s="545">
        <v>41820</v>
      </c>
      <c r="BF763" s="546">
        <v>3642.8487999999998</v>
      </c>
      <c r="BG763" s="488">
        <v>3642.8487999999998</v>
      </c>
      <c r="BH763" s="532">
        <v>0</v>
      </c>
      <c r="BI763" s="532">
        <v>0.2</v>
      </c>
      <c r="BJ763" s="534" t="s">
        <v>1465</v>
      </c>
      <c r="BK763" s="523"/>
    </row>
    <row r="764" spans="1:63" ht="95.25" customHeight="1">
      <c r="A764" s="523">
        <v>2</v>
      </c>
      <c r="B764" s="534" t="s">
        <v>6940</v>
      </c>
      <c r="C764" s="523" t="s">
        <v>7112</v>
      </c>
      <c r="D764" s="523" t="s">
        <v>225</v>
      </c>
      <c r="E764" s="534" t="s">
        <v>5853</v>
      </c>
      <c r="F764" s="523" t="s">
        <v>1752</v>
      </c>
      <c r="G764" s="523" t="s">
        <v>6941</v>
      </c>
      <c r="H764" s="524">
        <v>825605</v>
      </c>
      <c r="I764" s="525" t="s">
        <v>6942</v>
      </c>
      <c r="J764" s="525" t="s">
        <v>2991</v>
      </c>
      <c r="K764" s="525" t="s">
        <v>2991</v>
      </c>
      <c r="L764" s="525" t="s">
        <v>2513</v>
      </c>
      <c r="M764" s="541" t="s">
        <v>1755</v>
      </c>
      <c r="N764" s="525" t="s">
        <v>1773</v>
      </c>
      <c r="O764" s="525" t="s">
        <v>2234</v>
      </c>
      <c r="P764" s="531">
        <v>1973.0070000000001</v>
      </c>
      <c r="Q764" s="531">
        <v>2328.1482599999999</v>
      </c>
      <c r="R764" s="531">
        <v>1500.08</v>
      </c>
      <c r="S764" s="523" t="s">
        <v>1774</v>
      </c>
      <c r="T764" s="542">
        <v>1.087</v>
      </c>
      <c r="U764" s="543">
        <v>1.077</v>
      </c>
      <c r="V764" s="543">
        <v>1.073</v>
      </c>
      <c r="W764" s="543">
        <v>1.071</v>
      </c>
      <c r="X764" s="544">
        <v>0.9</v>
      </c>
      <c r="Y764" s="526">
        <v>1882.587</v>
      </c>
      <c r="Z764" s="531">
        <v>2221.4526599999999</v>
      </c>
      <c r="AA764" s="531">
        <v>1977.0065706310659</v>
      </c>
      <c r="AB764" s="532">
        <v>2332.8677533446576</v>
      </c>
      <c r="AC764" s="531">
        <v>1882.587</v>
      </c>
      <c r="AD764" s="532">
        <v>2221.4526599999999</v>
      </c>
      <c r="AE764" s="494" t="s">
        <v>1775</v>
      </c>
      <c r="AF764" s="534" t="s">
        <v>83</v>
      </c>
      <c r="AG764" s="534" t="s">
        <v>211</v>
      </c>
      <c r="AH764" s="534" t="s">
        <v>545</v>
      </c>
      <c r="AI764" s="533">
        <v>41669</v>
      </c>
      <c r="AJ764" s="533">
        <v>41704</v>
      </c>
      <c r="AK764" s="534" t="s">
        <v>96</v>
      </c>
      <c r="AL764" s="534" t="s">
        <v>96</v>
      </c>
      <c r="AM764" s="525" t="str">
        <f t="shared" si="118"/>
        <v>Выполнение ПИР, СМР, ПНР, оборудование</v>
      </c>
      <c r="AN764" s="525" t="s">
        <v>4784</v>
      </c>
      <c r="AO764" s="534">
        <v>796</v>
      </c>
      <c r="AP764" s="534" t="s">
        <v>368</v>
      </c>
      <c r="AQ764" s="534">
        <v>1</v>
      </c>
      <c r="AR764" s="534">
        <v>46</v>
      </c>
      <c r="AS764" s="525" t="s">
        <v>605</v>
      </c>
      <c r="AT764" s="533">
        <v>41724</v>
      </c>
      <c r="AU764" s="533">
        <v>41724</v>
      </c>
      <c r="AV764" s="533">
        <v>41820</v>
      </c>
      <c r="AW764" s="534">
        <v>2014</v>
      </c>
      <c r="AX764" s="525"/>
      <c r="AY764" s="534" t="s">
        <v>186</v>
      </c>
      <c r="AZ764" s="534"/>
      <c r="BA764" s="534">
        <v>2014</v>
      </c>
      <c r="BB764" s="534" t="s">
        <v>6943</v>
      </c>
      <c r="BC764" s="525" t="s">
        <v>6944</v>
      </c>
      <c r="BD764" s="534" t="s">
        <v>1818</v>
      </c>
      <c r="BE764" s="545">
        <v>41820</v>
      </c>
      <c r="BF764" s="546">
        <v>2392.4263999999998</v>
      </c>
      <c r="BG764" s="488">
        <v>2392.4263999999998</v>
      </c>
      <c r="BH764" s="532">
        <v>0</v>
      </c>
      <c r="BI764" s="532">
        <v>0.5</v>
      </c>
      <c r="BJ764" s="534" t="s">
        <v>1465</v>
      </c>
      <c r="BK764" s="523"/>
    </row>
    <row r="765" spans="1:63" ht="96.75" customHeight="1">
      <c r="A765" s="504">
        <v>2</v>
      </c>
      <c r="B765" s="570" t="s">
        <v>6945</v>
      </c>
      <c r="C765" s="504" t="s">
        <v>83</v>
      </c>
      <c r="D765" s="504" t="s">
        <v>225</v>
      </c>
      <c r="E765" s="570" t="s">
        <v>5853</v>
      </c>
      <c r="F765" s="504" t="s">
        <v>1752</v>
      </c>
      <c r="G765" s="504" t="s">
        <v>6141</v>
      </c>
      <c r="H765" s="517">
        <v>825323</v>
      </c>
      <c r="I765" s="506" t="s">
        <v>6935</v>
      </c>
      <c r="J765" s="506" t="s">
        <v>2991</v>
      </c>
      <c r="K765" s="506" t="s">
        <v>2991</v>
      </c>
      <c r="L765" s="506" t="s">
        <v>2513</v>
      </c>
      <c r="M765" s="571" t="s">
        <v>1755</v>
      </c>
      <c r="N765" s="506" t="s">
        <v>1773</v>
      </c>
      <c r="O765" s="506" t="s">
        <v>2234</v>
      </c>
      <c r="P765" s="512">
        <f>SUM(P766:P769)</f>
        <v>8942.8420000000006</v>
      </c>
      <c r="Q765" s="512">
        <f>SUM(Q766:Q769)</f>
        <v>10552.55356</v>
      </c>
      <c r="R765" s="512">
        <f>SUM(R766:R769)</f>
        <v>6808.321809939378</v>
      </c>
      <c r="S765" s="504" t="s">
        <v>1774</v>
      </c>
      <c r="T765" s="572">
        <v>1.087</v>
      </c>
      <c r="U765" s="572">
        <v>1.077</v>
      </c>
      <c r="V765" s="572">
        <v>1.073</v>
      </c>
      <c r="W765" s="572">
        <v>1.071</v>
      </c>
      <c r="X765" s="511">
        <v>0.9</v>
      </c>
      <c r="Y765" s="512">
        <f t="shared" ref="Y765:AD765" si="123">SUM(Y766:Y769)</f>
        <v>8544.369999999999</v>
      </c>
      <c r="Z765" s="512">
        <f t="shared" si="123"/>
        <v>10082.356599999999</v>
      </c>
      <c r="AA765" s="512">
        <f t="shared" si="123"/>
        <v>8960.5604674053175</v>
      </c>
      <c r="AB765" s="512">
        <f t="shared" si="123"/>
        <v>10573.461351538273</v>
      </c>
      <c r="AC765" s="512">
        <f t="shared" si="123"/>
        <v>8544.369999999999</v>
      </c>
      <c r="AD765" s="512">
        <f t="shared" si="123"/>
        <v>10082.356599999999</v>
      </c>
      <c r="AE765" s="494" t="s">
        <v>1775</v>
      </c>
      <c r="AF765" s="570" t="s">
        <v>83</v>
      </c>
      <c r="AG765" s="570" t="s">
        <v>211</v>
      </c>
      <c r="AH765" s="570" t="s">
        <v>545</v>
      </c>
      <c r="AI765" s="515">
        <v>41669</v>
      </c>
      <c r="AJ765" s="515">
        <v>41704</v>
      </c>
      <c r="AK765" s="570" t="s">
        <v>96</v>
      </c>
      <c r="AL765" s="570" t="s">
        <v>96</v>
      </c>
      <c r="AM765" s="506" t="str">
        <f t="shared" si="118"/>
        <v>Выполнение ПИР, СМР, ПНР, оборудование</v>
      </c>
      <c r="AN765" s="506" t="s">
        <v>4784</v>
      </c>
      <c r="AO765" s="570">
        <v>796</v>
      </c>
      <c r="AP765" s="570" t="s">
        <v>368</v>
      </c>
      <c r="AQ765" s="570">
        <v>1</v>
      </c>
      <c r="AR765" s="570">
        <v>46</v>
      </c>
      <c r="AS765" s="506" t="s">
        <v>605</v>
      </c>
      <c r="AT765" s="515">
        <v>41724</v>
      </c>
      <c r="AU765" s="515">
        <v>41724</v>
      </c>
      <c r="AV765" s="515">
        <v>41820</v>
      </c>
      <c r="AW765" s="570">
        <v>2014</v>
      </c>
      <c r="AX765" s="506"/>
      <c r="AY765" s="570" t="s">
        <v>186</v>
      </c>
      <c r="AZ765" s="570"/>
      <c r="BA765" s="570">
        <v>2014</v>
      </c>
      <c r="BB765" s="570" t="s">
        <v>2271</v>
      </c>
      <c r="BC765" s="506" t="s">
        <v>2271</v>
      </c>
      <c r="BD765" s="570" t="s">
        <v>2272</v>
      </c>
      <c r="BE765" s="573" t="s">
        <v>2272</v>
      </c>
      <c r="BF765" s="574" t="s">
        <v>2272</v>
      </c>
      <c r="BG765" s="488" t="s">
        <v>2272</v>
      </c>
      <c r="BH765" s="513" t="s">
        <v>2272</v>
      </c>
      <c r="BI765" s="513" t="s">
        <v>2272</v>
      </c>
      <c r="BJ765" s="570" t="s">
        <v>1465</v>
      </c>
      <c r="BK765" s="504"/>
    </row>
    <row r="766" spans="1:63" ht="95.25" customHeight="1">
      <c r="A766" s="523">
        <v>2</v>
      </c>
      <c r="B766" s="534" t="s">
        <v>6946</v>
      </c>
      <c r="C766" s="523" t="s">
        <v>7112</v>
      </c>
      <c r="D766" s="523" t="s">
        <v>225</v>
      </c>
      <c r="E766" s="534" t="s">
        <v>5853</v>
      </c>
      <c r="F766" s="523" t="s">
        <v>1752</v>
      </c>
      <c r="G766" s="523" t="s">
        <v>6941</v>
      </c>
      <c r="H766" s="524">
        <v>825306</v>
      </c>
      <c r="I766" s="525" t="s">
        <v>6947</v>
      </c>
      <c r="J766" s="525" t="s">
        <v>2991</v>
      </c>
      <c r="K766" s="525" t="s">
        <v>2991</v>
      </c>
      <c r="L766" s="525" t="s">
        <v>2513</v>
      </c>
      <c r="M766" s="541" t="s">
        <v>1755</v>
      </c>
      <c r="N766" s="525" t="s">
        <v>1773</v>
      </c>
      <c r="O766" s="525" t="s">
        <v>2234</v>
      </c>
      <c r="P766" s="531">
        <v>5129.8190000000004</v>
      </c>
      <c r="Q766" s="531">
        <v>6053.18642</v>
      </c>
      <c r="R766" s="531">
        <v>3900.21</v>
      </c>
      <c r="S766" s="523" t="s">
        <v>1774</v>
      </c>
      <c r="T766" s="542">
        <v>1.087</v>
      </c>
      <c r="U766" s="543">
        <v>1.077</v>
      </c>
      <c r="V766" s="543">
        <v>1.073</v>
      </c>
      <c r="W766" s="543">
        <v>1.071</v>
      </c>
      <c r="X766" s="544">
        <v>0.9</v>
      </c>
      <c r="Y766" s="526">
        <v>4894.7259999999997</v>
      </c>
      <c r="Z766" s="531">
        <v>5775.776679999999</v>
      </c>
      <c r="AA766" s="531">
        <v>5140.2170836407713</v>
      </c>
      <c r="AB766" s="532">
        <v>6065.4561586961099</v>
      </c>
      <c r="AC766" s="531">
        <v>4894.7259999999997</v>
      </c>
      <c r="AD766" s="532">
        <v>5775.776679999999</v>
      </c>
      <c r="AE766" s="494" t="s">
        <v>1775</v>
      </c>
      <c r="AF766" s="534" t="s">
        <v>83</v>
      </c>
      <c r="AG766" s="534" t="s">
        <v>211</v>
      </c>
      <c r="AH766" s="534" t="s">
        <v>545</v>
      </c>
      <c r="AI766" s="533">
        <v>41669</v>
      </c>
      <c r="AJ766" s="533">
        <v>41704</v>
      </c>
      <c r="AK766" s="534" t="s">
        <v>96</v>
      </c>
      <c r="AL766" s="534" t="s">
        <v>96</v>
      </c>
      <c r="AM766" s="525" t="str">
        <f t="shared" si="118"/>
        <v>Выполнение ПИР, СМР, ПНР, оборудование</v>
      </c>
      <c r="AN766" s="525" t="s">
        <v>4784</v>
      </c>
      <c r="AO766" s="534">
        <v>796</v>
      </c>
      <c r="AP766" s="534" t="s">
        <v>368</v>
      </c>
      <c r="AQ766" s="534">
        <v>1</v>
      </c>
      <c r="AR766" s="534">
        <v>46</v>
      </c>
      <c r="AS766" s="525" t="s">
        <v>605</v>
      </c>
      <c r="AT766" s="533">
        <v>41724</v>
      </c>
      <c r="AU766" s="533">
        <v>41724</v>
      </c>
      <c r="AV766" s="533">
        <v>41820</v>
      </c>
      <c r="AW766" s="534">
        <v>2014</v>
      </c>
      <c r="AX766" s="525"/>
      <c r="AY766" s="534" t="s">
        <v>186</v>
      </c>
      <c r="AZ766" s="534"/>
      <c r="BA766" s="534">
        <v>2014</v>
      </c>
      <c r="BB766" s="534" t="s">
        <v>6948</v>
      </c>
      <c r="BC766" s="525" t="s">
        <v>6949</v>
      </c>
      <c r="BD766" s="534" t="s">
        <v>1818</v>
      </c>
      <c r="BE766" s="545">
        <v>41820</v>
      </c>
      <c r="BF766" s="546">
        <v>6220.3227999999999</v>
      </c>
      <c r="BG766" s="488">
        <v>6220.3227999999999</v>
      </c>
      <c r="BH766" s="532">
        <v>0</v>
      </c>
      <c r="BI766" s="532">
        <v>1.3</v>
      </c>
      <c r="BJ766" s="534" t="s">
        <v>1465</v>
      </c>
      <c r="BK766" s="523"/>
    </row>
    <row r="767" spans="1:63" ht="95.25" customHeight="1">
      <c r="A767" s="523">
        <v>2</v>
      </c>
      <c r="B767" s="534" t="s">
        <v>6950</v>
      </c>
      <c r="C767" s="523" t="s">
        <v>7112</v>
      </c>
      <c r="D767" s="523" t="s">
        <v>225</v>
      </c>
      <c r="E767" s="534" t="s">
        <v>5853</v>
      </c>
      <c r="F767" s="523" t="s">
        <v>1752</v>
      </c>
      <c r="G767" s="523" t="s">
        <v>6141</v>
      </c>
      <c r="H767" s="524">
        <v>825401</v>
      </c>
      <c r="I767" s="525" t="s">
        <v>6951</v>
      </c>
      <c r="J767" s="525" t="s">
        <v>2991</v>
      </c>
      <c r="K767" s="525" t="s">
        <v>2991</v>
      </c>
      <c r="L767" s="525" t="s">
        <v>2513</v>
      </c>
      <c r="M767" s="541" t="s">
        <v>1755</v>
      </c>
      <c r="N767" s="525" t="s">
        <v>1773</v>
      </c>
      <c r="O767" s="525" t="s">
        <v>2234</v>
      </c>
      <c r="P767" s="531">
        <v>780.42</v>
      </c>
      <c r="Q767" s="531">
        <v>920.89559999999994</v>
      </c>
      <c r="R767" s="531">
        <v>584.20543294466995</v>
      </c>
      <c r="S767" s="523" t="s">
        <v>1774</v>
      </c>
      <c r="T767" s="542">
        <v>1.087</v>
      </c>
      <c r="U767" s="543">
        <v>1.077</v>
      </c>
      <c r="V767" s="543">
        <v>1.073</v>
      </c>
      <c r="W767" s="543">
        <v>1.071</v>
      </c>
      <c r="X767" s="544">
        <v>0.9</v>
      </c>
      <c r="Y767" s="526">
        <v>733.17200000000003</v>
      </c>
      <c r="Z767" s="531">
        <v>865.14296000000002</v>
      </c>
      <c r="AA767" s="531">
        <v>778.30905472921415</v>
      </c>
      <c r="AB767" s="532">
        <v>918.40468458047269</v>
      </c>
      <c r="AC767" s="531">
        <v>733.17200000000003</v>
      </c>
      <c r="AD767" s="532">
        <v>865.14296000000002</v>
      </c>
      <c r="AE767" s="494" t="s">
        <v>1775</v>
      </c>
      <c r="AF767" s="534" t="s">
        <v>83</v>
      </c>
      <c r="AG767" s="534" t="s">
        <v>211</v>
      </c>
      <c r="AH767" s="534" t="s">
        <v>545</v>
      </c>
      <c r="AI767" s="533">
        <v>41669</v>
      </c>
      <c r="AJ767" s="533">
        <v>41704</v>
      </c>
      <c r="AK767" s="534" t="s">
        <v>96</v>
      </c>
      <c r="AL767" s="534" t="s">
        <v>96</v>
      </c>
      <c r="AM767" s="525" t="str">
        <f t="shared" si="118"/>
        <v>Выполнение ПИР, СМР, ПНР, оборудование</v>
      </c>
      <c r="AN767" s="525" t="s">
        <v>4784</v>
      </c>
      <c r="AO767" s="534">
        <v>796</v>
      </c>
      <c r="AP767" s="534" t="s">
        <v>368</v>
      </c>
      <c r="AQ767" s="534">
        <v>1</v>
      </c>
      <c r="AR767" s="534">
        <v>46</v>
      </c>
      <c r="AS767" s="525" t="s">
        <v>605</v>
      </c>
      <c r="AT767" s="533">
        <v>41724</v>
      </c>
      <c r="AU767" s="533">
        <v>41724</v>
      </c>
      <c r="AV767" s="533">
        <v>41820</v>
      </c>
      <c r="AW767" s="534">
        <v>2014</v>
      </c>
      <c r="AX767" s="525"/>
      <c r="AY767" s="534" t="s">
        <v>186</v>
      </c>
      <c r="AZ767" s="534"/>
      <c r="BA767" s="534">
        <v>2014</v>
      </c>
      <c r="BB767" s="534" t="s">
        <v>6952</v>
      </c>
      <c r="BC767" s="525" t="s">
        <v>6953</v>
      </c>
      <c r="BD767" s="534" t="s">
        <v>1818</v>
      </c>
      <c r="BE767" s="545">
        <v>41820</v>
      </c>
      <c r="BF767" s="546">
        <v>941.74619999999993</v>
      </c>
      <c r="BG767" s="488">
        <v>941.74619999999993</v>
      </c>
      <c r="BH767" s="532">
        <v>0</v>
      </c>
      <c r="BI767" s="532">
        <v>0.6</v>
      </c>
      <c r="BJ767" s="534" t="s">
        <v>1465</v>
      </c>
      <c r="BK767" s="523"/>
    </row>
    <row r="768" spans="1:63" ht="95.25" customHeight="1">
      <c r="A768" s="523">
        <v>2</v>
      </c>
      <c r="B768" s="534" t="s">
        <v>6954</v>
      </c>
      <c r="C768" s="523" t="s">
        <v>7112</v>
      </c>
      <c r="D768" s="523" t="s">
        <v>225</v>
      </c>
      <c r="E768" s="534" t="s">
        <v>5853</v>
      </c>
      <c r="F768" s="523" t="s">
        <v>1752</v>
      </c>
      <c r="G768" s="523" t="s">
        <v>6141</v>
      </c>
      <c r="H768" s="524">
        <v>825562</v>
      </c>
      <c r="I768" s="525" t="s">
        <v>6955</v>
      </c>
      <c r="J768" s="525" t="s">
        <v>2991</v>
      </c>
      <c r="K768" s="525" t="s">
        <v>2991</v>
      </c>
      <c r="L768" s="525" t="s">
        <v>2513</v>
      </c>
      <c r="M768" s="541" t="s">
        <v>1755</v>
      </c>
      <c r="N768" s="525" t="s">
        <v>1773</v>
      </c>
      <c r="O768" s="525" t="s">
        <v>2234</v>
      </c>
      <c r="P768" s="531">
        <v>609.072</v>
      </c>
      <c r="Q768" s="531">
        <v>718.70495999999991</v>
      </c>
      <c r="R768" s="531">
        <v>466.74</v>
      </c>
      <c r="S768" s="523" t="s">
        <v>1774</v>
      </c>
      <c r="T768" s="542">
        <v>1.087</v>
      </c>
      <c r="U768" s="543">
        <v>1.077</v>
      </c>
      <c r="V768" s="543">
        <v>1.073</v>
      </c>
      <c r="W768" s="543">
        <v>1.071</v>
      </c>
      <c r="X768" s="544">
        <v>0.9</v>
      </c>
      <c r="Y768" s="526">
        <v>585.74800000000005</v>
      </c>
      <c r="Z768" s="531">
        <v>691.18263999999999</v>
      </c>
      <c r="AA768" s="531">
        <v>610.9658852216071</v>
      </c>
      <c r="AB768" s="532">
        <v>720.93974456149635</v>
      </c>
      <c r="AC768" s="531">
        <v>585.74800000000005</v>
      </c>
      <c r="AD768" s="532">
        <v>691.18263999999999</v>
      </c>
      <c r="AE768" s="494" t="s">
        <v>1775</v>
      </c>
      <c r="AF768" s="534" t="s">
        <v>83</v>
      </c>
      <c r="AG768" s="534" t="s">
        <v>211</v>
      </c>
      <c r="AH768" s="534" t="s">
        <v>545</v>
      </c>
      <c r="AI768" s="533">
        <v>41669</v>
      </c>
      <c r="AJ768" s="533">
        <v>41704</v>
      </c>
      <c r="AK768" s="534" t="s">
        <v>96</v>
      </c>
      <c r="AL768" s="534" t="s">
        <v>96</v>
      </c>
      <c r="AM768" s="525" t="str">
        <f t="shared" si="118"/>
        <v>Выполнение ПИР, СМР, ПНР, оборудование</v>
      </c>
      <c r="AN768" s="525" t="s">
        <v>4784</v>
      </c>
      <c r="AO768" s="534">
        <v>796</v>
      </c>
      <c r="AP768" s="534" t="s">
        <v>368</v>
      </c>
      <c r="AQ768" s="534">
        <v>1</v>
      </c>
      <c r="AR768" s="534">
        <v>46</v>
      </c>
      <c r="AS768" s="525" t="s">
        <v>605</v>
      </c>
      <c r="AT768" s="533">
        <v>41724</v>
      </c>
      <c r="AU768" s="533">
        <v>41724</v>
      </c>
      <c r="AV768" s="533">
        <v>41820</v>
      </c>
      <c r="AW768" s="534">
        <v>2014</v>
      </c>
      <c r="AX768" s="525"/>
      <c r="AY768" s="534" t="s">
        <v>186</v>
      </c>
      <c r="AZ768" s="534"/>
      <c r="BA768" s="534">
        <v>2014</v>
      </c>
      <c r="BB768" s="534" t="s">
        <v>6956</v>
      </c>
      <c r="BC768" s="525" t="s">
        <v>6957</v>
      </c>
      <c r="BD768" s="534" t="s">
        <v>1818</v>
      </c>
      <c r="BE768" s="545">
        <v>41820</v>
      </c>
      <c r="BF768" s="546">
        <v>739.06232</v>
      </c>
      <c r="BG768" s="488">
        <v>739.06232</v>
      </c>
      <c r="BH768" s="532">
        <v>0</v>
      </c>
      <c r="BI768" s="532">
        <v>0.35</v>
      </c>
      <c r="BJ768" s="534" t="s">
        <v>1465</v>
      </c>
      <c r="BK768" s="523"/>
    </row>
    <row r="769" spans="1:63" ht="95.25" customHeight="1">
      <c r="A769" s="523">
        <v>2</v>
      </c>
      <c r="B769" s="534" t="s">
        <v>6958</v>
      </c>
      <c r="C769" s="523" t="s">
        <v>7112</v>
      </c>
      <c r="D769" s="523" t="s">
        <v>225</v>
      </c>
      <c r="E769" s="534" t="s">
        <v>5853</v>
      </c>
      <c r="F769" s="523" t="s">
        <v>1752</v>
      </c>
      <c r="G769" s="523" t="s">
        <v>6141</v>
      </c>
      <c r="H769" s="524">
        <v>825563</v>
      </c>
      <c r="I769" s="525" t="s">
        <v>6959</v>
      </c>
      <c r="J769" s="525" t="s">
        <v>2991</v>
      </c>
      <c r="K769" s="525" t="s">
        <v>2991</v>
      </c>
      <c r="L769" s="525" t="s">
        <v>2513</v>
      </c>
      <c r="M769" s="541" t="s">
        <v>1755</v>
      </c>
      <c r="N769" s="525" t="s">
        <v>1773</v>
      </c>
      <c r="O769" s="525" t="s">
        <v>2234</v>
      </c>
      <c r="P769" s="531">
        <v>2423.5309999999999</v>
      </c>
      <c r="Q769" s="531">
        <v>2859.76658</v>
      </c>
      <c r="R769" s="531">
        <v>1857.1663769947083</v>
      </c>
      <c r="S769" s="523" t="s">
        <v>1774</v>
      </c>
      <c r="T769" s="542">
        <v>1.087</v>
      </c>
      <c r="U769" s="543">
        <v>1.077</v>
      </c>
      <c r="V769" s="543">
        <v>1.073</v>
      </c>
      <c r="W769" s="543">
        <v>1.071</v>
      </c>
      <c r="X769" s="544">
        <v>0.9</v>
      </c>
      <c r="Y769" s="526">
        <v>2330.7240000000002</v>
      </c>
      <c r="Z769" s="531">
        <v>2750.25432</v>
      </c>
      <c r="AA769" s="531">
        <v>2431.0684438137241</v>
      </c>
      <c r="AB769" s="532">
        <v>2868.6607637001944</v>
      </c>
      <c r="AC769" s="531">
        <v>2330.7240000000002</v>
      </c>
      <c r="AD769" s="532">
        <v>2750.25432</v>
      </c>
      <c r="AE769" s="494" t="s">
        <v>1775</v>
      </c>
      <c r="AF769" s="534" t="s">
        <v>83</v>
      </c>
      <c r="AG769" s="534" t="s">
        <v>211</v>
      </c>
      <c r="AH769" s="534" t="s">
        <v>545</v>
      </c>
      <c r="AI769" s="533">
        <v>41669</v>
      </c>
      <c r="AJ769" s="533">
        <v>41704</v>
      </c>
      <c r="AK769" s="534" t="s">
        <v>96</v>
      </c>
      <c r="AL769" s="534" t="s">
        <v>96</v>
      </c>
      <c r="AM769" s="525" t="str">
        <f t="shared" si="118"/>
        <v>Выполнение ПИР, СМР, ПНР, оборудование</v>
      </c>
      <c r="AN769" s="525" t="s">
        <v>4784</v>
      </c>
      <c r="AO769" s="534">
        <v>796</v>
      </c>
      <c r="AP769" s="534" t="s">
        <v>368</v>
      </c>
      <c r="AQ769" s="534">
        <v>1</v>
      </c>
      <c r="AR769" s="534">
        <v>46</v>
      </c>
      <c r="AS769" s="525" t="s">
        <v>605</v>
      </c>
      <c r="AT769" s="533">
        <v>41724</v>
      </c>
      <c r="AU769" s="533">
        <v>41724</v>
      </c>
      <c r="AV769" s="533">
        <v>41820</v>
      </c>
      <c r="AW769" s="534">
        <v>2014</v>
      </c>
      <c r="AX769" s="525"/>
      <c r="AY769" s="534" t="s">
        <v>186</v>
      </c>
      <c r="AZ769" s="534"/>
      <c r="BA769" s="534">
        <v>2014</v>
      </c>
      <c r="BB769" s="534" t="s">
        <v>6960</v>
      </c>
      <c r="BC769" s="525" t="s">
        <v>6961</v>
      </c>
      <c r="BD769" s="534" t="s">
        <v>1818</v>
      </c>
      <c r="BE769" s="545">
        <v>41820</v>
      </c>
      <c r="BF769" s="546">
        <v>2940.7723999999998</v>
      </c>
      <c r="BG769" s="488">
        <v>2940.7723999999998</v>
      </c>
      <c r="BH769" s="532">
        <v>0</v>
      </c>
      <c r="BI769" s="532">
        <v>1</v>
      </c>
      <c r="BJ769" s="534" t="s">
        <v>1465</v>
      </c>
      <c r="BK769" s="523"/>
    </row>
    <row r="770" spans="1:63" ht="96.75" customHeight="1">
      <c r="A770" s="504">
        <v>2</v>
      </c>
      <c r="B770" s="570" t="s">
        <v>6962</v>
      </c>
      <c r="C770" s="504" t="s">
        <v>83</v>
      </c>
      <c r="D770" s="504" t="s">
        <v>225</v>
      </c>
      <c r="E770" s="570" t="s">
        <v>5853</v>
      </c>
      <c r="F770" s="504" t="s">
        <v>1752</v>
      </c>
      <c r="G770" s="504" t="s">
        <v>6141</v>
      </c>
      <c r="H770" s="517">
        <v>825576</v>
      </c>
      <c r="I770" s="506" t="s">
        <v>6963</v>
      </c>
      <c r="J770" s="506" t="s">
        <v>2991</v>
      </c>
      <c r="K770" s="506" t="s">
        <v>2991</v>
      </c>
      <c r="L770" s="506" t="s">
        <v>2513</v>
      </c>
      <c r="M770" s="571" t="s">
        <v>1755</v>
      </c>
      <c r="N770" s="506" t="s">
        <v>1773</v>
      </c>
      <c r="O770" s="506" t="s">
        <v>2234</v>
      </c>
      <c r="P770" s="512">
        <v>3070.8119999999999</v>
      </c>
      <c r="Q770" s="512">
        <v>3623.5581599999996</v>
      </c>
      <c r="R770" s="512">
        <v>2258.62478554673</v>
      </c>
      <c r="S770" s="504" t="s">
        <v>1774</v>
      </c>
      <c r="T770" s="572">
        <v>1.087</v>
      </c>
      <c r="U770" s="572">
        <v>1.077</v>
      </c>
      <c r="V770" s="572">
        <v>1.073</v>
      </c>
      <c r="W770" s="572">
        <v>1.071</v>
      </c>
      <c r="X770" s="511">
        <v>0.9</v>
      </c>
      <c r="Y770" s="512">
        <v>2835.4589999999998</v>
      </c>
      <c r="Z770" s="512">
        <v>3345.8416199999997</v>
      </c>
      <c r="AA770" s="512">
        <f>SUM(AA771:AA772)</f>
        <v>3043.4751298370566</v>
      </c>
      <c r="AB770" s="512">
        <f>SUM(AB771:AB772)</f>
        <v>3591.3006532077261</v>
      </c>
      <c r="AC770" s="512">
        <f>SUM(AC771:AC772)</f>
        <v>2835.4589999999998</v>
      </c>
      <c r="AD770" s="512">
        <f>SUM(AD771:AD772)</f>
        <v>3345.8416200000001</v>
      </c>
      <c r="AE770" s="494" t="s">
        <v>1775</v>
      </c>
      <c r="AF770" s="570" t="s">
        <v>83</v>
      </c>
      <c r="AG770" s="570" t="s">
        <v>211</v>
      </c>
      <c r="AH770" s="570" t="s">
        <v>545</v>
      </c>
      <c r="AI770" s="515">
        <v>41669</v>
      </c>
      <c r="AJ770" s="515">
        <v>41704</v>
      </c>
      <c r="AK770" s="570" t="s">
        <v>96</v>
      </c>
      <c r="AL770" s="570" t="s">
        <v>96</v>
      </c>
      <c r="AM770" s="506" t="str">
        <f t="shared" si="118"/>
        <v>Выполнение ПИР, СМР, ПНР, оборудование</v>
      </c>
      <c r="AN770" s="506" t="s">
        <v>4784</v>
      </c>
      <c r="AO770" s="570">
        <v>796</v>
      </c>
      <c r="AP770" s="570" t="s">
        <v>368</v>
      </c>
      <c r="AQ770" s="570">
        <v>1</v>
      </c>
      <c r="AR770" s="570">
        <v>46</v>
      </c>
      <c r="AS770" s="506" t="s">
        <v>605</v>
      </c>
      <c r="AT770" s="515">
        <v>41724</v>
      </c>
      <c r="AU770" s="515">
        <v>41724</v>
      </c>
      <c r="AV770" s="515">
        <v>41820</v>
      </c>
      <c r="AW770" s="570">
        <v>2014</v>
      </c>
      <c r="AX770" s="506"/>
      <c r="AY770" s="570" t="s">
        <v>186</v>
      </c>
      <c r="AZ770" s="570"/>
      <c r="BA770" s="570">
        <v>2014</v>
      </c>
      <c r="BB770" s="570" t="s">
        <v>2271</v>
      </c>
      <c r="BC770" s="506" t="s">
        <v>2271</v>
      </c>
      <c r="BD770" s="570" t="s">
        <v>2272</v>
      </c>
      <c r="BE770" s="573" t="s">
        <v>2272</v>
      </c>
      <c r="BF770" s="574" t="s">
        <v>2272</v>
      </c>
      <c r="BG770" s="488" t="s">
        <v>2272</v>
      </c>
      <c r="BH770" s="513" t="s">
        <v>2272</v>
      </c>
      <c r="BI770" s="513" t="s">
        <v>2272</v>
      </c>
      <c r="BJ770" s="570" t="s">
        <v>1465</v>
      </c>
      <c r="BK770" s="504"/>
    </row>
    <row r="771" spans="1:63" ht="95.25" customHeight="1">
      <c r="A771" s="523">
        <v>2</v>
      </c>
      <c r="B771" s="534" t="s">
        <v>6964</v>
      </c>
      <c r="C771" s="523" t="s">
        <v>7112</v>
      </c>
      <c r="D771" s="523" t="s">
        <v>225</v>
      </c>
      <c r="E771" s="534" t="s">
        <v>5853</v>
      </c>
      <c r="F771" s="523" t="s">
        <v>1752</v>
      </c>
      <c r="G771" s="523" t="s">
        <v>6141</v>
      </c>
      <c r="H771" s="524">
        <v>825278</v>
      </c>
      <c r="I771" s="525" t="s">
        <v>6965</v>
      </c>
      <c r="J771" s="525" t="s">
        <v>2991</v>
      </c>
      <c r="K771" s="525" t="s">
        <v>2991</v>
      </c>
      <c r="L771" s="525" t="s">
        <v>2513</v>
      </c>
      <c r="M771" s="541" t="s">
        <v>1755</v>
      </c>
      <c r="N771" s="525" t="s">
        <v>1773</v>
      </c>
      <c r="O771" s="525" t="s">
        <v>2234</v>
      </c>
      <c r="P771" s="531">
        <v>1815.779</v>
      </c>
      <c r="Q771" s="531">
        <v>2142.61922</v>
      </c>
      <c r="R771" s="531">
        <v>1359.3177855467325</v>
      </c>
      <c r="S771" s="523" t="s">
        <v>1774</v>
      </c>
      <c r="T771" s="542">
        <v>1.087</v>
      </c>
      <c r="U771" s="543">
        <v>1.077</v>
      </c>
      <c r="V771" s="543">
        <v>1.073</v>
      </c>
      <c r="W771" s="543">
        <v>1.071</v>
      </c>
      <c r="X771" s="544">
        <v>0.9</v>
      </c>
      <c r="Y771" s="526">
        <v>1705.9290000000001</v>
      </c>
      <c r="Z771" s="531">
        <v>2012.99622</v>
      </c>
      <c r="AA771" s="531">
        <v>1807.9551298370563</v>
      </c>
      <c r="AB771" s="532">
        <v>2133.3870532077262</v>
      </c>
      <c r="AC771" s="531">
        <v>1705.9290000000001</v>
      </c>
      <c r="AD771" s="532">
        <v>2012.99622</v>
      </c>
      <c r="AE771" s="494" t="s">
        <v>1775</v>
      </c>
      <c r="AF771" s="534" t="s">
        <v>83</v>
      </c>
      <c r="AG771" s="534" t="s">
        <v>211</v>
      </c>
      <c r="AH771" s="534" t="s">
        <v>545</v>
      </c>
      <c r="AI771" s="533">
        <v>41669</v>
      </c>
      <c r="AJ771" s="533">
        <v>41704</v>
      </c>
      <c r="AK771" s="534" t="s">
        <v>96</v>
      </c>
      <c r="AL771" s="534" t="s">
        <v>96</v>
      </c>
      <c r="AM771" s="525" t="str">
        <f t="shared" si="118"/>
        <v>Выполнение ПИР, СМР, ПНР, оборудование</v>
      </c>
      <c r="AN771" s="525" t="s">
        <v>4784</v>
      </c>
      <c r="AO771" s="534">
        <v>796</v>
      </c>
      <c r="AP771" s="534" t="s">
        <v>368</v>
      </c>
      <c r="AQ771" s="534">
        <v>1</v>
      </c>
      <c r="AR771" s="534">
        <v>46</v>
      </c>
      <c r="AS771" s="525" t="s">
        <v>605</v>
      </c>
      <c r="AT771" s="533">
        <v>41724</v>
      </c>
      <c r="AU771" s="533">
        <v>41724</v>
      </c>
      <c r="AV771" s="533">
        <v>41820</v>
      </c>
      <c r="AW771" s="534">
        <v>2014</v>
      </c>
      <c r="AX771" s="525"/>
      <c r="AY771" s="534" t="s">
        <v>186</v>
      </c>
      <c r="AZ771" s="534"/>
      <c r="BA771" s="534">
        <v>2014</v>
      </c>
      <c r="BB771" s="534" t="s">
        <v>6966</v>
      </c>
      <c r="BC771" s="525" t="s">
        <v>6967</v>
      </c>
      <c r="BD771" s="534" t="s">
        <v>1818</v>
      </c>
      <c r="BE771" s="545">
        <v>41820</v>
      </c>
      <c r="BF771" s="546">
        <v>2197.03728</v>
      </c>
      <c r="BG771" s="488">
        <v>2197.03728</v>
      </c>
      <c r="BH771" s="532">
        <v>0.16</v>
      </c>
      <c r="BI771" s="532">
        <v>0.85</v>
      </c>
      <c r="BJ771" s="534" t="s">
        <v>1465</v>
      </c>
      <c r="BK771" s="523"/>
    </row>
    <row r="772" spans="1:63" ht="95.25" customHeight="1">
      <c r="A772" s="523">
        <v>2</v>
      </c>
      <c r="B772" s="534" t="s">
        <v>6968</v>
      </c>
      <c r="C772" s="523" t="s">
        <v>7112</v>
      </c>
      <c r="D772" s="523" t="s">
        <v>225</v>
      </c>
      <c r="E772" s="534" t="s">
        <v>5853</v>
      </c>
      <c r="F772" s="523" t="s">
        <v>1752</v>
      </c>
      <c r="G772" s="523" t="s">
        <v>6141</v>
      </c>
      <c r="H772" s="524">
        <v>825279</v>
      </c>
      <c r="I772" s="525" t="s">
        <v>6969</v>
      </c>
      <c r="J772" s="525" t="s">
        <v>2991</v>
      </c>
      <c r="K772" s="525" t="s">
        <v>2991</v>
      </c>
      <c r="L772" s="525" t="s">
        <v>2513</v>
      </c>
      <c r="M772" s="541" t="s">
        <v>1755</v>
      </c>
      <c r="N772" s="525" t="s">
        <v>1773</v>
      </c>
      <c r="O772" s="525" t="s">
        <v>2234</v>
      </c>
      <c r="P772" s="531">
        <v>1255.0329999999999</v>
      </c>
      <c r="Q772" s="531">
        <v>1480.9389399999998</v>
      </c>
      <c r="R772" s="531">
        <v>899.30700000000002</v>
      </c>
      <c r="S772" s="523" t="s">
        <v>1774</v>
      </c>
      <c r="T772" s="542">
        <v>1.087</v>
      </c>
      <c r="U772" s="543">
        <v>1.077</v>
      </c>
      <c r="V772" s="543">
        <v>1.073</v>
      </c>
      <c r="W772" s="543">
        <v>1.071</v>
      </c>
      <c r="X772" s="544">
        <v>0.9</v>
      </c>
      <c r="Y772" s="526">
        <v>1129.53</v>
      </c>
      <c r="Z772" s="531">
        <v>1332.8453999999999</v>
      </c>
      <c r="AA772" s="531">
        <v>1235.52</v>
      </c>
      <c r="AB772" s="532">
        <v>1457.9135999999999</v>
      </c>
      <c r="AC772" s="531">
        <v>1129.53</v>
      </c>
      <c r="AD772" s="532">
        <v>1332.8453999999999</v>
      </c>
      <c r="AE772" s="494" t="s">
        <v>1775</v>
      </c>
      <c r="AF772" s="534" t="s">
        <v>83</v>
      </c>
      <c r="AG772" s="534" t="s">
        <v>211</v>
      </c>
      <c r="AH772" s="534" t="s">
        <v>545</v>
      </c>
      <c r="AI772" s="533">
        <v>41669</v>
      </c>
      <c r="AJ772" s="533">
        <v>41704</v>
      </c>
      <c r="AK772" s="534" t="s">
        <v>96</v>
      </c>
      <c r="AL772" s="534" t="s">
        <v>96</v>
      </c>
      <c r="AM772" s="525" t="str">
        <f t="shared" si="118"/>
        <v>Выполнение ПИР, СМР, ПНР, оборудование</v>
      </c>
      <c r="AN772" s="525" t="s">
        <v>4784</v>
      </c>
      <c r="AO772" s="534">
        <v>796</v>
      </c>
      <c r="AP772" s="534" t="s">
        <v>368</v>
      </c>
      <c r="AQ772" s="534">
        <v>1</v>
      </c>
      <c r="AR772" s="534">
        <v>46</v>
      </c>
      <c r="AS772" s="525" t="s">
        <v>605</v>
      </c>
      <c r="AT772" s="533">
        <v>41724</v>
      </c>
      <c r="AU772" s="533">
        <v>41724</v>
      </c>
      <c r="AV772" s="533">
        <v>41820</v>
      </c>
      <c r="AW772" s="534">
        <v>2014</v>
      </c>
      <c r="AX772" s="525"/>
      <c r="AY772" s="534" t="s">
        <v>186</v>
      </c>
      <c r="AZ772" s="534"/>
      <c r="BA772" s="534">
        <v>2014</v>
      </c>
      <c r="BB772" s="534" t="s">
        <v>6970</v>
      </c>
      <c r="BC772" s="525" t="s">
        <v>6971</v>
      </c>
      <c r="BD772" s="534" t="s">
        <v>1818</v>
      </c>
      <c r="BE772" s="545">
        <v>41820</v>
      </c>
      <c r="BF772" s="546">
        <v>1514.1139909999999</v>
      </c>
      <c r="BG772" s="488">
        <v>1514.1139909999999</v>
      </c>
      <c r="BH772" s="532">
        <v>0</v>
      </c>
      <c r="BI772" s="532">
        <v>0.4</v>
      </c>
      <c r="BJ772" s="534" t="s">
        <v>1465</v>
      </c>
      <c r="BK772" s="523"/>
    </row>
    <row r="773" spans="1:63" ht="105.75" customHeight="1">
      <c r="A773" s="401">
        <v>2</v>
      </c>
      <c r="B773" s="494" t="s">
        <v>6972</v>
      </c>
      <c r="C773" s="401" t="s">
        <v>83</v>
      </c>
      <c r="D773" s="401" t="s">
        <v>225</v>
      </c>
      <c r="E773" s="494" t="s">
        <v>5853</v>
      </c>
      <c r="F773" s="401" t="s">
        <v>1752</v>
      </c>
      <c r="G773" s="401" t="s">
        <v>6141</v>
      </c>
      <c r="H773" s="499">
        <v>825282</v>
      </c>
      <c r="I773" s="486" t="s">
        <v>6973</v>
      </c>
      <c r="J773" s="496" t="s">
        <v>2991</v>
      </c>
      <c r="K773" s="496" t="s">
        <v>2991</v>
      </c>
      <c r="L773" s="500" t="s">
        <v>2513</v>
      </c>
      <c r="M773" s="500" t="s">
        <v>1755</v>
      </c>
      <c r="N773" s="496" t="s">
        <v>1773</v>
      </c>
      <c r="O773" s="496" t="s">
        <v>2234</v>
      </c>
      <c r="P773" s="489">
        <v>1133.5899999999999</v>
      </c>
      <c r="Q773" s="489">
        <v>1337.6361999999999</v>
      </c>
      <c r="R773" s="584">
        <v>849.3313545196321</v>
      </c>
      <c r="S773" s="401" t="s">
        <v>1774</v>
      </c>
      <c r="T773" s="490">
        <v>1.087</v>
      </c>
      <c r="U773" s="490">
        <v>1.077</v>
      </c>
      <c r="V773" s="490">
        <v>1.073</v>
      </c>
      <c r="W773" s="490">
        <v>1.071</v>
      </c>
      <c r="X773" s="491">
        <v>0.9</v>
      </c>
      <c r="Y773" s="502">
        <v>1011.5549999999999</v>
      </c>
      <c r="Z773" s="489">
        <v>1193.6348999999998</v>
      </c>
      <c r="AA773" s="489">
        <v>1126.4457922233792</v>
      </c>
      <c r="AB773" s="488">
        <v>1329.2060348235873</v>
      </c>
      <c r="AC773" s="492">
        <v>1011.5549999999999</v>
      </c>
      <c r="AD773" s="493">
        <v>1193.6348999999998</v>
      </c>
      <c r="AE773" s="494" t="s">
        <v>1775</v>
      </c>
      <c r="AF773" s="494" t="s">
        <v>83</v>
      </c>
      <c r="AG773" s="494" t="s">
        <v>211</v>
      </c>
      <c r="AH773" s="494" t="s">
        <v>545</v>
      </c>
      <c r="AI773" s="495">
        <v>41669</v>
      </c>
      <c r="AJ773" s="495">
        <v>41704</v>
      </c>
      <c r="AK773" s="494" t="s">
        <v>96</v>
      </c>
      <c r="AL773" s="494" t="s">
        <v>96</v>
      </c>
      <c r="AM773" s="496" t="str">
        <f t="shared" si="118"/>
        <v>Выполнение ПИР, СМР, ПНР, оборудование</v>
      </c>
      <c r="AN773" s="496" t="s">
        <v>4784</v>
      </c>
      <c r="AO773" s="494">
        <v>796</v>
      </c>
      <c r="AP773" s="494" t="s">
        <v>368</v>
      </c>
      <c r="AQ773" s="494">
        <v>1</v>
      </c>
      <c r="AR773" s="494">
        <v>46</v>
      </c>
      <c r="AS773" s="496" t="s">
        <v>605</v>
      </c>
      <c r="AT773" s="495">
        <v>41724</v>
      </c>
      <c r="AU773" s="495">
        <v>41724</v>
      </c>
      <c r="AV773" s="495">
        <v>41820</v>
      </c>
      <c r="AW773" s="494">
        <v>2014</v>
      </c>
      <c r="AX773" s="496"/>
      <c r="AY773" s="494" t="s">
        <v>186</v>
      </c>
      <c r="AZ773" s="494"/>
      <c r="BA773" s="494">
        <v>2014</v>
      </c>
      <c r="BB773" s="494" t="s">
        <v>6974</v>
      </c>
      <c r="BC773" s="496" t="s">
        <v>6975</v>
      </c>
      <c r="BD773" s="494" t="s">
        <v>1818</v>
      </c>
      <c r="BE773" s="575">
        <v>41820</v>
      </c>
      <c r="BF773" s="498">
        <v>1376.6351999999999</v>
      </c>
      <c r="BG773" s="488">
        <v>1376.6351999999999</v>
      </c>
      <c r="BH773" s="488">
        <v>0.25</v>
      </c>
      <c r="BI773" s="488">
        <v>0.04</v>
      </c>
      <c r="BJ773" s="494" t="s">
        <v>1465</v>
      </c>
      <c r="BK773" s="401"/>
    </row>
    <row r="774" spans="1:63" ht="150" customHeight="1">
      <c r="A774" s="401">
        <v>2</v>
      </c>
      <c r="B774" s="494" t="s">
        <v>6976</v>
      </c>
      <c r="C774" s="401" t="s">
        <v>83</v>
      </c>
      <c r="D774" s="401" t="s">
        <v>225</v>
      </c>
      <c r="E774" s="494" t="s">
        <v>5853</v>
      </c>
      <c r="F774" s="401" t="s">
        <v>1752</v>
      </c>
      <c r="G774" s="401" t="s">
        <v>6141</v>
      </c>
      <c r="H774" s="499">
        <v>825283</v>
      </c>
      <c r="I774" s="486" t="s">
        <v>6977</v>
      </c>
      <c r="J774" s="496" t="s">
        <v>2991</v>
      </c>
      <c r="K774" s="496" t="s">
        <v>2991</v>
      </c>
      <c r="L774" s="500" t="s">
        <v>2513</v>
      </c>
      <c r="M774" s="500" t="s">
        <v>1755</v>
      </c>
      <c r="N774" s="496" t="s">
        <v>1773</v>
      </c>
      <c r="O774" s="496" t="s">
        <v>2234</v>
      </c>
      <c r="P774" s="489">
        <v>1838.394</v>
      </c>
      <c r="Q774" s="489">
        <v>2169.30492</v>
      </c>
      <c r="R774" s="584">
        <v>1317.3208011382901</v>
      </c>
      <c r="S774" s="401" t="s">
        <v>1774</v>
      </c>
      <c r="T774" s="490">
        <v>1.087</v>
      </c>
      <c r="U774" s="490">
        <v>1.077</v>
      </c>
      <c r="V774" s="490">
        <v>1.073</v>
      </c>
      <c r="W774" s="490">
        <v>1.071</v>
      </c>
      <c r="X774" s="491">
        <v>0.9</v>
      </c>
      <c r="Y774" s="502">
        <v>1654.5550000000001</v>
      </c>
      <c r="Z774" s="489">
        <v>1952.3749</v>
      </c>
      <c r="AA774" s="489">
        <v>1793.96</v>
      </c>
      <c r="AB774" s="488">
        <v>2116.8728000000001</v>
      </c>
      <c r="AC774" s="492">
        <v>1654.5550000000001</v>
      </c>
      <c r="AD774" s="493">
        <v>1952.3749</v>
      </c>
      <c r="AE774" s="494" t="s">
        <v>1775</v>
      </c>
      <c r="AF774" s="494" t="s">
        <v>83</v>
      </c>
      <c r="AG774" s="494" t="s">
        <v>211</v>
      </c>
      <c r="AH774" s="494" t="s">
        <v>545</v>
      </c>
      <c r="AI774" s="495">
        <v>41669</v>
      </c>
      <c r="AJ774" s="495">
        <v>41704</v>
      </c>
      <c r="AK774" s="494" t="s">
        <v>96</v>
      </c>
      <c r="AL774" s="494" t="s">
        <v>96</v>
      </c>
      <c r="AM774" s="496" t="str">
        <f t="shared" si="118"/>
        <v>Выполнение ПИР, СМР, ПНР, оборудование</v>
      </c>
      <c r="AN774" s="496" t="s">
        <v>4784</v>
      </c>
      <c r="AO774" s="494">
        <v>796</v>
      </c>
      <c r="AP774" s="494" t="s">
        <v>368</v>
      </c>
      <c r="AQ774" s="494">
        <v>1</v>
      </c>
      <c r="AR774" s="494">
        <v>46</v>
      </c>
      <c r="AS774" s="496" t="s">
        <v>605</v>
      </c>
      <c r="AT774" s="495">
        <v>41724</v>
      </c>
      <c r="AU774" s="495">
        <v>41724</v>
      </c>
      <c r="AV774" s="495">
        <v>41820</v>
      </c>
      <c r="AW774" s="494">
        <v>2014</v>
      </c>
      <c r="AX774" s="496"/>
      <c r="AY774" s="494" t="s">
        <v>186</v>
      </c>
      <c r="AZ774" s="494"/>
      <c r="BA774" s="494">
        <v>2014</v>
      </c>
      <c r="BB774" s="494" t="s">
        <v>6978</v>
      </c>
      <c r="BC774" s="496" t="s">
        <v>6979</v>
      </c>
      <c r="BD774" s="494" t="s">
        <v>1818</v>
      </c>
      <c r="BE774" s="575">
        <v>41820</v>
      </c>
      <c r="BF774" s="498">
        <v>2214.8079738000001</v>
      </c>
      <c r="BG774" s="488">
        <v>2214.8079738000001</v>
      </c>
      <c r="BH774" s="488">
        <v>0.1</v>
      </c>
      <c r="BI774" s="488">
        <v>0.8</v>
      </c>
      <c r="BJ774" s="494" t="s">
        <v>1465</v>
      </c>
      <c r="BK774" s="401"/>
    </row>
    <row r="775" spans="1:63" ht="126" customHeight="1">
      <c r="A775" s="401">
        <v>2</v>
      </c>
      <c r="B775" s="494" t="s">
        <v>6980</v>
      </c>
      <c r="C775" s="401" t="s">
        <v>83</v>
      </c>
      <c r="D775" s="401" t="s">
        <v>225</v>
      </c>
      <c r="E775" s="494" t="s">
        <v>5853</v>
      </c>
      <c r="F775" s="401" t="s">
        <v>1752</v>
      </c>
      <c r="G775" s="401" t="s">
        <v>6141</v>
      </c>
      <c r="H775" s="499">
        <v>825772</v>
      </c>
      <c r="I775" s="486" t="s">
        <v>6981</v>
      </c>
      <c r="J775" s="496" t="s">
        <v>2991</v>
      </c>
      <c r="K775" s="496" t="s">
        <v>2991</v>
      </c>
      <c r="L775" s="500" t="s">
        <v>5004</v>
      </c>
      <c r="M775" s="500" t="s">
        <v>1755</v>
      </c>
      <c r="N775" s="496" t="s">
        <v>1773</v>
      </c>
      <c r="O775" s="496" t="s">
        <v>2234</v>
      </c>
      <c r="P775" s="489">
        <v>2868.4670000000001</v>
      </c>
      <c r="Q775" s="489">
        <v>3384.79106</v>
      </c>
      <c r="R775" s="584">
        <v>2055.43023595351</v>
      </c>
      <c r="S775" s="401" t="s">
        <v>1774</v>
      </c>
      <c r="T775" s="490">
        <v>1.087</v>
      </c>
      <c r="U775" s="490">
        <v>1.077</v>
      </c>
      <c r="V775" s="490">
        <v>1.073</v>
      </c>
      <c r="W775" s="490">
        <v>1.071</v>
      </c>
      <c r="X775" s="491">
        <v>0.9</v>
      </c>
      <c r="Y775" s="502">
        <v>2581.62</v>
      </c>
      <c r="Z775" s="489">
        <v>3046.3115999999995</v>
      </c>
      <c r="AA775" s="489">
        <v>2633.351256992597</v>
      </c>
      <c r="AB775" s="488">
        <v>3107.3544832512644</v>
      </c>
      <c r="AC775" s="492">
        <v>2581.62</v>
      </c>
      <c r="AD775" s="493">
        <v>3046.3115999999995</v>
      </c>
      <c r="AE775" s="494" t="s">
        <v>1775</v>
      </c>
      <c r="AF775" s="494" t="s">
        <v>83</v>
      </c>
      <c r="AG775" s="494" t="s">
        <v>211</v>
      </c>
      <c r="AH775" s="494" t="s">
        <v>545</v>
      </c>
      <c r="AI775" s="495">
        <v>41669</v>
      </c>
      <c r="AJ775" s="495">
        <v>41704</v>
      </c>
      <c r="AK775" s="494" t="s">
        <v>96</v>
      </c>
      <c r="AL775" s="494" t="s">
        <v>96</v>
      </c>
      <c r="AM775" s="496" t="str">
        <f t="shared" si="118"/>
        <v>Выполнение ПИР, СМР, ПНР, оборудование</v>
      </c>
      <c r="AN775" s="496" t="s">
        <v>4784</v>
      </c>
      <c r="AO775" s="494">
        <v>796</v>
      </c>
      <c r="AP775" s="494" t="s">
        <v>368</v>
      </c>
      <c r="AQ775" s="494">
        <v>1</v>
      </c>
      <c r="AR775" s="494">
        <v>46</v>
      </c>
      <c r="AS775" s="496" t="s">
        <v>605</v>
      </c>
      <c r="AT775" s="495">
        <v>41724</v>
      </c>
      <c r="AU775" s="495">
        <v>41724</v>
      </c>
      <c r="AV775" s="495">
        <v>41820</v>
      </c>
      <c r="AW775" s="494">
        <v>2014</v>
      </c>
      <c r="AX775" s="496"/>
      <c r="AY775" s="494" t="s">
        <v>186</v>
      </c>
      <c r="AZ775" s="494"/>
      <c r="BA775" s="494">
        <v>2014</v>
      </c>
      <c r="BB775" s="494" t="s">
        <v>6982</v>
      </c>
      <c r="BC775" s="496" t="s">
        <v>6983</v>
      </c>
      <c r="BD775" s="494" t="s">
        <v>1818</v>
      </c>
      <c r="BE775" s="575">
        <v>41820</v>
      </c>
      <c r="BF775" s="498">
        <v>3461.2076476000002</v>
      </c>
      <c r="BG775" s="488">
        <v>3461.2076476000002</v>
      </c>
      <c r="BH775" s="488">
        <v>0.16300000000000001</v>
      </c>
      <c r="BI775" s="488">
        <v>1.2</v>
      </c>
      <c r="BJ775" s="494" t="s">
        <v>1465</v>
      </c>
      <c r="BK775" s="401"/>
    </row>
    <row r="776" spans="1:63" ht="105.75" customHeight="1">
      <c r="A776" s="401">
        <v>2</v>
      </c>
      <c r="B776" s="494" t="s">
        <v>6984</v>
      </c>
      <c r="C776" s="401" t="s">
        <v>83</v>
      </c>
      <c r="D776" s="401" t="s">
        <v>225</v>
      </c>
      <c r="E776" s="494" t="s">
        <v>5853</v>
      </c>
      <c r="F776" s="401" t="s">
        <v>1752</v>
      </c>
      <c r="G776" s="401" t="s">
        <v>6141</v>
      </c>
      <c r="H776" s="499">
        <v>825602</v>
      </c>
      <c r="I776" s="486" t="s">
        <v>6985</v>
      </c>
      <c r="J776" s="496" t="s">
        <v>2991</v>
      </c>
      <c r="K776" s="496" t="s">
        <v>2991</v>
      </c>
      <c r="L776" s="500" t="s">
        <v>5004</v>
      </c>
      <c r="M776" s="500" t="s">
        <v>1755</v>
      </c>
      <c r="N776" s="496" t="s">
        <v>1773</v>
      </c>
      <c r="O776" s="496" t="s">
        <v>2234</v>
      </c>
      <c r="P776" s="489">
        <v>1480.087</v>
      </c>
      <c r="Q776" s="489">
        <v>1746.5026599999999</v>
      </c>
      <c r="R776" s="584">
        <v>990.13694002838099</v>
      </c>
      <c r="S776" s="401" t="s">
        <v>1774</v>
      </c>
      <c r="T776" s="490">
        <v>1.087</v>
      </c>
      <c r="U776" s="490">
        <v>1.077</v>
      </c>
      <c r="V776" s="490">
        <v>1.073</v>
      </c>
      <c r="W776" s="490">
        <v>1.071</v>
      </c>
      <c r="X776" s="491">
        <v>0.9</v>
      </c>
      <c r="Y776" s="502">
        <v>1277.836</v>
      </c>
      <c r="Z776" s="489">
        <v>1507.8464799999999</v>
      </c>
      <c r="AA776" s="489">
        <v>1282.8265044367813</v>
      </c>
      <c r="AB776" s="488">
        <v>1513.7352752354018</v>
      </c>
      <c r="AC776" s="492">
        <v>1277.836</v>
      </c>
      <c r="AD776" s="493">
        <v>1507.8464799999999</v>
      </c>
      <c r="AE776" s="494" t="s">
        <v>1775</v>
      </c>
      <c r="AF776" s="494" t="s">
        <v>83</v>
      </c>
      <c r="AG776" s="494" t="s">
        <v>211</v>
      </c>
      <c r="AH776" s="494" t="s">
        <v>545</v>
      </c>
      <c r="AI776" s="495">
        <v>41669</v>
      </c>
      <c r="AJ776" s="495">
        <v>41704</v>
      </c>
      <c r="AK776" s="494" t="s">
        <v>96</v>
      </c>
      <c r="AL776" s="494" t="s">
        <v>96</v>
      </c>
      <c r="AM776" s="496" t="str">
        <f t="shared" si="118"/>
        <v>Выполнение ПИР, СМР, ПНР, оборудование</v>
      </c>
      <c r="AN776" s="496" t="s">
        <v>4784</v>
      </c>
      <c r="AO776" s="494">
        <v>796</v>
      </c>
      <c r="AP776" s="494" t="s">
        <v>368</v>
      </c>
      <c r="AQ776" s="494">
        <v>1</v>
      </c>
      <c r="AR776" s="494">
        <v>46</v>
      </c>
      <c r="AS776" s="496" t="s">
        <v>605</v>
      </c>
      <c r="AT776" s="495">
        <v>41724</v>
      </c>
      <c r="AU776" s="495">
        <v>41724</v>
      </c>
      <c r="AV776" s="495">
        <v>41820</v>
      </c>
      <c r="AW776" s="494">
        <v>2014</v>
      </c>
      <c r="AX776" s="496"/>
      <c r="AY776" s="494" t="s">
        <v>186</v>
      </c>
      <c r="AZ776" s="494"/>
      <c r="BA776" s="494">
        <v>2014</v>
      </c>
      <c r="BB776" s="494" t="s">
        <v>6986</v>
      </c>
      <c r="BC776" s="496" t="s">
        <v>6987</v>
      </c>
      <c r="BD776" s="494" t="s">
        <v>1818</v>
      </c>
      <c r="BE776" s="575">
        <v>41820</v>
      </c>
      <c r="BF776" s="498">
        <v>1779.5530558</v>
      </c>
      <c r="BG776" s="488">
        <v>1779.5530558</v>
      </c>
      <c r="BH776" s="488">
        <v>0.1</v>
      </c>
      <c r="BI776" s="488">
        <v>0.30000000000000004</v>
      </c>
      <c r="BJ776" s="494" t="s">
        <v>1465</v>
      </c>
      <c r="BK776" s="401"/>
    </row>
    <row r="777" spans="1:63" ht="123" customHeight="1">
      <c r="A777" s="401">
        <v>2</v>
      </c>
      <c r="B777" s="494" t="s">
        <v>6988</v>
      </c>
      <c r="C777" s="401" t="s">
        <v>83</v>
      </c>
      <c r="D777" s="401" t="s">
        <v>225</v>
      </c>
      <c r="E777" s="494" t="s">
        <v>5853</v>
      </c>
      <c r="F777" s="401" t="s">
        <v>1752</v>
      </c>
      <c r="G777" s="401" t="s">
        <v>6141</v>
      </c>
      <c r="H777" s="499">
        <v>825349</v>
      </c>
      <c r="I777" s="486" t="s">
        <v>6989</v>
      </c>
      <c r="J777" s="496" t="s">
        <v>2991</v>
      </c>
      <c r="K777" s="496" t="s">
        <v>2991</v>
      </c>
      <c r="L777" s="500" t="s">
        <v>2513</v>
      </c>
      <c r="M777" s="500" t="s">
        <v>1755</v>
      </c>
      <c r="N777" s="496" t="s">
        <v>1773</v>
      </c>
      <c r="O777" s="496" t="s">
        <v>2234</v>
      </c>
      <c r="P777" s="489">
        <v>15438.329</v>
      </c>
      <c r="Q777" s="489">
        <v>18217.228219999997</v>
      </c>
      <c r="R777" s="584">
        <v>11062.4966</v>
      </c>
      <c r="S777" s="401" t="s">
        <v>1774</v>
      </c>
      <c r="T777" s="490">
        <v>1.087</v>
      </c>
      <c r="U777" s="490">
        <v>1.077</v>
      </c>
      <c r="V777" s="490">
        <v>1.073</v>
      </c>
      <c r="W777" s="490">
        <v>1.071</v>
      </c>
      <c r="X777" s="491">
        <v>0.9</v>
      </c>
      <c r="Y777" s="502">
        <v>13118.289000000001</v>
      </c>
      <c r="Z777" s="489">
        <v>15479.58102</v>
      </c>
      <c r="AA777" s="489">
        <v>15046.044323593256</v>
      </c>
      <c r="AB777" s="488">
        <v>17754.332301840041</v>
      </c>
      <c r="AC777" s="492">
        <v>13118.289000000001</v>
      </c>
      <c r="AD777" s="493">
        <v>15479.58102</v>
      </c>
      <c r="AE777" s="494" t="s">
        <v>1775</v>
      </c>
      <c r="AF777" s="494" t="s">
        <v>83</v>
      </c>
      <c r="AG777" s="494" t="s">
        <v>211</v>
      </c>
      <c r="AH777" s="494" t="s">
        <v>545</v>
      </c>
      <c r="AI777" s="495">
        <v>41669</v>
      </c>
      <c r="AJ777" s="495">
        <v>41704</v>
      </c>
      <c r="AK777" s="494" t="s">
        <v>96</v>
      </c>
      <c r="AL777" s="494" t="s">
        <v>96</v>
      </c>
      <c r="AM777" s="496" t="str">
        <f>"Выполнение "&amp;J777</f>
        <v>Выполнение ПИР, СМР, ПНР, оборудование</v>
      </c>
      <c r="AN777" s="496" t="s">
        <v>4784</v>
      </c>
      <c r="AO777" s="494">
        <v>796</v>
      </c>
      <c r="AP777" s="494" t="s">
        <v>368</v>
      </c>
      <c r="AQ777" s="494">
        <v>1</v>
      </c>
      <c r="AR777" s="494">
        <v>46</v>
      </c>
      <c r="AS777" s="496" t="s">
        <v>605</v>
      </c>
      <c r="AT777" s="495">
        <v>41724</v>
      </c>
      <c r="AU777" s="495">
        <v>41724</v>
      </c>
      <c r="AV777" s="495">
        <v>41820</v>
      </c>
      <c r="AW777" s="494">
        <v>2014</v>
      </c>
      <c r="AX777" s="496"/>
      <c r="AY777" s="494" t="s">
        <v>186</v>
      </c>
      <c r="AZ777" s="494"/>
      <c r="BA777" s="494">
        <v>2014</v>
      </c>
      <c r="BB777" s="494" t="s">
        <v>6990</v>
      </c>
      <c r="BC777" s="496" t="s">
        <v>6991</v>
      </c>
      <c r="BD777" s="494" t="s">
        <v>1818</v>
      </c>
      <c r="BE777" s="575">
        <v>41820</v>
      </c>
      <c r="BF777" s="498">
        <v>18505.351498600001</v>
      </c>
      <c r="BG777" s="488">
        <v>18505.351498600001</v>
      </c>
      <c r="BH777" s="488">
        <v>0.8</v>
      </c>
      <c r="BI777" s="488">
        <v>0.9</v>
      </c>
      <c r="BJ777" s="494" t="s">
        <v>1465</v>
      </c>
      <c r="BK777" s="401"/>
    </row>
    <row r="778" spans="1:63" ht="105.75" customHeight="1">
      <c r="A778" s="401">
        <v>2</v>
      </c>
      <c r="B778" s="494" t="s">
        <v>6992</v>
      </c>
      <c r="C778" s="401" t="s">
        <v>83</v>
      </c>
      <c r="D778" s="401" t="s">
        <v>225</v>
      </c>
      <c r="E778" s="494" t="s">
        <v>5853</v>
      </c>
      <c r="F778" s="401" t="s">
        <v>1761</v>
      </c>
      <c r="G778" s="401" t="s">
        <v>1762</v>
      </c>
      <c r="H778" s="499">
        <v>825351</v>
      </c>
      <c r="I778" s="486" t="s">
        <v>6993</v>
      </c>
      <c r="J778" s="496" t="s">
        <v>2978</v>
      </c>
      <c r="K778" s="496" t="s">
        <v>2978</v>
      </c>
      <c r="L778" s="500" t="s">
        <v>2513</v>
      </c>
      <c r="M778" s="500" t="s">
        <v>1755</v>
      </c>
      <c r="N778" s="496" t="s">
        <v>1773</v>
      </c>
      <c r="O778" s="496" t="s">
        <v>2234</v>
      </c>
      <c r="P778" s="489">
        <v>5063.1540000000005</v>
      </c>
      <c r="Q778" s="489">
        <v>5974.5217200000006</v>
      </c>
      <c r="R778" s="584">
        <v>3628.0564300000001</v>
      </c>
      <c r="S778" s="401" t="s">
        <v>1774</v>
      </c>
      <c r="T778" s="490">
        <v>1.087</v>
      </c>
      <c r="U778" s="490">
        <v>1.077</v>
      </c>
      <c r="V778" s="490">
        <v>1.073</v>
      </c>
      <c r="W778" s="490">
        <v>1.071</v>
      </c>
      <c r="X778" s="491">
        <v>0.9</v>
      </c>
      <c r="Y778" s="502">
        <v>4556.8389999999999</v>
      </c>
      <c r="Z778" s="489">
        <v>5377.0700199999992</v>
      </c>
      <c r="AA778" s="489">
        <v>4658.2299999999996</v>
      </c>
      <c r="AB778" s="488">
        <v>5496.7113999999992</v>
      </c>
      <c r="AC778" s="492">
        <v>4556.8389999999999</v>
      </c>
      <c r="AD778" s="493">
        <v>5377.0700199999992</v>
      </c>
      <c r="AE778" s="494" t="s">
        <v>1775</v>
      </c>
      <c r="AF778" s="494" t="s">
        <v>83</v>
      </c>
      <c r="AG778" s="494" t="s">
        <v>211</v>
      </c>
      <c r="AH778" s="494" t="s">
        <v>545</v>
      </c>
      <c r="AI778" s="495">
        <v>41669</v>
      </c>
      <c r="AJ778" s="495">
        <v>41704</v>
      </c>
      <c r="AK778" s="494" t="s">
        <v>96</v>
      </c>
      <c r="AL778" s="494" t="s">
        <v>96</v>
      </c>
      <c r="AM778" s="496" t="str">
        <f>"Выполнение "&amp;J778</f>
        <v>Выполнение ПИР</v>
      </c>
      <c r="AN778" s="496" t="s">
        <v>4784</v>
      </c>
      <c r="AO778" s="494">
        <v>796</v>
      </c>
      <c r="AP778" s="494" t="s">
        <v>368</v>
      </c>
      <c r="AQ778" s="494">
        <v>1</v>
      </c>
      <c r="AR778" s="494">
        <v>46</v>
      </c>
      <c r="AS778" s="496" t="s">
        <v>605</v>
      </c>
      <c r="AT778" s="495">
        <v>41724</v>
      </c>
      <c r="AU778" s="495">
        <v>41724</v>
      </c>
      <c r="AV778" s="495">
        <v>41882</v>
      </c>
      <c r="AW778" s="494">
        <v>2014</v>
      </c>
      <c r="AX778" s="496"/>
      <c r="AY778" s="494" t="s">
        <v>186</v>
      </c>
      <c r="AZ778" s="494"/>
      <c r="BA778" s="494">
        <v>2014</v>
      </c>
      <c r="BB778" s="494" t="s">
        <v>6994</v>
      </c>
      <c r="BC778" s="496" t="s">
        <v>6995</v>
      </c>
      <c r="BD778" s="494" t="s">
        <v>1818</v>
      </c>
      <c r="BE778" s="575">
        <v>41882</v>
      </c>
      <c r="BF778" s="498">
        <v>93680.462514600003</v>
      </c>
      <c r="BG778" s="488">
        <v>93680.462514600003</v>
      </c>
      <c r="BH778" s="488">
        <v>0</v>
      </c>
      <c r="BI778" s="488">
        <v>12</v>
      </c>
      <c r="BJ778" s="494" t="s">
        <v>1465</v>
      </c>
      <c r="BK778" s="401"/>
    </row>
    <row r="779" spans="1:63" ht="96.75" customHeight="1">
      <c r="A779" s="504">
        <v>2</v>
      </c>
      <c r="B779" s="570" t="s">
        <v>6996</v>
      </c>
      <c r="C779" s="504" t="s">
        <v>83</v>
      </c>
      <c r="D779" s="504" t="s">
        <v>225</v>
      </c>
      <c r="E779" s="570" t="s">
        <v>5853</v>
      </c>
      <c r="F779" s="504" t="s">
        <v>1752</v>
      </c>
      <c r="G779" s="504" t="s">
        <v>6141</v>
      </c>
      <c r="H779" s="517">
        <v>825603</v>
      </c>
      <c r="I779" s="506" t="s">
        <v>6997</v>
      </c>
      <c r="J779" s="506" t="s">
        <v>2991</v>
      </c>
      <c r="K779" s="506" t="s">
        <v>2991</v>
      </c>
      <c r="L779" s="506" t="s">
        <v>2513</v>
      </c>
      <c r="M779" s="571" t="s">
        <v>1755</v>
      </c>
      <c r="N779" s="506" t="s">
        <v>1773</v>
      </c>
      <c r="O779" s="506" t="s">
        <v>2234</v>
      </c>
      <c r="P779" s="512">
        <v>15131.51</v>
      </c>
      <c r="Q779" s="512">
        <v>17855.181799999998</v>
      </c>
      <c r="R779" s="512">
        <v>11269.96</v>
      </c>
      <c r="S779" s="504" t="s">
        <v>1774</v>
      </c>
      <c r="T779" s="572">
        <v>1.087</v>
      </c>
      <c r="U779" s="572">
        <v>1.077</v>
      </c>
      <c r="V779" s="572">
        <v>1.073</v>
      </c>
      <c r="W779" s="572">
        <v>1.071</v>
      </c>
      <c r="X779" s="511">
        <v>0.9</v>
      </c>
      <c r="Y779" s="512">
        <v>14151.849999999999</v>
      </c>
      <c r="Z779" s="512">
        <v>16699.182999999997</v>
      </c>
      <c r="AA779" s="512">
        <f>SUM(AA780:AA781)</f>
        <v>14291.29</v>
      </c>
      <c r="AB779" s="512">
        <f>SUM(AB780:AB781)</f>
        <v>16863.7222</v>
      </c>
      <c r="AC779" s="512">
        <f>SUM(AC780:AC781)</f>
        <v>14151.849999999999</v>
      </c>
      <c r="AD779" s="512">
        <f>SUM(AD780:AD781)</f>
        <v>16699.182999999997</v>
      </c>
      <c r="AE779" s="494" t="s">
        <v>1775</v>
      </c>
      <c r="AF779" s="570" t="s">
        <v>83</v>
      </c>
      <c r="AG779" s="570" t="s">
        <v>211</v>
      </c>
      <c r="AH779" s="570" t="s">
        <v>545</v>
      </c>
      <c r="AI779" s="515">
        <v>41669</v>
      </c>
      <c r="AJ779" s="515">
        <v>41704</v>
      </c>
      <c r="AK779" s="570" t="s">
        <v>96</v>
      </c>
      <c r="AL779" s="570" t="s">
        <v>96</v>
      </c>
      <c r="AM779" s="506" t="str">
        <f t="shared" si="118"/>
        <v>Выполнение ПИР, СМР, ПНР, оборудование</v>
      </c>
      <c r="AN779" s="506" t="s">
        <v>4784</v>
      </c>
      <c r="AO779" s="570">
        <v>796</v>
      </c>
      <c r="AP779" s="570" t="s">
        <v>368</v>
      </c>
      <c r="AQ779" s="570">
        <v>1</v>
      </c>
      <c r="AR779" s="570">
        <v>46</v>
      </c>
      <c r="AS779" s="506" t="s">
        <v>605</v>
      </c>
      <c r="AT779" s="515">
        <v>41724</v>
      </c>
      <c r="AU779" s="515">
        <v>41724</v>
      </c>
      <c r="AV779" s="515">
        <v>41820</v>
      </c>
      <c r="AW779" s="570">
        <v>2014</v>
      </c>
      <c r="AX779" s="506"/>
      <c r="AY779" s="570" t="s">
        <v>186</v>
      </c>
      <c r="AZ779" s="570"/>
      <c r="BA779" s="570">
        <v>2014</v>
      </c>
      <c r="BB779" s="570" t="s">
        <v>2271</v>
      </c>
      <c r="BC779" s="506" t="s">
        <v>2271</v>
      </c>
      <c r="BD779" s="570" t="s">
        <v>2272</v>
      </c>
      <c r="BE779" s="573" t="s">
        <v>2272</v>
      </c>
      <c r="BF779" s="574" t="s">
        <v>2272</v>
      </c>
      <c r="BG779" s="488" t="s">
        <v>2272</v>
      </c>
      <c r="BH779" s="513" t="s">
        <v>2272</v>
      </c>
      <c r="BI779" s="513" t="s">
        <v>2272</v>
      </c>
      <c r="BJ779" s="570" t="s">
        <v>1465</v>
      </c>
      <c r="BK779" s="504"/>
    </row>
    <row r="780" spans="1:63" ht="95.25" customHeight="1">
      <c r="A780" s="523">
        <v>2</v>
      </c>
      <c r="B780" s="534" t="s">
        <v>6998</v>
      </c>
      <c r="C780" s="523" t="s">
        <v>7112</v>
      </c>
      <c r="D780" s="523" t="s">
        <v>225</v>
      </c>
      <c r="E780" s="534" t="s">
        <v>5853</v>
      </c>
      <c r="F780" s="523" t="s">
        <v>1761</v>
      </c>
      <c r="G780" s="523" t="s">
        <v>1762</v>
      </c>
      <c r="H780" s="524">
        <v>825604</v>
      </c>
      <c r="I780" s="525" t="s">
        <v>6999</v>
      </c>
      <c r="J780" s="525" t="s">
        <v>2991</v>
      </c>
      <c r="K780" s="525" t="s">
        <v>2991</v>
      </c>
      <c r="L780" s="525" t="s">
        <v>2513</v>
      </c>
      <c r="M780" s="541" t="s">
        <v>1755</v>
      </c>
      <c r="N780" s="525" t="s">
        <v>1773</v>
      </c>
      <c r="O780" s="525" t="s">
        <v>2234</v>
      </c>
      <c r="P780" s="531">
        <v>5747.76</v>
      </c>
      <c r="Q780" s="531">
        <v>6782.3567999999996</v>
      </c>
      <c r="R780" s="531">
        <v>4291.03</v>
      </c>
      <c r="S780" s="523" t="s">
        <v>1774</v>
      </c>
      <c r="T780" s="542">
        <v>1.087</v>
      </c>
      <c r="U780" s="543">
        <v>1.077</v>
      </c>
      <c r="V780" s="543">
        <v>1.073</v>
      </c>
      <c r="W780" s="543">
        <v>1.071</v>
      </c>
      <c r="X780" s="544">
        <v>0.9</v>
      </c>
      <c r="Y780" s="526">
        <v>5385.2</v>
      </c>
      <c r="Z780" s="531">
        <v>6354.5359999999991</v>
      </c>
      <c r="AA780" s="531">
        <v>5396.76</v>
      </c>
      <c r="AB780" s="532">
        <v>6368.1768000000002</v>
      </c>
      <c r="AC780" s="531">
        <v>5385.2</v>
      </c>
      <c r="AD780" s="532">
        <v>6354.5359999999991</v>
      </c>
      <c r="AE780" s="494" t="s">
        <v>1775</v>
      </c>
      <c r="AF780" s="534" t="s">
        <v>83</v>
      </c>
      <c r="AG780" s="534" t="s">
        <v>211</v>
      </c>
      <c r="AH780" s="534" t="s">
        <v>545</v>
      </c>
      <c r="AI780" s="533">
        <v>41669</v>
      </c>
      <c r="AJ780" s="533">
        <v>41704</v>
      </c>
      <c r="AK780" s="534" t="s">
        <v>96</v>
      </c>
      <c r="AL780" s="534" t="s">
        <v>96</v>
      </c>
      <c r="AM780" s="525" t="str">
        <f t="shared" si="118"/>
        <v>Выполнение ПИР, СМР, ПНР, оборудование</v>
      </c>
      <c r="AN780" s="525" t="s">
        <v>4784</v>
      </c>
      <c r="AO780" s="534">
        <v>796</v>
      </c>
      <c r="AP780" s="534" t="s">
        <v>368</v>
      </c>
      <c r="AQ780" s="534">
        <v>1</v>
      </c>
      <c r="AR780" s="534">
        <v>46</v>
      </c>
      <c r="AS780" s="525" t="s">
        <v>605</v>
      </c>
      <c r="AT780" s="533">
        <v>41724</v>
      </c>
      <c r="AU780" s="533">
        <v>41724</v>
      </c>
      <c r="AV780" s="533">
        <v>41820</v>
      </c>
      <c r="AW780" s="534">
        <v>2014</v>
      </c>
      <c r="AX780" s="525"/>
      <c r="AY780" s="534" t="s">
        <v>186</v>
      </c>
      <c r="AZ780" s="534"/>
      <c r="BA780" s="534">
        <v>2014</v>
      </c>
      <c r="BB780" s="534" t="s">
        <v>7000</v>
      </c>
      <c r="BC780" s="525" t="s">
        <v>7001</v>
      </c>
      <c r="BD780" s="534" t="s">
        <v>1818</v>
      </c>
      <c r="BE780" s="545">
        <v>41820</v>
      </c>
      <c r="BF780" s="546">
        <v>72611.038098999998</v>
      </c>
      <c r="BG780" s="488">
        <v>72611.038098999998</v>
      </c>
      <c r="BH780" s="532">
        <v>0</v>
      </c>
      <c r="BI780" s="532">
        <v>5.8</v>
      </c>
      <c r="BJ780" s="534" t="s">
        <v>1465</v>
      </c>
      <c r="BK780" s="523"/>
    </row>
    <row r="781" spans="1:63" ht="95.25" customHeight="1">
      <c r="A781" s="523">
        <v>2</v>
      </c>
      <c r="B781" s="534" t="s">
        <v>7002</v>
      </c>
      <c r="C781" s="523" t="s">
        <v>7112</v>
      </c>
      <c r="D781" s="523" t="s">
        <v>225</v>
      </c>
      <c r="E781" s="534" t="s">
        <v>5853</v>
      </c>
      <c r="F781" s="523" t="s">
        <v>1761</v>
      </c>
      <c r="G781" s="523" t="s">
        <v>1762</v>
      </c>
      <c r="H781" s="524">
        <v>825343</v>
      </c>
      <c r="I781" s="525" t="s">
        <v>7003</v>
      </c>
      <c r="J781" s="525" t="s">
        <v>2991</v>
      </c>
      <c r="K781" s="525" t="s">
        <v>2991</v>
      </c>
      <c r="L781" s="525" t="s">
        <v>2513</v>
      </c>
      <c r="M781" s="541" t="s">
        <v>1755</v>
      </c>
      <c r="N781" s="525" t="s">
        <v>1773</v>
      </c>
      <c r="O781" s="525" t="s">
        <v>2234</v>
      </c>
      <c r="P781" s="531">
        <v>9383.75</v>
      </c>
      <c r="Q781" s="531">
        <v>11072.824999999999</v>
      </c>
      <c r="R781" s="531">
        <v>6978.93</v>
      </c>
      <c r="S781" s="523" t="s">
        <v>1774</v>
      </c>
      <c r="T781" s="542">
        <v>1.087</v>
      </c>
      <c r="U781" s="543">
        <v>1.077</v>
      </c>
      <c r="V781" s="543">
        <v>1.073</v>
      </c>
      <c r="W781" s="543">
        <v>1.071</v>
      </c>
      <c r="X781" s="544">
        <v>0.9</v>
      </c>
      <c r="Y781" s="526">
        <v>8766.65</v>
      </c>
      <c r="Z781" s="531">
        <v>10344.646999999999</v>
      </c>
      <c r="AA781" s="531">
        <v>8894.5300000000007</v>
      </c>
      <c r="AB781" s="532">
        <v>10495.545400000001</v>
      </c>
      <c r="AC781" s="531">
        <v>8766.65</v>
      </c>
      <c r="AD781" s="532">
        <v>10344.646999999999</v>
      </c>
      <c r="AE781" s="494" t="s">
        <v>1775</v>
      </c>
      <c r="AF781" s="534" t="s">
        <v>83</v>
      </c>
      <c r="AG781" s="534" t="s">
        <v>211</v>
      </c>
      <c r="AH781" s="534" t="s">
        <v>545</v>
      </c>
      <c r="AI781" s="533">
        <v>41669</v>
      </c>
      <c r="AJ781" s="533">
        <v>41704</v>
      </c>
      <c r="AK781" s="534" t="s">
        <v>96</v>
      </c>
      <c r="AL781" s="534" t="s">
        <v>96</v>
      </c>
      <c r="AM781" s="525" t="str">
        <f t="shared" si="118"/>
        <v>Выполнение ПИР, СМР, ПНР, оборудование</v>
      </c>
      <c r="AN781" s="525" t="s">
        <v>4784</v>
      </c>
      <c r="AO781" s="534">
        <v>796</v>
      </c>
      <c r="AP781" s="534" t="s">
        <v>368</v>
      </c>
      <c r="AQ781" s="534">
        <v>1</v>
      </c>
      <c r="AR781" s="534">
        <v>46</v>
      </c>
      <c r="AS781" s="525" t="s">
        <v>605</v>
      </c>
      <c r="AT781" s="533">
        <v>41724</v>
      </c>
      <c r="AU781" s="533">
        <v>41724</v>
      </c>
      <c r="AV781" s="533">
        <v>41820</v>
      </c>
      <c r="AW781" s="534">
        <v>2014</v>
      </c>
      <c r="AX781" s="525"/>
      <c r="AY781" s="534" t="s">
        <v>186</v>
      </c>
      <c r="AZ781" s="534"/>
      <c r="BA781" s="534">
        <v>2014</v>
      </c>
      <c r="BB781" s="534" t="s">
        <v>7004</v>
      </c>
      <c r="BC781" s="525" t="s">
        <v>7005</v>
      </c>
      <c r="BD781" s="534" t="s">
        <v>1818</v>
      </c>
      <c r="BE781" s="545">
        <v>41820</v>
      </c>
      <c r="BF781" s="546">
        <v>132029.23239999998</v>
      </c>
      <c r="BG781" s="488">
        <v>130872.52</v>
      </c>
      <c r="BH781" s="532">
        <v>0</v>
      </c>
      <c r="BI781" s="532">
        <v>9</v>
      </c>
      <c r="BJ781" s="534" t="s">
        <v>1465</v>
      </c>
      <c r="BK781" s="523"/>
    </row>
    <row r="782" spans="1:63" ht="96.75" customHeight="1">
      <c r="A782" s="504">
        <v>2</v>
      </c>
      <c r="B782" s="570" t="s">
        <v>7006</v>
      </c>
      <c r="C782" s="504" t="s">
        <v>83</v>
      </c>
      <c r="D782" s="504" t="s">
        <v>225</v>
      </c>
      <c r="E782" s="570" t="s">
        <v>5853</v>
      </c>
      <c r="F782" s="504" t="s">
        <v>1752</v>
      </c>
      <c r="G782" s="504" t="s">
        <v>6141</v>
      </c>
      <c r="H782" s="517">
        <v>825734</v>
      </c>
      <c r="I782" s="506" t="s">
        <v>6935</v>
      </c>
      <c r="J782" s="506" t="s">
        <v>2991</v>
      </c>
      <c r="K782" s="506" t="s">
        <v>2991</v>
      </c>
      <c r="L782" s="506" t="s">
        <v>5004</v>
      </c>
      <c r="M782" s="571" t="s">
        <v>1755</v>
      </c>
      <c r="N782" s="506" t="s">
        <v>1773</v>
      </c>
      <c r="O782" s="506" t="s">
        <v>2234</v>
      </c>
      <c r="P782" s="512">
        <v>7365.299</v>
      </c>
      <c r="Q782" s="512">
        <v>8691.052819999999</v>
      </c>
      <c r="R782" s="512">
        <v>5210.0607403254498</v>
      </c>
      <c r="S782" s="504" t="s">
        <v>1774</v>
      </c>
      <c r="T782" s="572">
        <v>1.087</v>
      </c>
      <c r="U782" s="572">
        <v>1.077</v>
      </c>
      <c r="V782" s="572">
        <v>1.073</v>
      </c>
      <c r="W782" s="572">
        <v>1.071</v>
      </c>
      <c r="X782" s="511">
        <v>0.9</v>
      </c>
      <c r="Y782" s="512">
        <v>6347.6820000000007</v>
      </c>
      <c r="Z782" s="512">
        <v>7490.26476</v>
      </c>
      <c r="AA782" s="512">
        <f>SUM(AA783:AA785)</f>
        <v>7445.1621383626352</v>
      </c>
      <c r="AB782" s="512">
        <f>SUM(AB783:AB785)</f>
        <v>8785.2913232679093</v>
      </c>
      <c r="AC782" s="512">
        <f>SUM(AC783:AC785)</f>
        <v>6347.6820000000007</v>
      </c>
      <c r="AD782" s="512">
        <f>SUM(AD783:AD785)</f>
        <v>7490.26476</v>
      </c>
      <c r="AE782" s="494" t="s">
        <v>1775</v>
      </c>
      <c r="AF782" s="570" t="s">
        <v>83</v>
      </c>
      <c r="AG782" s="570" t="s">
        <v>211</v>
      </c>
      <c r="AH782" s="570" t="s">
        <v>545</v>
      </c>
      <c r="AI782" s="515">
        <v>41669</v>
      </c>
      <c r="AJ782" s="515">
        <v>41704</v>
      </c>
      <c r="AK782" s="570" t="s">
        <v>96</v>
      </c>
      <c r="AL782" s="570" t="s">
        <v>96</v>
      </c>
      <c r="AM782" s="506" t="str">
        <f t="shared" si="118"/>
        <v>Выполнение ПИР, СМР, ПНР, оборудование</v>
      </c>
      <c r="AN782" s="506" t="s">
        <v>4784</v>
      </c>
      <c r="AO782" s="570">
        <v>796</v>
      </c>
      <c r="AP782" s="570" t="s">
        <v>368</v>
      </c>
      <c r="AQ782" s="570">
        <v>1</v>
      </c>
      <c r="AR782" s="570">
        <v>46</v>
      </c>
      <c r="AS782" s="506" t="s">
        <v>605</v>
      </c>
      <c r="AT782" s="515">
        <v>41724</v>
      </c>
      <c r="AU782" s="515">
        <v>41724</v>
      </c>
      <c r="AV782" s="515">
        <v>41820</v>
      </c>
      <c r="AW782" s="570">
        <v>2014</v>
      </c>
      <c r="AX782" s="506"/>
      <c r="AY782" s="570" t="s">
        <v>186</v>
      </c>
      <c r="AZ782" s="570"/>
      <c r="BA782" s="570">
        <v>2014</v>
      </c>
      <c r="BB782" s="570" t="s">
        <v>2271</v>
      </c>
      <c r="BC782" s="506" t="s">
        <v>2271</v>
      </c>
      <c r="BD782" s="570" t="s">
        <v>2272</v>
      </c>
      <c r="BE782" s="573" t="s">
        <v>2272</v>
      </c>
      <c r="BF782" s="574" t="s">
        <v>2272</v>
      </c>
      <c r="BG782" s="488" t="s">
        <v>2272</v>
      </c>
      <c r="BH782" s="513" t="s">
        <v>2272</v>
      </c>
      <c r="BI782" s="513" t="s">
        <v>2272</v>
      </c>
      <c r="BJ782" s="570" t="s">
        <v>1465</v>
      </c>
      <c r="BK782" s="504"/>
    </row>
    <row r="783" spans="1:63" ht="95.25" customHeight="1">
      <c r="A783" s="523">
        <v>2</v>
      </c>
      <c r="B783" s="534" t="s">
        <v>7007</v>
      </c>
      <c r="C783" s="523" t="s">
        <v>7112</v>
      </c>
      <c r="D783" s="523" t="s">
        <v>225</v>
      </c>
      <c r="E783" s="534" t="s">
        <v>5853</v>
      </c>
      <c r="F783" s="523" t="s">
        <v>1752</v>
      </c>
      <c r="G783" s="523" t="s">
        <v>6141</v>
      </c>
      <c r="H783" s="524">
        <v>825735</v>
      </c>
      <c r="I783" s="525" t="s">
        <v>7008</v>
      </c>
      <c r="J783" s="525" t="s">
        <v>2991</v>
      </c>
      <c r="K783" s="525" t="s">
        <v>2991</v>
      </c>
      <c r="L783" s="525" t="s">
        <v>5004</v>
      </c>
      <c r="M783" s="541" t="s">
        <v>1755</v>
      </c>
      <c r="N783" s="525" t="s">
        <v>1773</v>
      </c>
      <c r="O783" s="525" t="s">
        <v>2234</v>
      </c>
      <c r="P783" s="531">
        <v>3959.6590000000001</v>
      </c>
      <c r="Q783" s="531">
        <v>4672.3976199999997</v>
      </c>
      <c r="R783" s="531">
        <v>2837.3354903254499</v>
      </c>
      <c r="S783" s="523" t="s">
        <v>1774</v>
      </c>
      <c r="T783" s="542">
        <v>1.087</v>
      </c>
      <c r="U783" s="543">
        <v>1.077</v>
      </c>
      <c r="V783" s="543">
        <v>1.073</v>
      </c>
      <c r="W783" s="543">
        <v>1.071</v>
      </c>
      <c r="X783" s="544">
        <v>0.9</v>
      </c>
      <c r="Y783" s="526">
        <v>3240.3490000000002</v>
      </c>
      <c r="Z783" s="531">
        <v>3823.6118200000001</v>
      </c>
      <c r="AA783" s="531">
        <v>3514.9479790478613</v>
      </c>
      <c r="AB783" s="532">
        <v>4147.6386152764762</v>
      </c>
      <c r="AC783" s="531">
        <v>3240.3490000000002</v>
      </c>
      <c r="AD783" s="532">
        <v>3823.6118200000001</v>
      </c>
      <c r="AE783" s="494" t="s">
        <v>1775</v>
      </c>
      <c r="AF783" s="534" t="s">
        <v>83</v>
      </c>
      <c r="AG783" s="534" t="s">
        <v>211</v>
      </c>
      <c r="AH783" s="534" t="s">
        <v>545</v>
      </c>
      <c r="AI783" s="533">
        <v>41669</v>
      </c>
      <c r="AJ783" s="533">
        <v>41704</v>
      </c>
      <c r="AK783" s="534" t="s">
        <v>96</v>
      </c>
      <c r="AL783" s="534" t="s">
        <v>96</v>
      </c>
      <c r="AM783" s="525" t="str">
        <f t="shared" si="118"/>
        <v>Выполнение ПИР, СМР, ПНР, оборудование</v>
      </c>
      <c r="AN783" s="525" t="s">
        <v>4784</v>
      </c>
      <c r="AO783" s="534">
        <v>796</v>
      </c>
      <c r="AP783" s="534" t="s">
        <v>368</v>
      </c>
      <c r="AQ783" s="534">
        <v>1</v>
      </c>
      <c r="AR783" s="534">
        <v>46</v>
      </c>
      <c r="AS783" s="525" t="s">
        <v>605</v>
      </c>
      <c r="AT783" s="533">
        <v>41724</v>
      </c>
      <c r="AU783" s="533">
        <v>41724</v>
      </c>
      <c r="AV783" s="533">
        <v>41820</v>
      </c>
      <c r="AW783" s="534">
        <v>2014</v>
      </c>
      <c r="AX783" s="525"/>
      <c r="AY783" s="534" t="s">
        <v>186</v>
      </c>
      <c r="AZ783" s="534"/>
      <c r="BA783" s="534">
        <v>2014</v>
      </c>
      <c r="BB783" s="534" t="s">
        <v>7009</v>
      </c>
      <c r="BC783" s="525" t="s">
        <v>7010</v>
      </c>
      <c r="BD783" s="534" t="s">
        <v>1818</v>
      </c>
      <c r="BE783" s="545">
        <v>41820</v>
      </c>
      <c r="BF783" s="546">
        <v>4769.6440750000002</v>
      </c>
      <c r="BG783" s="488">
        <v>4769.6440750000002</v>
      </c>
      <c r="BH783" s="532">
        <v>0.1</v>
      </c>
      <c r="BI783" s="532">
        <v>1.92</v>
      </c>
      <c r="BJ783" s="534" t="s">
        <v>1465</v>
      </c>
      <c r="BK783" s="523"/>
    </row>
    <row r="784" spans="1:63" ht="95.25" customHeight="1">
      <c r="A784" s="523">
        <v>2</v>
      </c>
      <c r="B784" s="534" t="s">
        <v>7011</v>
      </c>
      <c r="C784" s="523" t="s">
        <v>7112</v>
      </c>
      <c r="D784" s="523" t="s">
        <v>225</v>
      </c>
      <c r="E784" s="534" t="s">
        <v>5853</v>
      </c>
      <c r="F784" s="523" t="s">
        <v>1761</v>
      </c>
      <c r="G784" s="523" t="s">
        <v>1762</v>
      </c>
      <c r="H784" s="524">
        <v>825736</v>
      </c>
      <c r="I784" s="525" t="s">
        <v>7012</v>
      </c>
      <c r="J784" s="525" t="s">
        <v>2991</v>
      </c>
      <c r="K784" s="525" t="s">
        <v>2991</v>
      </c>
      <c r="L784" s="525" t="s">
        <v>2513</v>
      </c>
      <c r="M784" s="541" t="s">
        <v>1755</v>
      </c>
      <c r="N784" s="525" t="s">
        <v>1773</v>
      </c>
      <c r="O784" s="525" t="s">
        <v>2234</v>
      </c>
      <c r="P784" s="531">
        <v>1145.27</v>
      </c>
      <c r="Q784" s="531">
        <v>1351.4186</v>
      </c>
      <c r="R784" s="531">
        <v>854.19</v>
      </c>
      <c r="S784" s="523" t="s">
        <v>1774</v>
      </c>
      <c r="T784" s="542">
        <v>1.087</v>
      </c>
      <c r="U784" s="543">
        <v>1.077</v>
      </c>
      <c r="V784" s="543">
        <v>1.073</v>
      </c>
      <c r="W784" s="543">
        <v>1.071</v>
      </c>
      <c r="X784" s="544">
        <v>0.9</v>
      </c>
      <c r="Y784" s="526">
        <v>1073</v>
      </c>
      <c r="Z784" s="531">
        <v>1266.1399999999999</v>
      </c>
      <c r="AA784" s="531">
        <v>1157.53</v>
      </c>
      <c r="AB784" s="532">
        <v>1365.8853999999999</v>
      </c>
      <c r="AC784" s="531">
        <v>1073</v>
      </c>
      <c r="AD784" s="532">
        <v>1266.1399999999999</v>
      </c>
      <c r="AE784" s="494" t="s">
        <v>1775</v>
      </c>
      <c r="AF784" s="534" t="s">
        <v>83</v>
      </c>
      <c r="AG784" s="534" t="s">
        <v>211</v>
      </c>
      <c r="AH784" s="534" t="s">
        <v>545</v>
      </c>
      <c r="AI784" s="533">
        <v>41669</v>
      </c>
      <c r="AJ784" s="533">
        <v>41704</v>
      </c>
      <c r="AK784" s="534" t="s">
        <v>96</v>
      </c>
      <c r="AL784" s="534" t="s">
        <v>96</v>
      </c>
      <c r="AM784" s="525" t="str">
        <f t="shared" si="118"/>
        <v>Выполнение ПИР, СМР, ПНР, оборудование</v>
      </c>
      <c r="AN784" s="525" t="s">
        <v>4784</v>
      </c>
      <c r="AO784" s="534">
        <v>796</v>
      </c>
      <c r="AP784" s="534" t="s">
        <v>368</v>
      </c>
      <c r="AQ784" s="534">
        <v>1</v>
      </c>
      <c r="AR784" s="534">
        <v>46</v>
      </c>
      <c r="AS784" s="525" t="s">
        <v>605</v>
      </c>
      <c r="AT784" s="533">
        <v>41724</v>
      </c>
      <c r="AU784" s="533">
        <v>41724</v>
      </c>
      <c r="AV784" s="533">
        <v>41820</v>
      </c>
      <c r="AW784" s="534">
        <v>2014</v>
      </c>
      <c r="AX784" s="525"/>
      <c r="AY784" s="534" t="s">
        <v>186</v>
      </c>
      <c r="AZ784" s="534"/>
      <c r="BA784" s="534">
        <v>2014</v>
      </c>
      <c r="BB784" s="534" t="s">
        <v>7013</v>
      </c>
      <c r="BC784" s="525" t="s">
        <v>7014</v>
      </c>
      <c r="BD784" s="534" t="s">
        <v>1818</v>
      </c>
      <c r="BE784" s="545">
        <v>41820</v>
      </c>
      <c r="BF784" s="546">
        <v>37028.022400000002</v>
      </c>
      <c r="BG784" s="488">
        <v>37028.022400000002</v>
      </c>
      <c r="BH784" s="532">
        <v>0</v>
      </c>
      <c r="BI784" s="532">
        <v>0.2</v>
      </c>
      <c r="BJ784" s="534" t="s">
        <v>1465</v>
      </c>
      <c r="BK784" s="523"/>
    </row>
    <row r="785" spans="1:63" ht="95.25" customHeight="1">
      <c r="A785" s="523">
        <v>2</v>
      </c>
      <c r="B785" s="534" t="s">
        <v>7015</v>
      </c>
      <c r="C785" s="523" t="s">
        <v>7112</v>
      </c>
      <c r="D785" s="523" t="s">
        <v>225</v>
      </c>
      <c r="E785" s="534" t="s">
        <v>5853</v>
      </c>
      <c r="F785" s="523" t="s">
        <v>1752</v>
      </c>
      <c r="G785" s="523" t="s">
        <v>6141</v>
      </c>
      <c r="H785" s="524">
        <v>825737</v>
      </c>
      <c r="I785" s="525" t="s">
        <v>7016</v>
      </c>
      <c r="J785" s="525" t="s">
        <v>2991</v>
      </c>
      <c r="K785" s="525" t="s">
        <v>2991</v>
      </c>
      <c r="L785" s="525" t="s">
        <v>2513</v>
      </c>
      <c r="M785" s="541" t="s">
        <v>1755</v>
      </c>
      <c r="N785" s="525" t="s">
        <v>1773</v>
      </c>
      <c r="O785" s="525" t="s">
        <v>2234</v>
      </c>
      <c r="P785" s="531">
        <v>2260.37</v>
      </c>
      <c r="Q785" s="531">
        <v>2667.2365999999997</v>
      </c>
      <c r="R785" s="531">
        <v>1518.5352499999999</v>
      </c>
      <c r="S785" s="523" t="s">
        <v>1774</v>
      </c>
      <c r="T785" s="542">
        <v>1.087</v>
      </c>
      <c r="U785" s="543">
        <v>1.077</v>
      </c>
      <c r="V785" s="543">
        <v>1.073</v>
      </c>
      <c r="W785" s="543">
        <v>1.071</v>
      </c>
      <c r="X785" s="544">
        <v>0.9</v>
      </c>
      <c r="Y785" s="526">
        <v>2034.3330000000001</v>
      </c>
      <c r="Z785" s="531">
        <v>2400.5129400000001</v>
      </c>
      <c r="AA785" s="531">
        <v>2772.6841593147733</v>
      </c>
      <c r="AB785" s="532">
        <v>3271.7673079914325</v>
      </c>
      <c r="AC785" s="531">
        <v>2034.3330000000001</v>
      </c>
      <c r="AD785" s="532">
        <v>2400.5129400000001</v>
      </c>
      <c r="AE785" s="494" t="s">
        <v>1775</v>
      </c>
      <c r="AF785" s="534" t="s">
        <v>83</v>
      </c>
      <c r="AG785" s="534" t="s">
        <v>211</v>
      </c>
      <c r="AH785" s="534" t="s">
        <v>545</v>
      </c>
      <c r="AI785" s="533">
        <v>41669</v>
      </c>
      <c r="AJ785" s="533">
        <v>41704</v>
      </c>
      <c r="AK785" s="534" t="s">
        <v>96</v>
      </c>
      <c r="AL785" s="534" t="s">
        <v>96</v>
      </c>
      <c r="AM785" s="525" t="str">
        <f t="shared" si="118"/>
        <v>Выполнение ПИР, СМР, ПНР, оборудование</v>
      </c>
      <c r="AN785" s="525" t="s">
        <v>4784</v>
      </c>
      <c r="AO785" s="534">
        <v>796</v>
      </c>
      <c r="AP785" s="534" t="s">
        <v>368</v>
      </c>
      <c r="AQ785" s="534">
        <v>1</v>
      </c>
      <c r="AR785" s="534">
        <v>46</v>
      </c>
      <c r="AS785" s="525" t="s">
        <v>605</v>
      </c>
      <c r="AT785" s="533">
        <v>41724</v>
      </c>
      <c r="AU785" s="533">
        <v>41724</v>
      </c>
      <c r="AV785" s="533">
        <v>41820</v>
      </c>
      <c r="AW785" s="534">
        <v>2014</v>
      </c>
      <c r="AX785" s="525"/>
      <c r="AY785" s="534" t="s">
        <v>186</v>
      </c>
      <c r="AZ785" s="534"/>
      <c r="BA785" s="534">
        <v>2014</v>
      </c>
      <c r="BB785" s="534" t="s">
        <v>7017</v>
      </c>
      <c r="BC785" s="525" t="s">
        <v>7018</v>
      </c>
      <c r="BD785" s="534" t="s">
        <v>1818</v>
      </c>
      <c r="BE785" s="545">
        <v>41820</v>
      </c>
      <c r="BF785" s="546">
        <v>2743.5851723999995</v>
      </c>
      <c r="BG785" s="488">
        <v>2743.5851723999995</v>
      </c>
      <c r="BH785" s="532">
        <v>0</v>
      </c>
      <c r="BI785" s="532">
        <v>0</v>
      </c>
      <c r="BJ785" s="534" t="s">
        <v>1465</v>
      </c>
      <c r="BK785" s="523"/>
    </row>
    <row r="786" spans="1:63" ht="105.75" customHeight="1">
      <c r="A786" s="401">
        <v>2</v>
      </c>
      <c r="B786" s="494" t="s">
        <v>7019</v>
      </c>
      <c r="C786" s="401" t="s">
        <v>83</v>
      </c>
      <c r="D786" s="401" t="s">
        <v>225</v>
      </c>
      <c r="E786" s="494" t="s">
        <v>5853</v>
      </c>
      <c r="F786" s="401" t="s">
        <v>1752</v>
      </c>
      <c r="G786" s="401" t="s">
        <v>6141</v>
      </c>
      <c r="H786" s="499">
        <v>825738</v>
      </c>
      <c r="I786" s="486" t="s">
        <v>7020</v>
      </c>
      <c r="J786" s="496" t="s">
        <v>2991</v>
      </c>
      <c r="K786" s="496" t="s">
        <v>2991</v>
      </c>
      <c r="L786" s="500" t="s">
        <v>5004</v>
      </c>
      <c r="M786" s="500" t="s">
        <v>1755</v>
      </c>
      <c r="N786" s="496" t="s">
        <v>1773</v>
      </c>
      <c r="O786" s="496" t="s">
        <v>2234</v>
      </c>
      <c r="P786" s="489">
        <v>4871.49</v>
      </c>
      <c r="Q786" s="489">
        <v>5748.3581999999997</v>
      </c>
      <c r="R786" s="584">
        <v>3933.88</v>
      </c>
      <c r="S786" s="401" t="s">
        <v>1774</v>
      </c>
      <c r="T786" s="490">
        <v>1.087</v>
      </c>
      <c r="U786" s="490">
        <v>1.077</v>
      </c>
      <c r="V786" s="490">
        <v>1.073</v>
      </c>
      <c r="W786" s="490">
        <v>1.071</v>
      </c>
      <c r="X786" s="491">
        <v>0.9</v>
      </c>
      <c r="Y786" s="502">
        <v>4702.1899999999996</v>
      </c>
      <c r="Z786" s="489">
        <v>5548.5841999999993</v>
      </c>
      <c r="AA786" s="489">
        <v>4937.3536780526401</v>
      </c>
      <c r="AB786" s="488">
        <v>5826.0773401021152</v>
      </c>
      <c r="AC786" s="492">
        <v>4702.1899999999996</v>
      </c>
      <c r="AD786" s="493">
        <v>5548.5841999999993</v>
      </c>
      <c r="AE786" s="494" t="s">
        <v>1775</v>
      </c>
      <c r="AF786" s="494" t="s">
        <v>83</v>
      </c>
      <c r="AG786" s="494" t="s">
        <v>211</v>
      </c>
      <c r="AH786" s="494" t="s">
        <v>545</v>
      </c>
      <c r="AI786" s="495">
        <v>41669</v>
      </c>
      <c r="AJ786" s="495">
        <v>41704</v>
      </c>
      <c r="AK786" s="494" t="s">
        <v>96</v>
      </c>
      <c r="AL786" s="494" t="s">
        <v>96</v>
      </c>
      <c r="AM786" s="496" t="str">
        <f t="shared" si="118"/>
        <v>Выполнение ПИР, СМР, ПНР, оборудование</v>
      </c>
      <c r="AN786" s="496" t="s">
        <v>4784</v>
      </c>
      <c r="AO786" s="494">
        <v>796</v>
      </c>
      <c r="AP786" s="494" t="s">
        <v>368</v>
      </c>
      <c r="AQ786" s="494">
        <v>1</v>
      </c>
      <c r="AR786" s="494">
        <v>46</v>
      </c>
      <c r="AS786" s="496" t="s">
        <v>605</v>
      </c>
      <c r="AT786" s="495">
        <v>41724</v>
      </c>
      <c r="AU786" s="495">
        <v>41724</v>
      </c>
      <c r="AV786" s="495">
        <v>41820</v>
      </c>
      <c r="AW786" s="494">
        <v>2014</v>
      </c>
      <c r="AX786" s="496"/>
      <c r="AY786" s="494" t="s">
        <v>186</v>
      </c>
      <c r="AZ786" s="494"/>
      <c r="BA786" s="494">
        <v>2014</v>
      </c>
      <c r="BB786" s="494" t="s">
        <v>7021</v>
      </c>
      <c r="BC786" s="496" t="s">
        <v>7022</v>
      </c>
      <c r="BD786" s="494" t="s">
        <v>1818</v>
      </c>
      <c r="BE786" s="575">
        <v>41820</v>
      </c>
      <c r="BF786" s="498">
        <v>5881.7925999999998</v>
      </c>
      <c r="BG786" s="488">
        <v>5881.7925999999998</v>
      </c>
      <c r="BH786" s="488">
        <v>2.5000000000000001E-2</v>
      </c>
      <c r="BI786" s="488">
        <v>3.4299999999999997</v>
      </c>
      <c r="BJ786" s="494" t="s">
        <v>1465</v>
      </c>
      <c r="BK786" s="401"/>
    </row>
    <row r="787" spans="1:63" ht="105.75" customHeight="1">
      <c r="A787" s="401">
        <v>2</v>
      </c>
      <c r="B787" s="494" t="s">
        <v>7023</v>
      </c>
      <c r="C787" s="401" t="s">
        <v>83</v>
      </c>
      <c r="D787" s="401" t="s">
        <v>225</v>
      </c>
      <c r="E787" s="494" t="s">
        <v>5853</v>
      </c>
      <c r="F787" s="401" t="s">
        <v>1752</v>
      </c>
      <c r="G787" s="401" t="s">
        <v>6141</v>
      </c>
      <c r="H787" s="499">
        <v>825773</v>
      </c>
      <c r="I787" s="486" t="s">
        <v>7024</v>
      </c>
      <c r="J787" s="496" t="s">
        <v>2991</v>
      </c>
      <c r="K787" s="496" t="s">
        <v>2991</v>
      </c>
      <c r="L787" s="500" t="s">
        <v>2513</v>
      </c>
      <c r="M787" s="500" t="s">
        <v>1755</v>
      </c>
      <c r="N787" s="496" t="s">
        <v>1773</v>
      </c>
      <c r="O787" s="496" t="s">
        <v>2234</v>
      </c>
      <c r="P787" s="489">
        <v>3581.7860000000001</v>
      </c>
      <c r="Q787" s="489">
        <v>4226.5074800000002</v>
      </c>
      <c r="R787" s="584">
        <v>2632.4607330630397</v>
      </c>
      <c r="S787" s="401" t="s">
        <v>1774</v>
      </c>
      <c r="T787" s="490">
        <v>1.087</v>
      </c>
      <c r="U787" s="490">
        <v>1.077</v>
      </c>
      <c r="V787" s="490">
        <v>1.073</v>
      </c>
      <c r="W787" s="490">
        <v>1.071</v>
      </c>
      <c r="X787" s="491">
        <v>0.9</v>
      </c>
      <c r="Y787" s="502">
        <v>3223.6080000000002</v>
      </c>
      <c r="Z787" s="489">
        <v>3803.8574400000002</v>
      </c>
      <c r="AA787" s="489">
        <v>3300.3045960202321</v>
      </c>
      <c r="AB787" s="488">
        <v>3894.3594233038739</v>
      </c>
      <c r="AC787" s="492">
        <v>3223.6080000000002</v>
      </c>
      <c r="AD787" s="493">
        <v>3803.8574400000002</v>
      </c>
      <c r="AE787" s="494" t="s">
        <v>1775</v>
      </c>
      <c r="AF787" s="494" t="s">
        <v>83</v>
      </c>
      <c r="AG787" s="494" t="s">
        <v>211</v>
      </c>
      <c r="AH787" s="494" t="s">
        <v>545</v>
      </c>
      <c r="AI787" s="495">
        <v>41669</v>
      </c>
      <c r="AJ787" s="495">
        <v>41704</v>
      </c>
      <c r="AK787" s="494" t="s">
        <v>96</v>
      </c>
      <c r="AL787" s="494" t="s">
        <v>96</v>
      </c>
      <c r="AM787" s="496" t="str">
        <f t="shared" si="118"/>
        <v>Выполнение ПИР, СМР, ПНР, оборудование</v>
      </c>
      <c r="AN787" s="496" t="s">
        <v>4784</v>
      </c>
      <c r="AO787" s="494">
        <v>796</v>
      </c>
      <c r="AP787" s="494" t="s">
        <v>368</v>
      </c>
      <c r="AQ787" s="494">
        <v>1</v>
      </c>
      <c r="AR787" s="494">
        <v>46</v>
      </c>
      <c r="AS787" s="496" t="s">
        <v>605</v>
      </c>
      <c r="AT787" s="495">
        <v>41724</v>
      </c>
      <c r="AU787" s="495">
        <v>41724</v>
      </c>
      <c r="AV787" s="495">
        <v>41820</v>
      </c>
      <c r="AW787" s="494">
        <v>2014</v>
      </c>
      <c r="AX787" s="496"/>
      <c r="AY787" s="494" t="s">
        <v>186</v>
      </c>
      <c r="AZ787" s="494"/>
      <c r="BA787" s="494">
        <v>2014</v>
      </c>
      <c r="BB787" s="494" t="s">
        <v>7025</v>
      </c>
      <c r="BC787" s="496" t="s">
        <v>7026</v>
      </c>
      <c r="BD787" s="494" t="s">
        <v>1818</v>
      </c>
      <c r="BE787" s="575">
        <v>41820</v>
      </c>
      <c r="BF787" s="498">
        <v>4335.0193360000003</v>
      </c>
      <c r="BG787" s="488">
        <v>4335.0193360000003</v>
      </c>
      <c r="BH787" s="488">
        <v>0.63</v>
      </c>
      <c r="BI787" s="488">
        <v>0.7</v>
      </c>
      <c r="BJ787" s="494" t="s">
        <v>1465</v>
      </c>
      <c r="BK787" s="401"/>
    </row>
    <row r="788" spans="1:63" ht="105.75" customHeight="1">
      <c r="A788" s="401">
        <v>2</v>
      </c>
      <c r="B788" s="494" t="s">
        <v>7027</v>
      </c>
      <c r="C788" s="401" t="s">
        <v>83</v>
      </c>
      <c r="D788" s="401" t="s">
        <v>225</v>
      </c>
      <c r="E788" s="494" t="s">
        <v>5853</v>
      </c>
      <c r="F788" s="401" t="s">
        <v>1752</v>
      </c>
      <c r="G788" s="401" t="s">
        <v>6141</v>
      </c>
      <c r="H788" s="499">
        <v>813780</v>
      </c>
      <c r="I788" s="486" t="s">
        <v>7028</v>
      </c>
      <c r="J788" s="496" t="s">
        <v>2991</v>
      </c>
      <c r="K788" s="496" t="s">
        <v>2991</v>
      </c>
      <c r="L788" s="500" t="s">
        <v>2513</v>
      </c>
      <c r="M788" s="500" t="s">
        <v>1755</v>
      </c>
      <c r="N788" s="496" t="s">
        <v>1773</v>
      </c>
      <c r="O788" s="496" t="s">
        <v>2234</v>
      </c>
      <c r="P788" s="489">
        <v>831.38</v>
      </c>
      <c r="Q788" s="489">
        <v>981.02839999999992</v>
      </c>
      <c r="R788" s="584">
        <v>672.36</v>
      </c>
      <c r="S788" s="401" t="s">
        <v>1774</v>
      </c>
      <c r="T788" s="490">
        <v>1.087</v>
      </c>
      <c r="U788" s="490">
        <v>1.077</v>
      </c>
      <c r="V788" s="490">
        <v>1.073</v>
      </c>
      <c r="W788" s="490">
        <v>1.071</v>
      </c>
      <c r="X788" s="491">
        <v>0.9</v>
      </c>
      <c r="Y788" s="502">
        <v>804.34</v>
      </c>
      <c r="Z788" s="489">
        <v>949.12120000000004</v>
      </c>
      <c r="AA788" s="489">
        <v>844.20751272581981</v>
      </c>
      <c r="AB788" s="488">
        <v>996.16486501646727</v>
      </c>
      <c r="AC788" s="492">
        <v>804.34</v>
      </c>
      <c r="AD788" s="493">
        <v>949.12120000000004</v>
      </c>
      <c r="AE788" s="494" t="s">
        <v>1775</v>
      </c>
      <c r="AF788" s="494" t="s">
        <v>83</v>
      </c>
      <c r="AG788" s="494" t="s">
        <v>211</v>
      </c>
      <c r="AH788" s="494" t="s">
        <v>545</v>
      </c>
      <c r="AI788" s="495">
        <v>41669</v>
      </c>
      <c r="AJ788" s="495">
        <v>41704</v>
      </c>
      <c r="AK788" s="494" t="s">
        <v>96</v>
      </c>
      <c r="AL788" s="494" t="s">
        <v>96</v>
      </c>
      <c r="AM788" s="496" t="str">
        <f>"Выполнение "&amp;J788</f>
        <v>Выполнение ПИР, СМР, ПНР, оборудование</v>
      </c>
      <c r="AN788" s="496" t="s">
        <v>4784</v>
      </c>
      <c r="AO788" s="494">
        <v>796</v>
      </c>
      <c r="AP788" s="494" t="s">
        <v>368</v>
      </c>
      <c r="AQ788" s="494">
        <v>1</v>
      </c>
      <c r="AR788" s="494">
        <v>46</v>
      </c>
      <c r="AS788" s="496" t="s">
        <v>605</v>
      </c>
      <c r="AT788" s="495">
        <v>41724</v>
      </c>
      <c r="AU788" s="495">
        <v>41724</v>
      </c>
      <c r="AV788" s="495">
        <v>41820</v>
      </c>
      <c r="AW788" s="494">
        <v>2014</v>
      </c>
      <c r="AX788" s="496"/>
      <c r="AY788" s="494" t="s">
        <v>186</v>
      </c>
      <c r="AZ788" s="494"/>
      <c r="BA788" s="494">
        <v>2014</v>
      </c>
      <c r="BB788" s="494" t="s">
        <v>7029</v>
      </c>
      <c r="BC788" s="496" t="s">
        <v>7030</v>
      </c>
      <c r="BD788" s="494" t="s">
        <v>1818</v>
      </c>
      <c r="BE788" s="575">
        <v>41820</v>
      </c>
      <c r="BF788" s="498">
        <v>1003.177</v>
      </c>
      <c r="BG788" s="488">
        <v>1003.177</v>
      </c>
      <c r="BH788" s="488">
        <v>0</v>
      </c>
      <c r="BI788" s="488">
        <v>0.6</v>
      </c>
      <c r="BJ788" s="494" t="s">
        <v>1465</v>
      </c>
      <c r="BK788" s="401"/>
    </row>
    <row r="789" spans="1:63" ht="96.75" customHeight="1">
      <c r="A789" s="504">
        <v>2</v>
      </c>
      <c r="B789" s="570" t="s">
        <v>7031</v>
      </c>
      <c r="C789" s="504" t="s">
        <v>83</v>
      </c>
      <c r="D789" s="504" t="s">
        <v>225</v>
      </c>
      <c r="E789" s="570" t="s">
        <v>5853</v>
      </c>
      <c r="F789" s="504" t="s">
        <v>1752</v>
      </c>
      <c r="G789" s="504" t="s">
        <v>6141</v>
      </c>
      <c r="H789" s="517">
        <v>825774</v>
      </c>
      <c r="I789" s="506" t="s">
        <v>7032</v>
      </c>
      <c r="J789" s="506" t="s">
        <v>2991</v>
      </c>
      <c r="K789" s="506" t="s">
        <v>2991</v>
      </c>
      <c r="L789" s="506" t="s">
        <v>2513</v>
      </c>
      <c r="M789" s="571" t="s">
        <v>1755</v>
      </c>
      <c r="N789" s="506" t="s">
        <v>1773</v>
      </c>
      <c r="O789" s="506" t="s">
        <v>2234</v>
      </c>
      <c r="P789" s="512">
        <v>4336.8209999999999</v>
      </c>
      <c r="Q789" s="512">
        <v>5117.4487799999997</v>
      </c>
      <c r="R789" s="512">
        <v>3175.1159356412099</v>
      </c>
      <c r="S789" s="504" t="s">
        <v>1774</v>
      </c>
      <c r="T789" s="572">
        <v>1.087</v>
      </c>
      <c r="U789" s="572">
        <v>1.077</v>
      </c>
      <c r="V789" s="572">
        <v>1.073</v>
      </c>
      <c r="W789" s="572">
        <v>1.071</v>
      </c>
      <c r="X789" s="511">
        <v>0.9</v>
      </c>
      <c r="Y789" s="512">
        <v>3874.7869999999998</v>
      </c>
      <c r="Z789" s="512">
        <v>4572.2486599999993</v>
      </c>
      <c r="AA789" s="512">
        <f>SUM(AA790:AA792)</f>
        <v>4112.5299828077932</v>
      </c>
      <c r="AB789" s="512">
        <f>SUM(AB790:AB792)</f>
        <v>4852.7853797131957</v>
      </c>
      <c r="AC789" s="512">
        <f>SUM(AC790:AC792)</f>
        <v>3874.7869999999998</v>
      </c>
      <c r="AD789" s="512">
        <f>SUM(AD790:AD792)</f>
        <v>4572.2486599999993</v>
      </c>
      <c r="AE789" s="494" t="s">
        <v>1775</v>
      </c>
      <c r="AF789" s="570" t="s">
        <v>83</v>
      </c>
      <c r="AG789" s="570" t="s">
        <v>211</v>
      </c>
      <c r="AH789" s="570" t="s">
        <v>545</v>
      </c>
      <c r="AI789" s="515">
        <v>41669</v>
      </c>
      <c r="AJ789" s="515">
        <v>41704</v>
      </c>
      <c r="AK789" s="570" t="s">
        <v>96</v>
      </c>
      <c r="AL789" s="570" t="s">
        <v>96</v>
      </c>
      <c r="AM789" s="506" t="str">
        <f t="shared" si="118"/>
        <v>Выполнение ПИР, СМР, ПНР, оборудование</v>
      </c>
      <c r="AN789" s="506" t="s">
        <v>4784</v>
      </c>
      <c r="AO789" s="570">
        <v>796</v>
      </c>
      <c r="AP789" s="570" t="s">
        <v>368</v>
      </c>
      <c r="AQ789" s="570">
        <v>1</v>
      </c>
      <c r="AR789" s="570">
        <v>46</v>
      </c>
      <c r="AS789" s="506" t="s">
        <v>605</v>
      </c>
      <c r="AT789" s="515">
        <v>41724</v>
      </c>
      <c r="AU789" s="515">
        <v>41724</v>
      </c>
      <c r="AV789" s="515">
        <v>41820</v>
      </c>
      <c r="AW789" s="570">
        <v>2014</v>
      </c>
      <c r="AX789" s="506"/>
      <c r="AY789" s="570" t="s">
        <v>186</v>
      </c>
      <c r="AZ789" s="570"/>
      <c r="BA789" s="570">
        <v>2014</v>
      </c>
      <c r="BB789" s="570" t="s">
        <v>2271</v>
      </c>
      <c r="BC789" s="506" t="s">
        <v>2271</v>
      </c>
      <c r="BD789" s="570" t="s">
        <v>2272</v>
      </c>
      <c r="BE789" s="573" t="s">
        <v>2272</v>
      </c>
      <c r="BF789" s="574" t="s">
        <v>2272</v>
      </c>
      <c r="BG789" s="488" t="s">
        <v>2272</v>
      </c>
      <c r="BH789" s="513" t="s">
        <v>2272</v>
      </c>
      <c r="BI789" s="513" t="s">
        <v>2272</v>
      </c>
      <c r="BJ789" s="570" t="s">
        <v>1465</v>
      </c>
      <c r="BK789" s="504"/>
    </row>
    <row r="790" spans="1:63" ht="95.25" customHeight="1">
      <c r="A790" s="523">
        <v>2</v>
      </c>
      <c r="B790" s="534" t="s">
        <v>7033</v>
      </c>
      <c r="C790" s="523" t="s">
        <v>7112</v>
      </c>
      <c r="D790" s="523" t="s">
        <v>225</v>
      </c>
      <c r="E790" s="534" t="s">
        <v>5853</v>
      </c>
      <c r="F790" s="523" t="s">
        <v>1752</v>
      </c>
      <c r="G790" s="523" t="s">
        <v>6141</v>
      </c>
      <c r="H790" s="524" t="s">
        <v>6160</v>
      </c>
      <c r="I790" s="525" t="s">
        <v>7034</v>
      </c>
      <c r="J790" s="525" t="s">
        <v>2991</v>
      </c>
      <c r="K790" s="525" t="s">
        <v>2991</v>
      </c>
      <c r="L790" s="525" t="s">
        <v>2513</v>
      </c>
      <c r="M790" s="541" t="s">
        <v>1755</v>
      </c>
      <c r="N790" s="525" t="s">
        <v>1773</v>
      </c>
      <c r="O790" s="525" t="s">
        <v>2234</v>
      </c>
      <c r="P790" s="531">
        <v>1121.0309999999999</v>
      </c>
      <c r="Q790" s="531">
        <v>1322.8165799999999</v>
      </c>
      <c r="R790" s="531">
        <v>849.80105027909997</v>
      </c>
      <c r="S790" s="523" t="s">
        <v>1774</v>
      </c>
      <c r="T790" s="542">
        <v>1.087</v>
      </c>
      <c r="U790" s="543">
        <v>1.077</v>
      </c>
      <c r="V790" s="543">
        <v>1.073</v>
      </c>
      <c r="W790" s="543">
        <v>1.071</v>
      </c>
      <c r="X790" s="544">
        <v>0.9</v>
      </c>
      <c r="Y790" s="526">
        <v>980.577</v>
      </c>
      <c r="Z790" s="531">
        <v>1157.08086</v>
      </c>
      <c r="AA790" s="531">
        <v>1096.4011500253157</v>
      </c>
      <c r="AB790" s="532">
        <v>1293.7533570298724</v>
      </c>
      <c r="AC790" s="531">
        <v>980.577</v>
      </c>
      <c r="AD790" s="532">
        <v>1157.08086</v>
      </c>
      <c r="AE790" s="494" t="s">
        <v>1775</v>
      </c>
      <c r="AF790" s="534" t="s">
        <v>83</v>
      </c>
      <c r="AG790" s="534" t="s">
        <v>211</v>
      </c>
      <c r="AH790" s="534" t="s">
        <v>545</v>
      </c>
      <c r="AI790" s="533">
        <v>41669</v>
      </c>
      <c r="AJ790" s="533">
        <v>41704</v>
      </c>
      <c r="AK790" s="534" t="s">
        <v>96</v>
      </c>
      <c r="AL790" s="534" t="s">
        <v>96</v>
      </c>
      <c r="AM790" s="525" t="str">
        <f t="shared" si="118"/>
        <v>Выполнение ПИР, СМР, ПНР, оборудование</v>
      </c>
      <c r="AN790" s="525" t="s">
        <v>4784</v>
      </c>
      <c r="AO790" s="534">
        <v>796</v>
      </c>
      <c r="AP790" s="534" t="s">
        <v>368</v>
      </c>
      <c r="AQ790" s="534">
        <v>1</v>
      </c>
      <c r="AR790" s="534">
        <v>46</v>
      </c>
      <c r="AS790" s="525" t="s">
        <v>605</v>
      </c>
      <c r="AT790" s="533">
        <v>41724</v>
      </c>
      <c r="AU790" s="533">
        <v>41724</v>
      </c>
      <c r="AV790" s="533">
        <v>41820</v>
      </c>
      <c r="AW790" s="534">
        <v>2014</v>
      </c>
      <c r="AX790" s="525"/>
      <c r="AY790" s="534" t="s">
        <v>186</v>
      </c>
      <c r="AZ790" s="534"/>
      <c r="BA790" s="534">
        <v>2014</v>
      </c>
      <c r="BB790" s="534" t="s">
        <v>7035</v>
      </c>
      <c r="BC790" s="525" t="s">
        <v>7036</v>
      </c>
      <c r="BD790" s="534" t="s">
        <v>1818</v>
      </c>
      <c r="BE790" s="545">
        <v>41820</v>
      </c>
      <c r="BF790" s="546">
        <v>1369.6377999999997</v>
      </c>
      <c r="BG790" s="488">
        <v>1369.6377999999997</v>
      </c>
      <c r="BH790" s="532">
        <v>0</v>
      </c>
      <c r="BI790" s="532">
        <v>0</v>
      </c>
      <c r="BJ790" s="534" t="s">
        <v>1465</v>
      </c>
      <c r="BK790" s="523"/>
    </row>
    <row r="791" spans="1:63" ht="95.25" customHeight="1">
      <c r="A791" s="523">
        <v>2</v>
      </c>
      <c r="B791" s="534" t="s">
        <v>7037</v>
      </c>
      <c r="C791" s="523" t="s">
        <v>7112</v>
      </c>
      <c r="D791" s="523" t="s">
        <v>225</v>
      </c>
      <c r="E791" s="534" t="s">
        <v>5853</v>
      </c>
      <c r="F791" s="523" t="s">
        <v>1761</v>
      </c>
      <c r="G791" s="523" t="s">
        <v>1762</v>
      </c>
      <c r="H791" s="524" t="s">
        <v>6160</v>
      </c>
      <c r="I791" s="525" t="s">
        <v>7038</v>
      </c>
      <c r="J791" s="525" t="s">
        <v>2991</v>
      </c>
      <c r="K791" s="525" t="s">
        <v>2991</v>
      </c>
      <c r="L791" s="525" t="s">
        <v>2513</v>
      </c>
      <c r="M791" s="541" t="s">
        <v>1755</v>
      </c>
      <c r="N791" s="525" t="s">
        <v>1773</v>
      </c>
      <c r="O791" s="525" t="s">
        <v>2234</v>
      </c>
      <c r="P791" s="531">
        <v>1848.048</v>
      </c>
      <c r="Q791" s="531">
        <v>2180.6966399999997</v>
      </c>
      <c r="R791" s="531">
        <v>1324.2381961139101</v>
      </c>
      <c r="S791" s="523" t="s">
        <v>1774</v>
      </c>
      <c r="T791" s="542">
        <v>1.087</v>
      </c>
      <c r="U791" s="543">
        <v>1.077</v>
      </c>
      <c r="V791" s="543">
        <v>1.073</v>
      </c>
      <c r="W791" s="543">
        <v>1.071</v>
      </c>
      <c r="X791" s="544">
        <v>0.9</v>
      </c>
      <c r="Y791" s="526">
        <v>1663.2429999999999</v>
      </c>
      <c r="Z791" s="531">
        <v>1962.6267399999999</v>
      </c>
      <c r="AA791" s="531">
        <v>1765.59</v>
      </c>
      <c r="AB791" s="532">
        <v>2083.3961999999997</v>
      </c>
      <c r="AC791" s="531">
        <v>1663.2429999999999</v>
      </c>
      <c r="AD791" s="532">
        <v>1962.6267399999999</v>
      </c>
      <c r="AE791" s="494" t="s">
        <v>1775</v>
      </c>
      <c r="AF791" s="534" t="s">
        <v>83</v>
      </c>
      <c r="AG791" s="534" t="s">
        <v>211</v>
      </c>
      <c r="AH791" s="534" t="s">
        <v>545</v>
      </c>
      <c r="AI791" s="533">
        <v>41669</v>
      </c>
      <c r="AJ791" s="533">
        <v>41704</v>
      </c>
      <c r="AK791" s="534" t="s">
        <v>96</v>
      </c>
      <c r="AL791" s="534" t="s">
        <v>96</v>
      </c>
      <c r="AM791" s="525" t="str">
        <f t="shared" si="118"/>
        <v>Выполнение ПИР, СМР, ПНР, оборудование</v>
      </c>
      <c r="AN791" s="525" t="s">
        <v>4784</v>
      </c>
      <c r="AO791" s="534">
        <v>796</v>
      </c>
      <c r="AP791" s="534" t="s">
        <v>368</v>
      </c>
      <c r="AQ791" s="534">
        <v>1</v>
      </c>
      <c r="AR791" s="534">
        <v>46</v>
      </c>
      <c r="AS791" s="525" t="s">
        <v>605</v>
      </c>
      <c r="AT791" s="533">
        <v>41724</v>
      </c>
      <c r="AU791" s="533">
        <v>41724</v>
      </c>
      <c r="AV791" s="533">
        <v>41820</v>
      </c>
      <c r="AW791" s="534">
        <v>2014</v>
      </c>
      <c r="AX791" s="525"/>
      <c r="AY791" s="534" t="s">
        <v>186</v>
      </c>
      <c r="AZ791" s="534"/>
      <c r="BA791" s="534">
        <v>2014</v>
      </c>
      <c r="BB791" s="534" t="s">
        <v>7039</v>
      </c>
      <c r="BC791" s="525" t="s">
        <v>7040</v>
      </c>
      <c r="BD791" s="534" t="s">
        <v>1818</v>
      </c>
      <c r="BE791" s="545">
        <v>41820</v>
      </c>
      <c r="BF791" s="546">
        <v>33178.7668672</v>
      </c>
      <c r="BG791" s="488">
        <v>33178.7668672</v>
      </c>
      <c r="BH791" s="532">
        <v>0.5</v>
      </c>
      <c r="BI791" s="532">
        <v>0.75</v>
      </c>
      <c r="BJ791" s="534" t="s">
        <v>1465</v>
      </c>
      <c r="BK791" s="523"/>
    </row>
    <row r="792" spans="1:63" ht="95.25" customHeight="1">
      <c r="A792" s="523">
        <v>2</v>
      </c>
      <c r="B792" s="534" t="s">
        <v>7041</v>
      </c>
      <c r="C792" s="523" t="s">
        <v>7112</v>
      </c>
      <c r="D792" s="523" t="s">
        <v>225</v>
      </c>
      <c r="E792" s="534" t="s">
        <v>5853</v>
      </c>
      <c r="F792" s="523" t="s">
        <v>1752</v>
      </c>
      <c r="G792" s="523" t="s">
        <v>6141</v>
      </c>
      <c r="H792" s="524" t="s">
        <v>6160</v>
      </c>
      <c r="I792" s="525" t="s">
        <v>7042</v>
      </c>
      <c r="J792" s="525" t="s">
        <v>2991</v>
      </c>
      <c r="K792" s="525" t="s">
        <v>2991</v>
      </c>
      <c r="L792" s="525" t="s">
        <v>2513</v>
      </c>
      <c r="M792" s="541" t="s">
        <v>1755</v>
      </c>
      <c r="N792" s="525" t="s">
        <v>1773</v>
      </c>
      <c r="O792" s="525" t="s">
        <v>2234</v>
      </c>
      <c r="P792" s="531">
        <v>1367.742</v>
      </c>
      <c r="Q792" s="531">
        <v>1613.9355599999999</v>
      </c>
      <c r="R792" s="531">
        <v>1001.0766892482001</v>
      </c>
      <c r="S792" s="523" t="s">
        <v>1774</v>
      </c>
      <c r="T792" s="542">
        <v>1.087</v>
      </c>
      <c r="U792" s="543">
        <v>1.077</v>
      </c>
      <c r="V792" s="543">
        <v>1.073</v>
      </c>
      <c r="W792" s="543">
        <v>1.071</v>
      </c>
      <c r="X792" s="544">
        <v>0.9</v>
      </c>
      <c r="Y792" s="526">
        <v>1230.9670000000001</v>
      </c>
      <c r="Z792" s="531">
        <v>1452.54106</v>
      </c>
      <c r="AA792" s="531">
        <v>1250.5388327824776</v>
      </c>
      <c r="AB792" s="532">
        <v>1475.6358226833236</v>
      </c>
      <c r="AC792" s="531">
        <v>1230.9670000000001</v>
      </c>
      <c r="AD792" s="532">
        <v>1452.54106</v>
      </c>
      <c r="AE792" s="494" t="s">
        <v>1775</v>
      </c>
      <c r="AF792" s="534" t="s">
        <v>83</v>
      </c>
      <c r="AG792" s="534" t="s">
        <v>211</v>
      </c>
      <c r="AH792" s="534" t="s">
        <v>545</v>
      </c>
      <c r="AI792" s="533">
        <v>41669</v>
      </c>
      <c r="AJ792" s="533">
        <v>41704</v>
      </c>
      <c r="AK792" s="534" t="s">
        <v>96</v>
      </c>
      <c r="AL792" s="534" t="s">
        <v>96</v>
      </c>
      <c r="AM792" s="525" t="str">
        <f t="shared" si="118"/>
        <v>Выполнение ПИР, СМР, ПНР, оборудование</v>
      </c>
      <c r="AN792" s="525" t="s">
        <v>4784</v>
      </c>
      <c r="AO792" s="534">
        <v>796</v>
      </c>
      <c r="AP792" s="534" t="s">
        <v>368</v>
      </c>
      <c r="AQ792" s="534">
        <v>1</v>
      </c>
      <c r="AR792" s="534">
        <v>46</v>
      </c>
      <c r="AS792" s="525" t="s">
        <v>605</v>
      </c>
      <c r="AT792" s="533">
        <v>41724</v>
      </c>
      <c r="AU792" s="533">
        <v>41724</v>
      </c>
      <c r="AV792" s="533">
        <v>41820</v>
      </c>
      <c r="AW792" s="534">
        <v>2014</v>
      </c>
      <c r="AX792" s="525"/>
      <c r="AY792" s="534" t="s">
        <v>186</v>
      </c>
      <c r="AZ792" s="534"/>
      <c r="BA792" s="534">
        <v>2014</v>
      </c>
      <c r="BB792" s="534" t="s">
        <v>7043</v>
      </c>
      <c r="BC792" s="525" t="s">
        <v>7044</v>
      </c>
      <c r="BD792" s="534" t="s">
        <v>1818</v>
      </c>
      <c r="BE792" s="545">
        <v>41820</v>
      </c>
      <c r="BF792" s="546">
        <v>1648.5286051999999</v>
      </c>
      <c r="BG792" s="488">
        <v>1648.5286051999999</v>
      </c>
      <c r="BH792" s="532">
        <v>0</v>
      </c>
      <c r="BI792" s="532">
        <v>1</v>
      </c>
      <c r="BJ792" s="534" t="s">
        <v>1465</v>
      </c>
      <c r="BK792" s="523"/>
    </row>
    <row r="793" spans="1:63" ht="96.75" customHeight="1">
      <c r="A793" s="504">
        <v>2</v>
      </c>
      <c r="B793" s="570" t="s">
        <v>7045</v>
      </c>
      <c r="C793" s="504" t="s">
        <v>83</v>
      </c>
      <c r="D793" s="504" t="s">
        <v>225</v>
      </c>
      <c r="E793" s="570" t="s">
        <v>5853</v>
      </c>
      <c r="F793" s="504" t="s">
        <v>1752</v>
      </c>
      <c r="G793" s="504" t="s">
        <v>6141</v>
      </c>
      <c r="H793" s="517">
        <v>813810</v>
      </c>
      <c r="I793" s="506" t="s">
        <v>7046</v>
      </c>
      <c r="J793" s="506" t="s">
        <v>2991</v>
      </c>
      <c r="K793" s="506" t="s">
        <v>2991</v>
      </c>
      <c r="L793" s="506" t="s">
        <v>2513</v>
      </c>
      <c r="M793" s="571" t="s">
        <v>1755</v>
      </c>
      <c r="N793" s="506" t="s">
        <v>1773</v>
      </c>
      <c r="O793" s="506" t="s">
        <v>2234</v>
      </c>
      <c r="P793" s="512">
        <v>3585.8089999999997</v>
      </c>
      <c r="Q793" s="512">
        <v>4231.2546199999997</v>
      </c>
      <c r="R793" s="512">
        <v>2761.1120600061099</v>
      </c>
      <c r="S793" s="504" t="s">
        <v>1774</v>
      </c>
      <c r="T793" s="572">
        <v>1.087</v>
      </c>
      <c r="U793" s="572">
        <v>1.077</v>
      </c>
      <c r="V793" s="572">
        <v>1.073</v>
      </c>
      <c r="W793" s="572">
        <v>1.071</v>
      </c>
      <c r="X793" s="511">
        <v>0.9</v>
      </c>
      <c r="Y793" s="512">
        <v>3199.7640000000001</v>
      </c>
      <c r="Z793" s="512">
        <v>3775.7215200000001</v>
      </c>
      <c r="AA793" s="512">
        <f>SUM(AA794:AA795)</f>
        <v>3538.5433771741946</v>
      </c>
      <c r="AB793" s="512">
        <f>SUM(AB794:AB795)</f>
        <v>4175.4811850655497</v>
      </c>
      <c r="AC793" s="512">
        <f>SUM(AC794:AC795)</f>
        <v>3199.7640000000001</v>
      </c>
      <c r="AD793" s="512">
        <f>SUM(AD794:AD795)</f>
        <v>3775.7215200000001</v>
      </c>
      <c r="AE793" s="494" t="s">
        <v>1775</v>
      </c>
      <c r="AF793" s="570" t="s">
        <v>83</v>
      </c>
      <c r="AG793" s="570" t="s">
        <v>211</v>
      </c>
      <c r="AH793" s="570" t="s">
        <v>545</v>
      </c>
      <c r="AI793" s="515">
        <v>41669</v>
      </c>
      <c r="AJ793" s="515">
        <v>41704</v>
      </c>
      <c r="AK793" s="570" t="s">
        <v>96</v>
      </c>
      <c r="AL793" s="570" t="s">
        <v>96</v>
      </c>
      <c r="AM793" s="506" t="str">
        <f t="shared" si="118"/>
        <v>Выполнение ПИР, СМР, ПНР, оборудование</v>
      </c>
      <c r="AN793" s="506" t="s">
        <v>4784</v>
      </c>
      <c r="AO793" s="570">
        <v>796</v>
      </c>
      <c r="AP793" s="570" t="s">
        <v>368</v>
      </c>
      <c r="AQ793" s="570">
        <v>1</v>
      </c>
      <c r="AR793" s="570">
        <v>46</v>
      </c>
      <c r="AS793" s="506" t="s">
        <v>605</v>
      </c>
      <c r="AT793" s="515">
        <v>41724</v>
      </c>
      <c r="AU793" s="515">
        <v>41724</v>
      </c>
      <c r="AV793" s="515">
        <v>41820</v>
      </c>
      <c r="AW793" s="570">
        <v>2014</v>
      </c>
      <c r="AX793" s="506"/>
      <c r="AY793" s="570" t="s">
        <v>186</v>
      </c>
      <c r="AZ793" s="570"/>
      <c r="BA793" s="570">
        <v>2014</v>
      </c>
      <c r="BB793" s="570" t="s">
        <v>2271</v>
      </c>
      <c r="BC793" s="506" t="s">
        <v>2271</v>
      </c>
      <c r="BD793" s="570" t="s">
        <v>2272</v>
      </c>
      <c r="BE793" s="573" t="s">
        <v>2272</v>
      </c>
      <c r="BF793" s="574" t="s">
        <v>2272</v>
      </c>
      <c r="BG793" s="488" t="s">
        <v>2272</v>
      </c>
      <c r="BH793" s="513" t="s">
        <v>2272</v>
      </c>
      <c r="BI793" s="513" t="s">
        <v>2272</v>
      </c>
      <c r="BJ793" s="570" t="s">
        <v>1465</v>
      </c>
      <c r="BK793" s="504"/>
    </row>
    <row r="794" spans="1:63" ht="95.25" customHeight="1">
      <c r="A794" s="523">
        <v>2</v>
      </c>
      <c r="B794" s="534" t="s">
        <v>7047</v>
      </c>
      <c r="C794" s="523" t="s">
        <v>7112</v>
      </c>
      <c r="D794" s="523" t="s">
        <v>225</v>
      </c>
      <c r="E794" s="534" t="s">
        <v>5853</v>
      </c>
      <c r="F794" s="523" t="s">
        <v>1752</v>
      </c>
      <c r="G794" s="523" t="s">
        <v>6141</v>
      </c>
      <c r="H794" s="524" t="s">
        <v>6160</v>
      </c>
      <c r="I794" s="525" t="s">
        <v>7048</v>
      </c>
      <c r="J794" s="525" t="s">
        <v>2991</v>
      </c>
      <c r="K794" s="525" t="s">
        <v>2991</v>
      </c>
      <c r="L794" s="525" t="s">
        <v>2513</v>
      </c>
      <c r="M794" s="541" t="s">
        <v>1755</v>
      </c>
      <c r="N794" s="525" t="s">
        <v>1773</v>
      </c>
      <c r="O794" s="525" t="s">
        <v>2234</v>
      </c>
      <c r="P794" s="531">
        <v>1342.6579999999999</v>
      </c>
      <c r="Q794" s="531">
        <v>1584.3364399999998</v>
      </c>
      <c r="R794" s="531">
        <v>1061.5099594479143</v>
      </c>
      <c r="S794" s="523" t="s">
        <v>1774</v>
      </c>
      <c r="T794" s="542">
        <v>1.087</v>
      </c>
      <c r="U794" s="543">
        <v>1.077</v>
      </c>
      <c r="V794" s="543">
        <v>1.073</v>
      </c>
      <c r="W794" s="543">
        <v>1.071</v>
      </c>
      <c r="X794" s="544">
        <v>0.9</v>
      </c>
      <c r="Y794" s="526">
        <v>1238.6099999999999</v>
      </c>
      <c r="Z794" s="531">
        <v>1461.5597999999998</v>
      </c>
      <c r="AA794" s="531">
        <v>1345.7410771235632</v>
      </c>
      <c r="AB794" s="532">
        <v>1587.9744710058044</v>
      </c>
      <c r="AC794" s="531">
        <v>1238.6099999999999</v>
      </c>
      <c r="AD794" s="532">
        <v>1461.5597999999998</v>
      </c>
      <c r="AE794" s="494" t="s">
        <v>1775</v>
      </c>
      <c r="AF794" s="534" t="s">
        <v>83</v>
      </c>
      <c r="AG794" s="534" t="s">
        <v>211</v>
      </c>
      <c r="AH794" s="534" t="s">
        <v>545</v>
      </c>
      <c r="AI794" s="533">
        <v>41669</v>
      </c>
      <c r="AJ794" s="533">
        <v>41704</v>
      </c>
      <c r="AK794" s="534" t="s">
        <v>96</v>
      </c>
      <c r="AL794" s="534" t="s">
        <v>96</v>
      </c>
      <c r="AM794" s="525" t="str">
        <f t="shared" si="118"/>
        <v>Выполнение ПИР, СМР, ПНР, оборудование</v>
      </c>
      <c r="AN794" s="525" t="s">
        <v>4784</v>
      </c>
      <c r="AO794" s="534">
        <v>796</v>
      </c>
      <c r="AP794" s="534" t="s">
        <v>368</v>
      </c>
      <c r="AQ794" s="534">
        <v>1</v>
      </c>
      <c r="AR794" s="534">
        <v>46</v>
      </c>
      <c r="AS794" s="525" t="s">
        <v>605</v>
      </c>
      <c r="AT794" s="533">
        <v>41724</v>
      </c>
      <c r="AU794" s="533">
        <v>41724</v>
      </c>
      <c r="AV794" s="533">
        <v>41820</v>
      </c>
      <c r="AW794" s="534">
        <v>2014</v>
      </c>
      <c r="AX794" s="525"/>
      <c r="AY794" s="534" t="s">
        <v>186</v>
      </c>
      <c r="AZ794" s="534"/>
      <c r="BA794" s="534">
        <v>2014</v>
      </c>
      <c r="BB794" s="534" t="s">
        <v>7049</v>
      </c>
      <c r="BC794" s="525" t="s">
        <v>7050</v>
      </c>
      <c r="BD794" s="534" t="s">
        <v>1818</v>
      </c>
      <c r="BE794" s="545">
        <v>41820</v>
      </c>
      <c r="BF794" s="546">
        <v>1625.09482</v>
      </c>
      <c r="BG794" s="488">
        <v>1625.09482</v>
      </c>
      <c r="BH794" s="532">
        <v>6.3E-2</v>
      </c>
      <c r="BI794" s="532">
        <v>0.65</v>
      </c>
      <c r="BJ794" s="534" t="s">
        <v>1465</v>
      </c>
      <c r="BK794" s="523"/>
    </row>
    <row r="795" spans="1:63" ht="95.25" customHeight="1">
      <c r="A795" s="523">
        <v>2</v>
      </c>
      <c r="B795" s="534" t="s">
        <v>7051</v>
      </c>
      <c r="C795" s="523" t="s">
        <v>7112</v>
      </c>
      <c r="D795" s="523" t="s">
        <v>225</v>
      </c>
      <c r="E795" s="534" t="s">
        <v>5853</v>
      </c>
      <c r="F795" s="523" t="s">
        <v>1752</v>
      </c>
      <c r="G795" s="523" t="s">
        <v>6141</v>
      </c>
      <c r="H795" s="524" t="s">
        <v>6160</v>
      </c>
      <c r="I795" s="525" t="s">
        <v>7052</v>
      </c>
      <c r="J795" s="525" t="s">
        <v>2991</v>
      </c>
      <c r="K795" s="525" t="s">
        <v>2991</v>
      </c>
      <c r="L795" s="525" t="s">
        <v>2513</v>
      </c>
      <c r="M795" s="541" t="s">
        <v>1755</v>
      </c>
      <c r="N795" s="525" t="s">
        <v>1773</v>
      </c>
      <c r="O795" s="525" t="s">
        <v>2234</v>
      </c>
      <c r="P795" s="531">
        <v>2243.1509999999998</v>
      </c>
      <c r="Q795" s="531">
        <v>2646.9181799999997</v>
      </c>
      <c r="R795" s="531">
        <v>1699.6021005581999</v>
      </c>
      <c r="S795" s="523" t="s">
        <v>1774</v>
      </c>
      <c r="T795" s="542">
        <v>1.087</v>
      </c>
      <c r="U795" s="543">
        <v>1.077</v>
      </c>
      <c r="V795" s="543">
        <v>1.073</v>
      </c>
      <c r="W795" s="543">
        <v>1.071</v>
      </c>
      <c r="X795" s="544">
        <v>0.9</v>
      </c>
      <c r="Y795" s="526">
        <v>1961.154</v>
      </c>
      <c r="Z795" s="531">
        <v>2314.1617200000001</v>
      </c>
      <c r="AA795" s="531">
        <v>2192.8023000506314</v>
      </c>
      <c r="AB795" s="532">
        <v>2587.5067140597448</v>
      </c>
      <c r="AC795" s="531">
        <v>1961.154</v>
      </c>
      <c r="AD795" s="532">
        <v>2314.1617200000001</v>
      </c>
      <c r="AE795" s="494" t="s">
        <v>1775</v>
      </c>
      <c r="AF795" s="534" t="s">
        <v>83</v>
      </c>
      <c r="AG795" s="534" t="s">
        <v>211</v>
      </c>
      <c r="AH795" s="534" t="s">
        <v>545</v>
      </c>
      <c r="AI795" s="533">
        <v>41669</v>
      </c>
      <c r="AJ795" s="533">
        <v>41704</v>
      </c>
      <c r="AK795" s="534" t="s">
        <v>96</v>
      </c>
      <c r="AL795" s="534" t="s">
        <v>96</v>
      </c>
      <c r="AM795" s="525" t="str">
        <f t="shared" si="118"/>
        <v>Выполнение ПИР, СМР, ПНР, оборудование</v>
      </c>
      <c r="AN795" s="525" t="s">
        <v>4784</v>
      </c>
      <c r="AO795" s="534">
        <v>796</v>
      </c>
      <c r="AP795" s="534" t="s">
        <v>368</v>
      </c>
      <c r="AQ795" s="534">
        <v>1</v>
      </c>
      <c r="AR795" s="534">
        <v>46</v>
      </c>
      <c r="AS795" s="525" t="s">
        <v>605</v>
      </c>
      <c r="AT795" s="533">
        <v>41724</v>
      </c>
      <c r="AU795" s="533">
        <v>41724</v>
      </c>
      <c r="AV795" s="533">
        <v>41820</v>
      </c>
      <c r="AW795" s="534">
        <v>2014</v>
      </c>
      <c r="AX795" s="525"/>
      <c r="AY795" s="534" t="s">
        <v>186</v>
      </c>
      <c r="AZ795" s="534"/>
      <c r="BA795" s="534">
        <v>2014</v>
      </c>
      <c r="BB795" s="534" t="s">
        <v>7053</v>
      </c>
      <c r="BC795" s="525" t="s">
        <v>7054</v>
      </c>
      <c r="BD795" s="534" t="s">
        <v>1818</v>
      </c>
      <c r="BE795" s="545">
        <v>41820</v>
      </c>
      <c r="BF795" s="546">
        <v>2740.6030999999998</v>
      </c>
      <c r="BG795" s="488">
        <v>2740.6030999999998</v>
      </c>
      <c r="BH795" s="532">
        <v>0</v>
      </c>
      <c r="BI795" s="532">
        <v>0</v>
      </c>
      <c r="BJ795" s="534" t="s">
        <v>1465</v>
      </c>
      <c r="BK795" s="523"/>
    </row>
    <row r="796" spans="1:63" ht="96.75" customHeight="1">
      <c r="A796" s="504">
        <v>2</v>
      </c>
      <c r="B796" s="570" t="s">
        <v>7055</v>
      </c>
      <c r="C796" s="504" t="s">
        <v>83</v>
      </c>
      <c r="D796" s="504" t="s">
        <v>225</v>
      </c>
      <c r="E796" s="570" t="s">
        <v>5853</v>
      </c>
      <c r="F796" s="504" t="s">
        <v>1752</v>
      </c>
      <c r="G796" s="504" t="s">
        <v>6141</v>
      </c>
      <c r="H796" s="517">
        <v>813812</v>
      </c>
      <c r="I796" s="506" t="s">
        <v>6935</v>
      </c>
      <c r="J796" s="506" t="s">
        <v>2991</v>
      </c>
      <c r="K796" s="506" t="s">
        <v>2991</v>
      </c>
      <c r="L796" s="506" t="s">
        <v>7056</v>
      </c>
      <c r="M796" s="571" t="s">
        <v>1755</v>
      </c>
      <c r="N796" s="506" t="s">
        <v>1773</v>
      </c>
      <c r="O796" s="506" t="s">
        <v>2234</v>
      </c>
      <c r="P796" s="512">
        <v>4602.9139999999998</v>
      </c>
      <c r="Q796" s="512">
        <v>5431.4385199999997</v>
      </c>
      <c r="R796" s="512">
        <v>3504.7603046040999</v>
      </c>
      <c r="S796" s="504" t="s">
        <v>1774</v>
      </c>
      <c r="T796" s="572">
        <v>1.087</v>
      </c>
      <c r="U796" s="572">
        <v>1.077</v>
      </c>
      <c r="V796" s="572">
        <v>1.073</v>
      </c>
      <c r="W796" s="572">
        <v>1.071</v>
      </c>
      <c r="X796" s="511">
        <v>0.9</v>
      </c>
      <c r="Y796" s="512">
        <v>4187.5609999999997</v>
      </c>
      <c r="Z796" s="512">
        <v>4941.3219799999997</v>
      </c>
      <c r="AA796" s="512">
        <f>SUM(AA797:AA799)</f>
        <v>4515.6458155342061</v>
      </c>
      <c r="AB796" s="512">
        <f>SUM(AB797:AB799)</f>
        <v>5328.4620623303636</v>
      </c>
      <c r="AC796" s="512">
        <f>SUM(AC797:AC799)</f>
        <v>4187.5609999999997</v>
      </c>
      <c r="AD796" s="512">
        <f>SUM(AD797:AD799)</f>
        <v>4941.3219799999997</v>
      </c>
      <c r="AE796" s="494" t="s">
        <v>1775</v>
      </c>
      <c r="AF796" s="570" t="s">
        <v>83</v>
      </c>
      <c r="AG796" s="570" t="s">
        <v>211</v>
      </c>
      <c r="AH796" s="570" t="s">
        <v>545</v>
      </c>
      <c r="AI796" s="515">
        <v>41669</v>
      </c>
      <c r="AJ796" s="515">
        <v>41704</v>
      </c>
      <c r="AK796" s="570" t="s">
        <v>96</v>
      </c>
      <c r="AL796" s="570" t="s">
        <v>96</v>
      </c>
      <c r="AM796" s="506" t="str">
        <f t="shared" si="118"/>
        <v>Выполнение ПИР, СМР, ПНР, оборудование</v>
      </c>
      <c r="AN796" s="506" t="s">
        <v>4784</v>
      </c>
      <c r="AO796" s="570">
        <v>796</v>
      </c>
      <c r="AP796" s="570" t="s">
        <v>368</v>
      </c>
      <c r="AQ796" s="570">
        <v>1</v>
      </c>
      <c r="AR796" s="570">
        <v>46</v>
      </c>
      <c r="AS796" s="506" t="s">
        <v>605</v>
      </c>
      <c r="AT796" s="515">
        <v>41724</v>
      </c>
      <c r="AU796" s="515">
        <v>41724</v>
      </c>
      <c r="AV796" s="515">
        <v>41820</v>
      </c>
      <c r="AW796" s="570">
        <v>2014</v>
      </c>
      <c r="AX796" s="506"/>
      <c r="AY796" s="570" t="s">
        <v>186</v>
      </c>
      <c r="AZ796" s="570"/>
      <c r="BA796" s="570">
        <v>2014</v>
      </c>
      <c r="BB796" s="570" t="s">
        <v>2271</v>
      </c>
      <c r="BC796" s="506" t="s">
        <v>2271</v>
      </c>
      <c r="BD796" s="570" t="s">
        <v>2272</v>
      </c>
      <c r="BE796" s="573" t="s">
        <v>2272</v>
      </c>
      <c r="BF796" s="574" t="s">
        <v>2272</v>
      </c>
      <c r="BG796" s="488" t="s">
        <v>2272</v>
      </c>
      <c r="BH796" s="513" t="s">
        <v>2272</v>
      </c>
      <c r="BI796" s="513" t="s">
        <v>2272</v>
      </c>
      <c r="BJ796" s="570" t="s">
        <v>1465</v>
      </c>
      <c r="BK796" s="504"/>
    </row>
    <row r="797" spans="1:63" ht="95.25" customHeight="1">
      <c r="A797" s="523">
        <v>2</v>
      </c>
      <c r="B797" s="534" t="s">
        <v>7057</v>
      </c>
      <c r="C797" s="523" t="s">
        <v>7112</v>
      </c>
      <c r="D797" s="523" t="s">
        <v>225</v>
      </c>
      <c r="E797" s="534" t="s">
        <v>5853</v>
      </c>
      <c r="F797" s="523" t="s">
        <v>1752</v>
      </c>
      <c r="G797" s="523" t="s">
        <v>6141</v>
      </c>
      <c r="H797" s="524" t="s">
        <v>6160</v>
      </c>
      <c r="I797" s="525" t="s">
        <v>7058</v>
      </c>
      <c r="J797" s="525" t="s">
        <v>2991</v>
      </c>
      <c r="K797" s="525" t="s">
        <v>2991</v>
      </c>
      <c r="L797" s="525" t="s">
        <v>2513</v>
      </c>
      <c r="M797" s="541" t="s">
        <v>1755</v>
      </c>
      <c r="N797" s="525" t="s">
        <v>1773</v>
      </c>
      <c r="O797" s="525" t="s">
        <v>2234</v>
      </c>
      <c r="P797" s="531">
        <v>1113.021</v>
      </c>
      <c r="Q797" s="531">
        <v>1313.3647799999999</v>
      </c>
      <c r="R797" s="531">
        <v>876.43770554388345</v>
      </c>
      <c r="S797" s="523" t="s">
        <v>1774</v>
      </c>
      <c r="T797" s="542">
        <v>1.087</v>
      </c>
      <c r="U797" s="543">
        <v>1.077</v>
      </c>
      <c r="V797" s="543">
        <v>1.073</v>
      </c>
      <c r="W797" s="543">
        <v>1.071</v>
      </c>
      <c r="X797" s="544">
        <v>0.9</v>
      </c>
      <c r="Y797" s="526">
        <v>1021.397</v>
      </c>
      <c r="Z797" s="531">
        <v>1205.24846</v>
      </c>
      <c r="AA797" s="531">
        <v>1111.9613311511318</v>
      </c>
      <c r="AB797" s="532">
        <v>1312.1143707583356</v>
      </c>
      <c r="AC797" s="531">
        <v>1021.397</v>
      </c>
      <c r="AD797" s="532">
        <v>1205.24846</v>
      </c>
      <c r="AE797" s="494" t="s">
        <v>1775</v>
      </c>
      <c r="AF797" s="534" t="s">
        <v>83</v>
      </c>
      <c r="AG797" s="534" t="s">
        <v>211</v>
      </c>
      <c r="AH797" s="534" t="s">
        <v>545</v>
      </c>
      <c r="AI797" s="533">
        <v>41669</v>
      </c>
      <c r="AJ797" s="533">
        <v>41704</v>
      </c>
      <c r="AK797" s="534" t="s">
        <v>96</v>
      </c>
      <c r="AL797" s="534" t="s">
        <v>96</v>
      </c>
      <c r="AM797" s="525" t="str">
        <f t="shared" si="118"/>
        <v>Выполнение ПИР, СМР, ПНР, оборудование</v>
      </c>
      <c r="AN797" s="525" t="s">
        <v>4784</v>
      </c>
      <c r="AO797" s="534">
        <v>796</v>
      </c>
      <c r="AP797" s="534" t="s">
        <v>368</v>
      </c>
      <c r="AQ797" s="534">
        <v>1</v>
      </c>
      <c r="AR797" s="534">
        <v>46</v>
      </c>
      <c r="AS797" s="525" t="s">
        <v>605</v>
      </c>
      <c r="AT797" s="533">
        <v>41724</v>
      </c>
      <c r="AU797" s="533">
        <v>41724</v>
      </c>
      <c r="AV797" s="533">
        <v>41820</v>
      </c>
      <c r="AW797" s="534">
        <v>2014</v>
      </c>
      <c r="AX797" s="525"/>
      <c r="AY797" s="534" t="s">
        <v>186</v>
      </c>
      <c r="AZ797" s="534"/>
      <c r="BA797" s="534">
        <v>2014</v>
      </c>
      <c r="BB797" s="534" t="s">
        <v>7059</v>
      </c>
      <c r="BC797" s="525" t="s">
        <v>7060</v>
      </c>
      <c r="BD797" s="534" t="s">
        <v>1818</v>
      </c>
      <c r="BE797" s="545">
        <v>41820</v>
      </c>
      <c r="BF797" s="546">
        <v>1348.64678</v>
      </c>
      <c r="BG797" s="488">
        <v>1348.64678</v>
      </c>
      <c r="BH797" s="532">
        <v>0.16</v>
      </c>
      <c r="BI797" s="532">
        <v>0.31</v>
      </c>
      <c r="BJ797" s="534" t="s">
        <v>1465</v>
      </c>
      <c r="BK797" s="523"/>
    </row>
    <row r="798" spans="1:63" ht="95.25" customHeight="1">
      <c r="A798" s="523">
        <v>2</v>
      </c>
      <c r="B798" s="534" t="s">
        <v>7061</v>
      </c>
      <c r="C798" s="523" t="s">
        <v>7112</v>
      </c>
      <c r="D798" s="523" t="s">
        <v>225</v>
      </c>
      <c r="E798" s="534" t="s">
        <v>5853</v>
      </c>
      <c r="F798" s="523" t="s">
        <v>1752</v>
      </c>
      <c r="G798" s="523" t="s">
        <v>6141</v>
      </c>
      <c r="H798" s="524" t="s">
        <v>6160</v>
      </c>
      <c r="I798" s="525" t="s">
        <v>7062</v>
      </c>
      <c r="J798" s="525" t="s">
        <v>2991</v>
      </c>
      <c r="K798" s="525" t="s">
        <v>2991</v>
      </c>
      <c r="L798" s="525" t="s">
        <v>2513</v>
      </c>
      <c r="M798" s="541" t="s">
        <v>1755</v>
      </c>
      <c r="N798" s="525" t="s">
        <v>1773</v>
      </c>
      <c r="O798" s="525" t="s">
        <v>2234</v>
      </c>
      <c r="P798" s="531">
        <v>1352.848</v>
      </c>
      <c r="Q798" s="531">
        <v>1596.3606399999999</v>
      </c>
      <c r="R798" s="531">
        <v>1065.224281097109</v>
      </c>
      <c r="S798" s="523" t="s">
        <v>1774</v>
      </c>
      <c r="T798" s="542">
        <v>1.087</v>
      </c>
      <c r="U798" s="543">
        <v>1.077</v>
      </c>
      <c r="V798" s="543">
        <v>1.073</v>
      </c>
      <c r="W798" s="543">
        <v>1.071</v>
      </c>
      <c r="X798" s="544">
        <v>0.9</v>
      </c>
      <c r="Y798" s="526">
        <v>1242.8230000000001</v>
      </c>
      <c r="Z798" s="531">
        <v>1466.5311400000001</v>
      </c>
      <c r="AA798" s="531">
        <v>1357.3744843830748</v>
      </c>
      <c r="AB798" s="532">
        <v>1601.7018915720282</v>
      </c>
      <c r="AC798" s="531">
        <v>1242.8230000000001</v>
      </c>
      <c r="AD798" s="532">
        <v>1466.5311400000001</v>
      </c>
      <c r="AE798" s="494" t="s">
        <v>1775</v>
      </c>
      <c r="AF798" s="534" t="s">
        <v>83</v>
      </c>
      <c r="AG798" s="534" t="s">
        <v>211</v>
      </c>
      <c r="AH798" s="534" t="s">
        <v>545</v>
      </c>
      <c r="AI798" s="533">
        <v>41669</v>
      </c>
      <c r="AJ798" s="533">
        <v>41704</v>
      </c>
      <c r="AK798" s="534" t="s">
        <v>96</v>
      </c>
      <c r="AL798" s="534" t="s">
        <v>96</v>
      </c>
      <c r="AM798" s="525" t="str">
        <f t="shared" si="118"/>
        <v>Выполнение ПИР, СМР, ПНР, оборудование</v>
      </c>
      <c r="AN798" s="525" t="s">
        <v>4784</v>
      </c>
      <c r="AO798" s="534">
        <v>796</v>
      </c>
      <c r="AP798" s="534" t="s">
        <v>368</v>
      </c>
      <c r="AQ798" s="534">
        <v>1</v>
      </c>
      <c r="AR798" s="534">
        <v>46</v>
      </c>
      <c r="AS798" s="525" t="s">
        <v>605</v>
      </c>
      <c r="AT798" s="533">
        <v>41724</v>
      </c>
      <c r="AU798" s="533">
        <v>41724</v>
      </c>
      <c r="AV798" s="533">
        <v>41820</v>
      </c>
      <c r="AW798" s="534">
        <v>2014</v>
      </c>
      <c r="AX798" s="525"/>
      <c r="AY798" s="534" t="s">
        <v>186</v>
      </c>
      <c r="AZ798" s="534"/>
      <c r="BA798" s="534">
        <v>2014</v>
      </c>
      <c r="BB798" s="534" t="s">
        <v>7063</v>
      </c>
      <c r="BC798" s="525" t="s">
        <v>7064</v>
      </c>
      <c r="BD798" s="534" t="s">
        <v>1818</v>
      </c>
      <c r="BE798" s="545">
        <v>41820</v>
      </c>
      <c r="BF798" s="546">
        <v>1637.4175599999999</v>
      </c>
      <c r="BG798" s="488">
        <v>1637.4175599999999</v>
      </c>
      <c r="BH798" s="532">
        <v>0.1</v>
      </c>
      <c r="BI798" s="532">
        <v>0.57000000000000006</v>
      </c>
      <c r="BJ798" s="534" t="s">
        <v>1465</v>
      </c>
      <c r="BK798" s="523"/>
    </row>
    <row r="799" spans="1:63" ht="95.25" customHeight="1">
      <c r="A799" s="523">
        <v>2</v>
      </c>
      <c r="B799" s="534" t="s">
        <v>7065</v>
      </c>
      <c r="C799" s="523" t="s">
        <v>7112</v>
      </c>
      <c r="D799" s="523" t="s">
        <v>225</v>
      </c>
      <c r="E799" s="534" t="s">
        <v>5853</v>
      </c>
      <c r="F799" s="523" t="s">
        <v>1752</v>
      </c>
      <c r="G799" s="523" t="s">
        <v>6141</v>
      </c>
      <c r="H799" s="524" t="s">
        <v>6160</v>
      </c>
      <c r="I799" s="525" t="s">
        <v>7066</v>
      </c>
      <c r="J799" s="525" t="s">
        <v>2991</v>
      </c>
      <c r="K799" s="525" t="s">
        <v>2991</v>
      </c>
      <c r="L799" s="525" t="s">
        <v>5004</v>
      </c>
      <c r="M799" s="541" t="s">
        <v>1755</v>
      </c>
      <c r="N799" s="525" t="s">
        <v>1773</v>
      </c>
      <c r="O799" s="525" t="s">
        <v>2234</v>
      </c>
      <c r="P799" s="531">
        <v>2137.0450000000001</v>
      </c>
      <c r="Q799" s="531">
        <v>2521.7130999999999</v>
      </c>
      <c r="R799" s="531">
        <v>1563.09831796311</v>
      </c>
      <c r="S799" s="523" t="s">
        <v>1774</v>
      </c>
      <c r="T799" s="542">
        <v>1.087</v>
      </c>
      <c r="U799" s="543">
        <v>1.077</v>
      </c>
      <c r="V799" s="543">
        <v>1.073</v>
      </c>
      <c r="W799" s="543">
        <v>1.071</v>
      </c>
      <c r="X799" s="544">
        <v>0.9</v>
      </c>
      <c r="Y799" s="526">
        <v>1923.3409999999999</v>
      </c>
      <c r="Z799" s="531">
        <v>2269.5423799999999</v>
      </c>
      <c r="AA799" s="531">
        <v>2046.31</v>
      </c>
      <c r="AB799" s="532">
        <v>2414.6457999999998</v>
      </c>
      <c r="AC799" s="531">
        <v>1923.3409999999999</v>
      </c>
      <c r="AD799" s="532">
        <v>2269.5423799999999</v>
      </c>
      <c r="AE799" s="494" t="s">
        <v>1775</v>
      </c>
      <c r="AF799" s="534" t="s">
        <v>83</v>
      </c>
      <c r="AG799" s="534" t="s">
        <v>211</v>
      </c>
      <c r="AH799" s="534" t="s">
        <v>545</v>
      </c>
      <c r="AI799" s="533">
        <v>41669</v>
      </c>
      <c r="AJ799" s="533">
        <v>41704</v>
      </c>
      <c r="AK799" s="534" t="s">
        <v>96</v>
      </c>
      <c r="AL799" s="534" t="s">
        <v>96</v>
      </c>
      <c r="AM799" s="525" t="str">
        <f t="shared" si="118"/>
        <v>Выполнение ПИР, СМР, ПНР, оборудование</v>
      </c>
      <c r="AN799" s="525" t="s">
        <v>4784</v>
      </c>
      <c r="AO799" s="534">
        <v>796</v>
      </c>
      <c r="AP799" s="534" t="s">
        <v>368</v>
      </c>
      <c r="AQ799" s="534">
        <v>1</v>
      </c>
      <c r="AR799" s="534">
        <v>46</v>
      </c>
      <c r="AS799" s="525" t="s">
        <v>605</v>
      </c>
      <c r="AT799" s="533">
        <v>41724</v>
      </c>
      <c r="AU799" s="533">
        <v>41724</v>
      </c>
      <c r="AV799" s="533">
        <v>41820</v>
      </c>
      <c r="AW799" s="534">
        <v>2014</v>
      </c>
      <c r="AX799" s="525"/>
      <c r="AY799" s="534" t="s">
        <v>186</v>
      </c>
      <c r="AZ799" s="534"/>
      <c r="BA799" s="534">
        <v>2014</v>
      </c>
      <c r="BB799" s="534" t="s">
        <v>7067</v>
      </c>
      <c r="BC799" s="525" t="s">
        <v>7068</v>
      </c>
      <c r="BD799" s="534" t="s">
        <v>1818</v>
      </c>
      <c r="BE799" s="545">
        <v>41820</v>
      </c>
      <c r="BF799" s="546">
        <v>2574.0408372000002</v>
      </c>
      <c r="BG799" s="488">
        <v>2574.0408372000002</v>
      </c>
      <c r="BH799" s="532">
        <v>0.1</v>
      </c>
      <c r="BI799" s="532">
        <v>1</v>
      </c>
      <c r="BJ799" s="534" t="s">
        <v>1465</v>
      </c>
      <c r="BK799" s="523"/>
    </row>
    <row r="800" spans="1:63" ht="96.75" customHeight="1">
      <c r="A800" s="504">
        <v>2</v>
      </c>
      <c r="B800" s="570" t="s">
        <v>7069</v>
      </c>
      <c r="C800" s="504" t="s">
        <v>83</v>
      </c>
      <c r="D800" s="504" t="s">
        <v>225</v>
      </c>
      <c r="E800" s="570" t="s">
        <v>5853</v>
      </c>
      <c r="F800" s="504" t="s">
        <v>1752</v>
      </c>
      <c r="G800" s="504" t="s">
        <v>6141</v>
      </c>
      <c r="H800" s="517">
        <v>813817</v>
      </c>
      <c r="I800" s="506" t="s">
        <v>7070</v>
      </c>
      <c r="J800" s="506" t="s">
        <v>2991</v>
      </c>
      <c r="K800" s="506" t="s">
        <v>2991</v>
      </c>
      <c r="L800" s="506" t="s">
        <v>5004</v>
      </c>
      <c r="M800" s="571" t="s">
        <v>1755</v>
      </c>
      <c r="N800" s="506" t="s">
        <v>1773</v>
      </c>
      <c r="O800" s="506" t="s">
        <v>2234</v>
      </c>
      <c r="P800" s="512">
        <v>4130.9030000000002</v>
      </c>
      <c r="Q800" s="512">
        <v>4874.4655400000001</v>
      </c>
      <c r="R800" s="512">
        <v>3043.2223618297799</v>
      </c>
      <c r="S800" s="504" t="s">
        <v>1774</v>
      </c>
      <c r="T800" s="572">
        <v>1.087</v>
      </c>
      <c r="U800" s="572">
        <v>1.077</v>
      </c>
      <c r="V800" s="572">
        <v>1.073</v>
      </c>
      <c r="W800" s="572">
        <v>1.071</v>
      </c>
      <c r="X800" s="511">
        <v>0.9</v>
      </c>
      <c r="Y800" s="512">
        <v>3802.4799999999996</v>
      </c>
      <c r="Z800" s="512">
        <v>4486.9263999999994</v>
      </c>
      <c r="AA800" s="512">
        <f>SUM(AA801:AA802)</f>
        <v>4085.311682074378</v>
      </c>
      <c r="AB800" s="512">
        <f>SUM(AB801:AB802)</f>
        <v>4820.6677848477657</v>
      </c>
      <c r="AC800" s="512">
        <f t="shared" ref="AC800:AD800" si="124">SUM(AC801:AC802)</f>
        <v>3802.4799999999996</v>
      </c>
      <c r="AD800" s="512">
        <f t="shared" si="124"/>
        <v>4486.9263999999994</v>
      </c>
      <c r="AE800" s="494" t="s">
        <v>1775</v>
      </c>
      <c r="AF800" s="570" t="s">
        <v>83</v>
      </c>
      <c r="AG800" s="570" t="s">
        <v>211</v>
      </c>
      <c r="AH800" s="570" t="s">
        <v>545</v>
      </c>
      <c r="AI800" s="515">
        <v>41669</v>
      </c>
      <c r="AJ800" s="515">
        <v>41704</v>
      </c>
      <c r="AK800" s="570" t="s">
        <v>96</v>
      </c>
      <c r="AL800" s="570" t="s">
        <v>96</v>
      </c>
      <c r="AM800" s="506" t="str">
        <f t="shared" si="118"/>
        <v>Выполнение ПИР, СМР, ПНР, оборудование</v>
      </c>
      <c r="AN800" s="506" t="s">
        <v>4784</v>
      </c>
      <c r="AO800" s="570">
        <v>796</v>
      </c>
      <c r="AP800" s="570" t="s">
        <v>368</v>
      </c>
      <c r="AQ800" s="570">
        <v>1</v>
      </c>
      <c r="AR800" s="570">
        <v>46</v>
      </c>
      <c r="AS800" s="506" t="s">
        <v>605</v>
      </c>
      <c r="AT800" s="515">
        <v>41724</v>
      </c>
      <c r="AU800" s="515">
        <v>41724</v>
      </c>
      <c r="AV800" s="515">
        <v>41820</v>
      </c>
      <c r="AW800" s="570">
        <v>2014</v>
      </c>
      <c r="AX800" s="506"/>
      <c r="AY800" s="570" t="s">
        <v>186</v>
      </c>
      <c r="AZ800" s="570"/>
      <c r="BA800" s="570">
        <v>2014</v>
      </c>
      <c r="BB800" s="570" t="s">
        <v>2271</v>
      </c>
      <c r="BC800" s="506" t="s">
        <v>2271</v>
      </c>
      <c r="BD800" s="570" t="s">
        <v>2272</v>
      </c>
      <c r="BE800" s="573" t="s">
        <v>2272</v>
      </c>
      <c r="BF800" s="574" t="s">
        <v>2272</v>
      </c>
      <c r="BG800" s="488" t="s">
        <v>2272</v>
      </c>
      <c r="BH800" s="513" t="s">
        <v>2272</v>
      </c>
      <c r="BI800" s="513" t="s">
        <v>2272</v>
      </c>
      <c r="BJ800" s="570" t="s">
        <v>1465</v>
      </c>
      <c r="BK800" s="504"/>
    </row>
    <row r="801" spans="1:63" ht="95.25" customHeight="1">
      <c r="A801" s="523">
        <v>2</v>
      </c>
      <c r="B801" s="534" t="s">
        <v>7071</v>
      </c>
      <c r="C801" s="523" t="s">
        <v>7112</v>
      </c>
      <c r="D801" s="523" t="s">
        <v>225</v>
      </c>
      <c r="E801" s="534" t="s">
        <v>5853</v>
      </c>
      <c r="F801" s="523" t="s">
        <v>1752</v>
      </c>
      <c r="G801" s="523" t="s">
        <v>6141</v>
      </c>
      <c r="H801" s="524" t="s">
        <v>6160</v>
      </c>
      <c r="I801" s="525" t="s">
        <v>7072</v>
      </c>
      <c r="J801" s="525" t="s">
        <v>2991</v>
      </c>
      <c r="K801" s="525" t="s">
        <v>2991</v>
      </c>
      <c r="L801" s="525" t="s">
        <v>5004</v>
      </c>
      <c r="M801" s="541" t="s">
        <v>1755</v>
      </c>
      <c r="N801" s="525" t="s">
        <v>1773</v>
      </c>
      <c r="O801" s="525" t="s">
        <v>2234</v>
      </c>
      <c r="P801" s="531">
        <v>1832.002</v>
      </c>
      <c r="Q801" s="531">
        <v>2161.7623599999997</v>
      </c>
      <c r="R801" s="531">
        <v>1248.4400858851302</v>
      </c>
      <c r="S801" s="523" t="s">
        <v>1774</v>
      </c>
      <c r="T801" s="542">
        <v>1.087</v>
      </c>
      <c r="U801" s="543">
        <v>1.077</v>
      </c>
      <c r="V801" s="543">
        <v>1.073</v>
      </c>
      <c r="W801" s="543">
        <v>1.071</v>
      </c>
      <c r="X801" s="544">
        <v>0.9</v>
      </c>
      <c r="Y801" s="526">
        <v>1648.8019999999999</v>
      </c>
      <c r="Z801" s="531">
        <v>1945.5863599999998</v>
      </c>
      <c r="AA801" s="531">
        <v>1768.54</v>
      </c>
      <c r="AB801" s="532">
        <v>2086.8771999999999</v>
      </c>
      <c r="AC801" s="531">
        <v>1648.8019999999999</v>
      </c>
      <c r="AD801" s="532">
        <v>1945.5863599999998</v>
      </c>
      <c r="AE801" s="494" t="s">
        <v>1775</v>
      </c>
      <c r="AF801" s="534" t="s">
        <v>83</v>
      </c>
      <c r="AG801" s="534" t="s">
        <v>211</v>
      </c>
      <c r="AH801" s="534" t="s">
        <v>545</v>
      </c>
      <c r="AI801" s="533">
        <v>41669</v>
      </c>
      <c r="AJ801" s="533">
        <v>41704</v>
      </c>
      <c r="AK801" s="534" t="s">
        <v>96</v>
      </c>
      <c r="AL801" s="534" t="s">
        <v>96</v>
      </c>
      <c r="AM801" s="525" t="str">
        <f t="shared" si="118"/>
        <v>Выполнение ПИР, СМР, ПНР, оборудование</v>
      </c>
      <c r="AN801" s="525" t="s">
        <v>4784</v>
      </c>
      <c r="AO801" s="534">
        <v>796</v>
      </c>
      <c r="AP801" s="534" t="s">
        <v>368</v>
      </c>
      <c r="AQ801" s="534">
        <v>1</v>
      </c>
      <c r="AR801" s="534">
        <v>46</v>
      </c>
      <c r="AS801" s="525" t="s">
        <v>605</v>
      </c>
      <c r="AT801" s="533">
        <v>41724</v>
      </c>
      <c r="AU801" s="533">
        <v>41724</v>
      </c>
      <c r="AV801" s="533">
        <v>41820</v>
      </c>
      <c r="AW801" s="534">
        <v>2014</v>
      </c>
      <c r="AX801" s="525"/>
      <c r="AY801" s="534" t="s">
        <v>186</v>
      </c>
      <c r="AZ801" s="534"/>
      <c r="BA801" s="534">
        <v>2014</v>
      </c>
      <c r="BB801" s="534" t="s">
        <v>7073</v>
      </c>
      <c r="BC801" s="525" t="s">
        <v>7074</v>
      </c>
      <c r="BD801" s="534" t="s">
        <v>1818</v>
      </c>
      <c r="BE801" s="545">
        <v>41820</v>
      </c>
      <c r="BF801" s="546">
        <v>2202.1233513999996</v>
      </c>
      <c r="BG801" s="488">
        <v>2202.1233513999996</v>
      </c>
      <c r="BH801" s="532">
        <v>0.1</v>
      </c>
      <c r="BI801" s="532">
        <v>0.52</v>
      </c>
      <c r="BJ801" s="534" t="s">
        <v>1465</v>
      </c>
      <c r="BK801" s="523"/>
    </row>
    <row r="802" spans="1:63" ht="95.25" customHeight="1">
      <c r="A802" s="523">
        <v>2</v>
      </c>
      <c r="B802" s="534" t="s">
        <v>7075</v>
      </c>
      <c r="C802" s="523" t="s">
        <v>7112</v>
      </c>
      <c r="D802" s="523" t="s">
        <v>225</v>
      </c>
      <c r="E802" s="534" t="s">
        <v>5853</v>
      </c>
      <c r="F802" s="523" t="s">
        <v>1752</v>
      </c>
      <c r="G802" s="523" t="s">
        <v>6141</v>
      </c>
      <c r="H802" s="524" t="s">
        <v>6160</v>
      </c>
      <c r="I802" s="525" t="s">
        <v>7076</v>
      </c>
      <c r="J802" s="525" t="s">
        <v>2991</v>
      </c>
      <c r="K802" s="525" t="s">
        <v>2991</v>
      </c>
      <c r="L802" s="525" t="s">
        <v>2513</v>
      </c>
      <c r="M802" s="541" t="s">
        <v>1755</v>
      </c>
      <c r="N802" s="525" t="s">
        <v>1773</v>
      </c>
      <c r="O802" s="525" t="s">
        <v>2234</v>
      </c>
      <c r="P802" s="531">
        <v>2298.9009999999998</v>
      </c>
      <c r="Q802" s="531">
        <v>2712.7031799999995</v>
      </c>
      <c r="R802" s="531">
        <v>1794.782275944649</v>
      </c>
      <c r="S802" s="523" t="s">
        <v>1774</v>
      </c>
      <c r="T802" s="542">
        <v>1.087</v>
      </c>
      <c r="U802" s="543">
        <v>1.077</v>
      </c>
      <c r="V802" s="543">
        <v>1.073</v>
      </c>
      <c r="W802" s="543">
        <v>1.071</v>
      </c>
      <c r="X802" s="544">
        <v>0.9</v>
      </c>
      <c r="Y802" s="526">
        <v>2153.6779999999999</v>
      </c>
      <c r="Z802" s="531">
        <v>2541.3400399999996</v>
      </c>
      <c r="AA802" s="531">
        <v>2316.7716820743781</v>
      </c>
      <c r="AB802" s="532">
        <v>2733.7905848477658</v>
      </c>
      <c r="AC802" s="531">
        <v>2153.6779999999999</v>
      </c>
      <c r="AD802" s="532">
        <v>2541.3400399999996</v>
      </c>
      <c r="AE802" s="494" t="s">
        <v>1775</v>
      </c>
      <c r="AF802" s="534" t="s">
        <v>83</v>
      </c>
      <c r="AG802" s="534" t="s">
        <v>211</v>
      </c>
      <c r="AH802" s="534" t="s">
        <v>545</v>
      </c>
      <c r="AI802" s="533">
        <v>41669</v>
      </c>
      <c r="AJ802" s="533">
        <v>41704</v>
      </c>
      <c r="AK802" s="534" t="s">
        <v>96</v>
      </c>
      <c r="AL802" s="534" t="s">
        <v>96</v>
      </c>
      <c r="AM802" s="525" t="str">
        <f t="shared" si="118"/>
        <v>Выполнение ПИР, СМР, ПНР, оборудование</v>
      </c>
      <c r="AN802" s="525" t="s">
        <v>4784</v>
      </c>
      <c r="AO802" s="534">
        <v>796</v>
      </c>
      <c r="AP802" s="534" t="s">
        <v>368</v>
      </c>
      <c r="AQ802" s="534">
        <v>1</v>
      </c>
      <c r="AR802" s="534">
        <v>46</v>
      </c>
      <c r="AS802" s="525" t="s">
        <v>605</v>
      </c>
      <c r="AT802" s="533">
        <v>41724</v>
      </c>
      <c r="AU802" s="533">
        <v>41724</v>
      </c>
      <c r="AV802" s="533">
        <v>41820</v>
      </c>
      <c r="AW802" s="534">
        <v>2014</v>
      </c>
      <c r="AX802" s="525"/>
      <c r="AY802" s="534" t="s">
        <v>186</v>
      </c>
      <c r="AZ802" s="534"/>
      <c r="BA802" s="534">
        <v>2014</v>
      </c>
      <c r="BB802" s="534" t="s">
        <v>7077</v>
      </c>
      <c r="BC802" s="525" t="s">
        <v>7078</v>
      </c>
      <c r="BD802" s="534" t="s">
        <v>1818</v>
      </c>
      <c r="BE802" s="545">
        <v>41820</v>
      </c>
      <c r="BF802" s="546">
        <v>2779.0687399999997</v>
      </c>
      <c r="BG802" s="488">
        <v>2779.0687399999997</v>
      </c>
      <c r="BH802" s="532">
        <v>0.1</v>
      </c>
      <c r="BI802" s="532">
        <v>1.3</v>
      </c>
      <c r="BJ802" s="534" t="s">
        <v>1465</v>
      </c>
      <c r="BK802" s="523"/>
    </row>
    <row r="803" spans="1:63" ht="96.75" customHeight="1">
      <c r="A803" s="504">
        <v>2</v>
      </c>
      <c r="B803" s="570" t="s">
        <v>7079</v>
      </c>
      <c r="C803" s="504" t="s">
        <v>83</v>
      </c>
      <c r="D803" s="504" t="s">
        <v>225</v>
      </c>
      <c r="E803" s="570" t="s">
        <v>5853</v>
      </c>
      <c r="F803" s="504" t="s">
        <v>1752</v>
      </c>
      <c r="G803" s="504" t="s">
        <v>6141</v>
      </c>
      <c r="H803" s="517">
        <v>813983</v>
      </c>
      <c r="I803" s="506" t="s">
        <v>7080</v>
      </c>
      <c r="J803" s="506" t="s">
        <v>2991</v>
      </c>
      <c r="K803" s="506" t="s">
        <v>2991</v>
      </c>
      <c r="L803" s="506" t="s">
        <v>2513</v>
      </c>
      <c r="M803" s="571" t="s">
        <v>1755</v>
      </c>
      <c r="N803" s="506" t="s">
        <v>1773</v>
      </c>
      <c r="O803" s="506" t="s">
        <v>2234</v>
      </c>
      <c r="P803" s="512">
        <v>1718.6980000000001</v>
      </c>
      <c r="Q803" s="512">
        <v>2028.0636400000001</v>
      </c>
      <c r="R803" s="512">
        <v>1346.3182947031801</v>
      </c>
      <c r="S803" s="504" t="s">
        <v>1774</v>
      </c>
      <c r="T803" s="572">
        <v>1.087</v>
      </c>
      <c r="U803" s="572">
        <v>1.077</v>
      </c>
      <c r="V803" s="572">
        <v>1.073</v>
      </c>
      <c r="W803" s="572">
        <v>1.071</v>
      </c>
      <c r="X803" s="511">
        <v>0.9</v>
      </c>
      <c r="Y803" s="512">
        <v>1610.8969999999999</v>
      </c>
      <c r="Z803" s="512">
        <v>1900.8584599999999</v>
      </c>
      <c r="AA803" s="512">
        <f>SUM(AA804:AA805)</f>
        <v>1705.1710769831852</v>
      </c>
      <c r="AB803" s="512">
        <f>SUM(AB804:AB805)</f>
        <v>2012.1018708401584</v>
      </c>
      <c r="AC803" s="512">
        <f t="shared" ref="AC803:AD803" si="125">SUM(AC804:AC805)</f>
        <v>1610.8969999999999</v>
      </c>
      <c r="AD803" s="512">
        <f t="shared" si="125"/>
        <v>1900.8584599999999</v>
      </c>
      <c r="AE803" s="494" t="s">
        <v>1775</v>
      </c>
      <c r="AF803" s="570" t="s">
        <v>83</v>
      </c>
      <c r="AG803" s="570" t="s">
        <v>211</v>
      </c>
      <c r="AH803" s="570" t="s">
        <v>545</v>
      </c>
      <c r="AI803" s="515">
        <v>41669</v>
      </c>
      <c r="AJ803" s="515">
        <v>41704</v>
      </c>
      <c r="AK803" s="570" t="s">
        <v>96</v>
      </c>
      <c r="AL803" s="570" t="s">
        <v>96</v>
      </c>
      <c r="AM803" s="506" t="str">
        <f t="shared" si="118"/>
        <v>Выполнение ПИР, СМР, ПНР, оборудование</v>
      </c>
      <c r="AN803" s="506" t="s">
        <v>4784</v>
      </c>
      <c r="AO803" s="570">
        <v>796</v>
      </c>
      <c r="AP803" s="570" t="s">
        <v>368</v>
      </c>
      <c r="AQ803" s="570">
        <v>1</v>
      </c>
      <c r="AR803" s="570">
        <v>46</v>
      </c>
      <c r="AS803" s="506" t="s">
        <v>605</v>
      </c>
      <c r="AT803" s="515">
        <v>41724</v>
      </c>
      <c r="AU803" s="515">
        <v>41724</v>
      </c>
      <c r="AV803" s="515">
        <v>41820</v>
      </c>
      <c r="AW803" s="570">
        <v>2014</v>
      </c>
      <c r="AX803" s="506"/>
      <c r="AY803" s="570" t="s">
        <v>186</v>
      </c>
      <c r="AZ803" s="570"/>
      <c r="BA803" s="570">
        <v>2014</v>
      </c>
      <c r="BB803" s="570" t="s">
        <v>2271</v>
      </c>
      <c r="BC803" s="506" t="s">
        <v>2271</v>
      </c>
      <c r="BD803" s="570" t="s">
        <v>2272</v>
      </c>
      <c r="BE803" s="573" t="s">
        <v>2272</v>
      </c>
      <c r="BF803" s="574" t="s">
        <v>2272</v>
      </c>
      <c r="BG803" s="488" t="s">
        <v>2272</v>
      </c>
      <c r="BH803" s="513" t="s">
        <v>2272</v>
      </c>
      <c r="BI803" s="513" t="s">
        <v>2272</v>
      </c>
      <c r="BJ803" s="570" t="s">
        <v>1465</v>
      </c>
      <c r="BK803" s="504"/>
    </row>
    <row r="804" spans="1:63" ht="95.25" customHeight="1">
      <c r="A804" s="523">
        <v>2</v>
      </c>
      <c r="B804" s="534" t="s">
        <v>7081</v>
      </c>
      <c r="C804" s="523" t="s">
        <v>7112</v>
      </c>
      <c r="D804" s="523" t="s">
        <v>225</v>
      </c>
      <c r="E804" s="534" t="s">
        <v>5853</v>
      </c>
      <c r="F804" s="523" t="s">
        <v>1752</v>
      </c>
      <c r="G804" s="523" t="s">
        <v>6141</v>
      </c>
      <c r="H804" s="524" t="s">
        <v>6160</v>
      </c>
      <c r="I804" s="525" t="s">
        <v>7082</v>
      </c>
      <c r="J804" s="525" t="s">
        <v>2991</v>
      </c>
      <c r="K804" s="525" t="s">
        <v>2991</v>
      </c>
      <c r="L804" s="525" t="s">
        <v>2513</v>
      </c>
      <c r="M804" s="541" t="s">
        <v>1755</v>
      </c>
      <c r="N804" s="525" t="s">
        <v>1773</v>
      </c>
      <c r="O804" s="525" t="s">
        <v>2234</v>
      </c>
      <c r="P804" s="531">
        <v>683.74800000000005</v>
      </c>
      <c r="Q804" s="531">
        <v>806.82263999999998</v>
      </c>
      <c r="R804" s="531">
        <v>536.21079789240002</v>
      </c>
      <c r="S804" s="523" t="s">
        <v>1774</v>
      </c>
      <c r="T804" s="542">
        <v>1.087</v>
      </c>
      <c r="U804" s="543">
        <v>1.077</v>
      </c>
      <c r="V804" s="543">
        <v>1.073</v>
      </c>
      <c r="W804" s="543">
        <v>1.071</v>
      </c>
      <c r="X804" s="544">
        <v>0.9</v>
      </c>
      <c r="Y804" s="526">
        <v>641.55200000000002</v>
      </c>
      <c r="Z804" s="531">
        <v>757.03135999999995</v>
      </c>
      <c r="AA804" s="531">
        <v>677.0626657116029</v>
      </c>
      <c r="AB804" s="532">
        <v>798.93394553969142</v>
      </c>
      <c r="AC804" s="531">
        <v>641.55200000000002</v>
      </c>
      <c r="AD804" s="532">
        <v>757.03135999999995</v>
      </c>
      <c r="AE804" s="494" t="s">
        <v>1775</v>
      </c>
      <c r="AF804" s="534" t="s">
        <v>83</v>
      </c>
      <c r="AG804" s="534" t="s">
        <v>211</v>
      </c>
      <c r="AH804" s="534" t="s">
        <v>545</v>
      </c>
      <c r="AI804" s="533">
        <v>41669</v>
      </c>
      <c r="AJ804" s="533">
        <v>41704</v>
      </c>
      <c r="AK804" s="534" t="s">
        <v>96</v>
      </c>
      <c r="AL804" s="534" t="s">
        <v>96</v>
      </c>
      <c r="AM804" s="525" t="str">
        <f t="shared" si="118"/>
        <v>Выполнение ПИР, СМР, ПНР, оборудование</v>
      </c>
      <c r="AN804" s="525" t="s">
        <v>4784</v>
      </c>
      <c r="AO804" s="534">
        <v>796</v>
      </c>
      <c r="AP804" s="534" t="s">
        <v>368</v>
      </c>
      <c r="AQ804" s="534">
        <v>1</v>
      </c>
      <c r="AR804" s="534">
        <v>46</v>
      </c>
      <c r="AS804" s="525" t="s">
        <v>605</v>
      </c>
      <c r="AT804" s="533">
        <v>41724</v>
      </c>
      <c r="AU804" s="533">
        <v>41724</v>
      </c>
      <c r="AV804" s="533">
        <v>41820</v>
      </c>
      <c r="AW804" s="534">
        <v>2014</v>
      </c>
      <c r="AX804" s="525"/>
      <c r="AY804" s="534" t="s">
        <v>186</v>
      </c>
      <c r="AZ804" s="534"/>
      <c r="BA804" s="534">
        <v>2014</v>
      </c>
      <c r="BB804" s="534" t="s">
        <v>7083</v>
      </c>
      <c r="BC804" s="525" t="s">
        <v>7084</v>
      </c>
      <c r="BD804" s="534" t="s">
        <v>1818</v>
      </c>
      <c r="BE804" s="545">
        <v>41820</v>
      </c>
      <c r="BF804" s="546">
        <v>829.02080000000001</v>
      </c>
      <c r="BG804" s="488">
        <v>829.02080000000001</v>
      </c>
      <c r="BH804" s="532">
        <v>0</v>
      </c>
      <c r="BI804" s="532">
        <v>0.4</v>
      </c>
      <c r="BJ804" s="534" t="s">
        <v>1465</v>
      </c>
      <c r="BK804" s="523"/>
    </row>
    <row r="805" spans="1:63" ht="95.25" customHeight="1">
      <c r="A805" s="523">
        <v>2</v>
      </c>
      <c r="B805" s="534" t="s">
        <v>7085</v>
      </c>
      <c r="C805" s="523" t="s">
        <v>7112</v>
      </c>
      <c r="D805" s="523" t="s">
        <v>225</v>
      </c>
      <c r="E805" s="534" t="s">
        <v>5853</v>
      </c>
      <c r="F805" s="523" t="s">
        <v>1752</v>
      </c>
      <c r="G805" s="523" t="s">
        <v>6141</v>
      </c>
      <c r="H805" s="524" t="s">
        <v>6160</v>
      </c>
      <c r="I805" s="525" t="s">
        <v>7086</v>
      </c>
      <c r="J805" s="525" t="s">
        <v>2991</v>
      </c>
      <c r="K805" s="525" t="s">
        <v>2991</v>
      </c>
      <c r="L805" s="525" t="s">
        <v>2513</v>
      </c>
      <c r="M805" s="541" t="s">
        <v>1755</v>
      </c>
      <c r="N805" s="525" t="s">
        <v>1773</v>
      </c>
      <c r="O805" s="525" t="s">
        <v>2234</v>
      </c>
      <c r="P805" s="531">
        <v>1034.95</v>
      </c>
      <c r="Q805" s="531">
        <v>1221.241</v>
      </c>
      <c r="R805" s="531">
        <v>810.10749681078403</v>
      </c>
      <c r="S805" s="523" t="s">
        <v>1774</v>
      </c>
      <c r="T805" s="542">
        <v>1.087</v>
      </c>
      <c r="U805" s="543">
        <v>1.077</v>
      </c>
      <c r="V805" s="543">
        <v>1.073</v>
      </c>
      <c r="W805" s="543">
        <v>1.071</v>
      </c>
      <c r="X805" s="544">
        <v>0.9</v>
      </c>
      <c r="Y805" s="526">
        <v>969.34500000000003</v>
      </c>
      <c r="Z805" s="531">
        <v>1143.8271</v>
      </c>
      <c r="AA805" s="531">
        <v>1028.1084112715823</v>
      </c>
      <c r="AB805" s="532">
        <v>1213.167925300467</v>
      </c>
      <c r="AC805" s="531">
        <v>969.34500000000003</v>
      </c>
      <c r="AD805" s="532">
        <v>1143.8271</v>
      </c>
      <c r="AE805" s="494" t="s">
        <v>1775</v>
      </c>
      <c r="AF805" s="534" t="s">
        <v>83</v>
      </c>
      <c r="AG805" s="534" t="s">
        <v>211</v>
      </c>
      <c r="AH805" s="534" t="s">
        <v>545</v>
      </c>
      <c r="AI805" s="533">
        <v>41669</v>
      </c>
      <c r="AJ805" s="533">
        <v>41704</v>
      </c>
      <c r="AK805" s="534" t="s">
        <v>96</v>
      </c>
      <c r="AL805" s="534" t="s">
        <v>96</v>
      </c>
      <c r="AM805" s="525" t="str">
        <f t="shared" si="118"/>
        <v>Выполнение ПИР, СМР, ПНР, оборудование</v>
      </c>
      <c r="AN805" s="525" t="s">
        <v>4784</v>
      </c>
      <c r="AO805" s="534">
        <v>796</v>
      </c>
      <c r="AP805" s="534" t="s">
        <v>368</v>
      </c>
      <c r="AQ805" s="534">
        <v>1</v>
      </c>
      <c r="AR805" s="534">
        <v>46</v>
      </c>
      <c r="AS805" s="525" t="s">
        <v>605</v>
      </c>
      <c r="AT805" s="533">
        <v>41724</v>
      </c>
      <c r="AU805" s="533">
        <v>41724</v>
      </c>
      <c r="AV805" s="533">
        <v>41820</v>
      </c>
      <c r="AW805" s="534">
        <v>2014</v>
      </c>
      <c r="AX805" s="525"/>
      <c r="AY805" s="534" t="s">
        <v>186</v>
      </c>
      <c r="AZ805" s="534"/>
      <c r="BA805" s="534">
        <v>2014</v>
      </c>
      <c r="BB805" s="534" t="s">
        <v>7087</v>
      </c>
      <c r="BC805" s="525" t="s">
        <v>7088</v>
      </c>
      <c r="BD805" s="534" t="s">
        <v>1818</v>
      </c>
      <c r="BE805" s="545">
        <v>41820</v>
      </c>
      <c r="BF805" s="546">
        <v>1254.6585999999998</v>
      </c>
      <c r="BG805" s="488">
        <v>1254.6585999999998</v>
      </c>
      <c r="BH805" s="532">
        <v>0</v>
      </c>
      <c r="BI805" s="532">
        <v>0.60000000000000009</v>
      </c>
      <c r="BJ805" s="534" t="s">
        <v>1465</v>
      </c>
      <c r="BK805" s="523"/>
    </row>
    <row r="806" spans="1:63" ht="96.75" customHeight="1">
      <c r="A806" s="504">
        <v>2</v>
      </c>
      <c r="B806" s="570" t="s">
        <v>7089</v>
      </c>
      <c r="C806" s="504" t="s">
        <v>83</v>
      </c>
      <c r="D806" s="504" t="s">
        <v>225</v>
      </c>
      <c r="E806" s="570" t="s">
        <v>5853</v>
      </c>
      <c r="F806" s="504" t="s">
        <v>1752</v>
      </c>
      <c r="G806" s="504" t="s">
        <v>6141</v>
      </c>
      <c r="H806" s="517">
        <v>814017</v>
      </c>
      <c r="I806" s="506" t="s">
        <v>7090</v>
      </c>
      <c r="J806" s="506" t="s">
        <v>2991</v>
      </c>
      <c r="K806" s="506" t="s">
        <v>2991</v>
      </c>
      <c r="L806" s="506" t="s">
        <v>2513</v>
      </c>
      <c r="M806" s="571" t="s">
        <v>1755</v>
      </c>
      <c r="N806" s="506" t="s">
        <v>1773</v>
      </c>
      <c r="O806" s="506" t="s">
        <v>2234</v>
      </c>
      <c r="P806" s="512">
        <v>31602.967829570676</v>
      </c>
      <c r="Q806" s="512">
        <v>37291.502038893399</v>
      </c>
      <c r="R806" s="512">
        <v>25014.986230700899</v>
      </c>
      <c r="S806" s="504" t="s">
        <v>1774</v>
      </c>
      <c r="T806" s="572">
        <v>1.087</v>
      </c>
      <c r="U806" s="572">
        <v>1.077</v>
      </c>
      <c r="V806" s="572">
        <v>1.073</v>
      </c>
      <c r="W806" s="572">
        <v>1.071</v>
      </c>
      <c r="X806" s="511">
        <v>0.9</v>
      </c>
      <c r="Y806" s="512">
        <v>29341.650085273308</v>
      </c>
      <c r="Z806" s="512">
        <v>34623.147100622504</v>
      </c>
      <c r="AA806" s="512">
        <f>SUM(AA807:AA808)</f>
        <v>31318.704324748516</v>
      </c>
      <c r="AB806" s="512">
        <f>SUM(AB807:AB808)</f>
        <v>36956.071103203241</v>
      </c>
      <c r="AC806" s="512">
        <f>SUM(AC807:AC808)</f>
        <v>29341.650085273308</v>
      </c>
      <c r="AD806" s="512">
        <f>SUM(AD807:AD808)</f>
        <v>34623.147100622504</v>
      </c>
      <c r="AE806" s="494" t="s">
        <v>1775</v>
      </c>
      <c r="AF806" s="570" t="s">
        <v>83</v>
      </c>
      <c r="AG806" s="570" t="s">
        <v>211</v>
      </c>
      <c r="AH806" s="570" t="s">
        <v>545</v>
      </c>
      <c r="AI806" s="515">
        <v>41669</v>
      </c>
      <c r="AJ806" s="515">
        <v>41704</v>
      </c>
      <c r="AK806" s="570" t="s">
        <v>96</v>
      </c>
      <c r="AL806" s="570" t="s">
        <v>96</v>
      </c>
      <c r="AM806" s="506" t="str">
        <f t="shared" si="118"/>
        <v>Выполнение ПИР, СМР, ПНР, оборудование</v>
      </c>
      <c r="AN806" s="506" t="s">
        <v>4784</v>
      </c>
      <c r="AO806" s="570">
        <v>796</v>
      </c>
      <c r="AP806" s="570" t="s">
        <v>368</v>
      </c>
      <c r="AQ806" s="570">
        <v>1</v>
      </c>
      <c r="AR806" s="570">
        <v>46</v>
      </c>
      <c r="AS806" s="506" t="s">
        <v>605</v>
      </c>
      <c r="AT806" s="515">
        <v>41724</v>
      </c>
      <c r="AU806" s="515">
        <v>41724</v>
      </c>
      <c r="AV806" s="515">
        <v>42004</v>
      </c>
      <c r="AW806" s="570">
        <v>2014</v>
      </c>
      <c r="AX806" s="506"/>
      <c r="AY806" s="570" t="s">
        <v>186</v>
      </c>
      <c r="AZ806" s="570"/>
      <c r="BA806" s="570">
        <v>2014</v>
      </c>
      <c r="BB806" s="570" t="s">
        <v>2271</v>
      </c>
      <c r="BC806" s="506" t="s">
        <v>2271</v>
      </c>
      <c r="BD806" s="570" t="s">
        <v>2272</v>
      </c>
      <c r="BE806" s="573" t="s">
        <v>2272</v>
      </c>
      <c r="BF806" s="574" t="s">
        <v>2272</v>
      </c>
      <c r="BG806" s="488" t="s">
        <v>2272</v>
      </c>
      <c r="BH806" s="574" t="s">
        <v>2272</v>
      </c>
      <c r="BI806" s="574" t="s">
        <v>2272</v>
      </c>
      <c r="BJ806" s="570" t="s">
        <v>1465</v>
      </c>
      <c r="BK806" s="504"/>
    </row>
    <row r="807" spans="1:63" ht="95.25" customHeight="1">
      <c r="A807" s="523">
        <v>2</v>
      </c>
      <c r="B807" s="534" t="s">
        <v>7091</v>
      </c>
      <c r="C807" s="523" t="s">
        <v>7112</v>
      </c>
      <c r="D807" s="523" t="s">
        <v>225</v>
      </c>
      <c r="E807" s="534" t="s">
        <v>5853</v>
      </c>
      <c r="F807" s="523" t="s">
        <v>1752</v>
      </c>
      <c r="G807" s="523" t="s">
        <v>6141</v>
      </c>
      <c r="H807" s="524" t="s">
        <v>6160</v>
      </c>
      <c r="I807" s="525" t="s">
        <v>7092</v>
      </c>
      <c r="J807" s="525" t="s">
        <v>2991</v>
      </c>
      <c r="K807" s="525" t="s">
        <v>2991</v>
      </c>
      <c r="L807" s="525" t="s">
        <v>2513</v>
      </c>
      <c r="M807" s="541" t="s">
        <v>1755</v>
      </c>
      <c r="N807" s="525" t="s">
        <v>1773</v>
      </c>
      <c r="O807" s="525" t="s">
        <v>2234</v>
      </c>
      <c r="P807" s="531">
        <v>10145.082962331717</v>
      </c>
      <c r="Q807" s="531">
        <v>11971.197895551426</v>
      </c>
      <c r="R807" s="531">
        <v>8040.4369114010433</v>
      </c>
      <c r="S807" s="523" t="s">
        <v>1774</v>
      </c>
      <c r="T807" s="542">
        <v>1.087</v>
      </c>
      <c r="U807" s="543">
        <v>1.077</v>
      </c>
      <c r="V807" s="543">
        <v>1.073</v>
      </c>
      <c r="W807" s="543">
        <v>1.071</v>
      </c>
      <c r="X807" s="544">
        <v>0.9</v>
      </c>
      <c r="Y807" s="526">
        <v>9356.0097538370228</v>
      </c>
      <c r="Z807" s="531">
        <v>11040.091509527687</v>
      </c>
      <c r="AA807" s="531">
        <v>10093.43746932624</v>
      </c>
      <c r="AB807" s="532">
        <v>11910.256213804962</v>
      </c>
      <c r="AC807" s="531">
        <v>9356.0097538370228</v>
      </c>
      <c r="AD807" s="532">
        <v>11040.091509527687</v>
      </c>
      <c r="AE807" s="494" t="s">
        <v>1775</v>
      </c>
      <c r="AF807" s="534" t="s">
        <v>83</v>
      </c>
      <c r="AG807" s="534" t="s">
        <v>211</v>
      </c>
      <c r="AH807" s="534" t="s">
        <v>545</v>
      </c>
      <c r="AI807" s="533">
        <v>41669</v>
      </c>
      <c r="AJ807" s="533">
        <v>41704</v>
      </c>
      <c r="AK807" s="534" t="s">
        <v>96</v>
      </c>
      <c r="AL807" s="534" t="s">
        <v>96</v>
      </c>
      <c r="AM807" s="525" t="str">
        <f t="shared" si="118"/>
        <v>Выполнение ПИР, СМР, ПНР, оборудование</v>
      </c>
      <c r="AN807" s="525" t="s">
        <v>4784</v>
      </c>
      <c r="AO807" s="534">
        <v>796</v>
      </c>
      <c r="AP807" s="534" t="s">
        <v>368</v>
      </c>
      <c r="AQ807" s="534">
        <v>1</v>
      </c>
      <c r="AR807" s="534">
        <v>46</v>
      </c>
      <c r="AS807" s="525" t="s">
        <v>605</v>
      </c>
      <c r="AT807" s="533">
        <v>41724</v>
      </c>
      <c r="AU807" s="533">
        <v>41724</v>
      </c>
      <c r="AV807" s="533">
        <v>42004</v>
      </c>
      <c r="AW807" s="534">
        <v>2014</v>
      </c>
      <c r="AX807" s="525"/>
      <c r="AY807" s="534" t="s">
        <v>186</v>
      </c>
      <c r="AZ807" s="534"/>
      <c r="BA807" s="534">
        <v>2014</v>
      </c>
      <c r="BB807" s="534" t="s">
        <v>7093</v>
      </c>
      <c r="BC807" s="525" t="s">
        <v>7094</v>
      </c>
      <c r="BD807" s="534" t="s">
        <v>1818</v>
      </c>
      <c r="BE807" s="545">
        <v>41912</v>
      </c>
      <c r="BF807" s="546">
        <v>12313.290559999999</v>
      </c>
      <c r="BG807" s="488">
        <v>12313.290559999999</v>
      </c>
      <c r="BH807" s="532">
        <f>2*0.4</f>
        <v>0.8</v>
      </c>
      <c r="BI807" s="532">
        <f>1.2+0.8</f>
        <v>2</v>
      </c>
      <c r="BJ807" s="534" t="s">
        <v>1465</v>
      </c>
      <c r="BK807" s="523"/>
    </row>
    <row r="808" spans="1:63" ht="95.25" customHeight="1">
      <c r="A808" s="523">
        <v>2</v>
      </c>
      <c r="B808" s="534" t="s">
        <v>7095</v>
      </c>
      <c r="C808" s="523" t="s">
        <v>7112</v>
      </c>
      <c r="D808" s="523" t="s">
        <v>225</v>
      </c>
      <c r="E808" s="534" t="s">
        <v>5853</v>
      </c>
      <c r="F808" s="523" t="s">
        <v>1752</v>
      </c>
      <c r="G808" s="523" t="s">
        <v>6141</v>
      </c>
      <c r="H808" s="524" t="s">
        <v>6160</v>
      </c>
      <c r="I808" s="525" t="s">
        <v>7096</v>
      </c>
      <c r="J808" s="525" t="s">
        <v>2991</v>
      </c>
      <c r="K808" s="525" t="s">
        <v>2991</v>
      </c>
      <c r="L808" s="525" t="s">
        <v>2513</v>
      </c>
      <c r="M808" s="541" t="s">
        <v>1755</v>
      </c>
      <c r="N808" s="525" t="s">
        <v>1773</v>
      </c>
      <c r="O808" s="525" t="s">
        <v>2234</v>
      </c>
      <c r="P808" s="531">
        <v>21457.884867238961</v>
      </c>
      <c r="Q808" s="531">
        <v>25320.304143341971</v>
      </c>
      <c r="R808" s="531">
        <v>16974.549319299869</v>
      </c>
      <c r="S808" s="523" t="s">
        <v>1774</v>
      </c>
      <c r="T808" s="542">
        <v>1.087</v>
      </c>
      <c r="U808" s="543">
        <v>1.077</v>
      </c>
      <c r="V808" s="543">
        <v>1.073</v>
      </c>
      <c r="W808" s="543">
        <v>1.071</v>
      </c>
      <c r="X808" s="544">
        <v>0.9</v>
      </c>
      <c r="Y808" s="526">
        <v>19985.640331436283</v>
      </c>
      <c r="Z808" s="531">
        <v>23583.055591094813</v>
      </c>
      <c r="AA808" s="531">
        <v>21225.266855422276</v>
      </c>
      <c r="AB808" s="532">
        <v>25045.814889398283</v>
      </c>
      <c r="AC808" s="531">
        <v>19985.640331436283</v>
      </c>
      <c r="AD808" s="532">
        <v>23583.055591094813</v>
      </c>
      <c r="AE808" s="494" t="s">
        <v>1775</v>
      </c>
      <c r="AF808" s="534" t="s">
        <v>83</v>
      </c>
      <c r="AG808" s="534" t="s">
        <v>211</v>
      </c>
      <c r="AH808" s="534" t="s">
        <v>545</v>
      </c>
      <c r="AI808" s="533">
        <v>41669</v>
      </c>
      <c r="AJ808" s="533">
        <v>41704</v>
      </c>
      <c r="AK808" s="534" t="s">
        <v>96</v>
      </c>
      <c r="AL808" s="534" t="s">
        <v>96</v>
      </c>
      <c r="AM808" s="525" t="str">
        <f t="shared" ref="AM808:AM809" si="126">"Выполнение "&amp;J808</f>
        <v>Выполнение ПИР, СМР, ПНР, оборудование</v>
      </c>
      <c r="AN808" s="525" t="s">
        <v>4784</v>
      </c>
      <c r="AO808" s="534">
        <v>796</v>
      </c>
      <c r="AP808" s="534" t="s">
        <v>368</v>
      </c>
      <c r="AQ808" s="534">
        <v>1</v>
      </c>
      <c r="AR808" s="534">
        <v>46</v>
      </c>
      <c r="AS808" s="525" t="s">
        <v>605</v>
      </c>
      <c r="AT808" s="533">
        <v>41724</v>
      </c>
      <c r="AU808" s="533">
        <v>41724</v>
      </c>
      <c r="AV808" s="533">
        <v>42004</v>
      </c>
      <c r="AW808" s="534">
        <v>2014</v>
      </c>
      <c r="AX808" s="525"/>
      <c r="AY808" s="534" t="s">
        <v>186</v>
      </c>
      <c r="AZ808" s="534"/>
      <c r="BA808" s="534">
        <v>2014</v>
      </c>
      <c r="BB808" s="534" t="s">
        <v>7097</v>
      </c>
      <c r="BC808" s="525" t="s">
        <v>7098</v>
      </c>
      <c r="BD808" s="534" t="s">
        <v>1818</v>
      </c>
      <c r="BE808" s="545">
        <v>41912</v>
      </c>
      <c r="BF808" s="546">
        <v>26093.670399999999</v>
      </c>
      <c r="BG808" s="488">
        <v>26093.670399999999</v>
      </c>
      <c r="BH808" s="532">
        <f>2*0.63</f>
        <v>1.26</v>
      </c>
      <c r="BI808" s="532">
        <f>3.4+0.8</f>
        <v>4.2</v>
      </c>
      <c r="BJ808" s="534" t="s">
        <v>1465</v>
      </c>
      <c r="BK808" s="523"/>
    </row>
    <row r="809" spans="1:63" ht="105.75" customHeight="1">
      <c r="A809" s="401">
        <v>2</v>
      </c>
      <c r="B809" s="494" t="s">
        <v>7099</v>
      </c>
      <c r="C809" s="401" t="s">
        <v>83</v>
      </c>
      <c r="D809" s="401" t="s">
        <v>225</v>
      </c>
      <c r="E809" s="494" t="s">
        <v>5853</v>
      </c>
      <c r="F809" s="401" t="s">
        <v>1761</v>
      </c>
      <c r="G809" s="401" t="s">
        <v>1762</v>
      </c>
      <c r="H809" s="499">
        <v>812060</v>
      </c>
      <c r="I809" s="486" t="s">
        <v>7100</v>
      </c>
      <c r="J809" s="496" t="s">
        <v>2233</v>
      </c>
      <c r="K809" s="496" t="s">
        <v>7101</v>
      </c>
      <c r="L809" s="500" t="s">
        <v>1772</v>
      </c>
      <c r="M809" s="500" t="s">
        <v>1755</v>
      </c>
      <c r="N809" s="496" t="s">
        <v>1773</v>
      </c>
      <c r="O809" s="496" t="s">
        <v>2234</v>
      </c>
      <c r="P809" s="489">
        <v>5114.0959999999995</v>
      </c>
      <c r="Q809" s="489">
        <v>6034.6332799999991</v>
      </c>
      <c r="R809" s="584">
        <v>4279.54</v>
      </c>
      <c r="S809" s="401" t="s">
        <v>5970</v>
      </c>
      <c r="T809" s="490">
        <v>1.087</v>
      </c>
      <c r="U809" s="490">
        <v>1.0680000000000001</v>
      </c>
      <c r="V809" s="490">
        <v>1.0589999999999999</v>
      </c>
      <c r="W809" s="490">
        <v>1.0580000000000001</v>
      </c>
      <c r="X809" s="491">
        <v>0.9</v>
      </c>
      <c r="Y809" s="502">
        <v>4733.59</v>
      </c>
      <c r="Z809" s="489">
        <v>5585.6361999999999</v>
      </c>
      <c r="AA809" s="489">
        <v>5087.5200000000004</v>
      </c>
      <c r="AB809" s="488">
        <v>6003.2736000000004</v>
      </c>
      <c r="AC809" s="492">
        <v>4733.59</v>
      </c>
      <c r="AD809" s="493">
        <v>5585.6361999999999</v>
      </c>
      <c r="AE809" s="494" t="s">
        <v>1775</v>
      </c>
      <c r="AF809" s="494" t="s">
        <v>83</v>
      </c>
      <c r="AG809" s="494" t="s">
        <v>211</v>
      </c>
      <c r="AH809" s="494" t="s">
        <v>545</v>
      </c>
      <c r="AI809" s="495">
        <v>41669</v>
      </c>
      <c r="AJ809" s="495">
        <v>41704</v>
      </c>
      <c r="AK809" s="494" t="s">
        <v>96</v>
      </c>
      <c r="AL809" s="494" t="s">
        <v>96</v>
      </c>
      <c r="AM809" s="496" t="str">
        <f t="shared" si="126"/>
        <v>Выполнение ПИР, авторский надзор</v>
      </c>
      <c r="AN809" s="496" t="s">
        <v>4784</v>
      </c>
      <c r="AO809" s="494">
        <v>796</v>
      </c>
      <c r="AP809" s="494" t="s">
        <v>368</v>
      </c>
      <c r="AQ809" s="494">
        <v>1</v>
      </c>
      <c r="AR809" s="494">
        <v>46</v>
      </c>
      <c r="AS809" s="496" t="s">
        <v>605</v>
      </c>
      <c r="AT809" s="495">
        <v>41724</v>
      </c>
      <c r="AU809" s="495">
        <v>41724</v>
      </c>
      <c r="AV809" s="495">
        <v>42004</v>
      </c>
      <c r="AW809" s="494">
        <v>2014</v>
      </c>
      <c r="AX809" s="496"/>
      <c r="AY809" s="494" t="s">
        <v>186</v>
      </c>
      <c r="AZ809" s="494"/>
      <c r="BA809" s="494">
        <v>2014</v>
      </c>
      <c r="BB809" s="494" t="s">
        <v>5714</v>
      </c>
      <c r="BC809" s="496" t="s">
        <v>5715</v>
      </c>
      <c r="BD809" s="494" t="s">
        <v>1818</v>
      </c>
      <c r="BE809" s="575">
        <v>43070</v>
      </c>
      <c r="BF809" s="498">
        <v>607700.55999999994</v>
      </c>
      <c r="BG809" s="488">
        <v>607700.55999999994</v>
      </c>
      <c r="BH809" s="488">
        <v>40</v>
      </c>
      <c r="BI809" s="488"/>
      <c r="BJ809" s="494" t="s">
        <v>186</v>
      </c>
      <c r="BK809" s="401"/>
    </row>
    <row r="810" spans="1:63" ht="105.75" customHeight="1">
      <c r="A810" s="401">
        <v>2</v>
      </c>
      <c r="B810" s="494" t="s">
        <v>7102</v>
      </c>
      <c r="C810" s="401" t="s">
        <v>83</v>
      </c>
      <c r="D810" s="401" t="s">
        <v>242</v>
      </c>
      <c r="E810" s="494" t="s">
        <v>5853</v>
      </c>
      <c r="F810" s="401" t="s">
        <v>1752</v>
      </c>
      <c r="G810" s="401" t="s">
        <v>6141</v>
      </c>
      <c r="H810" s="499">
        <v>854550</v>
      </c>
      <c r="I810" s="486" t="s">
        <v>7103</v>
      </c>
      <c r="J810" s="496" t="s">
        <v>6319</v>
      </c>
      <c r="K810" s="496" t="s">
        <v>6319</v>
      </c>
      <c r="L810" s="500" t="s">
        <v>1772</v>
      </c>
      <c r="M810" s="500" t="s">
        <v>1755</v>
      </c>
      <c r="N810" s="496" t="s">
        <v>1773</v>
      </c>
      <c r="O810" s="496" t="s">
        <v>2234</v>
      </c>
      <c r="P810" s="489">
        <v>1319.5594800000001</v>
      </c>
      <c r="Q810" s="489">
        <v>1557.0801864</v>
      </c>
      <c r="R810" s="584">
        <v>1147.4422686044534</v>
      </c>
      <c r="S810" s="401" t="s">
        <v>1774</v>
      </c>
      <c r="T810" s="490">
        <v>1.087</v>
      </c>
      <c r="U810" s="490">
        <v>1.077</v>
      </c>
      <c r="V810" s="490">
        <v>1.073</v>
      </c>
      <c r="W810" s="490">
        <v>1.071</v>
      </c>
      <c r="X810" s="491">
        <v>0.9</v>
      </c>
      <c r="Y810" s="502">
        <v>1297.2339999999999</v>
      </c>
      <c r="Z810" s="489">
        <v>1530.7361199999998</v>
      </c>
      <c r="AA810" s="489">
        <v>1620.125</v>
      </c>
      <c r="AB810" s="488">
        <v>1911.7474999999999</v>
      </c>
      <c r="AC810" s="492">
        <v>1297.2339999999999</v>
      </c>
      <c r="AD810" s="493">
        <v>1530.7361199999998</v>
      </c>
      <c r="AE810" s="494" t="s">
        <v>1775</v>
      </c>
      <c r="AF810" s="494" t="s">
        <v>83</v>
      </c>
      <c r="AG810" s="494" t="s">
        <v>211</v>
      </c>
      <c r="AH810" s="494" t="s">
        <v>545</v>
      </c>
      <c r="AI810" s="495">
        <v>41656</v>
      </c>
      <c r="AJ810" s="495">
        <v>41691</v>
      </c>
      <c r="AK810" s="494" t="s">
        <v>96</v>
      </c>
      <c r="AL810" s="494" t="s">
        <v>96</v>
      </c>
      <c r="AM810" s="496" t="s">
        <v>6320</v>
      </c>
      <c r="AN810" s="496" t="s">
        <v>6370</v>
      </c>
      <c r="AO810" s="494">
        <v>796</v>
      </c>
      <c r="AP810" s="494" t="s">
        <v>368</v>
      </c>
      <c r="AQ810" s="494">
        <v>1</v>
      </c>
      <c r="AR810" s="494">
        <v>45</v>
      </c>
      <c r="AS810" s="496" t="s">
        <v>547</v>
      </c>
      <c r="AT810" s="495">
        <v>41711</v>
      </c>
      <c r="AU810" s="495">
        <v>41711</v>
      </c>
      <c r="AV810" s="583">
        <v>41912</v>
      </c>
      <c r="AW810" s="494">
        <v>2014</v>
      </c>
      <c r="AX810" s="496"/>
      <c r="AY810" s="494" t="s">
        <v>186</v>
      </c>
      <c r="AZ810" s="494"/>
      <c r="BA810" s="494">
        <v>2014</v>
      </c>
      <c r="BB810" s="494" t="s">
        <v>7104</v>
      </c>
      <c r="BC810" s="496" t="s">
        <v>7105</v>
      </c>
      <c r="BD810" s="494" t="s">
        <v>1818</v>
      </c>
      <c r="BE810" s="575">
        <v>41912</v>
      </c>
      <c r="BF810" s="498">
        <v>1605</v>
      </c>
      <c r="BG810" s="488">
        <v>1605</v>
      </c>
      <c r="BH810" s="488">
        <v>0</v>
      </c>
      <c r="BI810" s="488">
        <v>0</v>
      </c>
      <c r="BJ810" s="494" t="s">
        <v>1465</v>
      </c>
      <c r="BK810" s="401"/>
    </row>
    <row r="811" spans="1:63" ht="105.75" customHeight="1">
      <c r="A811" s="401">
        <v>2</v>
      </c>
      <c r="B811" s="494" t="s">
        <v>7106</v>
      </c>
      <c r="C811" s="401" t="s">
        <v>83</v>
      </c>
      <c r="D811" s="401" t="s">
        <v>242</v>
      </c>
      <c r="E811" s="494" t="s">
        <v>5853</v>
      </c>
      <c r="F811" s="401" t="s">
        <v>1761</v>
      </c>
      <c r="G811" s="401" t="s">
        <v>1762</v>
      </c>
      <c r="H811" s="499">
        <v>853467</v>
      </c>
      <c r="I811" s="486" t="s">
        <v>7107</v>
      </c>
      <c r="J811" s="496" t="s">
        <v>2978</v>
      </c>
      <c r="K811" s="496" t="s">
        <v>2978</v>
      </c>
      <c r="L811" s="500" t="s">
        <v>1772</v>
      </c>
      <c r="M811" s="500" t="s">
        <v>1755</v>
      </c>
      <c r="N811" s="496" t="s">
        <v>1773</v>
      </c>
      <c r="O811" s="496" t="s">
        <v>2234</v>
      </c>
      <c r="P811" s="489">
        <v>2600.9140000000002</v>
      </c>
      <c r="Q811" s="489">
        <v>3069.07852</v>
      </c>
      <c r="R811" s="584">
        <v>2205.3559582022904</v>
      </c>
      <c r="S811" s="401" t="s">
        <v>1774</v>
      </c>
      <c r="T811" s="490">
        <v>1.087</v>
      </c>
      <c r="U811" s="490">
        <v>1.077</v>
      </c>
      <c r="V811" s="490">
        <v>1.073</v>
      </c>
      <c r="W811" s="490">
        <v>1.071</v>
      </c>
      <c r="X811" s="491">
        <v>0.9</v>
      </c>
      <c r="Y811" s="502">
        <v>2493.252</v>
      </c>
      <c r="Z811" s="489">
        <v>2942.0373599999998</v>
      </c>
      <c r="AA811" s="489">
        <v>2887.7719999999999</v>
      </c>
      <c r="AB811" s="488">
        <v>3407.5709599999996</v>
      </c>
      <c r="AC811" s="492">
        <v>2493.252</v>
      </c>
      <c r="AD811" s="493">
        <v>2942.0373599999998</v>
      </c>
      <c r="AE811" s="494" t="s">
        <v>1775</v>
      </c>
      <c r="AF811" s="494" t="s">
        <v>83</v>
      </c>
      <c r="AG811" s="494" t="s">
        <v>211</v>
      </c>
      <c r="AH811" s="494" t="s">
        <v>545</v>
      </c>
      <c r="AI811" s="495">
        <v>41654</v>
      </c>
      <c r="AJ811" s="495">
        <v>41689</v>
      </c>
      <c r="AK811" s="494" t="s">
        <v>96</v>
      </c>
      <c r="AL811" s="494" t="s">
        <v>96</v>
      </c>
      <c r="AM811" s="496" t="s">
        <v>5709</v>
      </c>
      <c r="AN811" s="496" t="s">
        <v>1757</v>
      </c>
      <c r="AO811" s="494">
        <v>796</v>
      </c>
      <c r="AP811" s="494" t="s">
        <v>368</v>
      </c>
      <c r="AQ811" s="494">
        <v>1</v>
      </c>
      <c r="AR811" s="494">
        <v>45</v>
      </c>
      <c r="AS811" s="496" t="s">
        <v>547</v>
      </c>
      <c r="AT811" s="495">
        <v>41709</v>
      </c>
      <c r="AU811" s="495">
        <v>41709</v>
      </c>
      <c r="AV811" s="495">
        <v>41810</v>
      </c>
      <c r="AW811" s="494" t="s">
        <v>99</v>
      </c>
      <c r="AX811" s="496"/>
      <c r="AY811" s="494" t="s">
        <v>186</v>
      </c>
      <c r="AZ811" s="494"/>
      <c r="BA811" s="494">
        <v>2014</v>
      </c>
      <c r="BB811" s="494" t="s">
        <v>1851</v>
      </c>
      <c r="BC811" s="496" t="s">
        <v>7108</v>
      </c>
      <c r="BD811" s="494" t="s">
        <v>1818</v>
      </c>
      <c r="BE811" s="575">
        <v>41718</v>
      </c>
      <c r="BF811" s="498">
        <v>12814.4799368</v>
      </c>
      <c r="BG811" s="488">
        <v>12045.611140592</v>
      </c>
      <c r="BH811" s="488">
        <v>1.26</v>
      </c>
      <c r="BI811" s="488">
        <v>2.31</v>
      </c>
      <c r="BJ811" s="494" t="s">
        <v>186</v>
      </c>
      <c r="BK811" s="401"/>
    </row>
    <row r="812" spans="1:63" ht="96.75" customHeight="1">
      <c r="A812" s="504">
        <v>2</v>
      </c>
      <c r="B812" s="570" t="s">
        <v>7109</v>
      </c>
      <c r="C812" s="504" t="s">
        <v>83</v>
      </c>
      <c r="D812" s="504" t="s">
        <v>242</v>
      </c>
      <c r="E812" s="570" t="s">
        <v>5853</v>
      </c>
      <c r="F812" s="504" t="s">
        <v>1752</v>
      </c>
      <c r="G812" s="504" t="s">
        <v>2344</v>
      </c>
      <c r="H812" s="517">
        <v>853171</v>
      </c>
      <c r="I812" s="506" t="s">
        <v>7110</v>
      </c>
      <c r="J812" s="506" t="s">
        <v>5317</v>
      </c>
      <c r="K812" s="506" t="s">
        <v>5317</v>
      </c>
      <c r="L812" s="506" t="s">
        <v>1772</v>
      </c>
      <c r="M812" s="571" t="s">
        <v>1755</v>
      </c>
      <c r="N812" s="506" t="s">
        <v>1773</v>
      </c>
      <c r="O812" s="506" t="s">
        <v>1786</v>
      </c>
      <c r="P812" s="512">
        <v>6603.9520500000008</v>
      </c>
      <c r="Q812" s="512">
        <v>7792.6634190000004</v>
      </c>
      <c r="R812" s="512">
        <v>5765.7728137000613</v>
      </c>
      <c r="S812" s="504" t="s">
        <v>1774</v>
      </c>
      <c r="T812" s="572">
        <v>1.087</v>
      </c>
      <c r="U812" s="572">
        <v>1.077</v>
      </c>
      <c r="V812" s="572">
        <v>1.073</v>
      </c>
      <c r="W812" s="572">
        <v>1.071</v>
      </c>
      <c r="X812" s="511">
        <v>0.9</v>
      </c>
      <c r="Y812" s="512">
        <v>6518.46</v>
      </c>
      <c r="Z812" s="512">
        <v>7691.7828</v>
      </c>
      <c r="AA812" s="512">
        <v>4491.7030805039503</v>
      </c>
      <c r="AB812" s="512">
        <v>5300.2096349946614</v>
      </c>
      <c r="AC812" s="512">
        <v>4491.7030805039503</v>
      </c>
      <c r="AD812" s="512">
        <v>5300.2096349946614</v>
      </c>
      <c r="AE812" s="494" t="s">
        <v>1775</v>
      </c>
      <c r="AF812" s="570" t="s">
        <v>83</v>
      </c>
      <c r="AG812" s="570" t="s">
        <v>211</v>
      </c>
      <c r="AH812" s="570" t="s">
        <v>545</v>
      </c>
      <c r="AI812" s="515">
        <v>41664</v>
      </c>
      <c r="AJ812" s="515">
        <v>41699</v>
      </c>
      <c r="AK812" s="570" t="s">
        <v>96</v>
      </c>
      <c r="AL812" s="570" t="s">
        <v>96</v>
      </c>
      <c r="AM812" s="506" t="s">
        <v>1846</v>
      </c>
      <c r="AN812" s="506" t="s">
        <v>1757</v>
      </c>
      <c r="AO812" s="570">
        <v>796</v>
      </c>
      <c r="AP812" s="570" t="s">
        <v>368</v>
      </c>
      <c r="AQ812" s="570">
        <v>1</v>
      </c>
      <c r="AR812" s="570">
        <v>45</v>
      </c>
      <c r="AS812" s="506" t="s">
        <v>547</v>
      </c>
      <c r="AT812" s="515">
        <v>41719</v>
      </c>
      <c r="AU812" s="515">
        <v>41719</v>
      </c>
      <c r="AV812" s="515">
        <v>42004</v>
      </c>
      <c r="AW812" s="570">
        <v>2014</v>
      </c>
      <c r="AX812" s="506"/>
      <c r="AY812" s="570" t="s">
        <v>186</v>
      </c>
      <c r="AZ812" s="570"/>
      <c r="BA812" s="570">
        <v>2014</v>
      </c>
      <c r="BB812" s="570" t="s">
        <v>2271</v>
      </c>
      <c r="BC812" s="506" t="s">
        <v>5807</v>
      </c>
      <c r="BD812" s="570" t="s">
        <v>2272</v>
      </c>
      <c r="BE812" s="573" t="s">
        <v>2272</v>
      </c>
      <c r="BF812" s="574" t="s">
        <v>2272</v>
      </c>
      <c r="BG812" s="488" t="s">
        <v>2272</v>
      </c>
      <c r="BH812" s="574" t="s">
        <v>2272</v>
      </c>
      <c r="BI812" s="574" t="s">
        <v>2272</v>
      </c>
      <c r="BJ812" s="570" t="s">
        <v>186</v>
      </c>
      <c r="BK812" s="401"/>
    </row>
    <row r="813" spans="1:63" ht="95.25" customHeight="1">
      <c r="A813" s="523">
        <v>2</v>
      </c>
      <c r="B813" s="534" t="s">
        <v>7111</v>
      </c>
      <c r="C813" s="523" t="s">
        <v>7112</v>
      </c>
      <c r="D813" s="523" t="s">
        <v>242</v>
      </c>
      <c r="E813" s="534" t="s">
        <v>5853</v>
      </c>
      <c r="F813" s="523" t="s">
        <v>1752</v>
      </c>
      <c r="G813" s="523" t="s">
        <v>2344</v>
      </c>
      <c r="H813" s="524" t="s">
        <v>7112</v>
      </c>
      <c r="I813" s="525" t="s">
        <v>7113</v>
      </c>
      <c r="J813" s="525" t="s">
        <v>5317</v>
      </c>
      <c r="K813" s="525" t="s">
        <v>5317</v>
      </c>
      <c r="L813" s="525" t="s">
        <v>1772</v>
      </c>
      <c r="M813" s="541" t="s">
        <v>1755</v>
      </c>
      <c r="N813" s="525" t="s">
        <v>1773</v>
      </c>
      <c r="O813" s="525" t="s">
        <v>1786</v>
      </c>
      <c r="P813" s="531">
        <v>1431.2669699999999</v>
      </c>
      <c r="Q813" s="531">
        <v>1688.8950245999997</v>
      </c>
      <c r="R813" s="531">
        <v>1236.908930517621</v>
      </c>
      <c r="S813" s="523" t="s">
        <v>1774</v>
      </c>
      <c r="T813" s="542">
        <v>1.087</v>
      </c>
      <c r="U813" s="543">
        <v>1.077</v>
      </c>
      <c r="V813" s="543">
        <v>1.073</v>
      </c>
      <c r="W813" s="543">
        <v>1.071</v>
      </c>
      <c r="X813" s="544">
        <v>0.9</v>
      </c>
      <c r="Y813" s="526">
        <v>1398.38</v>
      </c>
      <c r="Z813" s="531">
        <v>1650.0884000000001</v>
      </c>
      <c r="AA813" s="531">
        <v>959.29715818078421</v>
      </c>
      <c r="AB813" s="532">
        <v>1131.9706466533253</v>
      </c>
      <c r="AC813" s="531">
        <v>959.29715818078421</v>
      </c>
      <c r="AD813" s="532">
        <v>1131.9706466533253</v>
      </c>
      <c r="AE813" s="494" t="s">
        <v>1775</v>
      </c>
      <c r="AF813" s="534" t="s">
        <v>83</v>
      </c>
      <c r="AG813" s="534" t="s">
        <v>211</v>
      </c>
      <c r="AH813" s="534" t="s">
        <v>545</v>
      </c>
      <c r="AI813" s="533">
        <v>41664</v>
      </c>
      <c r="AJ813" s="533">
        <v>41699</v>
      </c>
      <c r="AK813" s="534" t="s">
        <v>96</v>
      </c>
      <c r="AL813" s="534" t="s">
        <v>96</v>
      </c>
      <c r="AM813" s="525" t="s">
        <v>1846</v>
      </c>
      <c r="AN813" s="525" t="s">
        <v>1757</v>
      </c>
      <c r="AO813" s="534">
        <v>796</v>
      </c>
      <c r="AP813" s="534" t="s">
        <v>368</v>
      </c>
      <c r="AQ813" s="534">
        <v>1</v>
      </c>
      <c r="AR813" s="534">
        <v>45</v>
      </c>
      <c r="AS813" s="525" t="s">
        <v>547</v>
      </c>
      <c r="AT813" s="533">
        <v>41719</v>
      </c>
      <c r="AU813" s="533">
        <v>41719</v>
      </c>
      <c r="AV813" s="533">
        <v>42004</v>
      </c>
      <c r="AW813" s="534">
        <v>2014</v>
      </c>
      <c r="AX813" s="525"/>
      <c r="AY813" s="534" t="s">
        <v>186</v>
      </c>
      <c r="AZ813" s="534"/>
      <c r="BA813" s="534">
        <v>2014</v>
      </c>
      <c r="BB813" s="534" t="s">
        <v>7114</v>
      </c>
      <c r="BC813" s="525" t="s">
        <v>7115</v>
      </c>
      <c r="BD813" s="534" t="s">
        <v>7116</v>
      </c>
      <c r="BE813" s="545">
        <v>42004</v>
      </c>
      <c r="BF813" s="546">
        <v>1928.415</v>
      </c>
      <c r="BG813" s="488">
        <v>1922.8350041999997</v>
      </c>
      <c r="BH813" s="532">
        <v>0</v>
      </c>
      <c r="BI813" s="532">
        <v>0.52800000000000002</v>
      </c>
      <c r="BJ813" s="534" t="s">
        <v>1465</v>
      </c>
      <c r="BK813" s="401"/>
    </row>
    <row r="814" spans="1:63" ht="95.25" customHeight="1">
      <c r="A814" s="523">
        <v>2</v>
      </c>
      <c r="B814" s="534" t="s">
        <v>7117</v>
      </c>
      <c r="C814" s="523" t="s">
        <v>7112</v>
      </c>
      <c r="D814" s="523" t="s">
        <v>242</v>
      </c>
      <c r="E814" s="534" t="s">
        <v>5853</v>
      </c>
      <c r="F814" s="523" t="s">
        <v>1752</v>
      </c>
      <c r="G814" s="523" t="s">
        <v>2344</v>
      </c>
      <c r="H814" s="524" t="s">
        <v>7112</v>
      </c>
      <c r="I814" s="525" t="s">
        <v>7118</v>
      </c>
      <c r="J814" s="525" t="s">
        <v>5317</v>
      </c>
      <c r="K814" s="525" t="s">
        <v>5317</v>
      </c>
      <c r="L814" s="525" t="s">
        <v>1772</v>
      </c>
      <c r="M814" s="541" t="s">
        <v>1755</v>
      </c>
      <c r="N814" s="525" t="s">
        <v>1773</v>
      </c>
      <c r="O814" s="525" t="s">
        <v>1786</v>
      </c>
      <c r="P814" s="531">
        <v>615.29009999999994</v>
      </c>
      <c r="Q814" s="531">
        <v>726.04231799999991</v>
      </c>
      <c r="R814" s="531">
        <v>534.4241241504036</v>
      </c>
      <c r="S814" s="523" t="s">
        <v>1774</v>
      </c>
      <c r="T814" s="542">
        <v>1.087</v>
      </c>
      <c r="U814" s="543">
        <v>1.077</v>
      </c>
      <c r="V814" s="543">
        <v>1.073</v>
      </c>
      <c r="W814" s="543">
        <v>1.071</v>
      </c>
      <c r="X814" s="544">
        <v>0.9</v>
      </c>
      <c r="Y814" s="526">
        <v>604.19000000000005</v>
      </c>
      <c r="Z814" s="531">
        <v>712.94420000000002</v>
      </c>
      <c r="AA814" s="531">
        <v>434.47800311878598</v>
      </c>
      <c r="AB814" s="532">
        <v>512.68404368016741</v>
      </c>
      <c r="AC814" s="531">
        <v>434.47800311878598</v>
      </c>
      <c r="AD814" s="532">
        <v>512.68404368016741</v>
      </c>
      <c r="AE814" s="494" t="s">
        <v>1775</v>
      </c>
      <c r="AF814" s="534" t="s">
        <v>83</v>
      </c>
      <c r="AG814" s="534" t="s">
        <v>211</v>
      </c>
      <c r="AH814" s="534" t="s">
        <v>545</v>
      </c>
      <c r="AI814" s="533">
        <v>41664</v>
      </c>
      <c r="AJ814" s="533">
        <v>41699</v>
      </c>
      <c r="AK814" s="534" t="s">
        <v>96</v>
      </c>
      <c r="AL814" s="534" t="s">
        <v>96</v>
      </c>
      <c r="AM814" s="525" t="s">
        <v>1846</v>
      </c>
      <c r="AN814" s="525" t="s">
        <v>1757</v>
      </c>
      <c r="AO814" s="534">
        <v>796</v>
      </c>
      <c r="AP814" s="534" t="s">
        <v>368</v>
      </c>
      <c r="AQ814" s="534">
        <v>1</v>
      </c>
      <c r="AR814" s="534">
        <v>45</v>
      </c>
      <c r="AS814" s="525" t="s">
        <v>547</v>
      </c>
      <c r="AT814" s="533">
        <v>41719</v>
      </c>
      <c r="AU814" s="533">
        <v>41719</v>
      </c>
      <c r="AV814" s="533">
        <v>42004</v>
      </c>
      <c r="AW814" s="534">
        <v>2014</v>
      </c>
      <c r="AX814" s="525"/>
      <c r="AY814" s="534" t="s">
        <v>186</v>
      </c>
      <c r="AZ814" s="534"/>
      <c r="BA814" s="534">
        <v>2014</v>
      </c>
      <c r="BB814" s="534" t="s">
        <v>7119</v>
      </c>
      <c r="BC814" s="525" t="s">
        <v>7120</v>
      </c>
      <c r="BD814" s="534" t="s">
        <v>7121</v>
      </c>
      <c r="BE814" s="545">
        <v>42004</v>
      </c>
      <c r="BF814" s="546">
        <v>842.95659999999998</v>
      </c>
      <c r="BG814" s="488">
        <v>837.37660419999986</v>
      </c>
      <c r="BH814" s="532">
        <v>0</v>
      </c>
      <c r="BI814" s="532">
        <v>0.17299999999999999</v>
      </c>
      <c r="BJ814" s="534" t="s">
        <v>1465</v>
      </c>
      <c r="BK814" s="401"/>
    </row>
    <row r="815" spans="1:63" ht="95.25" customHeight="1">
      <c r="A815" s="523">
        <v>2</v>
      </c>
      <c r="B815" s="534" t="s">
        <v>7122</v>
      </c>
      <c r="C815" s="523" t="s">
        <v>7112</v>
      </c>
      <c r="D815" s="523" t="s">
        <v>242</v>
      </c>
      <c r="E815" s="534" t="s">
        <v>5853</v>
      </c>
      <c r="F815" s="523" t="s">
        <v>1752</v>
      </c>
      <c r="G815" s="523" t="s">
        <v>2344</v>
      </c>
      <c r="H815" s="524" t="s">
        <v>7112</v>
      </c>
      <c r="I815" s="525" t="s">
        <v>7123</v>
      </c>
      <c r="J815" s="525" t="s">
        <v>5317</v>
      </c>
      <c r="K815" s="525" t="s">
        <v>5317</v>
      </c>
      <c r="L815" s="525" t="s">
        <v>1772</v>
      </c>
      <c r="M815" s="541" t="s">
        <v>1755</v>
      </c>
      <c r="N815" s="525" t="s">
        <v>1773</v>
      </c>
      <c r="O815" s="525" t="s">
        <v>1786</v>
      </c>
      <c r="P815" s="531">
        <v>1516.5537600000002</v>
      </c>
      <c r="Q815" s="531">
        <v>1789.5334368000001</v>
      </c>
      <c r="R815" s="531">
        <v>1333.3403809138158</v>
      </c>
      <c r="S815" s="523" t="s">
        <v>1774</v>
      </c>
      <c r="T815" s="542">
        <v>1.087</v>
      </c>
      <c r="U815" s="543">
        <v>1.077</v>
      </c>
      <c r="V815" s="543">
        <v>1.073</v>
      </c>
      <c r="W815" s="543">
        <v>1.071</v>
      </c>
      <c r="X815" s="544">
        <v>0.9</v>
      </c>
      <c r="Y815" s="526">
        <v>1507.4</v>
      </c>
      <c r="Z815" s="531">
        <v>1778.732</v>
      </c>
      <c r="AA815" s="531">
        <v>1034.0855391536736</v>
      </c>
      <c r="AB815" s="532">
        <v>1220.2209362013348</v>
      </c>
      <c r="AC815" s="531">
        <v>1034.0855391536736</v>
      </c>
      <c r="AD815" s="532">
        <v>1220.2209362013348</v>
      </c>
      <c r="AE815" s="494" t="s">
        <v>1775</v>
      </c>
      <c r="AF815" s="534" t="s">
        <v>83</v>
      </c>
      <c r="AG815" s="534" t="s">
        <v>211</v>
      </c>
      <c r="AH815" s="534" t="s">
        <v>545</v>
      </c>
      <c r="AI815" s="533">
        <v>41664</v>
      </c>
      <c r="AJ815" s="533">
        <v>41699</v>
      </c>
      <c r="AK815" s="534" t="s">
        <v>96</v>
      </c>
      <c r="AL815" s="534" t="s">
        <v>96</v>
      </c>
      <c r="AM815" s="525" t="s">
        <v>1846</v>
      </c>
      <c r="AN815" s="525" t="s">
        <v>1757</v>
      </c>
      <c r="AO815" s="534">
        <v>796</v>
      </c>
      <c r="AP815" s="534" t="s">
        <v>368</v>
      </c>
      <c r="AQ815" s="534">
        <v>1</v>
      </c>
      <c r="AR815" s="534">
        <v>45</v>
      </c>
      <c r="AS815" s="525" t="s">
        <v>547</v>
      </c>
      <c r="AT815" s="533">
        <v>41719</v>
      </c>
      <c r="AU815" s="533">
        <v>41719</v>
      </c>
      <c r="AV815" s="533">
        <v>42004</v>
      </c>
      <c r="AW815" s="534">
        <v>2014</v>
      </c>
      <c r="AX815" s="525"/>
      <c r="AY815" s="534" t="s">
        <v>186</v>
      </c>
      <c r="AZ815" s="534"/>
      <c r="BA815" s="534">
        <v>2014</v>
      </c>
      <c r="BB815" s="534" t="s">
        <v>7124</v>
      </c>
      <c r="BC815" s="525" t="s">
        <v>7125</v>
      </c>
      <c r="BD815" s="534" t="s">
        <v>7126</v>
      </c>
      <c r="BE815" s="545">
        <v>42004</v>
      </c>
      <c r="BF815" s="546">
        <v>2219.5328</v>
      </c>
      <c r="BG815" s="488">
        <v>2218.5327972</v>
      </c>
      <c r="BH815" s="532">
        <v>0</v>
      </c>
      <c r="BI815" s="532">
        <v>0.56299999999999994</v>
      </c>
      <c r="BJ815" s="534" t="s">
        <v>1465</v>
      </c>
      <c r="BK815" s="401"/>
    </row>
    <row r="816" spans="1:63" ht="95.25" customHeight="1">
      <c r="A816" s="523">
        <v>2</v>
      </c>
      <c r="B816" s="534" t="s">
        <v>7127</v>
      </c>
      <c r="C816" s="523" t="s">
        <v>7112</v>
      </c>
      <c r="D816" s="523" t="s">
        <v>242</v>
      </c>
      <c r="E816" s="534" t="s">
        <v>5853</v>
      </c>
      <c r="F816" s="523" t="s">
        <v>1752</v>
      </c>
      <c r="G816" s="523" t="s">
        <v>2344</v>
      </c>
      <c r="H816" s="524">
        <v>852634</v>
      </c>
      <c r="I816" s="525" t="s">
        <v>7128</v>
      </c>
      <c r="J816" s="525" t="s">
        <v>5317</v>
      </c>
      <c r="K816" s="525" t="s">
        <v>5317</v>
      </c>
      <c r="L816" s="525" t="s">
        <v>1772</v>
      </c>
      <c r="M816" s="541" t="s">
        <v>1755</v>
      </c>
      <c r="N816" s="525" t="s">
        <v>1773</v>
      </c>
      <c r="O816" s="525" t="s">
        <v>1786</v>
      </c>
      <c r="P816" s="531">
        <v>759.43577999999991</v>
      </c>
      <c r="Q816" s="531">
        <v>896.13422039999989</v>
      </c>
      <c r="R816" s="531">
        <v>659.51434351409716</v>
      </c>
      <c r="S816" s="523" t="s">
        <v>1774</v>
      </c>
      <c r="T816" s="542">
        <v>1.087</v>
      </c>
      <c r="U816" s="543">
        <v>1.077</v>
      </c>
      <c r="V816" s="543">
        <v>1.073</v>
      </c>
      <c r="W816" s="543">
        <v>1.071</v>
      </c>
      <c r="X816" s="544">
        <v>0.9</v>
      </c>
      <c r="Y816" s="526">
        <v>745.61</v>
      </c>
      <c r="Z816" s="531">
        <v>879.81979999999999</v>
      </c>
      <c r="AA816" s="531">
        <v>511.49298052830727</v>
      </c>
      <c r="AB816" s="532">
        <v>603.56171702340259</v>
      </c>
      <c r="AC816" s="531">
        <v>511.49298052830727</v>
      </c>
      <c r="AD816" s="532">
        <v>603.56171702340259</v>
      </c>
      <c r="AE816" s="494" t="s">
        <v>1775</v>
      </c>
      <c r="AF816" s="534" t="s">
        <v>83</v>
      </c>
      <c r="AG816" s="534" t="s">
        <v>211</v>
      </c>
      <c r="AH816" s="534" t="s">
        <v>545</v>
      </c>
      <c r="AI816" s="533">
        <v>41664</v>
      </c>
      <c r="AJ816" s="533">
        <v>41699</v>
      </c>
      <c r="AK816" s="534" t="s">
        <v>96</v>
      </c>
      <c r="AL816" s="534" t="s">
        <v>96</v>
      </c>
      <c r="AM816" s="525" t="s">
        <v>1846</v>
      </c>
      <c r="AN816" s="525" t="s">
        <v>1757</v>
      </c>
      <c r="AO816" s="534">
        <v>796</v>
      </c>
      <c r="AP816" s="534" t="s">
        <v>368</v>
      </c>
      <c r="AQ816" s="534">
        <v>1</v>
      </c>
      <c r="AR816" s="534">
        <v>45</v>
      </c>
      <c r="AS816" s="525" t="s">
        <v>547</v>
      </c>
      <c r="AT816" s="533">
        <v>41719</v>
      </c>
      <c r="AU816" s="533">
        <v>41719</v>
      </c>
      <c r="AV816" s="533">
        <v>42004</v>
      </c>
      <c r="AW816" s="534">
        <v>2014</v>
      </c>
      <c r="AX816" s="525"/>
      <c r="AY816" s="534" t="s">
        <v>186</v>
      </c>
      <c r="AZ816" s="534"/>
      <c r="BA816" s="534">
        <v>2014</v>
      </c>
      <c r="BB816" s="534" t="s">
        <v>7129</v>
      </c>
      <c r="BC816" s="525" t="s">
        <v>7130</v>
      </c>
      <c r="BD816" s="534" t="s">
        <v>7131</v>
      </c>
      <c r="BE816" s="545">
        <v>42004</v>
      </c>
      <c r="BF816" s="546">
        <v>1018.9535999999999</v>
      </c>
      <c r="BG816" s="488">
        <v>1014.5536041999999</v>
      </c>
      <c r="BH816" s="532">
        <v>0</v>
      </c>
      <c r="BI816" s="532">
        <v>0.30199999999999999</v>
      </c>
      <c r="BJ816" s="534" t="s">
        <v>1465</v>
      </c>
      <c r="BK816" s="401"/>
    </row>
    <row r="817" spans="1:63" ht="95.25" customHeight="1">
      <c r="A817" s="523">
        <v>2</v>
      </c>
      <c r="B817" s="534" t="s">
        <v>7132</v>
      </c>
      <c r="C817" s="523" t="s">
        <v>7112</v>
      </c>
      <c r="D817" s="523" t="s">
        <v>242</v>
      </c>
      <c r="E817" s="534" t="s">
        <v>5853</v>
      </c>
      <c r="F817" s="523" t="s">
        <v>1752</v>
      </c>
      <c r="G817" s="523" t="s">
        <v>2344</v>
      </c>
      <c r="H817" s="524">
        <v>852635</v>
      </c>
      <c r="I817" s="525" t="s">
        <v>7133</v>
      </c>
      <c r="J817" s="525" t="s">
        <v>5317</v>
      </c>
      <c r="K817" s="525" t="s">
        <v>5317</v>
      </c>
      <c r="L817" s="525" t="s">
        <v>1772</v>
      </c>
      <c r="M817" s="541" t="s">
        <v>1755</v>
      </c>
      <c r="N817" s="525" t="s">
        <v>1773</v>
      </c>
      <c r="O817" s="525" t="s">
        <v>1786</v>
      </c>
      <c r="P817" s="531">
        <v>2281.4054400000005</v>
      </c>
      <c r="Q817" s="531">
        <v>2692.0584192000006</v>
      </c>
      <c r="R817" s="531">
        <v>2001.5850346041234</v>
      </c>
      <c r="S817" s="523" t="s">
        <v>1774</v>
      </c>
      <c r="T817" s="542">
        <v>1.087</v>
      </c>
      <c r="U817" s="543">
        <v>1.077</v>
      </c>
      <c r="V817" s="543">
        <v>1.073</v>
      </c>
      <c r="W817" s="543">
        <v>1.071</v>
      </c>
      <c r="X817" s="544">
        <v>0.9</v>
      </c>
      <c r="Y817" s="526">
        <v>2262.88</v>
      </c>
      <c r="Z817" s="531">
        <v>2670.1983999999998</v>
      </c>
      <c r="AA817" s="531">
        <v>1552.3493995223994</v>
      </c>
      <c r="AB817" s="532">
        <v>1831.7722914364313</v>
      </c>
      <c r="AC817" s="531">
        <v>1552.3493995223994</v>
      </c>
      <c r="AD817" s="532">
        <v>1831.7722914364313</v>
      </c>
      <c r="AE817" s="494" t="s">
        <v>1775</v>
      </c>
      <c r="AF817" s="534" t="s">
        <v>83</v>
      </c>
      <c r="AG817" s="534" t="s">
        <v>211</v>
      </c>
      <c r="AH817" s="534" t="s">
        <v>545</v>
      </c>
      <c r="AI817" s="533">
        <v>41664</v>
      </c>
      <c r="AJ817" s="533">
        <v>41699</v>
      </c>
      <c r="AK817" s="534" t="s">
        <v>96</v>
      </c>
      <c r="AL817" s="534" t="s">
        <v>96</v>
      </c>
      <c r="AM817" s="525" t="s">
        <v>1846</v>
      </c>
      <c r="AN817" s="525" t="s">
        <v>1757</v>
      </c>
      <c r="AO817" s="534">
        <v>796</v>
      </c>
      <c r="AP817" s="534" t="s">
        <v>368</v>
      </c>
      <c r="AQ817" s="534">
        <v>1</v>
      </c>
      <c r="AR817" s="534">
        <v>45</v>
      </c>
      <c r="AS817" s="525" t="s">
        <v>547</v>
      </c>
      <c r="AT817" s="533">
        <v>41719</v>
      </c>
      <c r="AU817" s="533">
        <v>41719</v>
      </c>
      <c r="AV817" s="533">
        <v>42004</v>
      </c>
      <c r="AW817" s="534">
        <v>2014</v>
      </c>
      <c r="AX817" s="525"/>
      <c r="AY817" s="534" t="s">
        <v>186</v>
      </c>
      <c r="AZ817" s="534"/>
      <c r="BA817" s="534">
        <v>2014</v>
      </c>
      <c r="BB817" s="534" t="s">
        <v>7134</v>
      </c>
      <c r="BC817" s="525" t="s">
        <v>7135</v>
      </c>
      <c r="BD817" s="534" t="s">
        <v>7136</v>
      </c>
      <c r="BE817" s="545">
        <v>42004</v>
      </c>
      <c r="BF817" s="546">
        <v>3339.6241999999997</v>
      </c>
      <c r="BG817" s="488">
        <v>3339.6241999999997</v>
      </c>
      <c r="BH817" s="532">
        <v>0</v>
      </c>
      <c r="BI817" s="532">
        <v>0.36199999999999999</v>
      </c>
      <c r="BJ817" s="534" t="s">
        <v>1465</v>
      </c>
      <c r="BK817" s="401"/>
    </row>
    <row r="818" spans="1:63" ht="105.75" customHeight="1">
      <c r="A818" s="401">
        <v>2</v>
      </c>
      <c r="B818" s="494" t="s">
        <v>7137</v>
      </c>
      <c r="C818" s="401" t="s">
        <v>83</v>
      </c>
      <c r="D818" s="401" t="s">
        <v>242</v>
      </c>
      <c r="E818" s="494" t="s">
        <v>5853</v>
      </c>
      <c r="F818" s="401" t="s">
        <v>1761</v>
      </c>
      <c r="G818" s="401" t="s">
        <v>1762</v>
      </c>
      <c r="H818" s="499">
        <v>853624</v>
      </c>
      <c r="I818" s="486" t="s">
        <v>7138</v>
      </c>
      <c r="J818" s="496" t="s">
        <v>2978</v>
      </c>
      <c r="K818" s="496" t="s">
        <v>2978</v>
      </c>
      <c r="L818" s="500" t="s">
        <v>1772</v>
      </c>
      <c r="M818" s="500" t="s">
        <v>1755</v>
      </c>
      <c r="N818" s="496" t="s">
        <v>1773</v>
      </c>
      <c r="O818" s="496" t="s">
        <v>2234</v>
      </c>
      <c r="P818" s="489">
        <v>1097.31871</v>
      </c>
      <c r="Q818" s="489">
        <v>1294.8360777999999</v>
      </c>
      <c r="R818" s="584">
        <v>952.19202159467818</v>
      </c>
      <c r="S818" s="401" t="s">
        <v>1774</v>
      </c>
      <c r="T818" s="490">
        <v>1.087</v>
      </c>
      <c r="U818" s="490">
        <v>1.077</v>
      </c>
      <c r="V818" s="490">
        <v>1.073</v>
      </c>
      <c r="W818" s="490">
        <v>1.071</v>
      </c>
      <c r="X818" s="491">
        <v>0.9</v>
      </c>
      <c r="Y818" s="502">
        <v>1076.4949999999999</v>
      </c>
      <c r="Z818" s="489">
        <v>1270.2640999999999</v>
      </c>
      <c r="AA818" s="489">
        <v>1261.6559999999999</v>
      </c>
      <c r="AB818" s="488">
        <v>1488.7540799999999</v>
      </c>
      <c r="AC818" s="492">
        <v>1076.4949999999999</v>
      </c>
      <c r="AD818" s="493">
        <v>1270.2640999999999</v>
      </c>
      <c r="AE818" s="494" t="s">
        <v>1775</v>
      </c>
      <c r="AF818" s="494" t="s">
        <v>83</v>
      </c>
      <c r="AG818" s="494" t="s">
        <v>211</v>
      </c>
      <c r="AH818" s="494" t="s">
        <v>545</v>
      </c>
      <c r="AI818" s="495">
        <v>41659</v>
      </c>
      <c r="AJ818" s="495">
        <v>41694</v>
      </c>
      <c r="AK818" s="494" t="s">
        <v>96</v>
      </c>
      <c r="AL818" s="494" t="s">
        <v>96</v>
      </c>
      <c r="AM818" s="496" t="s">
        <v>5709</v>
      </c>
      <c r="AN818" s="496" t="s">
        <v>1757</v>
      </c>
      <c r="AO818" s="494">
        <v>796</v>
      </c>
      <c r="AP818" s="494" t="s">
        <v>368</v>
      </c>
      <c r="AQ818" s="494">
        <v>1</v>
      </c>
      <c r="AR818" s="494">
        <v>45</v>
      </c>
      <c r="AS818" s="496" t="s">
        <v>547</v>
      </c>
      <c r="AT818" s="495">
        <v>41714</v>
      </c>
      <c r="AU818" s="495">
        <v>41714</v>
      </c>
      <c r="AV818" s="495">
        <v>41810</v>
      </c>
      <c r="AW818" s="494">
        <v>2014</v>
      </c>
      <c r="AX818" s="496"/>
      <c r="AY818" s="494" t="s">
        <v>186</v>
      </c>
      <c r="AZ818" s="494"/>
      <c r="BA818" s="494">
        <v>2014</v>
      </c>
      <c r="BB818" s="494" t="s">
        <v>1894</v>
      </c>
      <c r="BC818" s="496" t="s">
        <v>7139</v>
      </c>
      <c r="BD818" s="494" t="s">
        <v>1818</v>
      </c>
      <c r="BE818" s="575">
        <v>42004</v>
      </c>
      <c r="BF818" s="498">
        <v>12908.9715048</v>
      </c>
      <c r="BG818" s="488">
        <v>12134.433214511997</v>
      </c>
      <c r="BH818" s="488">
        <v>2</v>
      </c>
      <c r="BI818" s="488">
        <v>0.28000000000000003</v>
      </c>
      <c r="BJ818" s="494" t="s">
        <v>400</v>
      </c>
      <c r="BK818" s="401"/>
    </row>
    <row r="819" spans="1:63" ht="105.75" customHeight="1">
      <c r="A819" s="401">
        <v>2</v>
      </c>
      <c r="B819" s="494" t="s">
        <v>7140</v>
      </c>
      <c r="C819" s="401" t="s">
        <v>83</v>
      </c>
      <c r="D819" s="401" t="s">
        <v>242</v>
      </c>
      <c r="E819" s="494" t="s">
        <v>5853</v>
      </c>
      <c r="F819" s="401" t="s">
        <v>1761</v>
      </c>
      <c r="G819" s="401" t="s">
        <v>1762</v>
      </c>
      <c r="H819" s="499">
        <v>853508</v>
      </c>
      <c r="I819" s="486" t="s">
        <v>7141</v>
      </c>
      <c r="J819" s="496" t="s">
        <v>2978</v>
      </c>
      <c r="K819" s="496" t="s">
        <v>2978</v>
      </c>
      <c r="L819" s="500" t="s">
        <v>1772</v>
      </c>
      <c r="M819" s="500" t="s">
        <v>1755</v>
      </c>
      <c r="N819" s="496" t="s">
        <v>1773</v>
      </c>
      <c r="O819" s="496" t="s">
        <v>2234</v>
      </c>
      <c r="P819" s="489">
        <v>1799.135</v>
      </c>
      <c r="Q819" s="489">
        <v>2122.9793</v>
      </c>
      <c r="R819" s="584">
        <v>1553.2194786375114</v>
      </c>
      <c r="S819" s="401" t="s">
        <v>1774</v>
      </c>
      <c r="T819" s="490">
        <v>1.087</v>
      </c>
      <c r="U819" s="490">
        <v>1.077</v>
      </c>
      <c r="V819" s="490">
        <v>1.073</v>
      </c>
      <c r="W819" s="490">
        <v>1.071</v>
      </c>
      <c r="X819" s="491">
        <v>0.9</v>
      </c>
      <c r="Y819" s="502">
        <v>1755.9829999999999</v>
      </c>
      <c r="Z819" s="489">
        <v>2072.0599399999996</v>
      </c>
      <c r="AA819" s="489">
        <v>2065.2510000000002</v>
      </c>
      <c r="AB819" s="488">
        <v>2436.9961800000001</v>
      </c>
      <c r="AC819" s="492">
        <v>1755.9829999999999</v>
      </c>
      <c r="AD819" s="493">
        <v>2072.0599399999996</v>
      </c>
      <c r="AE819" s="494" t="s">
        <v>1775</v>
      </c>
      <c r="AF819" s="494" t="s">
        <v>83</v>
      </c>
      <c r="AG819" s="494" t="s">
        <v>211</v>
      </c>
      <c r="AH819" s="494" t="s">
        <v>545</v>
      </c>
      <c r="AI819" s="495">
        <v>41659</v>
      </c>
      <c r="AJ819" s="495">
        <v>41694</v>
      </c>
      <c r="AK819" s="494" t="s">
        <v>96</v>
      </c>
      <c r="AL819" s="494" t="s">
        <v>96</v>
      </c>
      <c r="AM819" s="496" t="s">
        <v>5709</v>
      </c>
      <c r="AN819" s="496" t="s">
        <v>1757</v>
      </c>
      <c r="AO819" s="494">
        <v>796</v>
      </c>
      <c r="AP819" s="494" t="s">
        <v>368</v>
      </c>
      <c r="AQ819" s="494">
        <v>1</v>
      </c>
      <c r="AR819" s="494">
        <v>45</v>
      </c>
      <c r="AS819" s="496" t="s">
        <v>547</v>
      </c>
      <c r="AT819" s="495">
        <v>41714</v>
      </c>
      <c r="AU819" s="495">
        <v>41714</v>
      </c>
      <c r="AV819" s="495">
        <v>41810</v>
      </c>
      <c r="AW819" s="494">
        <v>2014</v>
      </c>
      <c r="AX819" s="496"/>
      <c r="AY819" s="494" t="s">
        <v>186</v>
      </c>
      <c r="AZ819" s="494"/>
      <c r="BA819" s="494">
        <v>2014</v>
      </c>
      <c r="BB819" s="494" t="s">
        <v>1847</v>
      </c>
      <c r="BC819" s="496" t="s">
        <v>1848</v>
      </c>
      <c r="BD819" s="494" t="s">
        <v>1818</v>
      </c>
      <c r="BE819" s="575">
        <v>42004</v>
      </c>
      <c r="BF819" s="498">
        <v>10563.714000000002</v>
      </c>
      <c r="BG819" s="488">
        <v>10563.714000000002</v>
      </c>
      <c r="BH819" s="488">
        <v>0</v>
      </c>
      <c r="BI819" s="488">
        <v>1.25</v>
      </c>
      <c r="BJ819" s="494" t="s">
        <v>400</v>
      </c>
      <c r="BK819" s="401"/>
    </row>
    <row r="820" spans="1:63" ht="105.75" customHeight="1">
      <c r="A820" s="401">
        <v>2</v>
      </c>
      <c r="B820" s="494" t="s">
        <v>7142</v>
      </c>
      <c r="C820" s="401" t="s">
        <v>83</v>
      </c>
      <c r="D820" s="401" t="s">
        <v>242</v>
      </c>
      <c r="E820" s="494" t="s">
        <v>5853</v>
      </c>
      <c r="F820" s="401" t="s">
        <v>1761</v>
      </c>
      <c r="G820" s="401" t="s">
        <v>1762</v>
      </c>
      <c r="H820" s="499" t="s">
        <v>7143</v>
      </c>
      <c r="I820" s="486" t="s">
        <v>7144</v>
      </c>
      <c r="J820" s="496" t="s">
        <v>2978</v>
      </c>
      <c r="K820" s="496" t="s">
        <v>2978</v>
      </c>
      <c r="L820" s="500" t="s">
        <v>1772</v>
      </c>
      <c r="M820" s="500" t="s">
        <v>1755</v>
      </c>
      <c r="N820" s="496" t="s">
        <v>1773</v>
      </c>
      <c r="O820" s="496" t="s">
        <v>2234</v>
      </c>
      <c r="P820" s="489">
        <v>68929.221986450008</v>
      </c>
      <c r="Q820" s="489">
        <v>81336.481944011</v>
      </c>
      <c r="R820" s="584">
        <v>59741.297595039636</v>
      </c>
      <c r="S820" s="401" t="s">
        <v>1774</v>
      </c>
      <c r="T820" s="490">
        <v>1.087</v>
      </c>
      <c r="U820" s="490">
        <v>1.077</v>
      </c>
      <c r="V820" s="490">
        <v>1.073</v>
      </c>
      <c r="W820" s="490">
        <v>1.071</v>
      </c>
      <c r="X820" s="491">
        <v>0.9</v>
      </c>
      <c r="Y820" s="502">
        <v>67540.167000000001</v>
      </c>
      <c r="Z820" s="489">
        <v>79697.397060000003</v>
      </c>
      <c r="AA820" s="489">
        <v>44929.815844996985</v>
      </c>
      <c r="AB820" s="488">
        <v>53017.182697096439</v>
      </c>
      <c r="AC820" s="492">
        <v>44929.815844996985</v>
      </c>
      <c r="AD820" s="493">
        <v>53017.182697096439</v>
      </c>
      <c r="AE820" s="494" t="s">
        <v>1775</v>
      </c>
      <c r="AF820" s="494" t="s">
        <v>83</v>
      </c>
      <c r="AG820" s="494" t="s">
        <v>211</v>
      </c>
      <c r="AH820" s="494" t="s">
        <v>545</v>
      </c>
      <c r="AI820" s="495">
        <v>41690</v>
      </c>
      <c r="AJ820" s="495">
        <v>41725</v>
      </c>
      <c r="AK820" s="494" t="s">
        <v>96</v>
      </c>
      <c r="AL820" s="494" t="s">
        <v>96</v>
      </c>
      <c r="AM820" s="496" t="s">
        <v>5709</v>
      </c>
      <c r="AN820" s="496" t="s">
        <v>1757</v>
      </c>
      <c r="AO820" s="494">
        <v>796</v>
      </c>
      <c r="AP820" s="494" t="s">
        <v>368</v>
      </c>
      <c r="AQ820" s="494">
        <v>1</v>
      </c>
      <c r="AR820" s="494">
        <v>45</v>
      </c>
      <c r="AS820" s="496" t="s">
        <v>547</v>
      </c>
      <c r="AT820" s="495">
        <v>41745</v>
      </c>
      <c r="AU820" s="495">
        <v>41745</v>
      </c>
      <c r="AV820" s="495">
        <v>41850</v>
      </c>
      <c r="AW820" s="494">
        <v>2014</v>
      </c>
      <c r="AX820" s="496"/>
      <c r="AY820" s="494" t="s">
        <v>186</v>
      </c>
      <c r="AZ820" s="494"/>
      <c r="BA820" s="494">
        <v>2014</v>
      </c>
      <c r="BB820" s="494" t="s">
        <v>1961</v>
      </c>
      <c r="BC820" s="496" t="s">
        <v>1962</v>
      </c>
      <c r="BD820" s="494" t="s">
        <v>1818</v>
      </c>
      <c r="BE820" s="575">
        <v>42004</v>
      </c>
      <c r="BF820" s="498">
        <v>295000</v>
      </c>
      <c r="BG820" s="488">
        <v>242801.52</v>
      </c>
      <c r="BH820" s="488">
        <v>4.5</v>
      </c>
      <c r="BI820" s="488">
        <v>30.86</v>
      </c>
      <c r="BJ820" s="494" t="s">
        <v>400</v>
      </c>
      <c r="BK820" s="401"/>
    </row>
    <row r="821" spans="1:63" ht="96.75" customHeight="1">
      <c r="A821" s="504">
        <v>2</v>
      </c>
      <c r="B821" s="570" t="s">
        <v>7145</v>
      </c>
      <c r="C821" s="504" t="s">
        <v>83</v>
      </c>
      <c r="D821" s="504" t="s">
        <v>242</v>
      </c>
      <c r="E821" s="570" t="s">
        <v>5853</v>
      </c>
      <c r="F821" s="504" t="s">
        <v>1761</v>
      </c>
      <c r="G821" s="504" t="s">
        <v>1762</v>
      </c>
      <c r="H821" s="517">
        <v>853677</v>
      </c>
      <c r="I821" s="506" t="s">
        <v>7146</v>
      </c>
      <c r="J821" s="506" t="s">
        <v>2978</v>
      </c>
      <c r="K821" s="506" t="s">
        <v>2978</v>
      </c>
      <c r="L821" s="506" t="s">
        <v>1772</v>
      </c>
      <c r="M821" s="571" t="s">
        <v>1755</v>
      </c>
      <c r="N821" s="506" t="s">
        <v>1773</v>
      </c>
      <c r="O821" s="506" t="s">
        <v>2234</v>
      </c>
      <c r="P821" s="512">
        <v>2494.93145</v>
      </c>
      <c r="Q821" s="512">
        <v>2944.0191110000001</v>
      </c>
      <c r="R821" s="512">
        <v>2115.1020646724232</v>
      </c>
      <c r="S821" s="504" t="s">
        <v>1774</v>
      </c>
      <c r="T821" s="572">
        <v>1.087</v>
      </c>
      <c r="U821" s="572">
        <v>1.077</v>
      </c>
      <c r="V821" s="572">
        <v>1.073</v>
      </c>
      <c r="W821" s="572">
        <v>1.071</v>
      </c>
      <c r="X821" s="511">
        <v>0.9</v>
      </c>
      <c r="Y821" s="512">
        <v>2391.2159999999999</v>
      </c>
      <c r="Z821" s="512">
        <v>2821.6348799999996</v>
      </c>
      <c r="AA821" s="512">
        <v>2744.9917647482548</v>
      </c>
      <c r="AB821" s="512">
        <v>3239.0902824029408</v>
      </c>
      <c r="AC821" s="512">
        <v>2391.2159999999999</v>
      </c>
      <c r="AD821" s="512">
        <v>2821.6348799999996</v>
      </c>
      <c r="AE821" s="494" t="s">
        <v>1775</v>
      </c>
      <c r="AF821" s="570" t="s">
        <v>83</v>
      </c>
      <c r="AG821" s="570" t="s">
        <v>211</v>
      </c>
      <c r="AH821" s="570" t="s">
        <v>545</v>
      </c>
      <c r="AI821" s="515">
        <v>41656</v>
      </c>
      <c r="AJ821" s="515">
        <v>41691</v>
      </c>
      <c r="AK821" s="570" t="s">
        <v>96</v>
      </c>
      <c r="AL821" s="570" t="s">
        <v>96</v>
      </c>
      <c r="AM821" s="506" t="s">
        <v>5709</v>
      </c>
      <c r="AN821" s="506" t="s">
        <v>1757</v>
      </c>
      <c r="AO821" s="570">
        <v>796</v>
      </c>
      <c r="AP821" s="570" t="s">
        <v>368</v>
      </c>
      <c r="AQ821" s="570">
        <v>1</v>
      </c>
      <c r="AR821" s="570">
        <v>45</v>
      </c>
      <c r="AS821" s="506" t="s">
        <v>547</v>
      </c>
      <c r="AT821" s="515">
        <v>41711</v>
      </c>
      <c r="AU821" s="515">
        <v>41711</v>
      </c>
      <c r="AV821" s="515">
        <v>41810</v>
      </c>
      <c r="AW821" s="570">
        <v>2014</v>
      </c>
      <c r="AX821" s="506"/>
      <c r="AY821" s="570" t="s">
        <v>186</v>
      </c>
      <c r="AZ821" s="570"/>
      <c r="BA821" s="570">
        <v>2014</v>
      </c>
      <c r="BB821" s="570" t="s">
        <v>2271</v>
      </c>
      <c r="BC821" s="506" t="s">
        <v>2271</v>
      </c>
      <c r="BD821" s="570" t="s">
        <v>2272</v>
      </c>
      <c r="BE821" s="573" t="s">
        <v>2272</v>
      </c>
      <c r="BF821" s="574" t="s">
        <v>2272</v>
      </c>
      <c r="BG821" s="488" t="s">
        <v>2272</v>
      </c>
      <c r="BH821" s="574" t="s">
        <v>2272</v>
      </c>
      <c r="BI821" s="574" t="s">
        <v>2272</v>
      </c>
      <c r="BJ821" s="570" t="s">
        <v>400</v>
      </c>
      <c r="BK821" s="401"/>
    </row>
    <row r="822" spans="1:63" ht="95.25" customHeight="1">
      <c r="A822" s="523">
        <v>2</v>
      </c>
      <c r="B822" s="534" t="s">
        <v>7147</v>
      </c>
      <c r="C822" s="523" t="s">
        <v>7112</v>
      </c>
      <c r="D822" s="523" t="s">
        <v>242</v>
      </c>
      <c r="E822" s="534" t="s">
        <v>5853</v>
      </c>
      <c r="F822" s="523" t="s">
        <v>1761</v>
      </c>
      <c r="G822" s="523" t="s">
        <v>1762</v>
      </c>
      <c r="H822" s="524" t="s">
        <v>6160</v>
      </c>
      <c r="I822" s="525" t="s">
        <v>7148</v>
      </c>
      <c r="J822" s="525" t="s">
        <v>2978</v>
      </c>
      <c r="K822" s="525" t="s">
        <v>2978</v>
      </c>
      <c r="L822" s="525" t="s">
        <v>1772</v>
      </c>
      <c r="M822" s="541" t="s">
        <v>1755</v>
      </c>
      <c r="N822" s="525" t="s">
        <v>1773</v>
      </c>
      <c r="O822" s="525" t="s">
        <v>2234</v>
      </c>
      <c r="P822" s="531">
        <v>589.59544000000005</v>
      </c>
      <c r="Q822" s="531">
        <v>695.72261920000005</v>
      </c>
      <c r="R822" s="531">
        <v>499.80893079317843</v>
      </c>
      <c r="S822" s="523" t="s">
        <v>1774</v>
      </c>
      <c r="T822" s="542">
        <v>1.087</v>
      </c>
      <c r="U822" s="543">
        <v>1.077</v>
      </c>
      <c r="V822" s="543">
        <v>1.073</v>
      </c>
      <c r="W822" s="543">
        <v>1.071</v>
      </c>
      <c r="X822" s="544">
        <v>0.9</v>
      </c>
      <c r="Y822" s="526">
        <v>565.05600000000004</v>
      </c>
      <c r="Z822" s="531">
        <v>666.76607999999999</v>
      </c>
      <c r="AA822" s="531">
        <v>662.24765812753446</v>
      </c>
      <c r="AB822" s="532">
        <v>781.45223659049066</v>
      </c>
      <c r="AC822" s="531">
        <v>565.05600000000004</v>
      </c>
      <c r="AD822" s="532">
        <v>666.76607999999999</v>
      </c>
      <c r="AE822" s="494" t="s">
        <v>1775</v>
      </c>
      <c r="AF822" s="534" t="s">
        <v>83</v>
      </c>
      <c r="AG822" s="534" t="s">
        <v>211</v>
      </c>
      <c r="AH822" s="534" t="s">
        <v>545</v>
      </c>
      <c r="AI822" s="533">
        <v>41656</v>
      </c>
      <c r="AJ822" s="533">
        <v>41691</v>
      </c>
      <c r="AK822" s="534" t="s">
        <v>96</v>
      </c>
      <c r="AL822" s="534" t="s">
        <v>96</v>
      </c>
      <c r="AM822" s="525" t="s">
        <v>5709</v>
      </c>
      <c r="AN822" s="525" t="s">
        <v>1757</v>
      </c>
      <c r="AO822" s="534">
        <v>796</v>
      </c>
      <c r="AP822" s="534" t="s">
        <v>368</v>
      </c>
      <c r="AQ822" s="534">
        <v>1</v>
      </c>
      <c r="AR822" s="534">
        <v>45</v>
      </c>
      <c r="AS822" s="525" t="s">
        <v>547</v>
      </c>
      <c r="AT822" s="533">
        <v>41711</v>
      </c>
      <c r="AU822" s="533">
        <v>41711</v>
      </c>
      <c r="AV822" s="533">
        <v>41810</v>
      </c>
      <c r="AW822" s="534">
        <v>2014</v>
      </c>
      <c r="AX822" s="525"/>
      <c r="AY822" s="534" t="s">
        <v>186</v>
      </c>
      <c r="AZ822" s="534"/>
      <c r="BA822" s="534">
        <v>2014</v>
      </c>
      <c r="BB822" s="534" t="s">
        <v>1871</v>
      </c>
      <c r="BC822" s="525" t="s">
        <v>7149</v>
      </c>
      <c r="BD822" s="534" t="s">
        <v>1818</v>
      </c>
      <c r="BE822" s="545">
        <v>42004</v>
      </c>
      <c r="BF822" s="546">
        <v>1663.9999981999999</v>
      </c>
      <c r="BG822" s="488">
        <v>1564.1599983079998</v>
      </c>
      <c r="BH822" s="532">
        <v>0</v>
      </c>
      <c r="BI822" s="532">
        <v>0.12</v>
      </c>
      <c r="BJ822" s="534" t="s">
        <v>400</v>
      </c>
      <c r="BK822" s="523"/>
    </row>
    <row r="823" spans="1:63" ht="95.25" customHeight="1">
      <c r="A823" s="523">
        <v>2</v>
      </c>
      <c r="B823" s="534" t="s">
        <v>7150</v>
      </c>
      <c r="C823" s="523" t="s">
        <v>7112</v>
      </c>
      <c r="D823" s="523" t="s">
        <v>242</v>
      </c>
      <c r="E823" s="534" t="s">
        <v>5853</v>
      </c>
      <c r="F823" s="523" t="s">
        <v>1761</v>
      </c>
      <c r="G823" s="523" t="s">
        <v>1762</v>
      </c>
      <c r="H823" s="524" t="s">
        <v>6160</v>
      </c>
      <c r="I823" s="525" t="s">
        <v>7151</v>
      </c>
      <c r="J823" s="525" t="s">
        <v>2978</v>
      </c>
      <c r="K823" s="525" t="s">
        <v>2978</v>
      </c>
      <c r="L823" s="525" t="s">
        <v>1772</v>
      </c>
      <c r="M823" s="541" t="s">
        <v>1755</v>
      </c>
      <c r="N823" s="525" t="s">
        <v>1773</v>
      </c>
      <c r="O823" s="525" t="s">
        <v>2234</v>
      </c>
      <c r="P823" s="531">
        <v>761.71897000000001</v>
      </c>
      <c r="Q823" s="531">
        <v>898.82838459999994</v>
      </c>
      <c r="R823" s="531">
        <v>645.70240902559442</v>
      </c>
      <c r="S823" s="523" t="s">
        <v>1774</v>
      </c>
      <c r="T823" s="542">
        <v>1.087</v>
      </c>
      <c r="U823" s="543">
        <v>1.077</v>
      </c>
      <c r="V823" s="543">
        <v>1.073</v>
      </c>
      <c r="W823" s="543">
        <v>1.071</v>
      </c>
      <c r="X823" s="544">
        <v>0.9</v>
      </c>
      <c r="Y823" s="526">
        <v>729.995</v>
      </c>
      <c r="Z823" s="531">
        <v>861.39409999999998</v>
      </c>
      <c r="AA823" s="531">
        <v>832.56274593277317</v>
      </c>
      <c r="AB823" s="532">
        <v>982.42404020067227</v>
      </c>
      <c r="AC823" s="531">
        <v>729.995</v>
      </c>
      <c r="AD823" s="532">
        <v>861.39409999999998</v>
      </c>
      <c r="AE823" s="494" t="s">
        <v>1775</v>
      </c>
      <c r="AF823" s="534" t="s">
        <v>83</v>
      </c>
      <c r="AG823" s="534" t="s">
        <v>211</v>
      </c>
      <c r="AH823" s="534" t="s">
        <v>545</v>
      </c>
      <c r="AI823" s="533">
        <v>41656</v>
      </c>
      <c r="AJ823" s="533">
        <v>41691</v>
      </c>
      <c r="AK823" s="534" t="s">
        <v>96</v>
      </c>
      <c r="AL823" s="534" t="s">
        <v>96</v>
      </c>
      <c r="AM823" s="525" t="s">
        <v>5709</v>
      </c>
      <c r="AN823" s="525" t="s">
        <v>1757</v>
      </c>
      <c r="AO823" s="534">
        <v>796</v>
      </c>
      <c r="AP823" s="534" t="s">
        <v>368</v>
      </c>
      <c r="AQ823" s="534">
        <v>1</v>
      </c>
      <c r="AR823" s="534">
        <v>45</v>
      </c>
      <c r="AS823" s="525" t="s">
        <v>547</v>
      </c>
      <c r="AT823" s="533">
        <v>41711</v>
      </c>
      <c r="AU823" s="533">
        <v>41711</v>
      </c>
      <c r="AV823" s="533">
        <v>41810</v>
      </c>
      <c r="AW823" s="534">
        <v>2014</v>
      </c>
      <c r="AX823" s="525"/>
      <c r="AY823" s="534" t="s">
        <v>186</v>
      </c>
      <c r="AZ823" s="534"/>
      <c r="BA823" s="534">
        <v>2014</v>
      </c>
      <c r="BB823" s="534" t="s">
        <v>1875</v>
      </c>
      <c r="BC823" s="525" t="s">
        <v>7152</v>
      </c>
      <c r="BD823" s="534" t="s">
        <v>1818</v>
      </c>
      <c r="BE823" s="545">
        <v>42004</v>
      </c>
      <c r="BF823" s="546">
        <v>3866.9999951999998</v>
      </c>
      <c r="BG823" s="488">
        <v>3634.9799954879995</v>
      </c>
      <c r="BH823" s="532">
        <v>0</v>
      </c>
      <c r="BI823" s="532">
        <v>0.34</v>
      </c>
      <c r="BJ823" s="534" t="s">
        <v>400</v>
      </c>
      <c r="BK823" s="523"/>
    </row>
    <row r="824" spans="1:63" ht="95.25" customHeight="1">
      <c r="A824" s="523">
        <v>2</v>
      </c>
      <c r="B824" s="534" t="s">
        <v>7153</v>
      </c>
      <c r="C824" s="523" t="s">
        <v>7112</v>
      </c>
      <c r="D824" s="523" t="s">
        <v>242</v>
      </c>
      <c r="E824" s="534" t="s">
        <v>5853</v>
      </c>
      <c r="F824" s="523" t="s">
        <v>1761</v>
      </c>
      <c r="G824" s="523" t="s">
        <v>1762</v>
      </c>
      <c r="H824" s="524" t="s">
        <v>6160</v>
      </c>
      <c r="I824" s="525" t="s">
        <v>7154</v>
      </c>
      <c r="J824" s="525" t="s">
        <v>2978</v>
      </c>
      <c r="K824" s="525" t="s">
        <v>2978</v>
      </c>
      <c r="L824" s="525" t="s">
        <v>1772</v>
      </c>
      <c r="M824" s="541" t="s">
        <v>1755</v>
      </c>
      <c r="N824" s="525" t="s">
        <v>1773</v>
      </c>
      <c r="O824" s="525" t="s">
        <v>2234</v>
      </c>
      <c r="P824" s="531">
        <v>1143.6170400000001</v>
      </c>
      <c r="Q824" s="531">
        <v>1349.4681072000001</v>
      </c>
      <c r="R824" s="531">
        <v>969.59072485365039</v>
      </c>
      <c r="S824" s="523" t="s">
        <v>1774</v>
      </c>
      <c r="T824" s="542">
        <v>1.087</v>
      </c>
      <c r="U824" s="543">
        <v>1.077</v>
      </c>
      <c r="V824" s="543">
        <v>1.073</v>
      </c>
      <c r="W824" s="543">
        <v>1.071</v>
      </c>
      <c r="X824" s="544">
        <v>0.9</v>
      </c>
      <c r="Y824" s="526">
        <v>1096.165</v>
      </c>
      <c r="Z824" s="531">
        <v>1293.4747</v>
      </c>
      <c r="AA824" s="531">
        <v>1250.1813606879473</v>
      </c>
      <c r="AB824" s="532">
        <v>1475.2140056117778</v>
      </c>
      <c r="AC824" s="531">
        <v>1096.165</v>
      </c>
      <c r="AD824" s="532">
        <v>1293.4747</v>
      </c>
      <c r="AE824" s="494" t="s">
        <v>1775</v>
      </c>
      <c r="AF824" s="534" t="s">
        <v>83</v>
      </c>
      <c r="AG824" s="534" t="s">
        <v>211</v>
      </c>
      <c r="AH824" s="534" t="s">
        <v>545</v>
      </c>
      <c r="AI824" s="533">
        <v>41656</v>
      </c>
      <c r="AJ824" s="533">
        <v>41691</v>
      </c>
      <c r="AK824" s="534" t="s">
        <v>96</v>
      </c>
      <c r="AL824" s="534" t="s">
        <v>96</v>
      </c>
      <c r="AM824" s="525" t="s">
        <v>5709</v>
      </c>
      <c r="AN824" s="525" t="s">
        <v>1757</v>
      </c>
      <c r="AO824" s="534">
        <v>796</v>
      </c>
      <c r="AP824" s="534" t="s">
        <v>368</v>
      </c>
      <c r="AQ824" s="534">
        <v>1</v>
      </c>
      <c r="AR824" s="534">
        <v>45</v>
      </c>
      <c r="AS824" s="525" t="s">
        <v>547</v>
      </c>
      <c r="AT824" s="533">
        <v>41711</v>
      </c>
      <c r="AU824" s="533">
        <v>41711</v>
      </c>
      <c r="AV824" s="533">
        <v>41810</v>
      </c>
      <c r="AW824" s="534">
        <v>2014</v>
      </c>
      <c r="AX824" s="525"/>
      <c r="AY824" s="534" t="s">
        <v>186</v>
      </c>
      <c r="AZ824" s="534"/>
      <c r="BA824" s="534">
        <v>2014</v>
      </c>
      <c r="BB824" s="534" t="s">
        <v>1879</v>
      </c>
      <c r="BC824" s="525" t="s">
        <v>7155</v>
      </c>
      <c r="BD824" s="534" t="s">
        <v>1818</v>
      </c>
      <c r="BE824" s="545">
        <v>42004</v>
      </c>
      <c r="BF824" s="546">
        <v>2829.0000033999995</v>
      </c>
      <c r="BG824" s="488">
        <v>2829</v>
      </c>
      <c r="BH824" s="532">
        <v>0</v>
      </c>
      <c r="BI824" s="532">
        <v>0.4</v>
      </c>
      <c r="BJ824" s="534" t="s">
        <v>400</v>
      </c>
      <c r="BK824" s="523"/>
    </row>
    <row r="825" spans="1:63" ht="96.75" customHeight="1">
      <c r="A825" s="504">
        <v>2</v>
      </c>
      <c r="B825" s="570" t="s">
        <v>7156</v>
      </c>
      <c r="C825" s="504" t="s">
        <v>83</v>
      </c>
      <c r="D825" s="504" t="s">
        <v>242</v>
      </c>
      <c r="E825" s="570" t="s">
        <v>5853</v>
      </c>
      <c r="F825" s="504" t="s">
        <v>1761</v>
      </c>
      <c r="G825" s="504" t="s">
        <v>1762</v>
      </c>
      <c r="H825" s="517">
        <v>854326</v>
      </c>
      <c r="I825" s="506" t="s">
        <v>7157</v>
      </c>
      <c r="J825" s="506" t="s">
        <v>2978</v>
      </c>
      <c r="K825" s="506" t="s">
        <v>2978</v>
      </c>
      <c r="L825" s="506" t="s">
        <v>1772</v>
      </c>
      <c r="M825" s="571" t="s">
        <v>1755</v>
      </c>
      <c r="N825" s="506" t="s">
        <v>1773</v>
      </c>
      <c r="O825" s="506" t="s">
        <v>2234</v>
      </c>
      <c r="P825" s="512">
        <v>2817.8086900000003</v>
      </c>
      <c r="Q825" s="512">
        <v>3325.0142541999994</v>
      </c>
      <c r="R825" s="512">
        <v>2293.8301775604723</v>
      </c>
      <c r="S825" s="504" t="s">
        <v>1774</v>
      </c>
      <c r="T825" s="572">
        <v>1.087</v>
      </c>
      <c r="U825" s="572">
        <v>1.077</v>
      </c>
      <c r="V825" s="572">
        <v>1.073</v>
      </c>
      <c r="W825" s="572">
        <v>1.071</v>
      </c>
      <c r="X825" s="511">
        <v>0.9</v>
      </c>
      <c r="Y825" s="512">
        <v>2593.2759999999998</v>
      </c>
      <c r="Z825" s="512">
        <v>3060.0656799999997</v>
      </c>
      <c r="AA825" s="512">
        <v>2490.9891684125018</v>
      </c>
      <c r="AB825" s="512">
        <v>2939.3672187267521</v>
      </c>
      <c r="AC825" s="512">
        <v>2490.9891684125018</v>
      </c>
      <c r="AD825" s="512">
        <v>2939.3672187267521</v>
      </c>
      <c r="AE825" s="494" t="s">
        <v>1775</v>
      </c>
      <c r="AF825" s="570" t="s">
        <v>83</v>
      </c>
      <c r="AG825" s="570" t="s">
        <v>211</v>
      </c>
      <c r="AH825" s="570" t="s">
        <v>545</v>
      </c>
      <c r="AI825" s="515">
        <v>41659</v>
      </c>
      <c r="AJ825" s="515">
        <v>41694</v>
      </c>
      <c r="AK825" s="570" t="s">
        <v>96</v>
      </c>
      <c r="AL825" s="570" t="s">
        <v>96</v>
      </c>
      <c r="AM825" s="506" t="s">
        <v>5709</v>
      </c>
      <c r="AN825" s="506" t="s">
        <v>1757</v>
      </c>
      <c r="AO825" s="570">
        <v>796</v>
      </c>
      <c r="AP825" s="570" t="s">
        <v>368</v>
      </c>
      <c r="AQ825" s="570">
        <v>1</v>
      </c>
      <c r="AR825" s="570">
        <v>45</v>
      </c>
      <c r="AS825" s="506" t="s">
        <v>547</v>
      </c>
      <c r="AT825" s="515">
        <v>41714</v>
      </c>
      <c r="AU825" s="515">
        <v>41714</v>
      </c>
      <c r="AV825" s="515">
        <v>41810</v>
      </c>
      <c r="AW825" s="570">
        <v>2014</v>
      </c>
      <c r="AX825" s="506"/>
      <c r="AY825" s="570" t="s">
        <v>186</v>
      </c>
      <c r="AZ825" s="570"/>
      <c r="BA825" s="570">
        <v>2014</v>
      </c>
      <c r="BB825" s="570" t="s">
        <v>2271</v>
      </c>
      <c r="BC825" s="506" t="s">
        <v>2271</v>
      </c>
      <c r="BD825" s="570" t="s">
        <v>2272</v>
      </c>
      <c r="BE825" s="573" t="s">
        <v>2272</v>
      </c>
      <c r="BF825" s="574" t="s">
        <v>2272</v>
      </c>
      <c r="BG825" s="488" t="s">
        <v>2272</v>
      </c>
      <c r="BH825" s="574" t="s">
        <v>2272</v>
      </c>
      <c r="BI825" s="574" t="s">
        <v>2272</v>
      </c>
      <c r="BJ825" s="570" t="s">
        <v>186</v>
      </c>
      <c r="BK825" s="401"/>
    </row>
    <row r="826" spans="1:63" ht="95.25" customHeight="1">
      <c r="A826" s="523">
        <v>2</v>
      </c>
      <c r="B826" s="534" t="s">
        <v>7158</v>
      </c>
      <c r="C826" s="523" t="s">
        <v>7112</v>
      </c>
      <c r="D826" s="523" t="s">
        <v>242</v>
      </c>
      <c r="E826" s="534" t="s">
        <v>5853</v>
      </c>
      <c r="F826" s="523" t="s">
        <v>1761</v>
      </c>
      <c r="G826" s="523" t="s">
        <v>1762</v>
      </c>
      <c r="H826" s="524" t="s">
        <v>6160</v>
      </c>
      <c r="I826" s="525" t="s">
        <v>7159</v>
      </c>
      <c r="J826" s="525" t="s">
        <v>2978</v>
      </c>
      <c r="K826" s="525" t="s">
        <v>2978</v>
      </c>
      <c r="L826" s="525" t="s">
        <v>1772</v>
      </c>
      <c r="M826" s="541" t="s">
        <v>1755</v>
      </c>
      <c r="N826" s="525" t="s">
        <v>1773</v>
      </c>
      <c r="O826" s="525" t="s">
        <v>2234</v>
      </c>
      <c r="P826" s="531">
        <v>1068.8034</v>
      </c>
      <c r="Q826" s="531">
        <v>1261.1880119999998</v>
      </c>
      <c r="R826" s="531">
        <v>906.34949013546327</v>
      </c>
      <c r="S826" s="523" t="s">
        <v>1774</v>
      </c>
      <c r="T826" s="542">
        <v>1.087</v>
      </c>
      <c r="U826" s="543">
        <v>1.077</v>
      </c>
      <c r="V826" s="543">
        <v>1.073</v>
      </c>
      <c r="W826" s="543">
        <v>1.071</v>
      </c>
      <c r="X826" s="544">
        <v>0.9</v>
      </c>
      <c r="Y826" s="526">
        <v>1024.6679999999999</v>
      </c>
      <c r="Z826" s="531">
        <v>1209.1082399999998</v>
      </c>
      <c r="AA826" s="531">
        <v>1200.914570163354</v>
      </c>
      <c r="AB826" s="532">
        <v>1417.0791927927576</v>
      </c>
      <c r="AC826" s="531">
        <v>1024.6679999999999</v>
      </c>
      <c r="AD826" s="532">
        <v>1209.1082399999998</v>
      </c>
      <c r="AE826" s="494" t="s">
        <v>1775</v>
      </c>
      <c r="AF826" s="534" t="s">
        <v>83</v>
      </c>
      <c r="AG826" s="534" t="s">
        <v>211</v>
      </c>
      <c r="AH826" s="534" t="s">
        <v>545</v>
      </c>
      <c r="AI826" s="533">
        <v>41659</v>
      </c>
      <c r="AJ826" s="533">
        <v>41694</v>
      </c>
      <c r="AK826" s="534" t="s">
        <v>96</v>
      </c>
      <c r="AL826" s="534" t="s">
        <v>96</v>
      </c>
      <c r="AM826" s="525" t="s">
        <v>5709</v>
      </c>
      <c r="AN826" s="525" t="s">
        <v>1757</v>
      </c>
      <c r="AO826" s="534">
        <v>796</v>
      </c>
      <c r="AP826" s="534" t="s">
        <v>368</v>
      </c>
      <c r="AQ826" s="534">
        <v>1</v>
      </c>
      <c r="AR826" s="534">
        <v>45</v>
      </c>
      <c r="AS826" s="525" t="s">
        <v>547</v>
      </c>
      <c r="AT826" s="533">
        <v>41714</v>
      </c>
      <c r="AU826" s="533">
        <v>41714</v>
      </c>
      <c r="AV826" s="533">
        <v>41810</v>
      </c>
      <c r="AW826" s="534">
        <v>2014</v>
      </c>
      <c r="AX826" s="525"/>
      <c r="AY826" s="534" t="s">
        <v>186</v>
      </c>
      <c r="AZ826" s="534"/>
      <c r="BA826" s="534">
        <v>2014</v>
      </c>
      <c r="BB826" s="534" t="s">
        <v>2069</v>
      </c>
      <c r="BC826" s="525" t="s">
        <v>7160</v>
      </c>
      <c r="BD826" s="534" t="s">
        <v>1818</v>
      </c>
      <c r="BE826" s="545">
        <v>42004</v>
      </c>
      <c r="BF826" s="546">
        <v>5947.0000017999873</v>
      </c>
      <c r="BG826" s="488">
        <v>5590.1800016919988</v>
      </c>
      <c r="BH826" s="532">
        <v>0</v>
      </c>
      <c r="BI826" s="532">
        <v>0.72</v>
      </c>
      <c r="BJ826" s="534" t="s">
        <v>400</v>
      </c>
      <c r="BK826" s="523"/>
    </row>
    <row r="827" spans="1:63" ht="95.25" customHeight="1">
      <c r="A827" s="523">
        <v>2</v>
      </c>
      <c r="B827" s="534" t="s">
        <v>7161</v>
      </c>
      <c r="C827" s="523" t="s">
        <v>7112</v>
      </c>
      <c r="D827" s="523" t="s">
        <v>242</v>
      </c>
      <c r="E827" s="534" t="s">
        <v>5853</v>
      </c>
      <c r="F827" s="523" t="s">
        <v>1761</v>
      </c>
      <c r="G827" s="523" t="s">
        <v>1762</v>
      </c>
      <c r="H827" s="524" t="s">
        <v>6160</v>
      </c>
      <c r="I827" s="525" t="s">
        <v>7162</v>
      </c>
      <c r="J827" s="525" t="s">
        <v>2978</v>
      </c>
      <c r="K827" s="525" t="s">
        <v>2978</v>
      </c>
      <c r="L827" s="525" t="s">
        <v>1772</v>
      </c>
      <c r="M827" s="541" t="s">
        <v>1755</v>
      </c>
      <c r="N827" s="525" t="s">
        <v>1773</v>
      </c>
      <c r="O827" s="525" t="s">
        <v>2234</v>
      </c>
      <c r="P827" s="531">
        <v>529.39784999999995</v>
      </c>
      <c r="Q827" s="531">
        <v>624.68946299999993</v>
      </c>
      <c r="R827" s="531">
        <v>448.85204741513405</v>
      </c>
      <c r="S827" s="523" t="s">
        <v>1774</v>
      </c>
      <c r="T827" s="542">
        <v>1.087</v>
      </c>
      <c r="U827" s="543">
        <v>1.077</v>
      </c>
      <c r="V827" s="543">
        <v>1.073</v>
      </c>
      <c r="W827" s="543">
        <v>1.071</v>
      </c>
      <c r="X827" s="544">
        <v>0.9</v>
      </c>
      <c r="Y827" s="526">
        <v>507.447</v>
      </c>
      <c r="Z827" s="531">
        <v>598.78746000000001</v>
      </c>
      <c r="AA827" s="531">
        <v>427.11171857961671</v>
      </c>
      <c r="AB827" s="532">
        <v>503.99182792394771</v>
      </c>
      <c r="AC827" s="531">
        <v>427.11171857961671</v>
      </c>
      <c r="AD827" s="532">
        <v>503.99182792394771</v>
      </c>
      <c r="AE827" s="494" t="s">
        <v>1775</v>
      </c>
      <c r="AF827" s="534" t="s">
        <v>83</v>
      </c>
      <c r="AG827" s="534" t="s">
        <v>211</v>
      </c>
      <c r="AH827" s="534" t="s">
        <v>545</v>
      </c>
      <c r="AI827" s="533">
        <v>41656</v>
      </c>
      <c r="AJ827" s="533">
        <v>41691</v>
      </c>
      <c r="AK827" s="534" t="s">
        <v>96</v>
      </c>
      <c r="AL827" s="534" t="s">
        <v>96</v>
      </c>
      <c r="AM827" s="525" t="s">
        <v>5709</v>
      </c>
      <c r="AN827" s="525" t="s">
        <v>1757</v>
      </c>
      <c r="AO827" s="534">
        <v>796</v>
      </c>
      <c r="AP827" s="534" t="s">
        <v>368</v>
      </c>
      <c r="AQ827" s="534">
        <v>1</v>
      </c>
      <c r="AR827" s="534">
        <v>45</v>
      </c>
      <c r="AS827" s="525" t="s">
        <v>547</v>
      </c>
      <c r="AT827" s="533">
        <v>41711</v>
      </c>
      <c r="AU827" s="533">
        <v>41711</v>
      </c>
      <c r="AV827" s="533">
        <v>41810</v>
      </c>
      <c r="AW827" s="534">
        <v>2014</v>
      </c>
      <c r="AX827" s="525"/>
      <c r="AY827" s="534" t="s">
        <v>186</v>
      </c>
      <c r="AZ827" s="534"/>
      <c r="BA827" s="534">
        <v>2014</v>
      </c>
      <c r="BB827" s="534" t="s">
        <v>2049</v>
      </c>
      <c r="BC827" s="525" t="s">
        <v>2050</v>
      </c>
      <c r="BD827" s="534" t="s">
        <v>1818</v>
      </c>
      <c r="BE827" s="545">
        <v>42004</v>
      </c>
      <c r="BF827" s="498">
        <v>5118.8399999999992</v>
      </c>
      <c r="BG827" s="488">
        <v>5118.8399999999992</v>
      </c>
      <c r="BH827" s="532">
        <v>0</v>
      </c>
      <c r="BI827" s="532">
        <v>1.605</v>
      </c>
      <c r="BJ827" s="534" t="s">
        <v>400</v>
      </c>
      <c r="BK827" s="401"/>
    </row>
    <row r="828" spans="1:63" ht="95.25" customHeight="1">
      <c r="A828" s="523">
        <v>2</v>
      </c>
      <c r="B828" s="534" t="s">
        <v>7163</v>
      </c>
      <c r="C828" s="523" t="s">
        <v>7112</v>
      </c>
      <c r="D828" s="523" t="s">
        <v>242</v>
      </c>
      <c r="E828" s="534" t="s">
        <v>5853</v>
      </c>
      <c r="F828" s="523" t="s">
        <v>1761</v>
      </c>
      <c r="G828" s="523" t="s">
        <v>1762</v>
      </c>
      <c r="H828" s="524" t="s">
        <v>6160</v>
      </c>
      <c r="I828" s="525" t="s">
        <v>7164</v>
      </c>
      <c r="J828" s="525" t="s">
        <v>2978</v>
      </c>
      <c r="K828" s="525" t="s">
        <v>2978</v>
      </c>
      <c r="L828" s="525" t="s">
        <v>1772</v>
      </c>
      <c r="M828" s="541" t="s">
        <v>1755</v>
      </c>
      <c r="N828" s="525" t="s">
        <v>1773</v>
      </c>
      <c r="O828" s="525" t="s">
        <v>2234</v>
      </c>
      <c r="P828" s="531">
        <v>567.13567</v>
      </c>
      <c r="Q828" s="531">
        <v>669.22009059999993</v>
      </c>
      <c r="R828" s="531">
        <v>480.81276652323999</v>
      </c>
      <c r="S828" s="523" t="s">
        <v>1774</v>
      </c>
      <c r="T828" s="542">
        <v>1.087</v>
      </c>
      <c r="U828" s="543">
        <v>1.077</v>
      </c>
      <c r="V828" s="543">
        <v>1.073</v>
      </c>
      <c r="W828" s="543">
        <v>1.071</v>
      </c>
      <c r="X828" s="544">
        <v>0.9</v>
      </c>
      <c r="Y828" s="526">
        <v>543.58000000000004</v>
      </c>
      <c r="Z828" s="531">
        <v>641.42439999999999</v>
      </c>
      <c r="AA828" s="531">
        <v>432.89917564890135</v>
      </c>
      <c r="AB828" s="532">
        <v>510.82102726570355</v>
      </c>
      <c r="AC828" s="531">
        <v>432.89917564890135</v>
      </c>
      <c r="AD828" s="532">
        <v>510.82102726570355</v>
      </c>
      <c r="AE828" s="494" t="s">
        <v>1775</v>
      </c>
      <c r="AF828" s="534" t="s">
        <v>83</v>
      </c>
      <c r="AG828" s="534" t="s">
        <v>211</v>
      </c>
      <c r="AH828" s="534" t="s">
        <v>545</v>
      </c>
      <c r="AI828" s="533">
        <v>41656</v>
      </c>
      <c r="AJ828" s="533">
        <v>41691</v>
      </c>
      <c r="AK828" s="534" t="s">
        <v>96</v>
      </c>
      <c r="AL828" s="534" t="s">
        <v>96</v>
      </c>
      <c r="AM828" s="525" t="s">
        <v>5709</v>
      </c>
      <c r="AN828" s="525" t="s">
        <v>1757</v>
      </c>
      <c r="AO828" s="534">
        <v>796</v>
      </c>
      <c r="AP828" s="534" t="s">
        <v>368</v>
      </c>
      <c r="AQ828" s="534">
        <v>1</v>
      </c>
      <c r="AR828" s="534">
        <v>45</v>
      </c>
      <c r="AS828" s="525" t="s">
        <v>547</v>
      </c>
      <c r="AT828" s="533">
        <v>41711</v>
      </c>
      <c r="AU828" s="533">
        <v>41711</v>
      </c>
      <c r="AV828" s="533">
        <v>41810</v>
      </c>
      <c r="AW828" s="534">
        <v>2014</v>
      </c>
      <c r="AX828" s="525"/>
      <c r="AY828" s="534" t="s">
        <v>186</v>
      </c>
      <c r="AZ828" s="534"/>
      <c r="BA828" s="534">
        <v>2014</v>
      </c>
      <c r="BB828" s="534" t="s">
        <v>7165</v>
      </c>
      <c r="BC828" s="525" t="s">
        <v>7166</v>
      </c>
      <c r="BD828" s="534" t="s">
        <v>1818</v>
      </c>
      <c r="BE828" s="545">
        <v>42004</v>
      </c>
      <c r="BF828" s="498">
        <v>909</v>
      </c>
      <c r="BG828" s="488">
        <v>909</v>
      </c>
      <c r="BH828" s="532">
        <v>0</v>
      </c>
      <c r="BI828" s="532">
        <v>0.11</v>
      </c>
      <c r="BJ828" s="534" t="s">
        <v>400</v>
      </c>
      <c r="BK828" s="401"/>
    </row>
    <row r="829" spans="1:63" ht="95.25" customHeight="1">
      <c r="A829" s="523">
        <v>2</v>
      </c>
      <c r="B829" s="534" t="s">
        <v>7167</v>
      </c>
      <c r="C829" s="523" t="s">
        <v>7112</v>
      </c>
      <c r="D829" s="523" t="s">
        <v>242</v>
      </c>
      <c r="E829" s="534" t="s">
        <v>5853</v>
      </c>
      <c r="F829" s="523" t="s">
        <v>1761</v>
      </c>
      <c r="G829" s="523" t="s">
        <v>1762</v>
      </c>
      <c r="H829" s="524" t="s">
        <v>6160</v>
      </c>
      <c r="I829" s="525" t="s">
        <v>7168</v>
      </c>
      <c r="J829" s="525" t="s">
        <v>2978</v>
      </c>
      <c r="K829" s="525" t="s">
        <v>2978</v>
      </c>
      <c r="L829" s="525" t="s">
        <v>1772</v>
      </c>
      <c r="M829" s="541" t="s">
        <v>1755</v>
      </c>
      <c r="N829" s="525" t="s">
        <v>1773</v>
      </c>
      <c r="O829" s="525" t="s">
        <v>2234</v>
      </c>
      <c r="P829" s="531">
        <v>652.47176999999999</v>
      </c>
      <c r="Q829" s="531">
        <v>769.91668859999993</v>
      </c>
      <c r="R829" s="531">
        <v>457.8158734866351</v>
      </c>
      <c r="S829" s="523" t="s">
        <v>1774</v>
      </c>
      <c r="T829" s="542">
        <v>1.087</v>
      </c>
      <c r="U829" s="543">
        <v>1.077</v>
      </c>
      <c r="V829" s="543">
        <v>1.073</v>
      </c>
      <c r="W829" s="543">
        <v>1.071</v>
      </c>
      <c r="X829" s="544">
        <v>0.9</v>
      </c>
      <c r="Y829" s="526">
        <v>517.58100000000002</v>
      </c>
      <c r="Z829" s="531">
        <v>610.74558000000002</v>
      </c>
      <c r="AA829" s="531">
        <v>430.06370402062993</v>
      </c>
      <c r="AB829" s="532">
        <v>507.4751707443433</v>
      </c>
      <c r="AC829" s="531">
        <v>430.06370402062993</v>
      </c>
      <c r="AD829" s="532">
        <v>507.4751707443433</v>
      </c>
      <c r="AE829" s="494" t="s">
        <v>1775</v>
      </c>
      <c r="AF829" s="534" t="s">
        <v>83</v>
      </c>
      <c r="AG829" s="534" t="s">
        <v>211</v>
      </c>
      <c r="AH829" s="534" t="s">
        <v>545</v>
      </c>
      <c r="AI829" s="533">
        <v>41656</v>
      </c>
      <c r="AJ829" s="533">
        <v>41691</v>
      </c>
      <c r="AK829" s="534" t="s">
        <v>96</v>
      </c>
      <c r="AL829" s="534" t="s">
        <v>96</v>
      </c>
      <c r="AM829" s="525" t="s">
        <v>5709</v>
      </c>
      <c r="AN829" s="525" t="s">
        <v>1757</v>
      </c>
      <c r="AO829" s="534">
        <v>796</v>
      </c>
      <c r="AP829" s="534" t="s">
        <v>368</v>
      </c>
      <c r="AQ829" s="534">
        <v>1</v>
      </c>
      <c r="AR829" s="534">
        <v>45</v>
      </c>
      <c r="AS829" s="525" t="s">
        <v>547</v>
      </c>
      <c r="AT829" s="533">
        <v>41711</v>
      </c>
      <c r="AU829" s="533">
        <v>41711</v>
      </c>
      <c r="AV829" s="533">
        <v>41810</v>
      </c>
      <c r="AW829" s="534">
        <v>2014</v>
      </c>
      <c r="AX829" s="525"/>
      <c r="AY829" s="534" t="s">
        <v>186</v>
      </c>
      <c r="AZ829" s="534"/>
      <c r="BA829" s="534">
        <v>2014</v>
      </c>
      <c r="BB829" s="534" t="s">
        <v>2009</v>
      </c>
      <c r="BC829" s="525" t="s">
        <v>2010</v>
      </c>
      <c r="BD829" s="534" t="s">
        <v>1818</v>
      </c>
      <c r="BE829" s="545">
        <v>42004</v>
      </c>
      <c r="BF829" s="498">
        <v>12878.352391147997</v>
      </c>
      <c r="BG829" s="488">
        <v>12878.352391147997</v>
      </c>
      <c r="BH829" s="532">
        <v>0</v>
      </c>
      <c r="BI829" s="532">
        <v>2</v>
      </c>
      <c r="BJ829" s="534" t="s">
        <v>400</v>
      </c>
      <c r="BK829" s="401"/>
    </row>
    <row r="830" spans="1:63" ht="96.75" customHeight="1">
      <c r="A830" s="504">
        <v>2</v>
      </c>
      <c r="B830" s="570" t="s">
        <v>7169</v>
      </c>
      <c r="C830" s="504" t="s">
        <v>83</v>
      </c>
      <c r="D830" s="504" t="s">
        <v>242</v>
      </c>
      <c r="E830" s="570" t="s">
        <v>5853</v>
      </c>
      <c r="F830" s="504" t="s">
        <v>1761</v>
      </c>
      <c r="G830" s="504" t="s">
        <v>1762</v>
      </c>
      <c r="H830" s="517">
        <v>854328</v>
      </c>
      <c r="I830" s="506" t="s">
        <v>7170</v>
      </c>
      <c r="J830" s="506" t="s">
        <v>2978</v>
      </c>
      <c r="K830" s="506" t="s">
        <v>2978</v>
      </c>
      <c r="L830" s="506" t="s">
        <v>1772</v>
      </c>
      <c r="M830" s="571" t="s">
        <v>1755</v>
      </c>
      <c r="N830" s="506" t="s">
        <v>1773</v>
      </c>
      <c r="O830" s="506" t="s">
        <v>2234</v>
      </c>
      <c r="P830" s="512">
        <v>3833.5361300000004</v>
      </c>
      <c r="Q830" s="512">
        <v>4523.5726334000001</v>
      </c>
      <c r="R830" s="512">
        <v>3272.1627114791172</v>
      </c>
      <c r="S830" s="504" t="s">
        <v>1774</v>
      </c>
      <c r="T830" s="572">
        <v>1.087</v>
      </c>
      <c r="U830" s="572">
        <v>1.077</v>
      </c>
      <c r="V830" s="572">
        <v>1.073</v>
      </c>
      <c r="W830" s="572">
        <v>1.071</v>
      </c>
      <c r="X830" s="511">
        <v>0.9</v>
      </c>
      <c r="Y830" s="512">
        <v>3699.3240000000001</v>
      </c>
      <c r="Z830" s="512">
        <v>4365.2023199999994</v>
      </c>
      <c r="AA830" s="512">
        <v>3531.4346614198612</v>
      </c>
      <c r="AB830" s="512">
        <v>4167.0929004754362</v>
      </c>
      <c r="AC830" s="512">
        <v>3531.4346614198612</v>
      </c>
      <c r="AD830" s="512">
        <v>4167.0929004754362</v>
      </c>
      <c r="AE830" s="494" t="s">
        <v>1775</v>
      </c>
      <c r="AF830" s="570" t="s">
        <v>83</v>
      </c>
      <c r="AG830" s="570" t="s">
        <v>211</v>
      </c>
      <c r="AH830" s="570" t="s">
        <v>545</v>
      </c>
      <c r="AI830" s="515">
        <v>41656</v>
      </c>
      <c r="AJ830" s="515">
        <v>41691</v>
      </c>
      <c r="AK830" s="570" t="s">
        <v>96</v>
      </c>
      <c r="AL830" s="570" t="s">
        <v>96</v>
      </c>
      <c r="AM830" s="506" t="s">
        <v>5709</v>
      </c>
      <c r="AN830" s="506" t="s">
        <v>1757</v>
      </c>
      <c r="AO830" s="570">
        <v>796</v>
      </c>
      <c r="AP830" s="570" t="s">
        <v>368</v>
      </c>
      <c r="AQ830" s="570">
        <v>1</v>
      </c>
      <c r="AR830" s="570">
        <v>45</v>
      </c>
      <c r="AS830" s="506" t="s">
        <v>547</v>
      </c>
      <c r="AT830" s="515">
        <v>41711</v>
      </c>
      <c r="AU830" s="515">
        <v>41711</v>
      </c>
      <c r="AV830" s="515">
        <v>41810</v>
      </c>
      <c r="AW830" s="570">
        <v>2014</v>
      </c>
      <c r="AX830" s="506"/>
      <c r="AY830" s="570" t="s">
        <v>186</v>
      </c>
      <c r="AZ830" s="570"/>
      <c r="BA830" s="570">
        <v>2014</v>
      </c>
      <c r="BB830" s="570" t="s">
        <v>2271</v>
      </c>
      <c r="BC830" s="506" t="s">
        <v>2271</v>
      </c>
      <c r="BD830" s="570" t="s">
        <v>2272</v>
      </c>
      <c r="BE830" s="573" t="s">
        <v>2272</v>
      </c>
      <c r="BF830" s="574" t="s">
        <v>2272</v>
      </c>
      <c r="BG830" s="488" t="s">
        <v>2272</v>
      </c>
      <c r="BH830" s="574" t="s">
        <v>2272</v>
      </c>
      <c r="BI830" s="574" t="s">
        <v>2272</v>
      </c>
      <c r="BJ830" s="570" t="s">
        <v>186</v>
      </c>
      <c r="BK830" s="401"/>
    </row>
    <row r="831" spans="1:63" ht="95.25" customHeight="1">
      <c r="A831" s="523">
        <v>2</v>
      </c>
      <c r="B831" s="534" t="s">
        <v>7171</v>
      </c>
      <c r="C831" s="523" t="s">
        <v>7112</v>
      </c>
      <c r="D831" s="523" t="s">
        <v>242</v>
      </c>
      <c r="E831" s="534" t="s">
        <v>5853</v>
      </c>
      <c r="F831" s="523" t="s">
        <v>1761</v>
      </c>
      <c r="G831" s="523" t="s">
        <v>1762</v>
      </c>
      <c r="H831" s="524" t="s">
        <v>6160</v>
      </c>
      <c r="I831" s="525" t="s">
        <v>7172</v>
      </c>
      <c r="J831" s="525" t="s">
        <v>2978</v>
      </c>
      <c r="K831" s="525" t="s">
        <v>2978</v>
      </c>
      <c r="L831" s="525" t="s">
        <v>1772</v>
      </c>
      <c r="M831" s="541" t="s">
        <v>1755</v>
      </c>
      <c r="N831" s="525" t="s">
        <v>1773</v>
      </c>
      <c r="O831" s="525" t="s">
        <v>2234</v>
      </c>
      <c r="P831" s="531">
        <v>762.08486000000005</v>
      </c>
      <c r="Q831" s="531">
        <v>899.26013480000006</v>
      </c>
      <c r="R831" s="531">
        <v>659.05438796276701</v>
      </c>
      <c r="S831" s="523" t="s">
        <v>1774</v>
      </c>
      <c r="T831" s="542">
        <v>1.087</v>
      </c>
      <c r="U831" s="543">
        <v>1.077</v>
      </c>
      <c r="V831" s="543">
        <v>1.073</v>
      </c>
      <c r="W831" s="543">
        <v>1.071</v>
      </c>
      <c r="X831" s="544">
        <v>0.9</v>
      </c>
      <c r="Y831" s="526">
        <v>745.09</v>
      </c>
      <c r="Z831" s="531">
        <v>879.20619999999997</v>
      </c>
      <c r="AA831" s="531">
        <v>873.24815167743475</v>
      </c>
      <c r="AB831" s="532">
        <v>1030.432818979373</v>
      </c>
      <c r="AC831" s="531">
        <v>745.09</v>
      </c>
      <c r="AD831" s="532">
        <v>879.20619999999997</v>
      </c>
      <c r="AE831" s="494" t="s">
        <v>1775</v>
      </c>
      <c r="AF831" s="534" t="s">
        <v>83</v>
      </c>
      <c r="AG831" s="534" t="s">
        <v>211</v>
      </c>
      <c r="AH831" s="534" t="s">
        <v>545</v>
      </c>
      <c r="AI831" s="533">
        <v>41656</v>
      </c>
      <c r="AJ831" s="533">
        <v>41691</v>
      </c>
      <c r="AK831" s="534" t="s">
        <v>96</v>
      </c>
      <c r="AL831" s="534" t="s">
        <v>96</v>
      </c>
      <c r="AM831" s="525" t="s">
        <v>5709</v>
      </c>
      <c r="AN831" s="525" t="s">
        <v>1757</v>
      </c>
      <c r="AO831" s="534">
        <v>796</v>
      </c>
      <c r="AP831" s="534" t="s">
        <v>368</v>
      </c>
      <c r="AQ831" s="534">
        <v>1</v>
      </c>
      <c r="AR831" s="534">
        <v>45</v>
      </c>
      <c r="AS831" s="525" t="s">
        <v>547</v>
      </c>
      <c r="AT831" s="533">
        <v>41711</v>
      </c>
      <c r="AU831" s="533">
        <v>41711</v>
      </c>
      <c r="AV831" s="533">
        <v>41810</v>
      </c>
      <c r="AW831" s="534">
        <v>2014</v>
      </c>
      <c r="AX831" s="525"/>
      <c r="AY831" s="534" t="s">
        <v>186</v>
      </c>
      <c r="AZ831" s="534"/>
      <c r="BA831" s="534">
        <v>2014</v>
      </c>
      <c r="BB831" s="534" t="s">
        <v>2149</v>
      </c>
      <c r="BC831" s="525" t="s">
        <v>2150</v>
      </c>
      <c r="BD831" s="534" t="s">
        <v>1818</v>
      </c>
      <c r="BE831" s="545">
        <v>42004</v>
      </c>
      <c r="BF831" s="498">
        <v>1897</v>
      </c>
      <c r="BG831" s="488">
        <v>1897</v>
      </c>
      <c r="BH831" s="532">
        <v>0</v>
      </c>
      <c r="BI831" s="532">
        <v>0.46</v>
      </c>
      <c r="BJ831" s="534" t="s">
        <v>400</v>
      </c>
      <c r="BK831" s="401"/>
    </row>
    <row r="832" spans="1:63" ht="95.25" customHeight="1">
      <c r="A832" s="523">
        <v>2</v>
      </c>
      <c r="B832" s="534" t="s">
        <v>7173</v>
      </c>
      <c r="C832" s="523" t="s">
        <v>7112</v>
      </c>
      <c r="D832" s="523" t="s">
        <v>242</v>
      </c>
      <c r="E832" s="534" t="s">
        <v>5853</v>
      </c>
      <c r="F832" s="523" t="s">
        <v>1761</v>
      </c>
      <c r="G832" s="523" t="s">
        <v>1762</v>
      </c>
      <c r="H832" s="524" t="s">
        <v>6160</v>
      </c>
      <c r="I832" s="525" t="s">
        <v>7174</v>
      </c>
      <c r="J832" s="525" t="s">
        <v>2978</v>
      </c>
      <c r="K832" s="525" t="s">
        <v>2978</v>
      </c>
      <c r="L832" s="525" t="s">
        <v>1772</v>
      </c>
      <c r="M832" s="541" t="s">
        <v>1755</v>
      </c>
      <c r="N832" s="525" t="s">
        <v>1773</v>
      </c>
      <c r="O832" s="525" t="s">
        <v>2234</v>
      </c>
      <c r="P832" s="531">
        <v>1412.61682</v>
      </c>
      <c r="Q832" s="531">
        <v>1666.8878475999998</v>
      </c>
      <c r="R832" s="531">
        <v>1199.7162170131337</v>
      </c>
      <c r="S832" s="523" t="s">
        <v>1774</v>
      </c>
      <c r="T832" s="542">
        <v>1.087</v>
      </c>
      <c r="U832" s="543">
        <v>1.077</v>
      </c>
      <c r="V832" s="543">
        <v>1.073</v>
      </c>
      <c r="W832" s="543">
        <v>1.071</v>
      </c>
      <c r="X832" s="544">
        <v>0.9</v>
      </c>
      <c r="Y832" s="526">
        <v>1356.3320000000001</v>
      </c>
      <c r="Z832" s="531">
        <v>1600.4717600000001</v>
      </c>
      <c r="AA832" s="531">
        <v>1595.2124931346152</v>
      </c>
      <c r="AB832" s="532">
        <v>1882.3507418988459</v>
      </c>
      <c r="AC832" s="531">
        <v>1356.3320000000001</v>
      </c>
      <c r="AD832" s="532">
        <v>1600.4717600000001</v>
      </c>
      <c r="AE832" s="494" t="s">
        <v>1775</v>
      </c>
      <c r="AF832" s="534" t="s">
        <v>83</v>
      </c>
      <c r="AG832" s="534" t="s">
        <v>211</v>
      </c>
      <c r="AH832" s="534" t="s">
        <v>545</v>
      </c>
      <c r="AI832" s="533">
        <v>41656</v>
      </c>
      <c r="AJ832" s="533">
        <v>41691</v>
      </c>
      <c r="AK832" s="534" t="s">
        <v>96</v>
      </c>
      <c r="AL832" s="534" t="s">
        <v>96</v>
      </c>
      <c r="AM832" s="525" t="s">
        <v>5709</v>
      </c>
      <c r="AN832" s="525" t="s">
        <v>1757</v>
      </c>
      <c r="AO832" s="534">
        <v>796</v>
      </c>
      <c r="AP832" s="534" t="s">
        <v>368</v>
      </c>
      <c r="AQ832" s="534">
        <v>1</v>
      </c>
      <c r="AR832" s="534">
        <v>45</v>
      </c>
      <c r="AS832" s="525" t="s">
        <v>547</v>
      </c>
      <c r="AT832" s="533">
        <v>41711</v>
      </c>
      <c r="AU832" s="533">
        <v>41711</v>
      </c>
      <c r="AV832" s="533">
        <v>41810</v>
      </c>
      <c r="AW832" s="534">
        <v>2014</v>
      </c>
      <c r="AX832" s="525"/>
      <c r="AY832" s="534" t="s">
        <v>186</v>
      </c>
      <c r="AZ832" s="534"/>
      <c r="BA832" s="534">
        <v>2014</v>
      </c>
      <c r="BB832" s="534" t="s">
        <v>2145</v>
      </c>
      <c r="BC832" s="525" t="s">
        <v>2146</v>
      </c>
      <c r="BD832" s="534" t="s">
        <v>1818</v>
      </c>
      <c r="BE832" s="545">
        <v>42004</v>
      </c>
      <c r="BF832" s="498">
        <v>5559.5698000000002</v>
      </c>
      <c r="BG832" s="488">
        <v>5559.5698000000002</v>
      </c>
      <c r="BH832" s="532">
        <v>0</v>
      </c>
      <c r="BI832" s="532">
        <v>0.88</v>
      </c>
      <c r="BJ832" s="534" t="s">
        <v>400</v>
      </c>
      <c r="BK832" s="401"/>
    </row>
    <row r="833" spans="1:63" ht="95.25" customHeight="1">
      <c r="A833" s="523">
        <v>2</v>
      </c>
      <c r="B833" s="534" t="s">
        <v>7175</v>
      </c>
      <c r="C833" s="523" t="s">
        <v>7112</v>
      </c>
      <c r="D833" s="523" t="s">
        <v>242</v>
      </c>
      <c r="E833" s="534" t="s">
        <v>5853</v>
      </c>
      <c r="F833" s="523" t="s">
        <v>1761</v>
      </c>
      <c r="G833" s="523" t="s">
        <v>1762</v>
      </c>
      <c r="H833" s="524" t="s">
        <v>6160</v>
      </c>
      <c r="I833" s="525" t="s">
        <v>7176</v>
      </c>
      <c r="J833" s="525" t="s">
        <v>2978</v>
      </c>
      <c r="K833" s="525" t="s">
        <v>2978</v>
      </c>
      <c r="L833" s="525" t="s">
        <v>1772</v>
      </c>
      <c r="M833" s="541" t="s">
        <v>1755</v>
      </c>
      <c r="N833" s="525" t="s">
        <v>1773</v>
      </c>
      <c r="O833" s="525" t="s">
        <v>2234</v>
      </c>
      <c r="P833" s="531">
        <v>1658.8344500000001</v>
      </c>
      <c r="Q833" s="531">
        <v>1957.424651</v>
      </c>
      <c r="R833" s="531">
        <v>1413.3921065032162</v>
      </c>
      <c r="S833" s="523" t="s">
        <v>1774</v>
      </c>
      <c r="T833" s="542">
        <v>1.087</v>
      </c>
      <c r="U833" s="543">
        <v>1.077</v>
      </c>
      <c r="V833" s="543">
        <v>1.073</v>
      </c>
      <c r="W833" s="543">
        <v>1.071</v>
      </c>
      <c r="X833" s="544">
        <v>0.9</v>
      </c>
      <c r="Y833" s="526">
        <v>1597.902</v>
      </c>
      <c r="Z833" s="531">
        <v>1885.5243599999999</v>
      </c>
      <c r="AA833" s="531">
        <v>1062.9740166078116</v>
      </c>
      <c r="AB833" s="532">
        <v>1254.3093395972176</v>
      </c>
      <c r="AC833" s="531">
        <v>1062.9740166078116</v>
      </c>
      <c r="AD833" s="532">
        <v>1254.3093395972176</v>
      </c>
      <c r="AE833" s="494" t="s">
        <v>1775</v>
      </c>
      <c r="AF833" s="534" t="s">
        <v>83</v>
      </c>
      <c r="AG833" s="534" t="s">
        <v>211</v>
      </c>
      <c r="AH833" s="534" t="s">
        <v>545</v>
      </c>
      <c r="AI833" s="533">
        <v>41656</v>
      </c>
      <c r="AJ833" s="533">
        <v>41691</v>
      </c>
      <c r="AK833" s="534" t="s">
        <v>96</v>
      </c>
      <c r="AL833" s="534" t="s">
        <v>96</v>
      </c>
      <c r="AM833" s="525" t="s">
        <v>5709</v>
      </c>
      <c r="AN833" s="525" t="s">
        <v>1757</v>
      </c>
      <c r="AO833" s="534">
        <v>796</v>
      </c>
      <c r="AP833" s="534" t="s">
        <v>368</v>
      </c>
      <c r="AQ833" s="534">
        <v>1</v>
      </c>
      <c r="AR833" s="534">
        <v>45</v>
      </c>
      <c r="AS833" s="525" t="s">
        <v>547</v>
      </c>
      <c r="AT833" s="533">
        <v>41711</v>
      </c>
      <c r="AU833" s="533">
        <v>41711</v>
      </c>
      <c r="AV833" s="533">
        <v>41810</v>
      </c>
      <c r="AW833" s="534">
        <v>2014</v>
      </c>
      <c r="AX833" s="525"/>
      <c r="AY833" s="534" t="s">
        <v>186</v>
      </c>
      <c r="AZ833" s="534"/>
      <c r="BA833" s="534">
        <v>2014</v>
      </c>
      <c r="BB833" s="534" t="s">
        <v>2057</v>
      </c>
      <c r="BC833" s="525" t="s">
        <v>2058</v>
      </c>
      <c r="BD833" s="534" t="s">
        <v>1818</v>
      </c>
      <c r="BE833" s="545">
        <v>42004</v>
      </c>
      <c r="BF833" s="498">
        <v>6211.1816052639997</v>
      </c>
      <c r="BG833" s="488">
        <v>6211.1816052639997</v>
      </c>
      <c r="BH833" s="532">
        <v>0</v>
      </c>
      <c r="BI833" s="532">
        <v>0.56000000000000005</v>
      </c>
      <c r="BJ833" s="534" t="s">
        <v>400</v>
      </c>
      <c r="BK833" s="401"/>
    </row>
    <row r="834" spans="1:63" ht="105.75" customHeight="1">
      <c r="A834" s="401">
        <v>2</v>
      </c>
      <c r="B834" s="494" t="s">
        <v>7177</v>
      </c>
      <c r="C834" s="401" t="s">
        <v>83</v>
      </c>
      <c r="D834" s="401" t="s">
        <v>242</v>
      </c>
      <c r="E834" s="494" t="s">
        <v>5853</v>
      </c>
      <c r="F834" s="401" t="s">
        <v>1761</v>
      </c>
      <c r="G834" s="401" t="s">
        <v>1762</v>
      </c>
      <c r="H834" s="499">
        <v>853625</v>
      </c>
      <c r="I834" s="486" t="s">
        <v>7178</v>
      </c>
      <c r="J834" s="496" t="s">
        <v>2978</v>
      </c>
      <c r="K834" s="496" t="s">
        <v>2978</v>
      </c>
      <c r="L834" s="500" t="s">
        <v>1772</v>
      </c>
      <c r="M834" s="500" t="s">
        <v>1755</v>
      </c>
      <c r="N834" s="496" t="s">
        <v>1773</v>
      </c>
      <c r="O834" s="496" t="s">
        <v>2234</v>
      </c>
      <c r="P834" s="489">
        <v>1260.114</v>
      </c>
      <c r="Q834" s="489">
        <v>1486.93452</v>
      </c>
      <c r="R834" s="584">
        <v>843.12107552838108</v>
      </c>
      <c r="S834" s="401" t="s">
        <v>1774</v>
      </c>
      <c r="T834" s="490">
        <v>1.087</v>
      </c>
      <c r="U834" s="490">
        <v>1.077</v>
      </c>
      <c r="V834" s="490">
        <v>1.073</v>
      </c>
      <c r="W834" s="490">
        <v>1.071</v>
      </c>
      <c r="X834" s="491">
        <v>0.9</v>
      </c>
      <c r="Y834" s="502">
        <v>1239.0429999999999</v>
      </c>
      <c r="Z834" s="489">
        <v>1462.0707399999999</v>
      </c>
      <c r="AA834" s="489">
        <v>1022.96</v>
      </c>
      <c r="AB834" s="488">
        <v>1207.0927999999999</v>
      </c>
      <c r="AC834" s="492">
        <v>1022.96</v>
      </c>
      <c r="AD834" s="493">
        <v>1207.0927999999999</v>
      </c>
      <c r="AE834" s="494" t="s">
        <v>1775</v>
      </c>
      <c r="AF834" s="494" t="s">
        <v>83</v>
      </c>
      <c r="AG834" s="494" t="s">
        <v>211</v>
      </c>
      <c r="AH834" s="494" t="s">
        <v>545</v>
      </c>
      <c r="AI834" s="495">
        <v>41656</v>
      </c>
      <c r="AJ834" s="495">
        <v>41691</v>
      </c>
      <c r="AK834" s="494" t="s">
        <v>96</v>
      </c>
      <c r="AL834" s="494" t="s">
        <v>96</v>
      </c>
      <c r="AM834" s="496" t="s">
        <v>5709</v>
      </c>
      <c r="AN834" s="496" t="s">
        <v>1757</v>
      </c>
      <c r="AO834" s="494">
        <v>796</v>
      </c>
      <c r="AP834" s="494" t="s">
        <v>368</v>
      </c>
      <c r="AQ834" s="494">
        <v>1</v>
      </c>
      <c r="AR834" s="494">
        <v>45</v>
      </c>
      <c r="AS834" s="496" t="s">
        <v>547</v>
      </c>
      <c r="AT834" s="495">
        <v>41711</v>
      </c>
      <c r="AU834" s="495">
        <v>41711</v>
      </c>
      <c r="AV834" s="495">
        <v>41815</v>
      </c>
      <c r="AW834" s="494">
        <v>2014</v>
      </c>
      <c r="AX834" s="496"/>
      <c r="AY834" s="494" t="s">
        <v>186</v>
      </c>
      <c r="AZ834" s="494"/>
      <c r="BA834" s="494">
        <v>2014</v>
      </c>
      <c r="BB834" s="494" t="s">
        <v>1898</v>
      </c>
      <c r="BC834" s="496" t="s">
        <v>7179</v>
      </c>
      <c r="BD834" s="494" t="s">
        <v>1818</v>
      </c>
      <c r="BE834" s="575">
        <v>42004</v>
      </c>
      <c r="BF834" s="498">
        <v>24638.612399999998</v>
      </c>
      <c r="BG834" s="488">
        <v>12878.352391147997</v>
      </c>
      <c r="BH834" s="488">
        <v>2</v>
      </c>
      <c r="BI834" s="488">
        <v>1.44</v>
      </c>
      <c r="BJ834" s="494" t="s">
        <v>186</v>
      </c>
      <c r="BK834" s="401"/>
    </row>
    <row r="835" spans="1:63" ht="96.75" customHeight="1">
      <c r="A835" s="504">
        <v>2</v>
      </c>
      <c r="B835" s="570" t="s">
        <v>7180</v>
      </c>
      <c r="C835" s="504" t="s">
        <v>83</v>
      </c>
      <c r="D835" s="504" t="s">
        <v>242</v>
      </c>
      <c r="E835" s="570" t="s">
        <v>5853</v>
      </c>
      <c r="F835" s="504" t="s">
        <v>1761</v>
      </c>
      <c r="G835" s="504" t="s">
        <v>1762</v>
      </c>
      <c r="H835" s="517">
        <v>854424</v>
      </c>
      <c r="I835" s="506" t="s">
        <v>7181</v>
      </c>
      <c r="J835" s="506" t="s">
        <v>2978</v>
      </c>
      <c r="K835" s="506" t="s">
        <v>2978</v>
      </c>
      <c r="L835" s="506" t="s">
        <v>1772</v>
      </c>
      <c r="M835" s="571" t="s">
        <v>1755</v>
      </c>
      <c r="N835" s="506" t="s">
        <v>1773</v>
      </c>
      <c r="O835" s="506" t="s">
        <v>2234</v>
      </c>
      <c r="P835" s="512">
        <v>2562.2623100000001</v>
      </c>
      <c r="Q835" s="512">
        <v>3023.4695257999997</v>
      </c>
      <c r="R835" s="512">
        <v>2194.1949598432816</v>
      </c>
      <c r="S835" s="504" t="s">
        <v>1774</v>
      </c>
      <c r="T835" s="572">
        <v>1.087</v>
      </c>
      <c r="U835" s="572">
        <v>1.077</v>
      </c>
      <c r="V835" s="572">
        <v>1.073</v>
      </c>
      <c r="W835" s="572">
        <v>1.071</v>
      </c>
      <c r="X835" s="511">
        <v>0.9</v>
      </c>
      <c r="Y835" s="512">
        <v>2480.634</v>
      </c>
      <c r="Z835" s="512">
        <v>2927.1481199999998</v>
      </c>
      <c r="AA835" s="512">
        <v>2649.8540945509471</v>
      </c>
      <c r="AB835" s="512">
        <v>3126.8278315701173</v>
      </c>
      <c r="AC835" s="512">
        <v>2480.634</v>
      </c>
      <c r="AD835" s="512">
        <v>2927.1481199999998</v>
      </c>
      <c r="AE835" s="494" t="s">
        <v>1775</v>
      </c>
      <c r="AF835" s="570" t="s">
        <v>83</v>
      </c>
      <c r="AG835" s="570" t="s">
        <v>211</v>
      </c>
      <c r="AH835" s="570" t="s">
        <v>545</v>
      </c>
      <c r="AI835" s="515">
        <v>41656</v>
      </c>
      <c r="AJ835" s="515">
        <v>41691</v>
      </c>
      <c r="AK835" s="570" t="s">
        <v>96</v>
      </c>
      <c r="AL835" s="570" t="s">
        <v>96</v>
      </c>
      <c r="AM835" s="506" t="s">
        <v>5709</v>
      </c>
      <c r="AN835" s="506" t="s">
        <v>1757</v>
      </c>
      <c r="AO835" s="570">
        <v>796</v>
      </c>
      <c r="AP835" s="570" t="s">
        <v>368</v>
      </c>
      <c r="AQ835" s="570">
        <v>1</v>
      </c>
      <c r="AR835" s="570">
        <v>45</v>
      </c>
      <c r="AS835" s="506" t="s">
        <v>547</v>
      </c>
      <c r="AT835" s="515">
        <v>41711</v>
      </c>
      <c r="AU835" s="515">
        <v>41711</v>
      </c>
      <c r="AV835" s="515">
        <v>41810</v>
      </c>
      <c r="AW835" s="570">
        <v>2014</v>
      </c>
      <c r="AX835" s="506"/>
      <c r="AY835" s="570" t="s">
        <v>186</v>
      </c>
      <c r="AZ835" s="570"/>
      <c r="BA835" s="570">
        <v>2014</v>
      </c>
      <c r="BB835" s="570" t="s">
        <v>2271</v>
      </c>
      <c r="BC835" s="506" t="s">
        <v>2271</v>
      </c>
      <c r="BD835" s="570" t="s">
        <v>2272</v>
      </c>
      <c r="BE835" s="573" t="s">
        <v>2272</v>
      </c>
      <c r="BF835" s="574" t="s">
        <v>2272</v>
      </c>
      <c r="BG835" s="488" t="s">
        <v>2272</v>
      </c>
      <c r="BH835" s="574" t="s">
        <v>2272</v>
      </c>
      <c r="BI835" s="574" t="s">
        <v>2272</v>
      </c>
      <c r="BJ835" s="570" t="s">
        <v>186</v>
      </c>
      <c r="BK835" s="401"/>
    </row>
    <row r="836" spans="1:63" ht="95.25" customHeight="1">
      <c r="A836" s="523">
        <v>2</v>
      </c>
      <c r="B836" s="534" t="s">
        <v>7182</v>
      </c>
      <c r="C836" s="523" t="s">
        <v>7112</v>
      </c>
      <c r="D836" s="523" t="s">
        <v>242</v>
      </c>
      <c r="E836" s="534" t="s">
        <v>5853</v>
      </c>
      <c r="F836" s="523" t="s">
        <v>1761</v>
      </c>
      <c r="G836" s="523" t="s">
        <v>1762</v>
      </c>
      <c r="H836" s="524" t="s">
        <v>6160</v>
      </c>
      <c r="I836" s="525" t="s">
        <v>7183</v>
      </c>
      <c r="J836" s="525" t="s">
        <v>2978</v>
      </c>
      <c r="K836" s="525" t="s">
        <v>2978</v>
      </c>
      <c r="L836" s="525" t="s">
        <v>1772</v>
      </c>
      <c r="M836" s="541" t="s">
        <v>1755</v>
      </c>
      <c r="N836" s="525" t="s">
        <v>1773</v>
      </c>
      <c r="O836" s="525" t="s">
        <v>2234</v>
      </c>
      <c r="P836" s="531">
        <v>807.69195999999999</v>
      </c>
      <c r="Q836" s="531">
        <v>953.07651279999993</v>
      </c>
      <c r="R836" s="531">
        <v>693.38210910041073</v>
      </c>
      <c r="S836" s="523" t="s">
        <v>1774</v>
      </c>
      <c r="T836" s="542">
        <v>1.087</v>
      </c>
      <c r="U836" s="543">
        <v>1.077</v>
      </c>
      <c r="V836" s="543">
        <v>1.073</v>
      </c>
      <c r="W836" s="543">
        <v>1.071</v>
      </c>
      <c r="X836" s="544">
        <v>0.9</v>
      </c>
      <c r="Y836" s="526">
        <v>783.899</v>
      </c>
      <c r="Z836" s="531">
        <v>925.00081999999998</v>
      </c>
      <c r="AA836" s="531">
        <v>894.0405125705721</v>
      </c>
      <c r="AB836" s="532">
        <v>1054.9678048332751</v>
      </c>
      <c r="AC836" s="531">
        <v>783.899</v>
      </c>
      <c r="AD836" s="532">
        <v>925.00081999999998</v>
      </c>
      <c r="AE836" s="494" t="s">
        <v>1775</v>
      </c>
      <c r="AF836" s="534" t="s">
        <v>83</v>
      </c>
      <c r="AG836" s="534" t="s">
        <v>211</v>
      </c>
      <c r="AH836" s="534" t="s">
        <v>545</v>
      </c>
      <c r="AI836" s="533">
        <v>41656</v>
      </c>
      <c r="AJ836" s="533">
        <v>41691</v>
      </c>
      <c r="AK836" s="534" t="s">
        <v>96</v>
      </c>
      <c r="AL836" s="534" t="s">
        <v>96</v>
      </c>
      <c r="AM836" s="525" t="s">
        <v>5709</v>
      </c>
      <c r="AN836" s="525" t="s">
        <v>1757</v>
      </c>
      <c r="AO836" s="534">
        <v>796</v>
      </c>
      <c r="AP836" s="534" t="s">
        <v>368</v>
      </c>
      <c r="AQ836" s="534">
        <v>1</v>
      </c>
      <c r="AR836" s="534">
        <v>45</v>
      </c>
      <c r="AS836" s="525" t="s">
        <v>547</v>
      </c>
      <c r="AT836" s="533">
        <v>41711</v>
      </c>
      <c r="AU836" s="533">
        <v>41711</v>
      </c>
      <c r="AV836" s="533">
        <v>41810</v>
      </c>
      <c r="AW836" s="534">
        <v>2014</v>
      </c>
      <c r="AX836" s="525"/>
      <c r="AY836" s="534" t="s">
        <v>186</v>
      </c>
      <c r="AZ836" s="534"/>
      <c r="BA836" s="534">
        <v>2014</v>
      </c>
      <c r="BB836" s="534" t="s">
        <v>2185</v>
      </c>
      <c r="BC836" s="525" t="s">
        <v>2186</v>
      </c>
      <c r="BD836" s="534" t="s">
        <v>1818</v>
      </c>
      <c r="BE836" s="545">
        <v>42004</v>
      </c>
      <c r="BF836" s="498">
        <v>10620</v>
      </c>
      <c r="BG836" s="488">
        <v>10620</v>
      </c>
      <c r="BH836" s="532">
        <v>1.26</v>
      </c>
      <c r="BI836" s="532">
        <v>0</v>
      </c>
      <c r="BJ836" s="534" t="s">
        <v>400</v>
      </c>
      <c r="BK836" s="401"/>
    </row>
    <row r="837" spans="1:63" ht="95.25" customHeight="1">
      <c r="A837" s="523">
        <v>2</v>
      </c>
      <c r="B837" s="534" t="s">
        <v>7184</v>
      </c>
      <c r="C837" s="523" t="s">
        <v>7112</v>
      </c>
      <c r="D837" s="523" t="s">
        <v>242</v>
      </c>
      <c r="E837" s="534" t="s">
        <v>5853</v>
      </c>
      <c r="F837" s="523" t="s">
        <v>1761</v>
      </c>
      <c r="G837" s="523" t="s">
        <v>1762</v>
      </c>
      <c r="H837" s="524" t="s">
        <v>6160</v>
      </c>
      <c r="I837" s="525" t="s">
        <v>7185</v>
      </c>
      <c r="J837" s="525" t="s">
        <v>2978</v>
      </c>
      <c r="K837" s="525" t="s">
        <v>2978</v>
      </c>
      <c r="L837" s="525" t="s">
        <v>1772</v>
      </c>
      <c r="M837" s="541" t="s">
        <v>1755</v>
      </c>
      <c r="N837" s="525" t="s">
        <v>1773</v>
      </c>
      <c r="O837" s="525" t="s">
        <v>2234</v>
      </c>
      <c r="P837" s="531">
        <v>714.72650999999996</v>
      </c>
      <c r="Q837" s="531">
        <v>843.37728179999988</v>
      </c>
      <c r="R837" s="531">
        <v>619.36553106240694</v>
      </c>
      <c r="S837" s="523" t="s">
        <v>1774</v>
      </c>
      <c r="T837" s="542">
        <v>1.087</v>
      </c>
      <c r="U837" s="543">
        <v>1.077</v>
      </c>
      <c r="V837" s="543">
        <v>1.073</v>
      </c>
      <c r="W837" s="543">
        <v>1.071</v>
      </c>
      <c r="X837" s="544">
        <v>0.9</v>
      </c>
      <c r="Y837" s="526">
        <v>700.22</v>
      </c>
      <c r="Z837" s="531">
        <v>826.25959999999998</v>
      </c>
      <c r="AA837" s="531">
        <v>798.60421777826753</v>
      </c>
      <c r="AB837" s="532">
        <v>942.35297697835563</v>
      </c>
      <c r="AC837" s="531">
        <v>700.22</v>
      </c>
      <c r="AD837" s="532">
        <v>826.25959999999998</v>
      </c>
      <c r="AE837" s="494" t="s">
        <v>1775</v>
      </c>
      <c r="AF837" s="534" t="s">
        <v>83</v>
      </c>
      <c r="AG837" s="534" t="s">
        <v>211</v>
      </c>
      <c r="AH837" s="534" t="s">
        <v>545</v>
      </c>
      <c r="AI837" s="533">
        <v>41656</v>
      </c>
      <c r="AJ837" s="533">
        <v>41691</v>
      </c>
      <c r="AK837" s="534" t="s">
        <v>96</v>
      </c>
      <c r="AL837" s="534" t="s">
        <v>96</v>
      </c>
      <c r="AM837" s="525" t="s">
        <v>5709</v>
      </c>
      <c r="AN837" s="525" t="s">
        <v>1757</v>
      </c>
      <c r="AO837" s="534">
        <v>796</v>
      </c>
      <c r="AP837" s="534" t="s">
        <v>368</v>
      </c>
      <c r="AQ837" s="534">
        <v>1</v>
      </c>
      <c r="AR837" s="534">
        <v>45</v>
      </c>
      <c r="AS837" s="525" t="s">
        <v>547</v>
      </c>
      <c r="AT837" s="533">
        <v>41711</v>
      </c>
      <c r="AU837" s="533">
        <v>41711</v>
      </c>
      <c r="AV837" s="533">
        <v>41810</v>
      </c>
      <c r="AW837" s="534">
        <v>2014</v>
      </c>
      <c r="AX837" s="525"/>
      <c r="AY837" s="534" t="s">
        <v>186</v>
      </c>
      <c r="AZ837" s="534"/>
      <c r="BA837" s="534">
        <v>2014</v>
      </c>
      <c r="BB837" s="534" t="s">
        <v>2189</v>
      </c>
      <c r="BC837" s="525" t="s">
        <v>2190</v>
      </c>
      <c r="BD837" s="534" t="s">
        <v>1818</v>
      </c>
      <c r="BE837" s="545">
        <v>42004</v>
      </c>
      <c r="BF837" s="498">
        <v>10620</v>
      </c>
      <c r="BG837" s="488">
        <v>10620</v>
      </c>
      <c r="BH837" s="532">
        <v>1.26</v>
      </c>
      <c r="BI837" s="532">
        <v>0</v>
      </c>
      <c r="BJ837" s="534" t="s">
        <v>400</v>
      </c>
      <c r="BK837" s="401"/>
    </row>
    <row r="838" spans="1:63" ht="95.25" customHeight="1">
      <c r="A838" s="523">
        <v>2</v>
      </c>
      <c r="B838" s="534" t="s">
        <v>7186</v>
      </c>
      <c r="C838" s="523" t="s">
        <v>7112</v>
      </c>
      <c r="D838" s="523" t="s">
        <v>242</v>
      </c>
      <c r="E838" s="534" t="s">
        <v>5853</v>
      </c>
      <c r="F838" s="523" t="s">
        <v>1761</v>
      </c>
      <c r="G838" s="523" t="s">
        <v>1762</v>
      </c>
      <c r="H838" s="524" t="s">
        <v>6160</v>
      </c>
      <c r="I838" s="525" t="s">
        <v>7187</v>
      </c>
      <c r="J838" s="525" t="s">
        <v>2978</v>
      </c>
      <c r="K838" s="525" t="s">
        <v>2978</v>
      </c>
      <c r="L838" s="525" t="s">
        <v>1772</v>
      </c>
      <c r="M838" s="541" t="s">
        <v>1755</v>
      </c>
      <c r="N838" s="525" t="s">
        <v>1773</v>
      </c>
      <c r="O838" s="525" t="s">
        <v>2234</v>
      </c>
      <c r="P838" s="531">
        <v>1039.84384</v>
      </c>
      <c r="Q838" s="531">
        <v>1227.0157311999999</v>
      </c>
      <c r="R838" s="531">
        <v>881.44731968046369</v>
      </c>
      <c r="S838" s="523" t="s">
        <v>1774</v>
      </c>
      <c r="T838" s="542">
        <v>1.087</v>
      </c>
      <c r="U838" s="543">
        <v>1.077</v>
      </c>
      <c r="V838" s="543">
        <v>1.073</v>
      </c>
      <c r="W838" s="543">
        <v>1.071</v>
      </c>
      <c r="X838" s="544">
        <v>0.9</v>
      </c>
      <c r="Y838" s="526">
        <v>996.51499999999999</v>
      </c>
      <c r="Z838" s="531">
        <v>1175.8877</v>
      </c>
      <c r="AA838" s="531">
        <v>957.20936420210739</v>
      </c>
      <c r="AB838" s="532">
        <v>1129.5070497584866</v>
      </c>
      <c r="AC838" s="531">
        <v>957.20936420210739</v>
      </c>
      <c r="AD838" s="532">
        <v>1129.5070497584866</v>
      </c>
      <c r="AE838" s="494" t="s">
        <v>1775</v>
      </c>
      <c r="AF838" s="534" t="s">
        <v>83</v>
      </c>
      <c r="AG838" s="534" t="s">
        <v>211</v>
      </c>
      <c r="AH838" s="534" t="s">
        <v>545</v>
      </c>
      <c r="AI838" s="533">
        <v>41656</v>
      </c>
      <c r="AJ838" s="533">
        <v>41691</v>
      </c>
      <c r="AK838" s="534" t="s">
        <v>96</v>
      </c>
      <c r="AL838" s="534" t="s">
        <v>96</v>
      </c>
      <c r="AM838" s="525" t="s">
        <v>5709</v>
      </c>
      <c r="AN838" s="525" t="s">
        <v>1757</v>
      </c>
      <c r="AO838" s="534">
        <v>796</v>
      </c>
      <c r="AP838" s="534" t="s">
        <v>368</v>
      </c>
      <c r="AQ838" s="534">
        <v>1</v>
      </c>
      <c r="AR838" s="534">
        <v>45</v>
      </c>
      <c r="AS838" s="525" t="s">
        <v>547</v>
      </c>
      <c r="AT838" s="533">
        <v>41711</v>
      </c>
      <c r="AU838" s="533">
        <v>41711</v>
      </c>
      <c r="AV838" s="533">
        <v>41815</v>
      </c>
      <c r="AW838" s="534">
        <v>2014</v>
      </c>
      <c r="AX838" s="525"/>
      <c r="AY838" s="534" t="s">
        <v>186</v>
      </c>
      <c r="AZ838" s="534"/>
      <c r="BA838" s="534">
        <v>2014</v>
      </c>
      <c r="BB838" s="534" t="s">
        <v>1855</v>
      </c>
      <c r="BC838" s="525" t="s">
        <v>7188</v>
      </c>
      <c r="BD838" s="534" t="s">
        <v>1818</v>
      </c>
      <c r="BE838" s="545">
        <v>42004</v>
      </c>
      <c r="BF838" s="546">
        <v>32741.000000599881</v>
      </c>
      <c r="BG838" s="488">
        <v>30776.540000563993</v>
      </c>
      <c r="BH838" s="532">
        <v>0</v>
      </c>
      <c r="BI838" s="532">
        <v>1.1200000000000001</v>
      </c>
      <c r="BJ838" s="534" t="s">
        <v>400</v>
      </c>
      <c r="BK838" s="523"/>
    </row>
    <row r="839" spans="1:63" ht="96.75" customHeight="1">
      <c r="A839" s="504">
        <v>2</v>
      </c>
      <c r="B839" s="570" t="s">
        <v>7189</v>
      </c>
      <c r="C839" s="504" t="s">
        <v>83</v>
      </c>
      <c r="D839" s="504" t="s">
        <v>242</v>
      </c>
      <c r="E839" s="570" t="s">
        <v>5853</v>
      </c>
      <c r="F839" s="504" t="s">
        <v>1761</v>
      </c>
      <c r="G839" s="504" t="s">
        <v>1762</v>
      </c>
      <c r="H839" s="517">
        <v>854423</v>
      </c>
      <c r="I839" s="506" t="s">
        <v>7190</v>
      </c>
      <c r="J839" s="506" t="s">
        <v>2978</v>
      </c>
      <c r="K839" s="506" t="s">
        <v>2978</v>
      </c>
      <c r="L839" s="506" t="s">
        <v>1772</v>
      </c>
      <c r="M839" s="571" t="s">
        <v>1755</v>
      </c>
      <c r="N839" s="506" t="s">
        <v>1773</v>
      </c>
      <c r="O839" s="506" t="s">
        <v>2234</v>
      </c>
      <c r="P839" s="512">
        <v>2343.97633</v>
      </c>
      <c r="Q839" s="512">
        <v>2765.8920693999999</v>
      </c>
      <c r="R839" s="512">
        <v>2059.8189455221554</v>
      </c>
      <c r="S839" s="504" t="s">
        <v>1774</v>
      </c>
      <c r="T839" s="572">
        <v>1.087</v>
      </c>
      <c r="U839" s="572">
        <v>1.077</v>
      </c>
      <c r="V839" s="572">
        <v>1.073</v>
      </c>
      <c r="W839" s="572">
        <v>1.071</v>
      </c>
      <c r="X839" s="511">
        <v>0.9</v>
      </c>
      <c r="Y839" s="512">
        <v>2328.7159999999999</v>
      </c>
      <c r="Z839" s="512">
        <v>2747.8848799999996</v>
      </c>
      <c r="AA839" s="512">
        <v>1925.010594751752</v>
      </c>
      <c r="AB839" s="512">
        <v>2271.5125018070676</v>
      </c>
      <c r="AC839" s="512">
        <v>1925.010594751752</v>
      </c>
      <c r="AD839" s="512">
        <v>2271.5125018070671</v>
      </c>
      <c r="AE839" s="494" t="s">
        <v>1775</v>
      </c>
      <c r="AF839" s="570" t="s">
        <v>83</v>
      </c>
      <c r="AG839" s="570" t="s">
        <v>211</v>
      </c>
      <c r="AH839" s="570" t="s">
        <v>545</v>
      </c>
      <c r="AI839" s="515">
        <v>41656</v>
      </c>
      <c r="AJ839" s="515">
        <v>41691</v>
      </c>
      <c r="AK839" s="570" t="s">
        <v>96</v>
      </c>
      <c r="AL839" s="570" t="s">
        <v>96</v>
      </c>
      <c r="AM839" s="506" t="s">
        <v>5709</v>
      </c>
      <c r="AN839" s="506" t="s">
        <v>1757</v>
      </c>
      <c r="AO839" s="570">
        <v>796</v>
      </c>
      <c r="AP839" s="570" t="s">
        <v>368</v>
      </c>
      <c r="AQ839" s="570">
        <v>1</v>
      </c>
      <c r="AR839" s="570">
        <v>45</v>
      </c>
      <c r="AS839" s="506" t="s">
        <v>547</v>
      </c>
      <c r="AT839" s="515">
        <v>41711</v>
      </c>
      <c r="AU839" s="515">
        <v>41711</v>
      </c>
      <c r="AV839" s="515">
        <v>41810</v>
      </c>
      <c r="AW839" s="570">
        <v>2014</v>
      </c>
      <c r="AX839" s="506"/>
      <c r="AY839" s="570" t="s">
        <v>186</v>
      </c>
      <c r="AZ839" s="570"/>
      <c r="BA839" s="570">
        <v>2014</v>
      </c>
      <c r="BB839" s="570" t="s">
        <v>2271</v>
      </c>
      <c r="BC839" s="506" t="s">
        <v>2271</v>
      </c>
      <c r="BD839" s="570" t="s">
        <v>2272</v>
      </c>
      <c r="BE839" s="573" t="s">
        <v>2272</v>
      </c>
      <c r="BF839" s="574" t="s">
        <v>2272</v>
      </c>
      <c r="BG839" s="488" t="s">
        <v>2272</v>
      </c>
      <c r="BH839" s="574" t="s">
        <v>2272</v>
      </c>
      <c r="BI839" s="574" t="s">
        <v>2272</v>
      </c>
      <c r="BJ839" s="570" t="s">
        <v>186</v>
      </c>
      <c r="BK839" s="401"/>
    </row>
    <row r="840" spans="1:63" ht="95.25" customHeight="1">
      <c r="A840" s="523">
        <v>2</v>
      </c>
      <c r="B840" s="534" t="s">
        <v>7191</v>
      </c>
      <c r="C840" s="523" t="s">
        <v>7112</v>
      </c>
      <c r="D840" s="523" t="s">
        <v>242</v>
      </c>
      <c r="E840" s="534" t="s">
        <v>5853</v>
      </c>
      <c r="F840" s="523" t="s">
        <v>1761</v>
      </c>
      <c r="G840" s="523" t="s">
        <v>1762</v>
      </c>
      <c r="H840" s="524" t="s">
        <v>6160</v>
      </c>
      <c r="I840" s="525" t="s">
        <v>7192</v>
      </c>
      <c r="J840" s="525" t="s">
        <v>2978</v>
      </c>
      <c r="K840" s="525" t="s">
        <v>2978</v>
      </c>
      <c r="L840" s="525" t="s">
        <v>1772</v>
      </c>
      <c r="M840" s="541" t="s">
        <v>1755</v>
      </c>
      <c r="N840" s="525" t="s">
        <v>1773</v>
      </c>
      <c r="O840" s="525" t="s">
        <v>2234</v>
      </c>
      <c r="P840" s="531">
        <v>1565.3452500000001</v>
      </c>
      <c r="Q840" s="531">
        <v>1847.107395</v>
      </c>
      <c r="R840" s="531">
        <v>1375.6518689866646</v>
      </c>
      <c r="S840" s="523" t="s">
        <v>1774</v>
      </c>
      <c r="T840" s="542">
        <v>1.087</v>
      </c>
      <c r="U840" s="543">
        <v>1.077</v>
      </c>
      <c r="V840" s="543">
        <v>1.073</v>
      </c>
      <c r="W840" s="543">
        <v>1.071</v>
      </c>
      <c r="X840" s="544">
        <v>0.9</v>
      </c>
      <c r="Y840" s="526">
        <v>1555.2349999999999</v>
      </c>
      <c r="Z840" s="531">
        <v>1835.1772999999998</v>
      </c>
      <c r="AA840" s="531">
        <v>1309.0216192925964</v>
      </c>
      <c r="AB840" s="532">
        <v>1544.6455107652637</v>
      </c>
      <c r="AC840" s="531">
        <v>1309.0216192925964</v>
      </c>
      <c r="AD840" s="532">
        <v>1544.6455107652637</v>
      </c>
      <c r="AE840" s="494" t="s">
        <v>1775</v>
      </c>
      <c r="AF840" s="534" t="s">
        <v>83</v>
      </c>
      <c r="AG840" s="534" t="s">
        <v>211</v>
      </c>
      <c r="AH840" s="534" t="s">
        <v>545</v>
      </c>
      <c r="AI840" s="533">
        <v>41656</v>
      </c>
      <c r="AJ840" s="533">
        <v>41691</v>
      </c>
      <c r="AK840" s="534" t="s">
        <v>96</v>
      </c>
      <c r="AL840" s="534" t="s">
        <v>96</v>
      </c>
      <c r="AM840" s="525" t="s">
        <v>5709</v>
      </c>
      <c r="AN840" s="525" t="s">
        <v>1757</v>
      </c>
      <c r="AO840" s="534">
        <v>796</v>
      </c>
      <c r="AP840" s="534" t="s">
        <v>368</v>
      </c>
      <c r="AQ840" s="534">
        <v>1</v>
      </c>
      <c r="AR840" s="534">
        <v>45</v>
      </c>
      <c r="AS840" s="525" t="s">
        <v>547</v>
      </c>
      <c r="AT840" s="533">
        <v>41711</v>
      </c>
      <c r="AU840" s="533">
        <v>41711</v>
      </c>
      <c r="AV840" s="533">
        <v>41810</v>
      </c>
      <c r="AW840" s="534">
        <v>2014</v>
      </c>
      <c r="AX840" s="525"/>
      <c r="AY840" s="534" t="s">
        <v>186</v>
      </c>
      <c r="AZ840" s="534"/>
      <c r="BA840" s="534">
        <v>2014</v>
      </c>
      <c r="BB840" s="534" t="s">
        <v>2181</v>
      </c>
      <c r="BC840" s="525" t="s">
        <v>2182</v>
      </c>
      <c r="BD840" s="534" t="s">
        <v>1818</v>
      </c>
      <c r="BE840" s="545">
        <v>42004</v>
      </c>
      <c r="BF840" s="498">
        <v>5543.1800031959992</v>
      </c>
      <c r="BG840" s="488">
        <v>5543.1800031959992</v>
      </c>
      <c r="BH840" s="532">
        <v>0</v>
      </c>
      <c r="BI840" s="532">
        <v>1</v>
      </c>
      <c r="BJ840" s="534" t="s">
        <v>400</v>
      </c>
      <c r="BK840" s="401"/>
    </row>
    <row r="841" spans="1:63" ht="95.25" customHeight="1">
      <c r="A841" s="523">
        <v>2</v>
      </c>
      <c r="B841" s="534" t="s">
        <v>7193</v>
      </c>
      <c r="C841" s="523" t="s">
        <v>7112</v>
      </c>
      <c r="D841" s="523" t="s">
        <v>242</v>
      </c>
      <c r="E841" s="534" t="s">
        <v>5853</v>
      </c>
      <c r="F841" s="523" t="s">
        <v>1761</v>
      </c>
      <c r="G841" s="523" t="s">
        <v>1762</v>
      </c>
      <c r="H841" s="524" t="s">
        <v>6160</v>
      </c>
      <c r="I841" s="525" t="s">
        <v>7194</v>
      </c>
      <c r="J841" s="525" t="s">
        <v>2978</v>
      </c>
      <c r="K841" s="525" t="s">
        <v>2978</v>
      </c>
      <c r="L841" s="525" t="s">
        <v>1772</v>
      </c>
      <c r="M841" s="541" t="s">
        <v>1755</v>
      </c>
      <c r="N841" s="525" t="s">
        <v>1773</v>
      </c>
      <c r="O841" s="525" t="s">
        <v>2234</v>
      </c>
      <c r="P841" s="531">
        <v>778.63108</v>
      </c>
      <c r="Q841" s="531">
        <v>918.78467439999997</v>
      </c>
      <c r="R841" s="531">
        <v>684.16707653549088</v>
      </c>
      <c r="S841" s="523" t="s">
        <v>1774</v>
      </c>
      <c r="T841" s="542">
        <v>1.087</v>
      </c>
      <c r="U841" s="543">
        <v>1.077</v>
      </c>
      <c r="V841" s="543">
        <v>1.073</v>
      </c>
      <c r="W841" s="543">
        <v>1.071</v>
      </c>
      <c r="X841" s="544">
        <v>0.9</v>
      </c>
      <c r="Y841" s="526">
        <v>773.48099999999999</v>
      </c>
      <c r="Z841" s="531">
        <v>912.70757999999989</v>
      </c>
      <c r="AA841" s="531">
        <v>615.98897545915565</v>
      </c>
      <c r="AB841" s="532">
        <v>726.86699104180366</v>
      </c>
      <c r="AC841" s="531">
        <v>615.98897545915565</v>
      </c>
      <c r="AD841" s="532">
        <v>726.86699104180366</v>
      </c>
      <c r="AE841" s="494" t="s">
        <v>1775</v>
      </c>
      <c r="AF841" s="534" t="s">
        <v>83</v>
      </c>
      <c r="AG841" s="534" t="s">
        <v>211</v>
      </c>
      <c r="AH841" s="534" t="s">
        <v>545</v>
      </c>
      <c r="AI841" s="533">
        <v>41656</v>
      </c>
      <c r="AJ841" s="533">
        <v>41691</v>
      </c>
      <c r="AK841" s="534" t="s">
        <v>96</v>
      </c>
      <c r="AL841" s="534" t="s">
        <v>96</v>
      </c>
      <c r="AM841" s="525" t="s">
        <v>5709</v>
      </c>
      <c r="AN841" s="525" t="s">
        <v>1757</v>
      </c>
      <c r="AO841" s="534">
        <v>796</v>
      </c>
      <c r="AP841" s="534" t="s">
        <v>368</v>
      </c>
      <c r="AQ841" s="534">
        <v>1</v>
      </c>
      <c r="AR841" s="534">
        <v>45</v>
      </c>
      <c r="AS841" s="525" t="s">
        <v>547</v>
      </c>
      <c r="AT841" s="533">
        <v>41711</v>
      </c>
      <c r="AU841" s="533">
        <v>41711</v>
      </c>
      <c r="AV841" s="533">
        <v>41810</v>
      </c>
      <c r="AW841" s="534">
        <v>2014</v>
      </c>
      <c r="AX841" s="525"/>
      <c r="AY841" s="534" t="s">
        <v>186</v>
      </c>
      <c r="AZ841" s="534"/>
      <c r="BA841" s="534">
        <v>2014</v>
      </c>
      <c r="BB841" s="534" t="s">
        <v>2169</v>
      </c>
      <c r="BC841" s="525" t="s">
        <v>2170</v>
      </c>
      <c r="BD841" s="534" t="s">
        <v>1818</v>
      </c>
      <c r="BE841" s="545">
        <v>42004</v>
      </c>
      <c r="BF841" s="498">
        <v>6371.4098000000004</v>
      </c>
      <c r="BG841" s="488">
        <v>6371.4098000000004</v>
      </c>
      <c r="BH841" s="532">
        <v>0</v>
      </c>
      <c r="BI841" s="532">
        <v>1</v>
      </c>
      <c r="BJ841" s="534" t="s">
        <v>400</v>
      </c>
      <c r="BK841" s="401"/>
    </row>
    <row r="842" spans="1:63" ht="96.75" customHeight="1">
      <c r="A842" s="504">
        <v>2</v>
      </c>
      <c r="B842" s="570" t="s">
        <v>7195</v>
      </c>
      <c r="C842" s="504" t="s">
        <v>83</v>
      </c>
      <c r="D842" s="504" t="s">
        <v>242</v>
      </c>
      <c r="E842" s="570" t="s">
        <v>5853</v>
      </c>
      <c r="F842" s="504" t="s">
        <v>1761</v>
      </c>
      <c r="G842" s="504" t="s">
        <v>1762</v>
      </c>
      <c r="H842" s="517">
        <v>854425</v>
      </c>
      <c r="I842" s="506" t="s">
        <v>7196</v>
      </c>
      <c r="J842" s="506" t="s">
        <v>2978</v>
      </c>
      <c r="K842" s="506" t="s">
        <v>2978</v>
      </c>
      <c r="L842" s="506" t="s">
        <v>1772</v>
      </c>
      <c r="M842" s="571" t="s">
        <v>1755</v>
      </c>
      <c r="N842" s="506" t="s">
        <v>1773</v>
      </c>
      <c r="O842" s="506" t="s">
        <v>2234</v>
      </c>
      <c r="P842" s="512">
        <v>4644.0075152000009</v>
      </c>
      <c r="Q842" s="512">
        <v>5479.9288679359997</v>
      </c>
      <c r="R842" s="512">
        <v>3916.5613234226712</v>
      </c>
      <c r="S842" s="504" t="s">
        <v>1774</v>
      </c>
      <c r="T842" s="572">
        <v>1.087</v>
      </c>
      <c r="U842" s="572">
        <v>1.077</v>
      </c>
      <c r="V842" s="572">
        <v>1.073</v>
      </c>
      <c r="W842" s="572">
        <v>1.071</v>
      </c>
      <c r="X842" s="511">
        <v>0.9</v>
      </c>
      <c r="Y842" s="512">
        <v>4427.8450000000003</v>
      </c>
      <c r="Z842" s="512">
        <v>5224.8571000000002</v>
      </c>
      <c r="AA842" s="512">
        <v>4035.7904479395575</v>
      </c>
      <c r="AB842" s="512">
        <v>4762.2327285686779</v>
      </c>
      <c r="AC842" s="512">
        <v>4035.7904479395575</v>
      </c>
      <c r="AD842" s="512">
        <v>4762.2327285686779</v>
      </c>
      <c r="AE842" s="494" t="s">
        <v>1775</v>
      </c>
      <c r="AF842" s="570" t="s">
        <v>83</v>
      </c>
      <c r="AG842" s="570" t="s">
        <v>211</v>
      </c>
      <c r="AH842" s="570" t="s">
        <v>545</v>
      </c>
      <c r="AI842" s="515">
        <v>41656</v>
      </c>
      <c r="AJ842" s="515">
        <v>41691</v>
      </c>
      <c r="AK842" s="570" t="s">
        <v>96</v>
      </c>
      <c r="AL842" s="570" t="s">
        <v>96</v>
      </c>
      <c r="AM842" s="506" t="s">
        <v>5709</v>
      </c>
      <c r="AN842" s="506" t="s">
        <v>1757</v>
      </c>
      <c r="AO842" s="570">
        <v>796</v>
      </c>
      <c r="AP842" s="570" t="s">
        <v>368</v>
      </c>
      <c r="AQ842" s="570">
        <v>1</v>
      </c>
      <c r="AR842" s="570">
        <v>45</v>
      </c>
      <c r="AS842" s="506" t="s">
        <v>547</v>
      </c>
      <c r="AT842" s="515">
        <v>41711</v>
      </c>
      <c r="AU842" s="515">
        <v>41711</v>
      </c>
      <c r="AV842" s="515">
        <v>41810</v>
      </c>
      <c r="AW842" s="570">
        <v>2014</v>
      </c>
      <c r="AX842" s="506"/>
      <c r="AY842" s="570" t="s">
        <v>186</v>
      </c>
      <c r="AZ842" s="570"/>
      <c r="BA842" s="570">
        <v>2014</v>
      </c>
      <c r="BB842" s="570" t="s">
        <v>2271</v>
      </c>
      <c r="BC842" s="506" t="s">
        <v>2271</v>
      </c>
      <c r="BD842" s="570" t="s">
        <v>2272</v>
      </c>
      <c r="BE842" s="573" t="s">
        <v>2272</v>
      </c>
      <c r="BF842" s="574" t="s">
        <v>2272</v>
      </c>
      <c r="BG842" s="488" t="s">
        <v>2272</v>
      </c>
      <c r="BH842" s="574" t="s">
        <v>2272</v>
      </c>
      <c r="BI842" s="574" t="s">
        <v>2272</v>
      </c>
      <c r="BJ842" s="570" t="s">
        <v>186</v>
      </c>
      <c r="BK842" s="401"/>
    </row>
    <row r="843" spans="1:63" ht="95.25" customHeight="1">
      <c r="A843" s="523">
        <v>2</v>
      </c>
      <c r="B843" s="534" t="s">
        <v>7197</v>
      </c>
      <c r="C843" s="523" t="s">
        <v>7112</v>
      </c>
      <c r="D843" s="523" t="s">
        <v>242</v>
      </c>
      <c r="E843" s="534" t="s">
        <v>5853</v>
      </c>
      <c r="F843" s="523" t="s">
        <v>1761</v>
      </c>
      <c r="G843" s="523" t="s">
        <v>1762</v>
      </c>
      <c r="H843" s="524" t="s">
        <v>6160</v>
      </c>
      <c r="I843" s="525" t="s">
        <v>7198</v>
      </c>
      <c r="J843" s="525" t="s">
        <v>2978</v>
      </c>
      <c r="K843" s="525" t="s">
        <v>2978</v>
      </c>
      <c r="L843" s="525" t="s">
        <v>1772</v>
      </c>
      <c r="M843" s="541" t="s">
        <v>1755</v>
      </c>
      <c r="N843" s="525" t="s">
        <v>1773</v>
      </c>
      <c r="O843" s="525" t="s">
        <v>2234</v>
      </c>
      <c r="P843" s="531">
        <v>487.12536999999998</v>
      </c>
      <c r="Q843" s="531">
        <v>574.80793659999995</v>
      </c>
      <c r="R843" s="531">
        <v>418.13497735543251</v>
      </c>
      <c r="S843" s="523" t="s">
        <v>1774</v>
      </c>
      <c r="T843" s="542">
        <v>1.087</v>
      </c>
      <c r="U843" s="543">
        <v>1.077</v>
      </c>
      <c r="V843" s="543">
        <v>1.073</v>
      </c>
      <c r="W843" s="543">
        <v>1.071</v>
      </c>
      <c r="X843" s="544">
        <v>0.9</v>
      </c>
      <c r="Y843" s="526">
        <v>472.72</v>
      </c>
      <c r="Z843" s="531">
        <v>557.80960000000005</v>
      </c>
      <c r="AA843" s="531">
        <v>451.26617542729332</v>
      </c>
      <c r="AB843" s="532">
        <v>532.49408700420611</v>
      </c>
      <c r="AC843" s="531">
        <v>451.26617542729332</v>
      </c>
      <c r="AD843" s="532">
        <v>532.49408700420611</v>
      </c>
      <c r="AE843" s="494" t="s">
        <v>1775</v>
      </c>
      <c r="AF843" s="534" t="s">
        <v>83</v>
      </c>
      <c r="AG843" s="534" t="s">
        <v>211</v>
      </c>
      <c r="AH843" s="534" t="s">
        <v>545</v>
      </c>
      <c r="AI843" s="533">
        <v>41656</v>
      </c>
      <c r="AJ843" s="533">
        <v>41691</v>
      </c>
      <c r="AK843" s="534" t="s">
        <v>96</v>
      </c>
      <c r="AL843" s="534" t="s">
        <v>96</v>
      </c>
      <c r="AM843" s="525" t="s">
        <v>5709</v>
      </c>
      <c r="AN843" s="525" t="s">
        <v>1757</v>
      </c>
      <c r="AO843" s="534">
        <v>796</v>
      </c>
      <c r="AP843" s="534" t="s">
        <v>368</v>
      </c>
      <c r="AQ843" s="534">
        <v>1</v>
      </c>
      <c r="AR843" s="534">
        <v>45</v>
      </c>
      <c r="AS843" s="525" t="s">
        <v>547</v>
      </c>
      <c r="AT843" s="533">
        <v>41711</v>
      </c>
      <c r="AU843" s="533">
        <v>41711</v>
      </c>
      <c r="AV843" s="533">
        <v>41810</v>
      </c>
      <c r="AW843" s="534">
        <v>2014</v>
      </c>
      <c r="AX843" s="525"/>
      <c r="AY843" s="534" t="s">
        <v>186</v>
      </c>
      <c r="AZ843" s="534"/>
      <c r="BA843" s="534">
        <v>2014</v>
      </c>
      <c r="BB843" s="534" t="s">
        <v>2141</v>
      </c>
      <c r="BC843" s="525" t="s">
        <v>2142</v>
      </c>
      <c r="BD843" s="534" t="s">
        <v>1818</v>
      </c>
      <c r="BE843" s="545">
        <v>42004</v>
      </c>
      <c r="BF843" s="498">
        <v>10404.413999999999</v>
      </c>
      <c r="BG843" s="488">
        <v>10404.413999999999</v>
      </c>
      <c r="BH843" s="532">
        <v>1.4</v>
      </c>
      <c r="BI843" s="532">
        <v>0</v>
      </c>
      <c r="BJ843" s="534" t="s">
        <v>400</v>
      </c>
      <c r="BK843" s="401"/>
    </row>
    <row r="844" spans="1:63" ht="95.25" customHeight="1">
      <c r="A844" s="523">
        <v>2</v>
      </c>
      <c r="B844" s="534" t="s">
        <v>7199</v>
      </c>
      <c r="C844" s="523" t="s">
        <v>7112</v>
      </c>
      <c r="D844" s="523" t="s">
        <v>242</v>
      </c>
      <c r="E844" s="534" t="s">
        <v>5853</v>
      </c>
      <c r="F844" s="523" t="s">
        <v>1761</v>
      </c>
      <c r="G844" s="523" t="s">
        <v>1762</v>
      </c>
      <c r="H844" s="524" t="s">
        <v>6160</v>
      </c>
      <c r="I844" s="525" t="s">
        <v>7200</v>
      </c>
      <c r="J844" s="525" t="s">
        <v>2978</v>
      </c>
      <c r="K844" s="525" t="s">
        <v>2978</v>
      </c>
      <c r="L844" s="525" t="s">
        <v>1772</v>
      </c>
      <c r="M844" s="541" t="s">
        <v>1755</v>
      </c>
      <c r="N844" s="525" t="s">
        <v>1773</v>
      </c>
      <c r="O844" s="525" t="s">
        <v>2234</v>
      </c>
      <c r="P844" s="531">
        <v>1163.2651699999999</v>
      </c>
      <c r="Q844" s="531">
        <v>1372.6529005999998</v>
      </c>
      <c r="R844" s="531">
        <v>897.08227030606588</v>
      </c>
      <c r="S844" s="523" t="s">
        <v>1774</v>
      </c>
      <c r="T844" s="542">
        <v>1.087</v>
      </c>
      <c r="U844" s="543">
        <v>1.077</v>
      </c>
      <c r="V844" s="543">
        <v>1.073</v>
      </c>
      <c r="W844" s="543">
        <v>1.071</v>
      </c>
      <c r="X844" s="544">
        <v>0.9</v>
      </c>
      <c r="Y844" s="526">
        <v>1014.191</v>
      </c>
      <c r="Z844" s="531">
        <v>1196.7453800000001</v>
      </c>
      <c r="AA844" s="531">
        <v>1188.6354885958599</v>
      </c>
      <c r="AB844" s="532">
        <v>1402.5898765431145</v>
      </c>
      <c r="AC844" s="531">
        <v>1014.191</v>
      </c>
      <c r="AD844" s="532">
        <v>1196.7453800000001</v>
      </c>
      <c r="AE844" s="494" t="s">
        <v>1775</v>
      </c>
      <c r="AF844" s="534" t="s">
        <v>83</v>
      </c>
      <c r="AG844" s="534" t="s">
        <v>211</v>
      </c>
      <c r="AH844" s="534" t="s">
        <v>545</v>
      </c>
      <c r="AI844" s="533">
        <v>41656</v>
      </c>
      <c r="AJ844" s="533">
        <v>41691</v>
      </c>
      <c r="AK844" s="534" t="s">
        <v>96</v>
      </c>
      <c r="AL844" s="534" t="s">
        <v>96</v>
      </c>
      <c r="AM844" s="525" t="s">
        <v>5709</v>
      </c>
      <c r="AN844" s="525" t="s">
        <v>1757</v>
      </c>
      <c r="AO844" s="534">
        <v>796</v>
      </c>
      <c r="AP844" s="534" t="s">
        <v>368</v>
      </c>
      <c r="AQ844" s="534">
        <v>1</v>
      </c>
      <c r="AR844" s="534">
        <v>45</v>
      </c>
      <c r="AS844" s="525" t="s">
        <v>547</v>
      </c>
      <c r="AT844" s="533">
        <v>41711</v>
      </c>
      <c r="AU844" s="533">
        <v>41711</v>
      </c>
      <c r="AV844" s="533">
        <v>41810</v>
      </c>
      <c r="AW844" s="534">
        <v>2014</v>
      </c>
      <c r="AX844" s="525"/>
      <c r="AY844" s="534" t="s">
        <v>186</v>
      </c>
      <c r="AZ844" s="534"/>
      <c r="BA844" s="534">
        <v>2014</v>
      </c>
      <c r="BB844" s="534" t="s">
        <v>2081</v>
      </c>
      <c r="BC844" s="525" t="s">
        <v>2082</v>
      </c>
      <c r="BD844" s="534" t="s">
        <v>1818</v>
      </c>
      <c r="BE844" s="545">
        <v>42004</v>
      </c>
      <c r="BF844" s="498">
        <v>4720</v>
      </c>
      <c r="BG844" s="488">
        <v>4720</v>
      </c>
      <c r="BH844" s="532">
        <v>0</v>
      </c>
      <c r="BI844" s="532">
        <v>1</v>
      </c>
      <c r="BJ844" s="534" t="s">
        <v>400</v>
      </c>
      <c r="BK844" s="401"/>
    </row>
    <row r="845" spans="1:63" ht="95.25" customHeight="1">
      <c r="A845" s="523">
        <v>2</v>
      </c>
      <c r="B845" s="534" t="s">
        <v>7201</v>
      </c>
      <c r="C845" s="523" t="s">
        <v>7112</v>
      </c>
      <c r="D845" s="523" t="s">
        <v>242</v>
      </c>
      <c r="E845" s="534" t="s">
        <v>5853</v>
      </c>
      <c r="F845" s="523" t="s">
        <v>1761</v>
      </c>
      <c r="G845" s="523" t="s">
        <v>1762</v>
      </c>
      <c r="H845" s="524" t="s">
        <v>6160</v>
      </c>
      <c r="I845" s="525" t="s">
        <v>7202</v>
      </c>
      <c r="J845" s="525" t="s">
        <v>2978</v>
      </c>
      <c r="K845" s="525" t="s">
        <v>2978</v>
      </c>
      <c r="L845" s="525" t="s">
        <v>1772</v>
      </c>
      <c r="M845" s="541" t="s">
        <v>1755</v>
      </c>
      <c r="N845" s="525" t="s">
        <v>1773</v>
      </c>
      <c r="O845" s="525" t="s">
        <v>2234</v>
      </c>
      <c r="P845" s="531">
        <v>869.08789000000002</v>
      </c>
      <c r="Q845" s="531">
        <v>1025.5237101999999</v>
      </c>
      <c r="R845" s="531">
        <v>760.90623762540736</v>
      </c>
      <c r="S845" s="523" t="s">
        <v>1774</v>
      </c>
      <c r="T845" s="542">
        <v>1.087</v>
      </c>
      <c r="U845" s="543">
        <v>1.077</v>
      </c>
      <c r="V845" s="543">
        <v>1.073</v>
      </c>
      <c r="W845" s="543">
        <v>1.071</v>
      </c>
      <c r="X845" s="544">
        <v>0.9</v>
      </c>
      <c r="Y845" s="526">
        <v>860.23800000000006</v>
      </c>
      <c r="Z845" s="531">
        <v>1015.08084</v>
      </c>
      <c r="AA845" s="531">
        <v>1011.74521036821</v>
      </c>
      <c r="AB845" s="532">
        <v>1193.8593482344877</v>
      </c>
      <c r="AC845" s="531">
        <v>860.23800000000006</v>
      </c>
      <c r="AD845" s="532">
        <v>1015.08084</v>
      </c>
      <c r="AE845" s="494" t="s">
        <v>1775</v>
      </c>
      <c r="AF845" s="534" t="s">
        <v>83</v>
      </c>
      <c r="AG845" s="534" t="s">
        <v>211</v>
      </c>
      <c r="AH845" s="534" t="s">
        <v>545</v>
      </c>
      <c r="AI845" s="533">
        <v>41656</v>
      </c>
      <c r="AJ845" s="533">
        <v>41691</v>
      </c>
      <c r="AK845" s="534" t="s">
        <v>96</v>
      </c>
      <c r="AL845" s="534" t="s">
        <v>96</v>
      </c>
      <c r="AM845" s="525" t="s">
        <v>5709</v>
      </c>
      <c r="AN845" s="525" t="s">
        <v>1757</v>
      </c>
      <c r="AO845" s="534">
        <v>796</v>
      </c>
      <c r="AP845" s="534" t="s">
        <v>368</v>
      </c>
      <c r="AQ845" s="534">
        <v>1</v>
      </c>
      <c r="AR845" s="534">
        <v>45</v>
      </c>
      <c r="AS845" s="525" t="s">
        <v>547</v>
      </c>
      <c r="AT845" s="533">
        <v>41711</v>
      </c>
      <c r="AU845" s="533">
        <v>41711</v>
      </c>
      <c r="AV845" s="533">
        <v>41810</v>
      </c>
      <c r="AW845" s="534">
        <v>2014</v>
      </c>
      <c r="AX845" s="525"/>
      <c r="AY845" s="534" t="s">
        <v>186</v>
      </c>
      <c r="AZ845" s="534"/>
      <c r="BA845" s="534">
        <v>2014</v>
      </c>
      <c r="BB845" s="534" t="s">
        <v>2085</v>
      </c>
      <c r="BC845" s="525" t="s">
        <v>2086</v>
      </c>
      <c r="BD845" s="534" t="s">
        <v>1818</v>
      </c>
      <c r="BE845" s="545">
        <v>42004</v>
      </c>
      <c r="BF845" s="498">
        <v>5425.2559999999994</v>
      </c>
      <c r="BG845" s="488">
        <v>5425.2559999999994</v>
      </c>
      <c r="BH845" s="532">
        <v>0</v>
      </c>
      <c r="BI845" s="532">
        <v>1.46</v>
      </c>
      <c r="BJ845" s="534" t="s">
        <v>400</v>
      </c>
      <c r="BK845" s="401"/>
    </row>
    <row r="846" spans="1:63" ht="95.25" customHeight="1">
      <c r="A846" s="523">
        <v>2</v>
      </c>
      <c r="B846" s="534" t="s">
        <v>7203</v>
      </c>
      <c r="C846" s="523" t="s">
        <v>7112</v>
      </c>
      <c r="D846" s="523" t="s">
        <v>242</v>
      </c>
      <c r="E846" s="534" t="s">
        <v>5853</v>
      </c>
      <c r="F846" s="523" t="s">
        <v>1761</v>
      </c>
      <c r="G846" s="523" t="s">
        <v>1762</v>
      </c>
      <c r="H846" s="524" t="s">
        <v>6160</v>
      </c>
      <c r="I846" s="525" t="s">
        <v>7204</v>
      </c>
      <c r="J846" s="525" t="s">
        <v>2978</v>
      </c>
      <c r="K846" s="525" t="s">
        <v>2978</v>
      </c>
      <c r="L846" s="525" t="s">
        <v>1772</v>
      </c>
      <c r="M846" s="541" t="s">
        <v>1755</v>
      </c>
      <c r="N846" s="525" t="s">
        <v>1773</v>
      </c>
      <c r="O846" s="525" t="s">
        <v>2234</v>
      </c>
      <c r="P846" s="531">
        <v>2124.5290852000003</v>
      </c>
      <c r="Q846" s="531">
        <v>2506.9443205360003</v>
      </c>
      <c r="R846" s="531">
        <v>1840.4378381357653</v>
      </c>
      <c r="S846" s="523" t="s">
        <v>1774</v>
      </c>
      <c r="T846" s="542">
        <v>1.087</v>
      </c>
      <c r="U846" s="543">
        <v>1.077</v>
      </c>
      <c r="V846" s="543">
        <v>1.073</v>
      </c>
      <c r="W846" s="543">
        <v>1.071</v>
      </c>
      <c r="X846" s="544">
        <v>0.9</v>
      </c>
      <c r="Y846" s="526">
        <v>2080.6959999999999</v>
      </c>
      <c r="Z846" s="531">
        <v>2455.2212799999998</v>
      </c>
      <c r="AA846" s="531">
        <v>1384.1435735481944</v>
      </c>
      <c r="AB846" s="532">
        <v>1633.2894167868692</v>
      </c>
      <c r="AC846" s="531">
        <v>1384.1435735481944</v>
      </c>
      <c r="AD846" s="532">
        <v>1633.2894167868692</v>
      </c>
      <c r="AE846" s="494" t="s">
        <v>1775</v>
      </c>
      <c r="AF846" s="534" t="s">
        <v>83</v>
      </c>
      <c r="AG846" s="534" t="s">
        <v>211</v>
      </c>
      <c r="AH846" s="534" t="s">
        <v>545</v>
      </c>
      <c r="AI846" s="533">
        <v>41656</v>
      </c>
      <c r="AJ846" s="533">
        <v>41691</v>
      </c>
      <c r="AK846" s="534" t="s">
        <v>96</v>
      </c>
      <c r="AL846" s="534" t="s">
        <v>96</v>
      </c>
      <c r="AM846" s="525" t="s">
        <v>5709</v>
      </c>
      <c r="AN846" s="525" t="s">
        <v>1757</v>
      </c>
      <c r="AO846" s="534">
        <v>796</v>
      </c>
      <c r="AP846" s="534" t="s">
        <v>368</v>
      </c>
      <c r="AQ846" s="534">
        <v>1</v>
      </c>
      <c r="AR846" s="534">
        <v>45</v>
      </c>
      <c r="AS846" s="525" t="s">
        <v>547</v>
      </c>
      <c r="AT846" s="533">
        <v>41711</v>
      </c>
      <c r="AU846" s="533">
        <v>41711</v>
      </c>
      <c r="AV846" s="533">
        <v>41810</v>
      </c>
      <c r="AW846" s="534">
        <v>2014</v>
      </c>
      <c r="AX846" s="525"/>
      <c r="AY846" s="534" t="s">
        <v>186</v>
      </c>
      <c r="AZ846" s="534"/>
      <c r="BA846" s="534">
        <v>2014</v>
      </c>
      <c r="BB846" s="534" t="s">
        <v>1887</v>
      </c>
      <c r="BC846" s="525" t="s">
        <v>7205</v>
      </c>
      <c r="BD846" s="534" t="s">
        <v>1818</v>
      </c>
      <c r="BE846" s="545">
        <v>42004</v>
      </c>
      <c r="BF846" s="546">
        <v>12814.479936799999</v>
      </c>
      <c r="BG846" s="488">
        <v>12045.611140592</v>
      </c>
      <c r="BH846" s="532">
        <v>0</v>
      </c>
      <c r="BI846" s="532">
        <v>1.48</v>
      </c>
      <c r="BJ846" s="534" t="s">
        <v>400</v>
      </c>
      <c r="BK846" s="523"/>
    </row>
    <row r="847" spans="1:63" ht="105.75" customHeight="1">
      <c r="A847" s="401">
        <v>2</v>
      </c>
      <c r="B847" s="494" t="s">
        <v>7206</v>
      </c>
      <c r="C847" s="401" t="s">
        <v>83</v>
      </c>
      <c r="D847" s="401" t="s">
        <v>242</v>
      </c>
      <c r="E847" s="494" t="s">
        <v>5853</v>
      </c>
      <c r="F847" s="401" t="s">
        <v>1761</v>
      </c>
      <c r="G847" s="401" t="s">
        <v>1762</v>
      </c>
      <c r="H847" s="499">
        <v>854367</v>
      </c>
      <c r="I847" s="486" t="s">
        <v>7207</v>
      </c>
      <c r="J847" s="496" t="s">
        <v>2978</v>
      </c>
      <c r="K847" s="496" t="s">
        <v>2978</v>
      </c>
      <c r="L847" s="500" t="s">
        <v>1772</v>
      </c>
      <c r="M847" s="500" t="s">
        <v>1755</v>
      </c>
      <c r="N847" s="496" t="s">
        <v>1773</v>
      </c>
      <c r="O847" s="496" t="s">
        <v>2234</v>
      </c>
      <c r="P847" s="489">
        <v>4213.6689999999999</v>
      </c>
      <c r="Q847" s="489">
        <v>4972.1294199999993</v>
      </c>
      <c r="R847" s="584">
        <v>3696.8387874924092</v>
      </c>
      <c r="S847" s="401" t="s">
        <v>1774</v>
      </c>
      <c r="T847" s="490">
        <v>1.087</v>
      </c>
      <c r="U847" s="490">
        <v>1.077</v>
      </c>
      <c r="V847" s="490">
        <v>1.073</v>
      </c>
      <c r="W847" s="490">
        <v>1.071</v>
      </c>
      <c r="X847" s="491">
        <v>0.9</v>
      </c>
      <c r="Y847" s="502">
        <v>4179.4390000000003</v>
      </c>
      <c r="Z847" s="489">
        <v>4931.7380199999998</v>
      </c>
      <c r="AA847" s="489">
        <v>3966.2223878500381</v>
      </c>
      <c r="AB847" s="488">
        <v>4680.1424176630444</v>
      </c>
      <c r="AC847" s="492">
        <v>3966.2223878500381</v>
      </c>
      <c r="AD847" s="493">
        <v>4680.1424176630444</v>
      </c>
      <c r="AE847" s="494" t="s">
        <v>1775</v>
      </c>
      <c r="AF847" s="494" t="s">
        <v>83</v>
      </c>
      <c r="AG847" s="494" t="s">
        <v>211</v>
      </c>
      <c r="AH847" s="494" t="s">
        <v>545</v>
      </c>
      <c r="AI847" s="495">
        <v>41656</v>
      </c>
      <c r="AJ847" s="495">
        <v>41691</v>
      </c>
      <c r="AK847" s="494" t="s">
        <v>96</v>
      </c>
      <c r="AL847" s="494" t="s">
        <v>96</v>
      </c>
      <c r="AM847" s="496" t="s">
        <v>5709</v>
      </c>
      <c r="AN847" s="496" t="s">
        <v>1757</v>
      </c>
      <c r="AO847" s="494">
        <v>796</v>
      </c>
      <c r="AP847" s="494" t="s">
        <v>368</v>
      </c>
      <c r="AQ847" s="494">
        <v>1</v>
      </c>
      <c r="AR847" s="494">
        <v>45</v>
      </c>
      <c r="AS847" s="496" t="s">
        <v>547</v>
      </c>
      <c r="AT847" s="495">
        <v>41711</v>
      </c>
      <c r="AU847" s="495">
        <v>41711</v>
      </c>
      <c r="AV847" s="495">
        <v>41810</v>
      </c>
      <c r="AW847" s="494">
        <v>2014</v>
      </c>
      <c r="AX847" s="496"/>
      <c r="AY847" s="494" t="s">
        <v>186</v>
      </c>
      <c r="AZ847" s="494"/>
      <c r="BA847" s="494">
        <v>2014</v>
      </c>
      <c r="BB847" s="494" t="s">
        <v>2161</v>
      </c>
      <c r="BC847" s="496" t="s">
        <v>2162</v>
      </c>
      <c r="BD847" s="494" t="s">
        <v>1818</v>
      </c>
      <c r="BE847" s="575">
        <v>42004</v>
      </c>
      <c r="BF847" s="498">
        <v>7430.8139999999985</v>
      </c>
      <c r="BG847" s="488">
        <v>7430.8139999999985</v>
      </c>
      <c r="BH847" s="488">
        <v>0</v>
      </c>
      <c r="BI847" s="488">
        <v>1</v>
      </c>
      <c r="BJ847" s="494" t="s">
        <v>186</v>
      </c>
      <c r="BK847" s="401"/>
    </row>
    <row r="848" spans="1:63" ht="105.75" customHeight="1">
      <c r="A848" s="401">
        <v>2</v>
      </c>
      <c r="B848" s="494" t="s">
        <v>7208</v>
      </c>
      <c r="C848" s="401" t="s">
        <v>83</v>
      </c>
      <c r="D848" s="401" t="s">
        <v>242</v>
      </c>
      <c r="E848" s="494" t="s">
        <v>5853</v>
      </c>
      <c r="F848" s="401" t="s">
        <v>1761</v>
      </c>
      <c r="G848" s="401" t="s">
        <v>1762</v>
      </c>
      <c r="H848" s="499">
        <v>853117</v>
      </c>
      <c r="I848" s="486" t="s">
        <v>7209</v>
      </c>
      <c r="J848" s="496" t="s">
        <v>2978</v>
      </c>
      <c r="K848" s="496" t="s">
        <v>2978</v>
      </c>
      <c r="L848" s="500" t="s">
        <v>1772</v>
      </c>
      <c r="M848" s="500" t="s">
        <v>1755</v>
      </c>
      <c r="N848" s="496" t="s">
        <v>1773</v>
      </c>
      <c r="O848" s="496" t="s">
        <v>2234</v>
      </c>
      <c r="P848" s="489">
        <v>1170.81</v>
      </c>
      <c r="Q848" s="489">
        <v>1381.5557999999999</v>
      </c>
      <c r="R848" s="584">
        <v>1006.0466249461032</v>
      </c>
      <c r="S848" s="401" t="s">
        <v>1774</v>
      </c>
      <c r="T848" s="490">
        <v>1.087</v>
      </c>
      <c r="U848" s="490">
        <v>1.077</v>
      </c>
      <c r="V848" s="490">
        <v>1.073</v>
      </c>
      <c r="W848" s="490">
        <v>1.071</v>
      </c>
      <c r="X848" s="491">
        <v>0.9</v>
      </c>
      <c r="Y848" s="502">
        <v>1137.3800000000001</v>
      </c>
      <c r="Z848" s="489">
        <v>1342.1084000000001</v>
      </c>
      <c r="AA848" s="489">
        <v>1110.6454355993271</v>
      </c>
      <c r="AB848" s="488">
        <v>1310.5616140072059</v>
      </c>
      <c r="AC848" s="492">
        <v>1110.6454355993271</v>
      </c>
      <c r="AD848" s="493">
        <v>1310.5616140072059</v>
      </c>
      <c r="AE848" s="494" t="s">
        <v>1775</v>
      </c>
      <c r="AF848" s="494" t="s">
        <v>83</v>
      </c>
      <c r="AG848" s="494" t="s">
        <v>211</v>
      </c>
      <c r="AH848" s="494" t="s">
        <v>545</v>
      </c>
      <c r="AI848" s="495">
        <v>41656</v>
      </c>
      <c r="AJ848" s="495">
        <v>41691</v>
      </c>
      <c r="AK848" s="494" t="s">
        <v>96</v>
      </c>
      <c r="AL848" s="494" t="s">
        <v>96</v>
      </c>
      <c r="AM848" s="496" t="s">
        <v>5709</v>
      </c>
      <c r="AN848" s="496" t="s">
        <v>1757</v>
      </c>
      <c r="AO848" s="494">
        <v>796</v>
      </c>
      <c r="AP848" s="494" t="s">
        <v>368</v>
      </c>
      <c r="AQ848" s="494">
        <v>1</v>
      </c>
      <c r="AR848" s="494">
        <v>45</v>
      </c>
      <c r="AS848" s="496" t="s">
        <v>547</v>
      </c>
      <c r="AT848" s="495">
        <v>41711</v>
      </c>
      <c r="AU848" s="495">
        <v>41711</v>
      </c>
      <c r="AV848" s="495">
        <v>41810</v>
      </c>
      <c r="AW848" s="494">
        <v>2014</v>
      </c>
      <c r="AX848" s="496"/>
      <c r="AY848" s="494" t="s">
        <v>186</v>
      </c>
      <c r="AZ848" s="494"/>
      <c r="BA848" s="494">
        <v>2014</v>
      </c>
      <c r="BB848" s="494" t="s">
        <v>1816</v>
      </c>
      <c r="BC848" s="496" t="s">
        <v>1817</v>
      </c>
      <c r="BD848" s="494" t="s">
        <v>1818</v>
      </c>
      <c r="BE848" s="575">
        <v>42004</v>
      </c>
      <c r="BF848" s="498">
        <v>20212.919999599995</v>
      </c>
      <c r="BG848" s="488">
        <v>20212.919999599995</v>
      </c>
      <c r="BH848" s="488">
        <v>0</v>
      </c>
      <c r="BI848" s="488">
        <v>0.54</v>
      </c>
      <c r="BJ848" s="494" t="s">
        <v>400</v>
      </c>
      <c r="BK848" s="401"/>
    </row>
    <row r="849" spans="1:63" ht="105.75" customHeight="1">
      <c r="A849" s="401">
        <v>2</v>
      </c>
      <c r="B849" s="494" t="s">
        <v>7210</v>
      </c>
      <c r="C849" s="401" t="s">
        <v>83</v>
      </c>
      <c r="D849" s="401" t="s">
        <v>242</v>
      </c>
      <c r="E849" s="494" t="s">
        <v>5853</v>
      </c>
      <c r="F849" s="401" t="s">
        <v>1761</v>
      </c>
      <c r="G849" s="401" t="s">
        <v>1762</v>
      </c>
      <c r="H849" s="499" t="s">
        <v>7211</v>
      </c>
      <c r="I849" s="486" t="s">
        <v>7212</v>
      </c>
      <c r="J849" s="496" t="s">
        <v>2978</v>
      </c>
      <c r="K849" s="496" t="s">
        <v>2978</v>
      </c>
      <c r="L849" s="500" t="s">
        <v>1772</v>
      </c>
      <c r="M849" s="500" t="s">
        <v>1755</v>
      </c>
      <c r="N849" s="496" t="s">
        <v>1773</v>
      </c>
      <c r="O849" s="496" t="s">
        <v>2234</v>
      </c>
      <c r="P849" s="489">
        <v>506.45800000000003</v>
      </c>
      <c r="Q849" s="489">
        <v>597.62044000000003</v>
      </c>
      <c r="R849" s="584">
        <v>429.30835913313143</v>
      </c>
      <c r="S849" s="401" t="s">
        <v>1774</v>
      </c>
      <c r="T849" s="490">
        <v>1.087</v>
      </c>
      <c r="U849" s="490">
        <v>1.077</v>
      </c>
      <c r="V849" s="490">
        <v>1.073</v>
      </c>
      <c r="W849" s="490">
        <v>1.071</v>
      </c>
      <c r="X849" s="491">
        <v>0.9</v>
      </c>
      <c r="Y849" s="502">
        <v>485.35199999999998</v>
      </c>
      <c r="Z849" s="489">
        <v>572.71535999999992</v>
      </c>
      <c r="AA849" s="489">
        <v>583.31899999999996</v>
      </c>
      <c r="AB849" s="488">
        <v>688.31641999999988</v>
      </c>
      <c r="AC849" s="492">
        <v>485.35199999999998</v>
      </c>
      <c r="AD849" s="493">
        <v>572.71535999999992</v>
      </c>
      <c r="AE849" s="494" t="s">
        <v>1775</v>
      </c>
      <c r="AF849" s="494" t="s">
        <v>83</v>
      </c>
      <c r="AG849" s="494" t="s">
        <v>211</v>
      </c>
      <c r="AH849" s="494" t="s">
        <v>545</v>
      </c>
      <c r="AI849" s="495">
        <v>41656</v>
      </c>
      <c r="AJ849" s="495">
        <v>41691</v>
      </c>
      <c r="AK849" s="494" t="s">
        <v>96</v>
      </c>
      <c r="AL849" s="494" t="s">
        <v>96</v>
      </c>
      <c r="AM849" s="496" t="s">
        <v>5709</v>
      </c>
      <c r="AN849" s="496" t="s">
        <v>1757</v>
      </c>
      <c r="AO849" s="494">
        <v>796</v>
      </c>
      <c r="AP849" s="494" t="s">
        <v>368</v>
      </c>
      <c r="AQ849" s="494">
        <v>1</v>
      </c>
      <c r="AR849" s="494">
        <v>45</v>
      </c>
      <c r="AS849" s="496" t="s">
        <v>547</v>
      </c>
      <c r="AT849" s="495">
        <v>41711</v>
      </c>
      <c r="AU849" s="495">
        <v>41711</v>
      </c>
      <c r="AV849" s="495">
        <v>41764</v>
      </c>
      <c r="AW849" s="494">
        <v>2014</v>
      </c>
      <c r="AX849" s="496"/>
      <c r="AY849" s="494" t="s">
        <v>186</v>
      </c>
      <c r="AZ849" s="494"/>
      <c r="BA849" s="494">
        <v>2014</v>
      </c>
      <c r="BB849" s="494" t="s">
        <v>5639</v>
      </c>
      <c r="BC849" s="496" t="s">
        <v>5640</v>
      </c>
      <c r="BD849" s="494" t="s">
        <v>1818</v>
      </c>
      <c r="BE849" s="575">
        <v>42004</v>
      </c>
      <c r="BF849" s="498">
        <v>14030.000001799999</v>
      </c>
      <c r="BG849" s="488">
        <v>14030.000001799999</v>
      </c>
      <c r="BH849" s="488">
        <v>2</v>
      </c>
      <c r="BI849" s="488">
        <v>0</v>
      </c>
      <c r="BJ849" s="494" t="s">
        <v>5016</v>
      </c>
      <c r="BK849" s="401"/>
    </row>
    <row r="850" spans="1:63" ht="105.75" customHeight="1">
      <c r="A850" s="401">
        <v>2</v>
      </c>
      <c r="B850" s="494" t="s">
        <v>7213</v>
      </c>
      <c r="C850" s="401" t="s">
        <v>83</v>
      </c>
      <c r="D850" s="401" t="s">
        <v>242</v>
      </c>
      <c r="E850" s="494" t="s">
        <v>5853</v>
      </c>
      <c r="F850" s="401" t="s">
        <v>1768</v>
      </c>
      <c r="G850" s="401" t="s">
        <v>1769</v>
      </c>
      <c r="H850" s="499" t="s">
        <v>7214</v>
      </c>
      <c r="I850" s="486" t="s">
        <v>7215</v>
      </c>
      <c r="J850" s="496" t="s">
        <v>5317</v>
      </c>
      <c r="K850" s="496" t="s">
        <v>5317</v>
      </c>
      <c r="L850" s="500" t="s">
        <v>1772</v>
      </c>
      <c r="M850" s="500" t="s">
        <v>1755</v>
      </c>
      <c r="N850" s="496" t="s">
        <v>1773</v>
      </c>
      <c r="O850" s="496" t="s">
        <v>1786</v>
      </c>
      <c r="P850" s="489">
        <v>18811.64</v>
      </c>
      <c r="Q850" s="489">
        <v>22197.735199999999</v>
      </c>
      <c r="R850" s="584">
        <v>16101.655140118191</v>
      </c>
      <c r="S850" s="401" t="s">
        <v>1774</v>
      </c>
      <c r="T850" s="490">
        <v>1.087</v>
      </c>
      <c r="U850" s="490">
        <v>1.077</v>
      </c>
      <c r="V850" s="490">
        <v>1.073</v>
      </c>
      <c r="W850" s="490">
        <v>1.071</v>
      </c>
      <c r="X850" s="491">
        <v>0.9</v>
      </c>
      <c r="Y850" s="502">
        <v>18203.63</v>
      </c>
      <c r="Z850" s="489">
        <v>21480.2834</v>
      </c>
      <c r="AA850" s="489">
        <v>19096.536</v>
      </c>
      <c r="AB850" s="488">
        <v>22533.912479999999</v>
      </c>
      <c r="AC850" s="492">
        <v>18203.63</v>
      </c>
      <c r="AD850" s="493">
        <v>21480.2834</v>
      </c>
      <c r="AE850" s="494" t="s">
        <v>1775</v>
      </c>
      <c r="AF850" s="494" t="s">
        <v>83</v>
      </c>
      <c r="AG850" s="494" t="s">
        <v>211</v>
      </c>
      <c r="AH850" s="494" t="s">
        <v>545</v>
      </c>
      <c r="AI850" s="495">
        <v>41659</v>
      </c>
      <c r="AJ850" s="495">
        <v>41694</v>
      </c>
      <c r="AK850" s="494" t="s">
        <v>96</v>
      </c>
      <c r="AL850" s="494" t="s">
        <v>96</v>
      </c>
      <c r="AM850" s="496" t="s">
        <v>1846</v>
      </c>
      <c r="AN850" s="496" t="s">
        <v>1757</v>
      </c>
      <c r="AO850" s="494">
        <v>796</v>
      </c>
      <c r="AP850" s="494" t="s">
        <v>368</v>
      </c>
      <c r="AQ850" s="494">
        <v>1</v>
      </c>
      <c r="AR850" s="494">
        <v>45</v>
      </c>
      <c r="AS850" s="496" t="s">
        <v>547</v>
      </c>
      <c r="AT850" s="495">
        <v>41714</v>
      </c>
      <c r="AU850" s="495">
        <v>41714</v>
      </c>
      <c r="AV850" s="583">
        <v>41912</v>
      </c>
      <c r="AW850" s="494">
        <v>2014</v>
      </c>
      <c r="AX850" s="496"/>
      <c r="AY850" s="494" t="s">
        <v>186</v>
      </c>
      <c r="AZ850" s="494"/>
      <c r="BA850" s="494">
        <v>2014</v>
      </c>
      <c r="BB850" s="494" t="s">
        <v>7216</v>
      </c>
      <c r="BC850" s="496" t="s">
        <v>7217</v>
      </c>
      <c r="BD850" s="494" t="s">
        <v>7218</v>
      </c>
      <c r="BE850" s="575">
        <v>41912</v>
      </c>
      <c r="BF850" s="498">
        <v>10110.24</v>
      </c>
      <c r="BG850" s="488">
        <v>10110.24</v>
      </c>
      <c r="BH850" s="488">
        <v>0</v>
      </c>
      <c r="BI850" s="488">
        <v>5.0670000000000002</v>
      </c>
      <c r="BJ850" s="494" t="s">
        <v>400</v>
      </c>
      <c r="BK850" s="401"/>
    </row>
    <row r="851" spans="1:63" ht="105.75" customHeight="1">
      <c r="A851" s="401">
        <v>2</v>
      </c>
      <c r="B851" s="494" t="s">
        <v>7219</v>
      </c>
      <c r="C851" s="401" t="s">
        <v>83</v>
      </c>
      <c r="D851" s="401" t="s">
        <v>242</v>
      </c>
      <c r="E851" s="494" t="s">
        <v>5853</v>
      </c>
      <c r="F851" s="401" t="s">
        <v>1768</v>
      </c>
      <c r="G851" s="401" t="s">
        <v>1769</v>
      </c>
      <c r="H851" s="499" t="s">
        <v>7220</v>
      </c>
      <c r="I851" s="486" t="s">
        <v>7221</v>
      </c>
      <c r="J851" s="496" t="s">
        <v>6347</v>
      </c>
      <c r="K851" s="496" t="s">
        <v>6347</v>
      </c>
      <c r="L851" s="500" t="s">
        <v>1772</v>
      </c>
      <c r="M851" s="500" t="s">
        <v>1755</v>
      </c>
      <c r="N851" s="496" t="s">
        <v>1773</v>
      </c>
      <c r="O851" s="496" t="s">
        <v>1786</v>
      </c>
      <c r="P851" s="489">
        <v>17492.241999999998</v>
      </c>
      <c r="Q851" s="489">
        <v>20640.845559999998</v>
      </c>
      <c r="R851" s="584">
        <v>14269.572571478322</v>
      </c>
      <c r="S851" s="401" t="s">
        <v>1774</v>
      </c>
      <c r="T851" s="490">
        <v>1.087</v>
      </c>
      <c r="U851" s="490">
        <v>1.077</v>
      </c>
      <c r="V851" s="490">
        <v>1.073</v>
      </c>
      <c r="W851" s="490">
        <v>1.071</v>
      </c>
      <c r="X851" s="491">
        <v>0.9</v>
      </c>
      <c r="Y851" s="502">
        <v>16132.38</v>
      </c>
      <c r="Z851" s="489">
        <v>19036.2084</v>
      </c>
      <c r="AA851" s="489">
        <v>16671.209253495046</v>
      </c>
      <c r="AB851" s="488">
        <v>19672.026919124153</v>
      </c>
      <c r="AC851" s="492">
        <v>16132.38</v>
      </c>
      <c r="AD851" s="493">
        <v>19036.2084</v>
      </c>
      <c r="AE851" s="494" t="s">
        <v>1775</v>
      </c>
      <c r="AF851" s="494" t="s">
        <v>83</v>
      </c>
      <c r="AG851" s="494" t="s">
        <v>211</v>
      </c>
      <c r="AH851" s="494" t="s">
        <v>545</v>
      </c>
      <c r="AI851" s="495">
        <v>41656</v>
      </c>
      <c r="AJ851" s="495">
        <v>41691</v>
      </c>
      <c r="AK851" s="494" t="s">
        <v>96</v>
      </c>
      <c r="AL851" s="494" t="s">
        <v>96</v>
      </c>
      <c r="AM851" s="496" t="s">
        <v>6348</v>
      </c>
      <c r="AN851" s="496" t="s">
        <v>1757</v>
      </c>
      <c r="AO851" s="494">
        <v>796</v>
      </c>
      <c r="AP851" s="494" t="s">
        <v>368</v>
      </c>
      <c r="AQ851" s="494">
        <v>1</v>
      </c>
      <c r="AR851" s="494">
        <v>45</v>
      </c>
      <c r="AS851" s="496" t="s">
        <v>547</v>
      </c>
      <c r="AT851" s="495">
        <v>41711</v>
      </c>
      <c r="AU851" s="495">
        <v>41711</v>
      </c>
      <c r="AV851" s="583">
        <v>41912</v>
      </c>
      <c r="AW851" s="494">
        <v>2014</v>
      </c>
      <c r="AX851" s="496"/>
      <c r="AY851" s="494" t="s">
        <v>186</v>
      </c>
      <c r="AZ851" s="494"/>
      <c r="BA851" s="494">
        <v>2014</v>
      </c>
      <c r="BB851" s="494" t="s">
        <v>1830</v>
      </c>
      <c r="BC851" s="496" t="s">
        <v>7222</v>
      </c>
      <c r="BD851" s="494" t="s">
        <v>7223</v>
      </c>
      <c r="BE851" s="575">
        <v>41912</v>
      </c>
      <c r="BF851" s="498">
        <v>29588.198805</v>
      </c>
      <c r="BG851" s="488">
        <v>280840</v>
      </c>
      <c r="BH851" s="488">
        <v>0</v>
      </c>
      <c r="BI851" s="488">
        <v>0</v>
      </c>
      <c r="BJ851" s="494" t="s">
        <v>400</v>
      </c>
      <c r="BK851" s="401"/>
    </row>
    <row r="852" spans="1:63" ht="105.75" customHeight="1">
      <c r="A852" s="401">
        <v>2</v>
      </c>
      <c r="B852" s="494" t="s">
        <v>7224</v>
      </c>
      <c r="C852" s="401" t="s">
        <v>83</v>
      </c>
      <c r="D852" s="401" t="s">
        <v>242</v>
      </c>
      <c r="E852" s="494" t="s">
        <v>5853</v>
      </c>
      <c r="F852" s="401" t="s">
        <v>1768</v>
      </c>
      <c r="G852" s="401" t="s">
        <v>1769</v>
      </c>
      <c r="H852" s="499" t="s">
        <v>7225</v>
      </c>
      <c r="I852" s="486" t="s">
        <v>7226</v>
      </c>
      <c r="J852" s="496" t="s">
        <v>6347</v>
      </c>
      <c r="K852" s="496" t="s">
        <v>6347</v>
      </c>
      <c r="L852" s="500" t="s">
        <v>1772</v>
      </c>
      <c r="M852" s="500" t="s">
        <v>1755</v>
      </c>
      <c r="N852" s="496" t="s">
        <v>1773</v>
      </c>
      <c r="O852" s="496" t="s">
        <v>1786</v>
      </c>
      <c r="P852" s="489">
        <v>17492.241999999998</v>
      </c>
      <c r="Q852" s="489">
        <v>20640.845559999998</v>
      </c>
      <c r="R852" s="584">
        <v>14269.572571478322</v>
      </c>
      <c r="S852" s="401" t="s">
        <v>1774</v>
      </c>
      <c r="T852" s="490">
        <v>1.087</v>
      </c>
      <c r="U852" s="490">
        <v>1.077</v>
      </c>
      <c r="V852" s="490">
        <v>1.073</v>
      </c>
      <c r="W852" s="490">
        <v>1.071</v>
      </c>
      <c r="X852" s="491">
        <v>0.9</v>
      </c>
      <c r="Y852" s="502">
        <v>16132.38</v>
      </c>
      <c r="Z852" s="489">
        <v>19036.2084</v>
      </c>
      <c r="AA852" s="489">
        <v>16671.209253495046</v>
      </c>
      <c r="AB852" s="488">
        <v>19672.026919124153</v>
      </c>
      <c r="AC852" s="492">
        <v>16132.38</v>
      </c>
      <c r="AD852" s="493">
        <v>19036.2084</v>
      </c>
      <c r="AE852" s="494" t="s">
        <v>1775</v>
      </c>
      <c r="AF852" s="494" t="s">
        <v>83</v>
      </c>
      <c r="AG852" s="494" t="s">
        <v>211</v>
      </c>
      <c r="AH852" s="494" t="s">
        <v>545</v>
      </c>
      <c r="AI852" s="495">
        <v>41656</v>
      </c>
      <c r="AJ852" s="495">
        <v>41691</v>
      </c>
      <c r="AK852" s="494" t="s">
        <v>96</v>
      </c>
      <c r="AL852" s="494" t="s">
        <v>96</v>
      </c>
      <c r="AM852" s="496" t="s">
        <v>6348</v>
      </c>
      <c r="AN852" s="496" t="s">
        <v>1757</v>
      </c>
      <c r="AO852" s="494">
        <v>796</v>
      </c>
      <c r="AP852" s="494" t="s">
        <v>368</v>
      </c>
      <c r="AQ852" s="494">
        <v>1</v>
      </c>
      <c r="AR852" s="494">
        <v>45</v>
      </c>
      <c r="AS852" s="496" t="s">
        <v>547</v>
      </c>
      <c r="AT852" s="495">
        <v>41711</v>
      </c>
      <c r="AU852" s="495">
        <v>41711</v>
      </c>
      <c r="AV852" s="583">
        <v>41912</v>
      </c>
      <c r="AW852" s="494">
        <v>2014</v>
      </c>
      <c r="AX852" s="496"/>
      <c r="AY852" s="494" t="s">
        <v>186</v>
      </c>
      <c r="AZ852" s="494"/>
      <c r="BA852" s="494">
        <v>2014</v>
      </c>
      <c r="BB852" s="494" t="s">
        <v>1830</v>
      </c>
      <c r="BC852" s="496" t="s">
        <v>7227</v>
      </c>
      <c r="BD852" s="494" t="s">
        <v>7223</v>
      </c>
      <c r="BE852" s="575">
        <v>41912</v>
      </c>
      <c r="BF852" s="498">
        <v>29588.198805</v>
      </c>
      <c r="BG852" s="488">
        <v>280840</v>
      </c>
      <c r="BH852" s="488">
        <v>0</v>
      </c>
      <c r="BI852" s="488">
        <v>0</v>
      </c>
      <c r="BJ852" s="494" t="s">
        <v>400</v>
      </c>
      <c r="BK852" s="401"/>
    </row>
    <row r="853" spans="1:63" ht="105.75" customHeight="1">
      <c r="A853" s="401">
        <v>2</v>
      </c>
      <c r="B853" s="494" t="s">
        <v>7228</v>
      </c>
      <c r="C853" s="401" t="s">
        <v>83</v>
      </c>
      <c r="D853" s="401" t="s">
        <v>242</v>
      </c>
      <c r="E853" s="494" t="s">
        <v>5853</v>
      </c>
      <c r="F853" s="401" t="s">
        <v>1761</v>
      </c>
      <c r="G853" s="401" t="s">
        <v>1762</v>
      </c>
      <c r="H853" s="499">
        <v>852142</v>
      </c>
      <c r="I853" s="486" t="s">
        <v>7229</v>
      </c>
      <c r="J853" s="496" t="s">
        <v>2978</v>
      </c>
      <c r="K853" s="496" t="s">
        <v>2978</v>
      </c>
      <c r="L853" s="500" t="s">
        <v>1772</v>
      </c>
      <c r="M853" s="500" t="s">
        <v>1755</v>
      </c>
      <c r="N853" s="496" t="s">
        <v>1773</v>
      </c>
      <c r="O853" s="496" t="s">
        <v>2234</v>
      </c>
      <c r="P853" s="489">
        <v>5113.2407400000002</v>
      </c>
      <c r="Q853" s="489">
        <v>6033.6240731999997</v>
      </c>
      <c r="R853" s="584">
        <v>4247.4267187932564</v>
      </c>
      <c r="S853" s="401" t="s">
        <v>1774</v>
      </c>
      <c r="T853" s="490">
        <v>1.087</v>
      </c>
      <c r="U853" s="490">
        <v>1.077</v>
      </c>
      <c r="V853" s="490">
        <v>1.073</v>
      </c>
      <c r="W853" s="490">
        <v>1.071</v>
      </c>
      <c r="X853" s="491">
        <v>0.9</v>
      </c>
      <c r="Y853" s="502">
        <v>4901.3869999999997</v>
      </c>
      <c r="Z853" s="489">
        <v>5783.6366599999992</v>
      </c>
      <c r="AA853" s="489">
        <v>3686.6215879735523</v>
      </c>
      <c r="AB853" s="488">
        <v>4350.2134738087916</v>
      </c>
      <c r="AC853" s="492">
        <v>3686.6215879735523</v>
      </c>
      <c r="AD853" s="493">
        <v>4350.2134738087916</v>
      </c>
      <c r="AE853" s="494" t="s">
        <v>1775</v>
      </c>
      <c r="AF853" s="494" t="s">
        <v>83</v>
      </c>
      <c r="AG853" s="494" t="s">
        <v>211</v>
      </c>
      <c r="AH853" s="494" t="s">
        <v>545</v>
      </c>
      <c r="AI853" s="495">
        <v>41656</v>
      </c>
      <c r="AJ853" s="495">
        <v>41691</v>
      </c>
      <c r="AK853" s="494" t="s">
        <v>96</v>
      </c>
      <c r="AL853" s="494" t="s">
        <v>96</v>
      </c>
      <c r="AM853" s="496" t="s">
        <v>5709</v>
      </c>
      <c r="AN853" s="496" t="s">
        <v>6370</v>
      </c>
      <c r="AO853" s="494">
        <v>796</v>
      </c>
      <c r="AP853" s="494" t="s">
        <v>368</v>
      </c>
      <c r="AQ853" s="494">
        <v>1</v>
      </c>
      <c r="AR853" s="494">
        <v>45</v>
      </c>
      <c r="AS853" s="496" t="s">
        <v>547</v>
      </c>
      <c r="AT853" s="495">
        <v>41711</v>
      </c>
      <c r="AU853" s="495">
        <v>41711</v>
      </c>
      <c r="AV853" s="495">
        <v>41820</v>
      </c>
      <c r="AW853" s="494">
        <v>2014</v>
      </c>
      <c r="AX853" s="496"/>
      <c r="AY853" s="494" t="s">
        <v>186</v>
      </c>
      <c r="AZ853" s="494"/>
      <c r="BA853" s="494">
        <v>2014</v>
      </c>
      <c r="BB853" s="494" t="s">
        <v>5631</v>
      </c>
      <c r="BC853" s="496" t="s">
        <v>5632</v>
      </c>
      <c r="BD853" s="494" t="s">
        <v>1818</v>
      </c>
      <c r="BE853" s="575">
        <v>42004</v>
      </c>
      <c r="BF853" s="498">
        <v>45893.789465599999</v>
      </c>
      <c r="BG853" s="488">
        <v>45893.789465599999</v>
      </c>
      <c r="BH853" s="488">
        <v>0</v>
      </c>
      <c r="BI853" s="488">
        <v>5.1529999999999996</v>
      </c>
      <c r="BJ853" s="494" t="s">
        <v>400</v>
      </c>
      <c r="BK853" s="401"/>
    </row>
    <row r="854" spans="1:63" ht="96.75" customHeight="1">
      <c r="A854" s="504">
        <v>2</v>
      </c>
      <c r="B854" s="570" t="s">
        <v>7230</v>
      </c>
      <c r="C854" s="504" t="s">
        <v>83</v>
      </c>
      <c r="D854" s="504" t="s">
        <v>242</v>
      </c>
      <c r="E854" s="570" t="s">
        <v>5853</v>
      </c>
      <c r="F854" s="504" t="s">
        <v>1761</v>
      </c>
      <c r="G854" s="504" t="s">
        <v>1762</v>
      </c>
      <c r="H854" s="517">
        <v>825640</v>
      </c>
      <c r="I854" s="506" t="s">
        <v>7231</v>
      </c>
      <c r="J854" s="506" t="s">
        <v>2978</v>
      </c>
      <c r="K854" s="506" t="s">
        <v>2978</v>
      </c>
      <c r="L854" s="506" t="s">
        <v>1772</v>
      </c>
      <c r="M854" s="571" t="s">
        <v>1755</v>
      </c>
      <c r="N854" s="506" t="s">
        <v>1773</v>
      </c>
      <c r="O854" s="506" t="s">
        <v>2234</v>
      </c>
      <c r="P854" s="512">
        <v>8832.6411900000003</v>
      </c>
      <c r="Q854" s="512">
        <v>10422.5166042</v>
      </c>
      <c r="R854" s="512">
        <v>7714.2241368264786</v>
      </c>
      <c r="S854" s="504" t="s">
        <v>1774</v>
      </c>
      <c r="T854" s="572">
        <v>1.087</v>
      </c>
      <c r="U854" s="572">
        <v>1.077</v>
      </c>
      <c r="V854" s="572">
        <v>1.073</v>
      </c>
      <c r="W854" s="572">
        <v>1.071</v>
      </c>
      <c r="X854" s="511">
        <v>0.9</v>
      </c>
      <c r="Y854" s="512">
        <v>8721.27</v>
      </c>
      <c r="Z854" s="512">
        <v>10291.098599999999</v>
      </c>
      <c r="AA854" s="512">
        <v>10151.042563336963</v>
      </c>
      <c r="AB854" s="512">
        <v>11978.230224737616</v>
      </c>
      <c r="AC854" s="512">
        <v>8721.27</v>
      </c>
      <c r="AD854" s="512">
        <v>10291.098599999999</v>
      </c>
      <c r="AE854" s="494" t="s">
        <v>1775</v>
      </c>
      <c r="AF854" s="570" t="s">
        <v>83</v>
      </c>
      <c r="AG854" s="570" t="s">
        <v>211</v>
      </c>
      <c r="AH854" s="570" t="s">
        <v>545</v>
      </c>
      <c r="AI854" s="515">
        <v>41656</v>
      </c>
      <c r="AJ854" s="515">
        <v>41691</v>
      </c>
      <c r="AK854" s="570" t="s">
        <v>96</v>
      </c>
      <c r="AL854" s="570" t="s">
        <v>96</v>
      </c>
      <c r="AM854" s="506" t="s">
        <v>5709</v>
      </c>
      <c r="AN854" s="506" t="s">
        <v>6370</v>
      </c>
      <c r="AO854" s="570">
        <v>796</v>
      </c>
      <c r="AP854" s="570" t="s">
        <v>368</v>
      </c>
      <c r="AQ854" s="570">
        <v>1</v>
      </c>
      <c r="AR854" s="570">
        <v>45</v>
      </c>
      <c r="AS854" s="506" t="s">
        <v>547</v>
      </c>
      <c r="AT854" s="515">
        <v>41711</v>
      </c>
      <c r="AU854" s="515">
        <v>41711</v>
      </c>
      <c r="AV854" s="515">
        <v>41820</v>
      </c>
      <c r="AW854" s="570">
        <v>2014</v>
      </c>
      <c r="AX854" s="506"/>
      <c r="AY854" s="570" t="s">
        <v>186</v>
      </c>
      <c r="AZ854" s="570"/>
      <c r="BA854" s="570">
        <v>2014</v>
      </c>
      <c r="BB854" s="570" t="s">
        <v>2271</v>
      </c>
      <c r="BC854" s="506" t="s">
        <v>2271</v>
      </c>
      <c r="BD854" s="570" t="s">
        <v>2272</v>
      </c>
      <c r="BE854" s="573" t="s">
        <v>2272</v>
      </c>
      <c r="BF854" s="574" t="s">
        <v>2272</v>
      </c>
      <c r="BG854" s="488" t="s">
        <v>2272</v>
      </c>
      <c r="BH854" s="574" t="s">
        <v>2272</v>
      </c>
      <c r="BI854" s="574" t="s">
        <v>2272</v>
      </c>
      <c r="BJ854" s="570" t="s">
        <v>186</v>
      </c>
      <c r="BK854" s="401"/>
    </row>
    <row r="855" spans="1:63" ht="95.25" customHeight="1">
      <c r="A855" s="523">
        <v>2</v>
      </c>
      <c r="B855" s="534" t="s">
        <v>7232</v>
      </c>
      <c r="C855" s="523" t="s">
        <v>7112</v>
      </c>
      <c r="D855" s="523" t="s">
        <v>242</v>
      </c>
      <c r="E855" s="534" t="s">
        <v>5853</v>
      </c>
      <c r="F855" s="523" t="s">
        <v>1761</v>
      </c>
      <c r="G855" s="523" t="s">
        <v>1762</v>
      </c>
      <c r="H855" s="524" t="s">
        <v>6160</v>
      </c>
      <c r="I855" s="525" t="s">
        <v>7233</v>
      </c>
      <c r="J855" s="525" t="s">
        <v>2978</v>
      </c>
      <c r="K855" s="525" t="s">
        <v>2978</v>
      </c>
      <c r="L855" s="525" t="s">
        <v>1772</v>
      </c>
      <c r="M855" s="541" t="s">
        <v>1755</v>
      </c>
      <c r="N855" s="525" t="s">
        <v>1773</v>
      </c>
      <c r="O855" s="525" t="s">
        <v>2234</v>
      </c>
      <c r="P855" s="531">
        <v>720.27512999999999</v>
      </c>
      <c r="Q855" s="531">
        <v>849.9246533999999</v>
      </c>
      <c r="R855" s="531">
        <v>630.45045984946535</v>
      </c>
      <c r="S855" s="523" t="s">
        <v>1774</v>
      </c>
      <c r="T855" s="542">
        <v>1.087</v>
      </c>
      <c r="U855" s="543">
        <v>1.077</v>
      </c>
      <c r="V855" s="543">
        <v>1.073</v>
      </c>
      <c r="W855" s="543">
        <v>1.071</v>
      </c>
      <c r="X855" s="544">
        <v>0.9</v>
      </c>
      <c r="Y855" s="526">
        <v>712.75199999999995</v>
      </c>
      <c r="Z855" s="531">
        <v>841.04735999999991</v>
      </c>
      <c r="AA855" s="531">
        <v>829.60118068854047</v>
      </c>
      <c r="AB855" s="532">
        <v>978.92939321247775</v>
      </c>
      <c r="AC855" s="531">
        <v>712.75199999999995</v>
      </c>
      <c r="AD855" s="532">
        <v>841.04735999999991</v>
      </c>
      <c r="AE855" s="494" t="s">
        <v>1775</v>
      </c>
      <c r="AF855" s="534" t="s">
        <v>83</v>
      </c>
      <c r="AG855" s="534" t="s">
        <v>211</v>
      </c>
      <c r="AH855" s="534" t="s">
        <v>545</v>
      </c>
      <c r="AI855" s="533">
        <v>41656</v>
      </c>
      <c r="AJ855" s="533">
        <v>41691</v>
      </c>
      <c r="AK855" s="534" t="s">
        <v>96</v>
      </c>
      <c r="AL855" s="534" t="s">
        <v>96</v>
      </c>
      <c r="AM855" s="525" t="s">
        <v>132</v>
      </c>
      <c r="AN855" s="525" t="s">
        <v>6370</v>
      </c>
      <c r="AO855" s="534">
        <v>796</v>
      </c>
      <c r="AP855" s="534" t="s">
        <v>368</v>
      </c>
      <c r="AQ855" s="534">
        <v>1</v>
      </c>
      <c r="AR855" s="534">
        <v>45</v>
      </c>
      <c r="AS855" s="525" t="s">
        <v>547</v>
      </c>
      <c r="AT855" s="533">
        <v>41711</v>
      </c>
      <c r="AU855" s="533">
        <v>41711</v>
      </c>
      <c r="AV855" s="533">
        <v>41820</v>
      </c>
      <c r="AW855" s="534">
        <v>2014</v>
      </c>
      <c r="AX855" s="525"/>
      <c r="AY855" s="534" t="s">
        <v>186</v>
      </c>
      <c r="AZ855" s="534"/>
      <c r="BA855" s="534">
        <v>2014</v>
      </c>
      <c r="BB855" s="534" t="s">
        <v>2197</v>
      </c>
      <c r="BC855" s="525" t="s">
        <v>2198</v>
      </c>
      <c r="BD855" s="534" t="s">
        <v>1818</v>
      </c>
      <c r="BE855" s="545">
        <v>41820</v>
      </c>
      <c r="BF855" s="498">
        <v>7764.4</v>
      </c>
      <c r="BG855" s="488">
        <v>7764.4</v>
      </c>
      <c r="BH855" s="532">
        <v>0</v>
      </c>
      <c r="BI855" s="532">
        <v>1</v>
      </c>
      <c r="BJ855" s="534" t="s">
        <v>400</v>
      </c>
      <c r="BK855" s="401"/>
    </row>
    <row r="856" spans="1:63" ht="95.25" customHeight="1">
      <c r="A856" s="523">
        <v>2</v>
      </c>
      <c r="B856" s="534" t="s">
        <v>7234</v>
      </c>
      <c r="C856" s="523" t="s">
        <v>7112</v>
      </c>
      <c r="D856" s="523" t="s">
        <v>242</v>
      </c>
      <c r="E856" s="534" t="s">
        <v>5853</v>
      </c>
      <c r="F856" s="523" t="s">
        <v>1761</v>
      </c>
      <c r="G856" s="523" t="s">
        <v>1762</v>
      </c>
      <c r="H856" s="524" t="s">
        <v>6160</v>
      </c>
      <c r="I856" s="525" t="s">
        <v>7235</v>
      </c>
      <c r="J856" s="525" t="s">
        <v>2978</v>
      </c>
      <c r="K856" s="525" t="s">
        <v>2978</v>
      </c>
      <c r="L856" s="525" t="s">
        <v>1772</v>
      </c>
      <c r="M856" s="541" t="s">
        <v>1755</v>
      </c>
      <c r="N856" s="525" t="s">
        <v>1773</v>
      </c>
      <c r="O856" s="525" t="s">
        <v>2234</v>
      </c>
      <c r="P856" s="531">
        <v>1202.51397</v>
      </c>
      <c r="Q856" s="531">
        <v>1418.9664845999998</v>
      </c>
      <c r="R856" s="531">
        <v>1028.1784477342446</v>
      </c>
      <c r="S856" s="523" t="s">
        <v>1774</v>
      </c>
      <c r="T856" s="542">
        <v>1.087</v>
      </c>
      <c r="U856" s="543">
        <v>1.077</v>
      </c>
      <c r="V856" s="543">
        <v>1.073</v>
      </c>
      <c r="W856" s="543">
        <v>1.071</v>
      </c>
      <c r="X856" s="544">
        <v>0.9</v>
      </c>
      <c r="Y856" s="526">
        <v>1162.4010000000001</v>
      </c>
      <c r="Z856" s="531">
        <v>1371.63318</v>
      </c>
      <c r="AA856" s="531">
        <v>1352.9660275012066</v>
      </c>
      <c r="AB856" s="532">
        <v>1596.4999124514236</v>
      </c>
      <c r="AC856" s="531">
        <v>1162.4010000000001</v>
      </c>
      <c r="AD856" s="532">
        <v>1371.63318</v>
      </c>
      <c r="AE856" s="494" t="s">
        <v>1775</v>
      </c>
      <c r="AF856" s="534" t="s">
        <v>83</v>
      </c>
      <c r="AG856" s="534" t="s">
        <v>211</v>
      </c>
      <c r="AH856" s="534" t="s">
        <v>545</v>
      </c>
      <c r="AI856" s="533">
        <v>41656</v>
      </c>
      <c r="AJ856" s="533">
        <v>41691</v>
      </c>
      <c r="AK856" s="534" t="s">
        <v>96</v>
      </c>
      <c r="AL856" s="534" t="s">
        <v>96</v>
      </c>
      <c r="AM856" s="525" t="s">
        <v>132</v>
      </c>
      <c r="AN856" s="525" t="s">
        <v>6370</v>
      </c>
      <c r="AO856" s="534">
        <v>796</v>
      </c>
      <c r="AP856" s="534" t="s">
        <v>368</v>
      </c>
      <c r="AQ856" s="534">
        <v>1</v>
      </c>
      <c r="AR856" s="534">
        <v>45</v>
      </c>
      <c r="AS856" s="525" t="s">
        <v>547</v>
      </c>
      <c r="AT856" s="533">
        <v>41711</v>
      </c>
      <c r="AU856" s="533">
        <v>41711</v>
      </c>
      <c r="AV856" s="533">
        <v>41820</v>
      </c>
      <c r="AW856" s="534">
        <v>2014</v>
      </c>
      <c r="AX856" s="525"/>
      <c r="AY856" s="534" t="s">
        <v>186</v>
      </c>
      <c r="AZ856" s="534"/>
      <c r="BA856" s="534">
        <v>2014</v>
      </c>
      <c r="BB856" s="534" t="s">
        <v>2153</v>
      </c>
      <c r="BC856" s="525" t="s">
        <v>2154</v>
      </c>
      <c r="BD856" s="534" t="s">
        <v>1818</v>
      </c>
      <c r="BE856" s="545">
        <v>41820</v>
      </c>
      <c r="BF856" s="498">
        <v>8601.137999999999</v>
      </c>
      <c r="BG856" s="488">
        <v>8601.137999999999</v>
      </c>
      <c r="BH856" s="532">
        <v>0</v>
      </c>
      <c r="BI856" s="532">
        <v>1.56</v>
      </c>
      <c r="BJ856" s="534" t="s">
        <v>400</v>
      </c>
      <c r="BK856" s="401"/>
    </row>
    <row r="857" spans="1:63" ht="95.25" customHeight="1">
      <c r="A857" s="523">
        <v>2</v>
      </c>
      <c r="B857" s="534" t="s">
        <v>7236</v>
      </c>
      <c r="C857" s="523" t="s">
        <v>7112</v>
      </c>
      <c r="D857" s="523" t="s">
        <v>242</v>
      </c>
      <c r="E857" s="534" t="s">
        <v>5853</v>
      </c>
      <c r="F857" s="523" t="s">
        <v>1761</v>
      </c>
      <c r="G857" s="523" t="s">
        <v>1762</v>
      </c>
      <c r="H857" s="524" t="s">
        <v>6160</v>
      </c>
      <c r="I857" s="525" t="s">
        <v>7237</v>
      </c>
      <c r="J857" s="525" t="s">
        <v>2978</v>
      </c>
      <c r="K857" s="525" t="s">
        <v>2978</v>
      </c>
      <c r="L857" s="525" t="s">
        <v>1772</v>
      </c>
      <c r="M857" s="541" t="s">
        <v>1755</v>
      </c>
      <c r="N857" s="525" t="s">
        <v>1773</v>
      </c>
      <c r="O857" s="525" t="s">
        <v>2234</v>
      </c>
      <c r="P857" s="531">
        <v>578.16517999999996</v>
      </c>
      <c r="Q857" s="531">
        <v>682.23491239999987</v>
      </c>
      <c r="R857" s="531">
        <v>506.01036996697877</v>
      </c>
      <c r="S857" s="523" t="s">
        <v>1774</v>
      </c>
      <c r="T857" s="542">
        <v>1.087</v>
      </c>
      <c r="U857" s="543">
        <v>1.077</v>
      </c>
      <c r="V857" s="543">
        <v>1.073</v>
      </c>
      <c r="W857" s="543">
        <v>1.071</v>
      </c>
      <c r="X857" s="544">
        <v>0.9</v>
      </c>
      <c r="Y857" s="526">
        <v>572.06700000000001</v>
      </c>
      <c r="Z857" s="531">
        <v>675.03905999999995</v>
      </c>
      <c r="AA857" s="531">
        <v>665.85215984374815</v>
      </c>
      <c r="AB857" s="532">
        <v>785.70554861562277</v>
      </c>
      <c r="AC857" s="531">
        <v>572.06700000000001</v>
      </c>
      <c r="AD857" s="532">
        <v>675.03905999999995</v>
      </c>
      <c r="AE857" s="494" t="s">
        <v>1775</v>
      </c>
      <c r="AF857" s="534" t="s">
        <v>83</v>
      </c>
      <c r="AG857" s="534" t="s">
        <v>211</v>
      </c>
      <c r="AH857" s="534" t="s">
        <v>545</v>
      </c>
      <c r="AI857" s="533">
        <v>41656</v>
      </c>
      <c r="AJ857" s="533">
        <v>41691</v>
      </c>
      <c r="AK857" s="534" t="s">
        <v>96</v>
      </c>
      <c r="AL857" s="534" t="s">
        <v>96</v>
      </c>
      <c r="AM857" s="525" t="s">
        <v>132</v>
      </c>
      <c r="AN857" s="525" t="s">
        <v>6370</v>
      </c>
      <c r="AO857" s="534">
        <v>796</v>
      </c>
      <c r="AP857" s="534" t="s">
        <v>368</v>
      </c>
      <c r="AQ857" s="534">
        <v>1</v>
      </c>
      <c r="AR857" s="534">
        <v>45</v>
      </c>
      <c r="AS857" s="525" t="s">
        <v>547</v>
      </c>
      <c r="AT857" s="533">
        <v>41711</v>
      </c>
      <c r="AU857" s="533">
        <v>41711</v>
      </c>
      <c r="AV857" s="533">
        <v>41820</v>
      </c>
      <c r="AW857" s="534">
        <v>2014</v>
      </c>
      <c r="AX857" s="525"/>
      <c r="AY857" s="534" t="s">
        <v>186</v>
      </c>
      <c r="AZ857" s="534"/>
      <c r="BA857" s="534">
        <v>2014</v>
      </c>
      <c r="BB857" s="534" t="s">
        <v>2109</v>
      </c>
      <c r="BC857" s="525" t="s">
        <v>2110</v>
      </c>
      <c r="BD857" s="534" t="s">
        <v>1818</v>
      </c>
      <c r="BE857" s="545">
        <v>41820</v>
      </c>
      <c r="BF857" s="498">
        <v>3961</v>
      </c>
      <c r="BG857" s="488">
        <v>3961</v>
      </c>
      <c r="BH857" s="532">
        <v>0</v>
      </c>
      <c r="BI857" s="532">
        <v>0.48</v>
      </c>
      <c r="BJ857" s="534" t="s">
        <v>400</v>
      </c>
      <c r="BK857" s="401"/>
    </row>
    <row r="858" spans="1:63" ht="95.25" customHeight="1">
      <c r="A858" s="523">
        <v>2</v>
      </c>
      <c r="B858" s="534" t="s">
        <v>7238</v>
      </c>
      <c r="C858" s="523" t="s">
        <v>7112</v>
      </c>
      <c r="D858" s="523" t="s">
        <v>242</v>
      </c>
      <c r="E858" s="534" t="s">
        <v>5853</v>
      </c>
      <c r="F858" s="523" t="s">
        <v>1761</v>
      </c>
      <c r="G858" s="523" t="s">
        <v>1762</v>
      </c>
      <c r="H858" s="524" t="s">
        <v>6160</v>
      </c>
      <c r="I858" s="525" t="s">
        <v>7239</v>
      </c>
      <c r="J858" s="525" t="s">
        <v>2978</v>
      </c>
      <c r="K858" s="525" t="s">
        <v>2978</v>
      </c>
      <c r="L858" s="525" t="s">
        <v>1772</v>
      </c>
      <c r="M858" s="541" t="s">
        <v>1755</v>
      </c>
      <c r="N858" s="525" t="s">
        <v>1773</v>
      </c>
      <c r="O858" s="525" t="s">
        <v>2234</v>
      </c>
      <c r="P858" s="531">
        <v>6331.6869100000004</v>
      </c>
      <c r="Q858" s="531">
        <v>7471.3905537999999</v>
      </c>
      <c r="R858" s="531">
        <v>5549.5848592757902</v>
      </c>
      <c r="S858" s="523" t="s">
        <v>1774</v>
      </c>
      <c r="T858" s="542">
        <v>1.087</v>
      </c>
      <c r="U858" s="543">
        <v>1.077</v>
      </c>
      <c r="V858" s="543">
        <v>1.073</v>
      </c>
      <c r="W858" s="543">
        <v>1.071</v>
      </c>
      <c r="X858" s="544">
        <v>0.9</v>
      </c>
      <c r="Y858" s="526">
        <v>6274.05</v>
      </c>
      <c r="Z858" s="531">
        <v>7403.3789999999999</v>
      </c>
      <c r="AA858" s="531">
        <v>7302.6231953034676</v>
      </c>
      <c r="AB858" s="532">
        <v>8617.0953704580916</v>
      </c>
      <c r="AC858" s="531">
        <v>6274.05</v>
      </c>
      <c r="AD858" s="532">
        <v>7403.3789999999999</v>
      </c>
      <c r="AE858" s="494" t="s">
        <v>1775</v>
      </c>
      <c r="AF858" s="534" t="s">
        <v>83</v>
      </c>
      <c r="AG858" s="534" t="s">
        <v>211</v>
      </c>
      <c r="AH858" s="534" t="s">
        <v>545</v>
      </c>
      <c r="AI858" s="533">
        <v>41656</v>
      </c>
      <c r="AJ858" s="533">
        <v>41691</v>
      </c>
      <c r="AK858" s="534" t="s">
        <v>96</v>
      </c>
      <c r="AL858" s="534" t="s">
        <v>96</v>
      </c>
      <c r="AM858" s="525" t="s">
        <v>132</v>
      </c>
      <c r="AN858" s="525" t="s">
        <v>6370</v>
      </c>
      <c r="AO858" s="534">
        <v>796</v>
      </c>
      <c r="AP858" s="534" t="s">
        <v>368</v>
      </c>
      <c r="AQ858" s="534">
        <v>1</v>
      </c>
      <c r="AR858" s="534">
        <v>45</v>
      </c>
      <c r="AS858" s="525" t="s">
        <v>547</v>
      </c>
      <c r="AT858" s="533">
        <v>41711</v>
      </c>
      <c r="AU858" s="533">
        <v>41711</v>
      </c>
      <c r="AV858" s="533">
        <v>42185</v>
      </c>
      <c r="AW858" s="534">
        <v>2014</v>
      </c>
      <c r="AX858" s="525"/>
      <c r="AY858" s="534" t="s">
        <v>186</v>
      </c>
      <c r="AZ858" s="534"/>
      <c r="BA858" s="534">
        <v>2014</v>
      </c>
      <c r="BB858" s="534" t="s">
        <v>2113</v>
      </c>
      <c r="BC858" s="525" t="s">
        <v>2114</v>
      </c>
      <c r="BD858" s="534" t="s">
        <v>1818</v>
      </c>
      <c r="BE858" s="545">
        <v>41820</v>
      </c>
      <c r="BF858" s="498">
        <v>62892.072399435994</v>
      </c>
      <c r="BG858" s="488">
        <v>62892.072399435994</v>
      </c>
      <c r="BH858" s="532">
        <v>0</v>
      </c>
      <c r="BI858" s="532">
        <v>8.1</v>
      </c>
      <c r="BJ858" s="534" t="s">
        <v>400</v>
      </c>
      <c r="BK858" s="401"/>
    </row>
    <row r="859" spans="1:63" ht="105.75" customHeight="1">
      <c r="A859" s="401">
        <v>2</v>
      </c>
      <c r="B859" s="494" t="s">
        <v>7240</v>
      </c>
      <c r="C859" s="401" t="s">
        <v>83</v>
      </c>
      <c r="D859" s="401" t="s">
        <v>242</v>
      </c>
      <c r="E859" s="494" t="s">
        <v>5853</v>
      </c>
      <c r="F859" s="401" t="s">
        <v>1761</v>
      </c>
      <c r="G859" s="401" t="s">
        <v>1762</v>
      </c>
      <c r="H859" s="499">
        <v>854587</v>
      </c>
      <c r="I859" s="486" t="s">
        <v>7241</v>
      </c>
      <c r="J859" s="496" t="s">
        <v>2978</v>
      </c>
      <c r="K859" s="496" t="s">
        <v>2978</v>
      </c>
      <c r="L859" s="500" t="s">
        <v>1772</v>
      </c>
      <c r="M859" s="500" t="s">
        <v>1755</v>
      </c>
      <c r="N859" s="496" t="s">
        <v>1773</v>
      </c>
      <c r="O859" s="496" t="s">
        <v>2234</v>
      </c>
      <c r="P859" s="489">
        <v>3438.6855599999999</v>
      </c>
      <c r="Q859" s="489">
        <v>4057.6489607999997</v>
      </c>
      <c r="R859" s="584">
        <v>2915.6042835580183</v>
      </c>
      <c r="S859" s="401" t="s">
        <v>1774</v>
      </c>
      <c r="T859" s="490">
        <v>1.087</v>
      </c>
      <c r="U859" s="490">
        <v>1.077</v>
      </c>
      <c r="V859" s="490">
        <v>1.073</v>
      </c>
      <c r="W859" s="490">
        <v>1.071</v>
      </c>
      <c r="X859" s="491">
        <v>0.9</v>
      </c>
      <c r="Y859" s="502">
        <v>3296.2190000000001</v>
      </c>
      <c r="Z859" s="489">
        <v>3889.5384199999999</v>
      </c>
      <c r="AA859" s="489">
        <v>3836.6039999999998</v>
      </c>
      <c r="AB859" s="488">
        <v>4527.1927199999991</v>
      </c>
      <c r="AC859" s="492">
        <v>3296.2190000000001</v>
      </c>
      <c r="AD859" s="493">
        <v>3889.5384199999999</v>
      </c>
      <c r="AE859" s="494" t="s">
        <v>1775</v>
      </c>
      <c r="AF859" s="494" t="s">
        <v>83</v>
      </c>
      <c r="AG859" s="494" t="s">
        <v>211</v>
      </c>
      <c r="AH859" s="494" t="s">
        <v>545</v>
      </c>
      <c r="AI859" s="495">
        <v>41656</v>
      </c>
      <c r="AJ859" s="495">
        <v>41691</v>
      </c>
      <c r="AK859" s="494" t="s">
        <v>96</v>
      </c>
      <c r="AL859" s="494" t="s">
        <v>96</v>
      </c>
      <c r="AM859" s="496" t="s">
        <v>5709</v>
      </c>
      <c r="AN859" s="496" t="s">
        <v>6370</v>
      </c>
      <c r="AO859" s="494">
        <v>796</v>
      </c>
      <c r="AP859" s="494" t="s">
        <v>368</v>
      </c>
      <c r="AQ859" s="494">
        <v>1</v>
      </c>
      <c r="AR859" s="494">
        <v>45</v>
      </c>
      <c r="AS859" s="496" t="s">
        <v>547</v>
      </c>
      <c r="AT859" s="495">
        <v>41711</v>
      </c>
      <c r="AU859" s="495">
        <v>41711</v>
      </c>
      <c r="AV859" s="495">
        <v>41820</v>
      </c>
      <c r="AW859" s="494">
        <v>2014</v>
      </c>
      <c r="AX859" s="496"/>
      <c r="AY859" s="494" t="s">
        <v>186</v>
      </c>
      <c r="AZ859" s="494"/>
      <c r="BA859" s="494">
        <v>2014</v>
      </c>
      <c r="BB859" s="494" t="s">
        <v>5623</v>
      </c>
      <c r="BC859" s="496" t="s">
        <v>5624</v>
      </c>
      <c r="BD859" s="494" t="s">
        <v>1818</v>
      </c>
      <c r="BE859" s="575">
        <v>42004</v>
      </c>
      <c r="BF859" s="498">
        <v>10304.291892316</v>
      </c>
      <c r="BG859" s="488">
        <v>10304.291892316</v>
      </c>
      <c r="BH859" s="488">
        <v>3.26</v>
      </c>
      <c r="BI859" s="488">
        <v>6.7</v>
      </c>
      <c r="BJ859" s="494" t="s">
        <v>400</v>
      </c>
      <c r="BK859" s="401"/>
    </row>
    <row r="860" spans="1:63" ht="105.75" customHeight="1">
      <c r="A860" s="401">
        <v>2</v>
      </c>
      <c r="B860" s="494" t="s">
        <v>7242</v>
      </c>
      <c r="C860" s="401" t="s">
        <v>83</v>
      </c>
      <c r="D860" s="401" t="s">
        <v>242</v>
      </c>
      <c r="E860" s="494" t="s">
        <v>5853</v>
      </c>
      <c r="F860" s="401" t="s">
        <v>1761</v>
      </c>
      <c r="G860" s="401" t="s">
        <v>1762</v>
      </c>
      <c r="H860" s="499">
        <v>854592</v>
      </c>
      <c r="I860" s="486" t="s">
        <v>7243</v>
      </c>
      <c r="J860" s="496" t="s">
        <v>2978</v>
      </c>
      <c r="K860" s="496" t="s">
        <v>2978</v>
      </c>
      <c r="L860" s="500" t="s">
        <v>1772</v>
      </c>
      <c r="M860" s="500" t="s">
        <v>1755</v>
      </c>
      <c r="N860" s="496" t="s">
        <v>1773</v>
      </c>
      <c r="O860" s="496" t="s">
        <v>2234</v>
      </c>
      <c r="P860" s="489">
        <v>3351.7896099999998</v>
      </c>
      <c r="Q860" s="489">
        <v>3955.1117397999997</v>
      </c>
      <c r="R860" s="584">
        <v>2841.756650732138</v>
      </c>
      <c r="S860" s="401" t="s">
        <v>1774</v>
      </c>
      <c r="T860" s="490">
        <v>1.087</v>
      </c>
      <c r="U860" s="490">
        <v>1.077</v>
      </c>
      <c r="V860" s="490">
        <v>1.073</v>
      </c>
      <c r="W860" s="490">
        <v>1.071</v>
      </c>
      <c r="X860" s="491">
        <v>0.9</v>
      </c>
      <c r="Y860" s="502">
        <v>3212.7310000000002</v>
      </c>
      <c r="Z860" s="489">
        <v>3791.0225800000003</v>
      </c>
      <c r="AA860" s="489">
        <v>5570.3010000000004</v>
      </c>
      <c r="AB860" s="488">
        <v>6572.9551799999999</v>
      </c>
      <c r="AC860" s="492">
        <v>3212.7310000000002</v>
      </c>
      <c r="AD860" s="493">
        <v>3791.0225800000003</v>
      </c>
      <c r="AE860" s="494" t="s">
        <v>1775</v>
      </c>
      <c r="AF860" s="494" t="s">
        <v>83</v>
      </c>
      <c r="AG860" s="494" t="s">
        <v>211</v>
      </c>
      <c r="AH860" s="494" t="s">
        <v>545</v>
      </c>
      <c r="AI860" s="495">
        <v>41656</v>
      </c>
      <c r="AJ860" s="495">
        <v>41691</v>
      </c>
      <c r="AK860" s="494" t="s">
        <v>96</v>
      </c>
      <c r="AL860" s="494" t="s">
        <v>96</v>
      </c>
      <c r="AM860" s="496" t="s">
        <v>5709</v>
      </c>
      <c r="AN860" s="496" t="s">
        <v>6370</v>
      </c>
      <c r="AO860" s="494">
        <v>796</v>
      </c>
      <c r="AP860" s="494" t="s">
        <v>368</v>
      </c>
      <c r="AQ860" s="494">
        <v>1</v>
      </c>
      <c r="AR860" s="494">
        <v>45</v>
      </c>
      <c r="AS860" s="496" t="s">
        <v>547</v>
      </c>
      <c r="AT860" s="495">
        <v>41711</v>
      </c>
      <c r="AU860" s="495">
        <v>41711</v>
      </c>
      <c r="AV860" s="495">
        <v>41820</v>
      </c>
      <c r="AW860" s="494">
        <v>2014</v>
      </c>
      <c r="AX860" s="496"/>
      <c r="AY860" s="494" t="s">
        <v>186</v>
      </c>
      <c r="AZ860" s="494"/>
      <c r="BA860" s="494">
        <v>2014</v>
      </c>
      <c r="BB860" s="494" t="s">
        <v>5635</v>
      </c>
      <c r="BC860" s="496" t="s">
        <v>5636</v>
      </c>
      <c r="BD860" s="494" t="s">
        <v>1818</v>
      </c>
      <c r="BE860" s="575">
        <v>42004</v>
      </c>
      <c r="BF860" s="498">
        <v>31937.894159999996</v>
      </c>
      <c r="BG860" s="488">
        <v>31937.894159999996</v>
      </c>
      <c r="BH860" s="488">
        <v>0</v>
      </c>
      <c r="BI860" s="488">
        <v>3.8</v>
      </c>
      <c r="BJ860" s="494" t="s">
        <v>400</v>
      </c>
      <c r="BK860" s="401"/>
    </row>
    <row r="861" spans="1:63" ht="105.75" customHeight="1">
      <c r="A861" s="401">
        <v>2</v>
      </c>
      <c r="B861" s="494" t="s">
        <v>7244</v>
      </c>
      <c r="C861" s="401" t="s">
        <v>83</v>
      </c>
      <c r="D861" s="401" t="s">
        <v>242</v>
      </c>
      <c r="E861" s="494" t="s">
        <v>5853</v>
      </c>
      <c r="F861" s="401" t="s">
        <v>1768</v>
      </c>
      <c r="G861" s="401" t="s">
        <v>1769</v>
      </c>
      <c r="H861" s="499" t="s">
        <v>7245</v>
      </c>
      <c r="I861" s="486" t="s">
        <v>7246</v>
      </c>
      <c r="J861" s="496" t="s">
        <v>5317</v>
      </c>
      <c r="K861" s="496" t="s">
        <v>5317</v>
      </c>
      <c r="L861" s="500" t="s">
        <v>1772</v>
      </c>
      <c r="M861" s="500" t="s">
        <v>1755</v>
      </c>
      <c r="N861" s="496" t="s">
        <v>1773</v>
      </c>
      <c r="O861" s="496" t="s">
        <v>2234</v>
      </c>
      <c r="P861" s="489">
        <v>675.20950152931766</v>
      </c>
      <c r="Q861" s="489">
        <v>796.74721180459483</v>
      </c>
      <c r="R861" s="584">
        <v>577.93953854933329</v>
      </c>
      <c r="S861" s="401" t="s">
        <v>1774</v>
      </c>
      <c r="T861" s="490">
        <v>1.087</v>
      </c>
      <c r="U861" s="490">
        <v>1.077</v>
      </c>
      <c r="V861" s="490">
        <v>1.073</v>
      </c>
      <c r="W861" s="490">
        <v>1.071</v>
      </c>
      <c r="X861" s="491">
        <v>0.9</v>
      </c>
      <c r="Y861" s="502">
        <v>653.38609171364817</v>
      </c>
      <c r="Z861" s="489">
        <v>770.99558822210486</v>
      </c>
      <c r="AA861" s="489">
        <v>685.4353237408684</v>
      </c>
      <c r="AB861" s="488">
        <v>808.8136820142247</v>
      </c>
      <c r="AC861" s="492">
        <v>653.38609171364817</v>
      </c>
      <c r="AD861" s="493">
        <v>770.99558822210486</v>
      </c>
      <c r="AE861" s="494" t="s">
        <v>1775</v>
      </c>
      <c r="AF861" s="494" t="s">
        <v>83</v>
      </c>
      <c r="AG861" s="494" t="s">
        <v>211</v>
      </c>
      <c r="AH861" s="494" t="s">
        <v>545</v>
      </c>
      <c r="AI861" s="495">
        <v>41791</v>
      </c>
      <c r="AJ861" s="495">
        <v>41826</v>
      </c>
      <c r="AK861" s="494" t="s">
        <v>96</v>
      </c>
      <c r="AL861" s="494" t="s">
        <v>96</v>
      </c>
      <c r="AM861" s="496" t="s">
        <v>1846</v>
      </c>
      <c r="AN861" s="496" t="s">
        <v>1757</v>
      </c>
      <c r="AO861" s="494">
        <v>796</v>
      </c>
      <c r="AP861" s="494" t="s">
        <v>368</v>
      </c>
      <c r="AQ861" s="494">
        <v>1</v>
      </c>
      <c r="AR861" s="494">
        <v>45</v>
      </c>
      <c r="AS861" s="496" t="s">
        <v>547</v>
      </c>
      <c r="AT861" s="495">
        <v>41846</v>
      </c>
      <c r="AU861" s="495">
        <v>41846</v>
      </c>
      <c r="AV861" s="495">
        <v>42004</v>
      </c>
      <c r="AW861" s="494">
        <v>2014</v>
      </c>
      <c r="AX861" s="496"/>
      <c r="AY861" s="494" t="s">
        <v>186</v>
      </c>
      <c r="AZ861" s="494"/>
      <c r="BA861" s="494">
        <v>2014</v>
      </c>
      <c r="BB861" s="494" t="s">
        <v>7165</v>
      </c>
      <c r="BC861" s="496" t="s">
        <v>7166</v>
      </c>
      <c r="BD861" s="494" t="s">
        <v>1818</v>
      </c>
      <c r="BE861" s="575">
        <v>42004</v>
      </c>
      <c r="BF861" s="498">
        <v>909</v>
      </c>
      <c r="BG861" s="488">
        <v>909</v>
      </c>
      <c r="BH861" s="488">
        <v>0</v>
      </c>
      <c r="BI861" s="488">
        <v>0.11</v>
      </c>
      <c r="BJ861" s="494" t="s">
        <v>400</v>
      </c>
      <c r="BK861" s="401"/>
    </row>
    <row r="862" spans="1:63" s="603" customFormat="1">
      <c r="A862" s="91" t="s">
        <v>132</v>
      </c>
      <c r="B862" s="7" t="s">
        <v>132</v>
      </c>
      <c r="C862" s="7" t="s">
        <v>132</v>
      </c>
      <c r="D862" s="7" t="s">
        <v>132</v>
      </c>
      <c r="E862" s="7" t="s">
        <v>132</v>
      </c>
      <c r="F862" s="7" t="s">
        <v>132</v>
      </c>
      <c r="G862" s="7" t="s">
        <v>132</v>
      </c>
      <c r="H862" s="7" t="s">
        <v>132</v>
      </c>
      <c r="I862" s="7" t="s">
        <v>4157</v>
      </c>
      <c r="J862" s="7" t="s">
        <v>132</v>
      </c>
      <c r="K862" s="7" t="s">
        <v>132</v>
      </c>
      <c r="L862" s="7" t="s">
        <v>132</v>
      </c>
      <c r="M862" s="7" t="s">
        <v>132</v>
      </c>
      <c r="N862" s="7" t="s">
        <v>132</v>
      </c>
      <c r="O862" s="7" t="s">
        <v>132</v>
      </c>
      <c r="P862" s="7" t="s">
        <v>132</v>
      </c>
      <c r="Q862" s="7" t="s">
        <v>132</v>
      </c>
      <c r="R862" s="7" t="s">
        <v>132</v>
      </c>
      <c r="S862" s="7" t="s">
        <v>132</v>
      </c>
      <c r="T862" s="7" t="s">
        <v>132</v>
      </c>
      <c r="U862" s="7" t="s">
        <v>132</v>
      </c>
      <c r="V862" s="7" t="s">
        <v>132</v>
      </c>
      <c r="W862" s="7" t="s">
        <v>132</v>
      </c>
      <c r="X862" s="7" t="s">
        <v>132</v>
      </c>
      <c r="Y862" s="7" t="s">
        <v>132</v>
      </c>
      <c r="Z862" s="7" t="s">
        <v>132</v>
      </c>
      <c r="AA862" s="7" t="s">
        <v>132</v>
      </c>
      <c r="AB862" s="7" t="s">
        <v>132</v>
      </c>
      <c r="AC862" s="7" t="s">
        <v>132</v>
      </c>
      <c r="AD862" s="7" t="s">
        <v>132</v>
      </c>
      <c r="AE862" s="7" t="s">
        <v>132</v>
      </c>
      <c r="AF862" s="7" t="s">
        <v>132</v>
      </c>
      <c r="AG862" s="7" t="s">
        <v>132</v>
      </c>
      <c r="AH862" s="7" t="s">
        <v>132</v>
      </c>
      <c r="AI862" s="7" t="s">
        <v>132</v>
      </c>
      <c r="AJ862" s="7" t="s">
        <v>132</v>
      </c>
      <c r="AK862" s="7" t="s">
        <v>132</v>
      </c>
      <c r="AL862" s="7" t="s">
        <v>132</v>
      </c>
      <c r="AM862" s="7" t="s">
        <v>132</v>
      </c>
      <c r="AN862" s="7" t="s">
        <v>132</v>
      </c>
      <c r="AO862" s="7" t="s">
        <v>132</v>
      </c>
      <c r="AP862" s="7" t="s">
        <v>132</v>
      </c>
      <c r="AQ862" s="7" t="s">
        <v>132</v>
      </c>
      <c r="AR862" s="7" t="s">
        <v>132</v>
      </c>
      <c r="AS862" s="7" t="s">
        <v>132</v>
      </c>
      <c r="AT862" s="7" t="s">
        <v>132</v>
      </c>
      <c r="AU862" s="7" t="s">
        <v>132</v>
      </c>
      <c r="AV862" s="7" t="s">
        <v>132</v>
      </c>
      <c r="AW862" s="7" t="s">
        <v>132</v>
      </c>
      <c r="AX862" s="7" t="s">
        <v>132</v>
      </c>
      <c r="AY862" s="7" t="s">
        <v>132</v>
      </c>
      <c r="AZ862" s="7" t="s">
        <v>132</v>
      </c>
      <c r="BA862" s="7" t="s">
        <v>132</v>
      </c>
      <c r="BB862" s="7" t="s">
        <v>132</v>
      </c>
      <c r="BC862" s="7" t="s">
        <v>132</v>
      </c>
      <c r="BD862" s="7" t="s">
        <v>132</v>
      </c>
      <c r="BE862" s="7" t="s">
        <v>132</v>
      </c>
      <c r="BF862" s="7" t="s">
        <v>132</v>
      </c>
      <c r="BG862" s="488" t="s">
        <v>132</v>
      </c>
      <c r="BH862" s="7" t="s">
        <v>132</v>
      </c>
      <c r="BI862" s="7" t="s">
        <v>132</v>
      </c>
      <c r="BJ862" s="7" t="s">
        <v>132</v>
      </c>
      <c r="BK862" s="7"/>
    </row>
    <row r="863" spans="1:63" s="199" customFormat="1" ht="80.25" customHeight="1">
      <c r="A863" s="127">
        <v>2</v>
      </c>
      <c r="B863" s="127" t="s">
        <v>4600</v>
      </c>
      <c r="C863" s="127" t="s">
        <v>83</v>
      </c>
      <c r="D863" s="127" t="s">
        <v>160</v>
      </c>
      <c r="E863" s="127" t="s">
        <v>274</v>
      </c>
      <c r="F863" s="127" t="s">
        <v>4620</v>
      </c>
      <c r="G863" s="127">
        <v>31</v>
      </c>
      <c r="H863" s="133">
        <v>625750</v>
      </c>
      <c r="I863" s="137" t="s">
        <v>4669</v>
      </c>
      <c r="J863" s="137" t="s">
        <v>4282</v>
      </c>
      <c r="K863" s="153" t="s">
        <v>4917</v>
      </c>
      <c r="L863" s="137" t="s">
        <v>438</v>
      </c>
      <c r="M863" s="363" t="s">
        <v>4170</v>
      </c>
      <c r="N863" s="364" t="s">
        <v>4171</v>
      </c>
      <c r="O863" s="137" t="s">
        <v>4172</v>
      </c>
      <c r="P863" s="152">
        <v>36889.96</v>
      </c>
      <c r="Q863" s="152">
        <f>P863*1.18</f>
        <v>43530.152799999996</v>
      </c>
      <c r="R863" s="227">
        <v>33823.014754021569</v>
      </c>
      <c r="S863" s="230" t="s">
        <v>4780</v>
      </c>
      <c r="T863" s="172"/>
      <c r="U863" s="172"/>
      <c r="V863" s="172"/>
      <c r="W863" s="172"/>
      <c r="X863" s="172"/>
      <c r="Y863" s="152">
        <v>36889.96</v>
      </c>
      <c r="Z863" s="152">
        <f>Y863*1.18</f>
        <v>43530.152799999996</v>
      </c>
      <c r="AA863" s="152">
        <v>36889.96</v>
      </c>
      <c r="AB863" s="152">
        <f>AA863*1.18</f>
        <v>43530.152799999996</v>
      </c>
      <c r="AC863" s="456">
        <v>36889.96</v>
      </c>
      <c r="AD863" s="456">
        <f t="shared" ref="AD863:AD874" si="127">AC863*1.18</f>
        <v>43530.152799999996</v>
      </c>
      <c r="AE863" s="494" t="s">
        <v>218</v>
      </c>
      <c r="AF863" s="127" t="s">
        <v>83</v>
      </c>
      <c r="AG863" s="127" t="s">
        <v>83</v>
      </c>
      <c r="AH863" s="127" t="s">
        <v>90</v>
      </c>
      <c r="AI863" s="128">
        <v>41618</v>
      </c>
      <c r="AJ863" s="128">
        <v>41669</v>
      </c>
      <c r="AK863" s="365"/>
      <c r="AL863" s="366"/>
      <c r="AM863" s="366" t="s">
        <v>4599</v>
      </c>
      <c r="AN863" s="366" t="s">
        <v>1757</v>
      </c>
      <c r="AO863" s="133">
        <v>796</v>
      </c>
      <c r="AP863" s="127" t="s">
        <v>368</v>
      </c>
      <c r="AQ863" s="127">
        <v>2000</v>
      </c>
      <c r="AR863" s="127" t="s">
        <v>2980</v>
      </c>
      <c r="AS863" s="137" t="s">
        <v>3373</v>
      </c>
      <c r="AT863" s="128">
        <v>41669</v>
      </c>
      <c r="AU863" s="128">
        <v>41669</v>
      </c>
      <c r="AV863" s="128">
        <v>41669</v>
      </c>
      <c r="AW863" s="127">
        <v>2014</v>
      </c>
      <c r="AX863" s="366"/>
      <c r="AY863" s="129"/>
      <c r="AZ863" s="137"/>
      <c r="BA863" s="127">
        <v>2014</v>
      </c>
      <c r="BB863" s="127"/>
      <c r="BC863" s="366" t="s">
        <v>4606</v>
      </c>
      <c r="BD863" s="366"/>
      <c r="BE863" s="473"/>
      <c r="BF863" s="367"/>
      <c r="BG863" s="488">
        <v>0</v>
      </c>
      <c r="BH863" s="367"/>
      <c r="BI863" s="367"/>
      <c r="BJ863" s="367"/>
      <c r="BK863" s="137"/>
    </row>
    <row r="864" spans="1:63" s="287" customFormat="1" ht="93.75">
      <c r="A864" s="42">
        <v>2</v>
      </c>
      <c r="B864" s="42" t="s">
        <v>4601</v>
      </c>
      <c r="C864" s="42" t="s">
        <v>4601</v>
      </c>
      <c r="D864" s="42" t="s">
        <v>213</v>
      </c>
      <c r="E864" s="42" t="s">
        <v>274</v>
      </c>
      <c r="F864" s="42" t="s">
        <v>4620</v>
      </c>
      <c r="G864" s="42">
        <v>31</v>
      </c>
      <c r="H864" s="42" t="s">
        <v>4601</v>
      </c>
      <c r="I864" s="113" t="s">
        <v>4670</v>
      </c>
      <c r="J864" s="13" t="s">
        <v>4282</v>
      </c>
      <c r="K864" s="201" t="s">
        <v>4917</v>
      </c>
      <c r="L864" s="13" t="s">
        <v>438</v>
      </c>
      <c r="M864" s="13">
        <v>2010102</v>
      </c>
      <c r="N864" s="13" t="s">
        <v>4171</v>
      </c>
      <c r="O864" s="201" t="s">
        <v>132</v>
      </c>
      <c r="P864" s="201" t="s">
        <v>132</v>
      </c>
      <c r="Q864" s="201" t="s">
        <v>132</v>
      </c>
      <c r="R864" s="201" t="s">
        <v>132</v>
      </c>
      <c r="S864" s="201" t="s">
        <v>132</v>
      </c>
      <c r="T864" s="201" t="s">
        <v>132</v>
      </c>
      <c r="U864" s="201" t="s">
        <v>132</v>
      </c>
      <c r="V864" s="201" t="s">
        <v>132</v>
      </c>
      <c r="W864" s="201" t="s">
        <v>132</v>
      </c>
      <c r="X864" s="201" t="s">
        <v>132</v>
      </c>
      <c r="Y864" s="201" t="s">
        <v>132</v>
      </c>
      <c r="Z864" s="201" t="s">
        <v>132</v>
      </c>
      <c r="AA864" s="201" t="s">
        <v>132</v>
      </c>
      <c r="AB864" s="201" t="s">
        <v>132</v>
      </c>
      <c r="AC864" s="472" t="s">
        <v>132</v>
      </c>
      <c r="AD864" s="472" t="s">
        <v>132</v>
      </c>
      <c r="AE864" s="201" t="s">
        <v>132</v>
      </c>
      <c r="AF864" s="201" t="s">
        <v>132</v>
      </c>
      <c r="AG864" s="201" t="s">
        <v>132</v>
      </c>
      <c r="AH864" s="201" t="s">
        <v>132</v>
      </c>
      <c r="AI864" s="201" t="s">
        <v>132</v>
      </c>
      <c r="AJ864" s="201" t="s">
        <v>132</v>
      </c>
      <c r="AK864" s="201" t="s">
        <v>132</v>
      </c>
      <c r="AL864" s="201" t="s">
        <v>132</v>
      </c>
      <c r="AM864" s="201" t="s">
        <v>132</v>
      </c>
      <c r="AN864" s="201" t="s">
        <v>132</v>
      </c>
      <c r="AO864" s="201" t="s">
        <v>132</v>
      </c>
      <c r="AP864" s="201" t="s">
        <v>132</v>
      </c>
      <c r="AQ864" s="201" t="s">
        <v>132</v>
      </c>
      <c r="AR864" s="201" t="s">
        <v>132</v>
      </c>
      <c r="AS864" s="201" t="s">
        <v>132</v>
      </c>
      <c r="AT864" s="201" t="s">
        <v>132</v>
      </c>
      <c r="AU864" s="201" t="s">
        <v>132</v>
      </c>
      <c r="AV864" s="201" t="s">
        <v>132</v>
      </c>
      <c r="AW864" s="201" t="s">
        <v>132</v>
      </c>
      <c r="AX864" s="201" t="s">
        <v>132</v>
      </c>
      <c r="AY864" s="201" t="s">
        <v>132</v>
      </c>
      <c r="AZ864" s="201" t="s">
        <v>132</v>
      </c>
      <c r="BA864" s="42">
        <v>2014</v>
      </c>
      <c r="BB864" s="42" t="s">
        <v>4602</v>
      </c>
      <c r="BC864" s="57" t="s">
        <v>4604</v>
      </c>
      <c r="BD864" s="42" t="s">
        <v>132</v>
      </c>
      <c r="BE864" s="470" t="s">
        <v>132</v>
      </c>
      <c r="BF864" s="42" t="s">
        <v>132</v>
      </c>
      <c r="BG864" s="42" t="s">
        <v>132</v>
      </c>
      <c r="BH864" s="42" t="s">
        <v>132</v>
      </c>
      <c r="BI864" s="42" t="s">
        <v>132</v>
      </c>
      <c r="BJ864" s="42" t="s">
        <v>132</v>
      </c>
      <c r="BK864" s="368"/>
    </row>
    <row r="865" spans="1:63" s="287" customFormat="1" ht="93.75" customHeight="1">
      <c r="A865" s="42">
        <v>2</v>
      </c>
      <c r="B865" s="42" t="s">
        <v>4601</v>
      </c>
      <c r="C865" s="42" t="s">
        <v>4601</v>
      </c>
      <c r="D865" s="42" t="s">
        <v>238</v>
      </c>
      <c r="E865" s="42" t="s">
        <v>274</v>
      </c>
      <c r="F865" s="42" t="s">
        <v>4620</v>
      </c>
      <c r="G865" s="42">
        <v>31</v>
      </c>
      <c r="H865" s="42" t="s">
        <v>4601</v>
      </c>
      <c r="I865" s="113" t="s">
        <v>4671</v>
      </c>
      <c r="J865" s="13" t="s">
        <v>4282</v>
      </c>
      <c r="K865" s="201" t="s">
        <v>4917</v>
      </c>
      <c r="L865" s="13" t="s">
        <v>438</v>
      </c>
      <c r="M865" s="13">
        <v>2010102</v>
      </c>
      <c r="N865" s="13" t="s">
        <v>4171</v>
      </c>
      <c r="O865" s="201" t="s">
        <v>132</v>
      </c>
      <c r="P865" s="201" t="s">
        <v>132</v>
      </c>
      <c r="Q865" s="201" t="s">
        <v>132</v>
      </c>
      <c r="R865" s="201" t="s">
        <v>132</v>
      </c>
      <c r="S865" s="201" t="s">
        <v>132</v>
      </c>
      <c r="T865" s="201" t="s">
        <v>132</v>
      </c>
      <c r="U865" s="201" t="s">
        <v>132</v>
      </c>
      <c r="V865" s="201" t="s">
        <v>132</v>
      </c>
      <c r="W865" s="201" t="s">
        <v>132</v>
      </c>
      <c r="X865" s="201" t="s">
        <v>132</v>
      </c>
      <c r="Y865" s="201" t="s">
        <v>132</v>
      </c>
      <c r="Z865" s="201" t="s">
        <v>132</v>
      </c>
      <c r="AA865" s="201" t="s">
        <v>132</v>
      </c>
      <c r="AB865" s="201" t="s">
        <v>132</v>
      </c>
      <c r="AC865" s="472" t="s">
        <v>132</v>
      </c>
      <c r="AD865" s="472" t="s">
        <v>132</v>
      </c>
      <c r="AE865" s="201" t="s">
        <v>132</v>
      </c>
      <c r="AF865" s="201" t="s">
        <v>132</v>
      </c>
      <c r="AG865" s="201" t="s">
        <v>132</v>
      </c>
      <c r="AH865" s="201" t="s">
        <v>132</v>
      </c>
      <c r="AI865" s="201" t="s">
        <v>132</v>
      </c>
      <c r="AJ865" s="201" t="s">
        <v>132</v>
      </c>
      <c r="AK865" s="201" t="s">
        <v>132</v>
      </c>
      <c r="AL865" s="201" t="s">
        <v>132</v>
      </c>
      <c r="AM865" s="201" t="s">
        <v>132</v>
      </c>
      <c r="AN865" s="201" t="s">
        <v>132</v>
      </c>
      <c r="AO865" s="201" t="s">
        <v>132</v>
      </c>
      <c r="AP865" s="201" t="s">
        <v>132</v>
      </c>
      <c r="AQ865" s="201" t="s">
        <v>132</v>
      </c>
      <c r="AR865" s="201" t="s">
        <v>132</v>
      </c>
      <c r="AS865" s="201" t="s">
        <v>132</v>
      </c>
      <c r="AT865" s="201" t="s">
        <v>132</v>
      </c>
      <c r="AU865" s="201" t="s">
        <v>132</v>
      </c>
      <c r="AV865" s="201" t="s">
        <v>132</v>
      </c>
      <c r="AW865" s="201" t="s">
        <v>132</v>
      </c>
      <c r="AX865" s="201" t="s">
        <v>132</v>
      </c>
      <c r="AY865" s="201" t="s">
        <v>132</v>
      </c>
      <c r="AZ865" s="201" t="s">
        <v>132</v>
      </c>
      <c r="BA865" s="42">
        <v>2014</v>
      </c>
      <c r="BB865" s="42" t="s">
        <v>4603</v>
      </c>
      <c r="BC865" s="57" t="s">
        <v>4605</v>
      </c>
      <c r="BD865" s="42" t="s">
        <v>132</v>
      </c>
      <c r="BE865" s="470" t="s">
        <v>132</v>
      </c>
      <c r="BF865" s="42" t="s">
        <v>132</v>
      </c>
      <c r="BG865" s="42" t="s">
        <v>132</v>
      </c>
      <c r="BH865" s="42" t="s">
        <v>132</v>
      </c>
      <c r="BI865" s="42" t="s">
        <v>132</v>
      </c>
      <c r="BJ865" s="42" t="s">
        <v>132</v>
      </c>
      <c r="BK865" s="401"/>
    </row>
    <row r="866" spans="1:63" s="199" customFormat="1" ht="168.75">
      <c r="A866" s="127">
        <v>2</v>
      </c>
      <c r="B866" s="127" t="s">
        <v>4607</v>
      </c>
      <c r="C866" s="127" t="s">
        <v>83</v>
      </c>
      <c r="D866" s="127" t="s">
        <v>213</v>
      </c>
      <c r="E866" s="127" t="s">
        <v>274</v>
      </c>
      <c r="F866" s="127" t="s">
        <v>4620</v>
      </c>
      <c r="G866" s="127">
        <v>31</v>
      </c>
      <c r="H866" s="133">
        <v>626507</v>
      </c>
      <c r="I866" s="137" t="s">
        <v>4609</v>
      </c>
      <c r="J866" s="137" t="s">
        <v>4282</v>
      </c>
      <c r="K866" s="153" t="s">
        <v>4917</v>
      </c>
      <c r="L866" s="137" t="s">
        <v>438</v>
      </c>
      <c r="M866" s="363" t="s">
        <v>4170</v>
      </c>
      <c r="N866" s="364" t="s">
        <v>4171</v>
      </c>
      <c r="O866" s="137" t="s">
        <v>4172</v>
      </c>
      <c r="P866" s="152">
        <v>28906.267400000001</v>
      </c>
      <c r="Q866" s="152">
        <f>P866*1.18</f>
        <v>34109.395532000002</v>
      </c>
      <c r="R866" s="227">
        <v>28263.886674755755</v>
      </c>
      <c r="S866" s="230" t="s">
        <v>4652</v>
      </c>
      <c r="T866" s="172">
        <v>1.0900000000000001</v>
      </c>
      <c r="U866" s="172">
        <v>1.0409999999999999</v>
      </c>
      <c r="V866" s="172">
        <v>1.0229999999999999</v>
      </c>
      <c r="W866" s="172">
        <v>1</v>
      </c>
      <c r="X866" s="172">
        <v>0.9</v>
      </c>
      <c r="Y866" s="152">
        <v>29527.539130000001</v>
      </c>
      <c r="Z866" s="152">
        <f>Y866*1.18</f>
        <v>34842.496173400003</v>
      </c>
      <c r="AA866" s="152">
        <v>29527.539130000001</v>
      </c>
      <c r="AB866" s="152">
        <f>AA866*1.18</f>
        <v>34842.496173400003</v>
      </c>
      <c r="AC866" s="456">
        <v>28906.267400000001</v>
      </c>
      <c r="AD866" s="456">
        <f t="shared" si="127"/>
        <v>34109.395532000002</v>
      </c>
      <c r="AE866" s="494" t="s">
        <v>218</v>
      </c>
      <c r="AF866" s="127" t="s">
        <v>83</v>
      </c>
      <c r="AG866" s="127" t="s">
        <v>83</v>
      </c>
      <c r="AH866" s="127" t="s">
        <v>90</v>
      </c>
      <c r="AI866" s="128">
        <v>41618</v>
      </c>
      <c r="AJ866" s="128">
        <v>41690</v>
      </c>
      <c r="AK866" s="365"/>
      <c r="AL866" s="366"/>
      <c r="AM866" s="366" t="s">
        <v>4599</v>
      </c>
      <c r="AN866" s="366" t="s">
        <v>1757</v>
      </c>
      <c r="AO866" s="133">
        <v>796</v>
      </c>
      <c r="AP866" s="127" t="s">
        <v>368</v>
      </c>
      <c r="AQ866" s="127">
        <v>2000</v>
      </c>
      <c r="AR866" s="127" t="s">
        <v>2980</v>
      </c>
      <c r="AS866" s="137" t="s">
        <v>3373</v>
      </c>
      <c r="AT866" s="128">
        <v>41690</v>
      </c>
      <c r="AU866" s="128">
        <v>41690</v>
      </c>
      <c r="AV866" s="128">
        <v>41698</v>
      </c>
      <c r="AW866" s="127">
        <v>2014</v>
      </c>
      <c r="AX866" s="366"/>
      <c r="AY866" s="129"/>
      <c r="AZ866" s="137"/>
      <c r="BA866" s="127">
        <v>2014</v>
      </c>
      <c r="BB866" s="127"/>
      <c r="BC866" s="366" t="s">
        <v>4606</v>
      </c>
      <c r="BD866" s="366"/>
      <c r="BE866" s="473"/>
      <c r="BF866" s="367"/>
      <c r="BG866" s="488">
        <v>0</v>
      </c>
      <c r="BH866" s="367"/>
      <c r="BI866" s="367"/>
      <c r="BJ866" s="367"/>
      <c r="BK866" s="137"/>
    </row>
    <row r="867" spans="1:63" s="287" customFormat="1" ht="93.75">
      <c r="A867" s="42">
        <v>2</v>
      </c>
      <c r="B867" s="42" t="s">
        <v>4608</v>
      </c>
      <c r="C867" s="42" t="s">
        <v>4608</v>
      </c>
      <c r="D867" s="42" t="s">
        <v>213</v>
      </c>
      <c r="E867" s="42" t="s">
        <v>274</v>
      </c>
      <c r="F867" s="42" t="s">
        <v>4620</v>
      </c>
      <c r="G867" s="42">
        <v>31</v>
      </c>
      <c r="H867" s="42" t="s">
        <v>4608</v>
      </c>
      <c r="I867" s="113" t="s">
        <v>4612</v>
      </c>
      <c r="J867" s="13" t="s">
        <v>4282</v>
      </c>
      <c r="K867" s="201" t="s">
        <v>4917</v>
      </c>
      <c r="L867" s="13" t="s">
        <v>438</v>
      </c>
      <c r="M867" s="13">
        <v>2010102</v>
      </c>
      <c r="N867" s="13" t="s">
        <v>4171</v>
      </c>
      <c r="O867" s="201" t="s">
        <v>132</v>
      </c>
      <c r="P867" s="201" t="s">
        <v>132</v>
      </c>
      <c r="Q867" s="201" t="s">
        <v>132</v>
      </c>
      <c r="R867" s="201" t="s">
        <v>132</v>
      </c>
      <c r="S867" s="201" t="s">
        <v>132</v>
      </c>
      <c r="T867" s="201" t="s">
        <v>132</v>
      </c>
      <c r="U867" s="201" t="s">
        <v>132</v>
      </c>
      <c r="V867" s="201" t="s">
        <v>132</v>
      </c>
      <c r="W867" s="201" t="s">
        <v>132</v>
      </c>
      <c r="X867" s="201" t="s">
        <v>132</v>
      </c>
      <c r="Y867" s="201" t="s">
        <v>132</v>
      </c>
      <c r="Z867" s="201" t="s">
        <v>132</v>
      </c>
      <c r="AA867" s="201" t="s">
        <v>132</v>
      </c>
      <c r="AB867" s="201" t="s">
        <v>132</v>
      </c>
      <c r="AC867" s="472" t="s">
        <v>132</v>
      </c>
      <c r="AD867" s="472" t="s">
        <v>132</v>
      </c>
      <c r="AE867" s="201" t="s">
        <v>132</v>
      </c>
      <c r="AF867" s="201" t="s">
        <v>132</v>
      </c>
      <c r="AG867" s="201" t="s">
        <v>132</v>
      </c>
      <c r="AH867" s="201" t="s">
        <v>132</v>
      </c>
      <c r="AI867" s="201" t="s">
        <v>132</v>
      </c>
      <c r="AJ867" s="201" t="s">
        <v>132</v>
      </c>
      <c r="AK867" s="201" t="s">
        <v>132</v>
      </c>
      <c r="AL867" s="201" t="s">
        <v>132</v>
      </c>
      <c r="AM867" s="201" t="s">
        <v>132</v>
      </c>
      <c r="AN867" s="201" t="s">
        <v>132</v>
      </c>
      <c r="AO867" s="201" t="s">
        <v>132</v>
      </c>
      <c r="AP867" s="201" t="s">
        <v>132</v>
      </c>
      <c r="AQ867" s="201" t="s">
        <v>132</v>
      </c>
      <c r="AR867" s="201" t="s">
        <v>132</v>
      </c>
      <c r="AS867" s="201" t="s">
        <v>132</v>
      </c>
      <c r="AT867" s="201" t="s">
        <v>132</v>
      </c>
      <c r="AU867" s="201" t="s">
        <v>132</v>
      </c>
      <c r="AV867" s="201" t="s">
        <v>132</v>
      </c>
      <c r="AW867" s="201" t="s">
        <v>132</v>
      </c>
      <c r="AX867" s="201" t="s">
        <v>132</v>
      </c>
      <c r="AY867" s="201" t="s">
        <v>132</v>
      </c>
      <c r="AZ867" s="201" t="s">
        <v>132</v>
      </c>
      <c r="BA867" s="42">
        <v>2014</v>
      </c>
      <c r="BB867" s="42" t="s">
        <v>4610</v>
      </c>
      <c r="BC867" s="57" t="s">
        <v>4615</v>
      </c>
      <c r="BD867" s="42" t="s">
        <v>132</v>
      </c>
      <c r="BE867" s="470" t="s">
        <v>132</v>
      </c>
      <c r="BF867" s="42" t="s">
        <v>132</v>
      </c>
      <c r="BG867" s="42" t="s">
        <v>132</v>
      </c>
      <c r="BH867" s="42" t="s">
        <v>132</v>
      </c>
      <c r="BI867" s="42" t="s">
        <v>132</v>
      </c>
      <c r="BJ867" s="42" t="s">
        <v>132</v>
      </c>
      <c r="BK867" s="401"/>
    </row>
    <row r="868" spans="1:63" s="287" customFormat="1" ht="93.75" customHeight="1">
      <c r="A868" s="42">
        <v>2</v>
      </c>
      <c r="B868" s="42" t="s">
        <v>4608</v>
      </c>
      <c r="C868" s="42" t="s">
        <v>4608</v>
      </c>
      <c r="D868" s="42" t="s">
        <v>213</v>
      </c>
      <c r="E868" s="42" t="s">
        <v>274</v>
      </c>
      <c r="F868" s="42" t="s">
        <v>4620</v>
      </c>
      <c r="G868" s="42">
        <v>31</v>
      </c>
      <c r="H868" s="42" t="s">
        <v>4608</v>
      </c>
      <c r="I868" s="113" t="s">
        <v>4613</v>
      </c>
      <c r="J868" s="13" t="s">
        <v>4282</v>
      </c>
      <c r="K868" s="201" t="s">
        <v>4917</v>
      </c>
      <c r="L868" s="13" t="s">
        <v>438</v>
      </c>
      <c r="M868" s="13">
        <v>2010102</v>
      </c>
      <c r="N868" s="13" t="s">
        <v>4171</v>
      </c>
      <c r="O868" s="201" t="s">
        <v>132</v>
      </c>
      <c r="P868" s="201" t="s">
        <v>132</v>
      </c>
      <c r="Q868" s="201" t="s">
        <v>132</v>
      </c>
      <c r="R868" s="201" t="s">
        <v>132</v>
      </c>
      <c r="S868" s="201" t="s">
        <v>132</v>
      </c>
      <c r="T868" s="201" t="s">
        <v>132</v>
      </c>
      <c r="U868" s="201" t="s">
        <v>132</v>
      </c>
      <c r="V868" s="201" t="s">
        <v>132</v>
      </c>
      <c r="W868" s="201" t="s">
        <v>132</v>
      </c>
      <c r="X868" s="201" t="s">
        <v>132</v>
      </c>
      <c r="Y868" s="201" t="s">
        <v>132</v>
      </c>
      <c r="Z868" s="201" t="s">
        <v>132</v>
      </c>
      <c r="AA868" s="201" t="s">
        <v>132</v>
      </c>
      <c r="AB868" s="201" t="s">
        <v>132</v>
      </c>
      <c r="AC868" s="472" t="s">
        <v>132</v>
      </c>
      <c r="AD868" s="472" t="s">
        <v>132</v>
      </c>
      <c r="AE868" s="201" t="s">
        <v>132</v>
      </c>
      <c r="AF868" s="201" t="s">
        <v>132</v>
      </c>
      <c r="AG868" s="201" t="s">
        <v>132</v>
      </c>
      <c r="AH868" s="201" t="s">
        <v>132</v>
      </c>
      <c r="AI868" s="201" t="s">
        <v>132</v>
      </c>
      <c r="AJ868" s="201" t="s">
        <v>132</v>
      </c>
      <c r="AK868" s="201" t="s">
        <v>132</v>
      </c>
      <c r="AL868" s="201" t="s">
        <v>132</v>
      </c>
      <c r="AM868" s="201" t="s">
        <v>132</v>
      </c>
      <c r="AN868" s="201" t="s">
        <v>132</v>
      </c>
      <c r="AO868" s="201" t="s">
        <v>132</v>
      </c>
      <c r="AP868" s="201" t="s">
        <v>132</v>
      </c>
      <c r="AQ868" s="201" t="s">
        <v>132</v>
      </c>
      <c r="AR868" s="201" t="s">
        <v>132</v>
      </c>
      <c r="AS868" s="201" t="s">
        <v>132</v>
      </c>
      <c r="AT868" s="201" t="s">
        <v>132</v>
      </c>
      <c r="AU868" s="201" t="s">
        <v>132</v>
      </c>
      <c r="AV868" s="201" t="s">
        <v>132</v>
      </c>
      <c r="AW868" s="201" t="s">
        <v>132</v>
      </c>
      <c r="AX868" s="201" t="s">
        <v>132</v>
      </c>
      <c r="AY868" s="201" t="s">
        <v>132</v>
      </c>
      <c r="AZ868" s="201" t="s">
        <v>132</v>
      </c>
      <c r="BA868" s="42">
        <v>2014</v>
      </c>
      <c r="BB868" s="42" t="s">
        <v>4602</v>
      </c>
      <c r="BC868" s="57" t="s">
        <v>4604</v>
      </c>
      <c r="BD868" s="42" t="s">
        <v>132</v>
      </c>
      <c r="BE868" s="470" t="s">
        <v>132</v>
      </c>
      <c r="BF868" s="42" t="s">
        <v>132</v>
      </c>
      <c r="BG868" s="42" t="s">
        <v>132</v>
      </c>
      <c r="BH868" s="42" t="s">
        <v>132</v>
      </c>
      <c r="BI868" s="42" t="s">
        <v>132</v>
      </c>
      <c r="BJ868" s="42" t="s">
        <v>132</v>
      </c>
      <c r="BK868" s="368"/>
    </row>
    <row r="869" spans="1:63" s="287" customFormat="1" ht="133.5" customHeight="1">
      <c r="A869" s="42">
        <v>2</v>
      </c>
      <c r="B869" s="42" t="s">
        <v>4608</v>
      </c>
      <c r="C869" s="42" t="s">
        <v>4608</v>
      </c>
      <c r="D869" s="42" t="s">
        <v>213</v>
      </c>
      <c r="E869" s="42" t="s">
        <v>274</v>
      </c>
      <c r="F869" s="42" t="s">
        <v>4620</v>
      </c>
      <c r="G869" s="42">
        <v>31</v>
      </c>
      <c r="H869" s="42" t="s">
        <v>4608</v>
      </c>
      <c r="I869" s="113" t="s">
        <v>4614</v>
      </c>
      <c r="J869" s="13" t="s">
        <v>4282</v>
      </c>
      <c r="K869" s="201" t="s">
        <v>4917</v>
      </c>
      <c r="L869" s="13" t="s">
        <v>438</v>
      </c>
      <c r="M869" s="13">
        <v>2010102</v>
      </c>
      <c r="N869" s="13" t="s">
        <v>4171</v>
      </c>
      <c r="O869" s="201" t="s">
        <v>132</v>
      </c>
      <c r="P869" s="201" t="s">
        <v>132</v>
      </c>
      <c r="Q869" s="201" t="s">
        <v>132</v>
      </c>
      <c r="R869" s="201" t="s">
        <v>132</v>
      </c>
      <c r="S869" s="201" t="s">
        <v>132</v>
      </c>
      <c r="T869" s="201" t="s">
        <v>132</v>
      </c>
      <c r="U869" s="201" t="s">
        <v>132</v>
      </c>
      <c r="V869" s="201" t="s">
        <v>132</v>
      </c>
      <c r="W869" s="201" t="s">
        <v>132</v>
      </c>
      <c r="X869" s="201" t="s">
        <v>132</v>
      </c>
      <c r="Y869" s="201" t="s">
        <v>132</v>
      </c>
      <c r="Z869" s="201" t="s">
        <v>132</v>
      </c>
      <c r="AA869" s="201" t="s">
        <v>132</v>
      </c>
      <c r="AB869" s="201" t="s">
        <v>132</v>
      </c>
      <c r="AC869" s="472" t="s">
        <v>132</v>
      </c>
      <c r="AD869" s="472" t="s">
        <v>132</v>
      </c>
      <c r="AE869" s="201" t="s">
        <v>132</v>
      </c>
      <c r="AF869" s="201" t="s">
        <v>132</v>
      </c>
      <c r="AG869" s="201" t="s">
        <v>132</v>
      </c>
      <c r="AH869" s="201" t="s">
        <v>132</v>
      </c>
      <c r="AI869" s="201" t="s">
        <v>132</v>
      </c>
      <c r="AJ869" s="201" t="s">
        <v>132</v>
      </c>
      <c r="AK869" s="201" t="s">
        <v>132</v>
      </c>
      <c r="AL869" s="201" t="s">
        <v>132</v>
      </c>
      <c r="AM869" s="201" t="s">
        <v>132</v>
      </c>
      <c r="AN869" s="201" t="s">
        <v>132</v>
      </c>
      <c r="AO869" s="201" t="s">
        <v>132</v>
      </c>
      <c r="AP869" s="201" t="s">
        <v>132</v>
      </c>
      <c r="AQ869" s="201" t="s">
        <v>132</v>
      </c>
      <c r="AR869" s="201" t="s">
        <v>132</v>
      </c>
      <c r="AS869" s="201" t="s">
        <v>132</v>
      </c>
      <c r="AT869" s="201" t="s">
        <v>132</v>
      </c>
      <c r="AU869" s="201" t="s">
        <v>132</v>
      </c>
      <c r="AV869" s="201" t="s">
        <v>132</v>
      </c>
      <c r="AW869" s="201" t="s">
        <v>132</v>
      </c>
      <c r="AX869" s="201" t="s">
        <v>132</v>
      </c>
      <c r="AY869" s="201" t="s">
        <v>132</v>
      </c>
      <c r="AZ869" s="201" t="s">
        <v>132</v>
      </c>
      <c r="BA869" s="42">
        <v>2014</v>
      </c>
      <c r="BB869" s="42" t="s">
        <v>4611</v>
      </c>
      <c r="BC869" s="57" t="s">
        <v>4616</v>
      </c>
      <c r="BD869" s="42" t="s">
        <v>132</v>
      </c>
      <c r="BE869" s="470" t="s">
        <v>132</v>
      </c>
      <c r="BF869" s="42" t="s">
        <v>132</v>
      </c>
      <c r="BG869" s="42" t="s">
        <v>132</v>
      </c>
      <c r="BH869" s="42" t="s">
        <v>132</v>
      </c>
      <c r="BI869" s="42" t="s">
        <v>132</v>
      </c>
      <c r="BJ869" s="42" t="s">
        <v>132</v>
      </c>
      <c r="BK869" s="401"/>
    </row>
    <row r="870" spans="1:63" s="199" customFormat="1" ht="75">
      <c r="A870" s="38">
        <v>2</v>
      </c>
      <c r="B870" s="38" t="s">
        <v>4695</v>
      </c>
      <c r="C870" s="38" t="s">
        <v>83</v>
      </c>
      <c r="D870" s="38" t="s">
        <v>238</v>
      </c>
      <c r="E870" s="38" t="s">
        <v>274</v>
      </c>
      <c r="F870" s="38" t="s">
        <v>4620</v>
      </c>
      <c r="G870" s="38">
        <v>31</v>
      </c>
      <c r="H870" s="11">
        <v>626602</v>
      </c>
      <c r="I870" s="16" t="s">
        <v>4699</v>
      </c>
      <c r="J870" s="16" t="s">
        <v>4282</v>
      </c>
      <c r="K870" s="29" t="s">
        <v>4917</v>
      </c>
      <c r="L870" s="16" t="s">
        <v>438</v>
      </c>
      <c r="M870" s="95" t="s">
        <v>4170</v>
      </c>
      <c r="N870" s="15" t="s">
        <v>4171</v>
      </c>
      <c r="O870" s="16" t="s">
        <v>4172</v>
      </c>
      <c r="P870" s="23">
        <v>9305.5190000000002</v>
      </c>
      <c r="Q870" s="23">
        <f>P870*1.18</f>
        <v>10980.512419999999</v>
      </c>
      <c r="R870" s="23">
        <v>9440.2521816688368</v>
      </c>
      <c r="S870" s="29"/>
      <c r="T870" s="38">
        <v>1.0900000000000001</v>
      </c>
      <c r="U870" s="38">
        <v>1.0409999999999999</v>
      </c>
      <c r="V870" s="38">
        <v>1.0229999999999999</v>
      </c>
      <c r="W870" s="38">
        <v>1</v>
      </c>
      <c r="X870" s="38">
        <v>0.9</v>
      </c>
      <c r="Y870" s="23">
        <v>9862.3171999999995</v>
      </c>
      <c r="Z870" s="23">
        <f>Y870*1.18</f>
        <v>11637.534295999998</v>
      </c>
      <c r="AA870" s="23">
        <v>9862.3171999999995</v>
      </c>
      <c r="AB870" s="23">
        <f>AA870*1.18</f>
        <v>11637.534295999998</v>
      </c>
      <c r="AC870" s="456">
        <v>9305.5190000000002</v>
      </c>
      <c r="AD870" s="456">
        <f t="shared" si="127"/>
        <v>10980.512419999999</v>
      </c>
      <c r="AE870" s="494" t="s">
        <v>218</v>
      </c>
      <c r="AF870" s="38" t="s">
        <v>83</v>
      </c>
      <c r="AG870" s="38" t="s">
        <v>83</v>
      </c>
      <c r="AH870" s="38" t="s">
        <v>90</v>
      </c>
      <c r="AI870" s="51">
        <v>41623</v>
      </c>
      <c r="AJ870" s="51">
        <v>41669</v>
      </c>
      <c r="AK870" s="369"/>
      <c r="AL870" s="60"/>
      <c r="AM870" s="60" t="s">
        <v>4696</v>
      </c>
      <c r="AN870" s="60" t="s">
        <v>1757</v>
      </c>
      <c r="AO870" s="11">
        <v>796</v>
      </c>
      <c r="AP870" s="38" t="s">
        <v>368</v>
      </c>
      <c r="AQ870" s="38">
        <v>17</v>
      </c>
      <c r="AR870" s="38" t="s">
        <v>2980</v>
      </c>
      <c r="AS870" s="16" t="s">
        <v>3373</v>
      </c>
      <c r="AT870" s="51">
        <v>41669</v>
      </c>
      <c r="AU870" s="51">
        <v>41771</v>
      </c>
      <c r="AV870" s="51">
        <v>41771</v>
      </c>
      <c r="AW870" s="38">
        <v>2014</v>
      </c>
      <c r="AX870" s="60"/>
      <c r="AY870" s="135"/>
      <c r="AZ870" s="16"/>
      <c r="BA870" s="38">
        <v>2014</v>
      </c>
      <c r="BB870" s="38" t="s">
        <v>4697</v>
      </c>
      <c r="BC870" s="60" t="s">
        <v>4698</v>
      </c>
      <c r="BD870" s="60"/>
      <c r="BE870" s="474"/>
      <c r="BF870" s="42" t="s">
        <v>132</v>
      </c>
      <c r="BG870" s="42" t="s">
        <v>132</v>
      </c>
      <c r="BH870" s="304"/>
      <c r="BI870" s="304"/>
      <c r="BJ870" s="304"/>
      <c r="BK870" s="16"/>
    </row>
    <row r="871" spans="1:63" s="199" customFormat="1" ht="75">
      <c r="A871" s="38">
        <v>2</v>
      </c>
      <c r="B871" s="38" t="s">
        <v>4700</v>
      </c>
      <c r="C871" s="38" t="s">
        <v>83</v>
      </c>
      <c r="D871" s="38" t="s">
        <v>238</v>
      </c>
      <c r="E871" s="38" t="s">
        <v>274</v>
      </c>
      <c r="F871" s="38" t="s">
        <v>4620</v>
      </c>
      <c r="G871" s="38">
        <v>31</v>
      </c>
      <c r="H871" s="11">
        <v>626599</v>
      </c>
      <c r="I871" s="16" t="s">
        <v>4701</v>
      </c>
      <c r="J871" s="16" t="s">
        <v>4282</v>
      </c>
      <c r="K871" s="29" t="s">
        <v>4917</v>
      </c>
      <c r="L871" s="16" t="s">
        <v>438</v>
      </c>
      <c r="M871" s="95" t="s">
        <v>4170</v>
      </c>
      <c r="N871" s="15" t="s">
        <v>4171</v>
      </c>
      <c r="O871" s="16" t="s">
        <v>4172</v>
      </c>
      <c r="P871" s="23">
        <v>1064.9069999999999</v>
      </c>
      <c r="Q871" s="23">
        <f>P871*1.18</f>
        <v>1256.5902599999999</v>
      </c>
      <c r="R871" s="23">
        <v>1111.763091658695</v>
      </c>
      <c r="S871" s="29"/>
      <c r="T871" s="38">
        <v>1.0900000000000001</v>
      </c>
      <c r="U871" s="38">
        <v>1.0409999999999999</v>
      </c>
      <c r="V871" s="38">
        <v>1.0229999999999999</v>
      </c>
      <c r="W871" s="38">
        <v>1</v>
      </c>
      <c r="X871" s="38">
        <v>0.9</v>
      </c>
      <c r="Y871" s="23">
        <v>1161.4690000000001</v>
      </c>
      <c r="Z871" s="23">
        <f>Y871*1.18</f>
        <v>1370.53342</v>
      </c>
      <c r="AA871" s="23">
        <v>1161.4690000000001</v>
      </c>
      <c r="AB871" s="23">
        <f>AA871*1.18</f>
        <v>1370.53342</v>
      </c>
      <c r="AC871" s="456">
        <v>1064.9069999999999</v>
      </c>
      <c r="AD871" s="456">
        <f t="shared" si="127"/>
        <v>1256.5902599999999</v>
      </c>
      <c r="AE871" s="494" t="s">
        <v>173</v>
      </c>
      <c r="AF871" s="38" t="s">
        <v>83</v>
      </c>
      <c r="AG871" s="38" t="s">
        <v>83</v>
      </c>
      <c r="AH871" s="38" t="s">
        <v>90</v>
      </c>
      <c r="AI871" s="51">
        <v>41623</v>
      </c>
      <c r="AJ871" s="51">
        <v>41669</v>
      </c>
      <c r="AK871" s="369"/>
      <c r="AL871" s="60"/>
      <c r="AM871" s="60" t="s">
        <v>4707</v>
      </c>
      <c r="AN871" s="60" t="s">
        <v>1757</v>
      </c>
      <c r="AO871" s="11">
        <v>796</v>
      </c>
      <c r="AP871" s="38" t="s">
        <v>368</v>
      </c>
      <c r="AQ871" s="38">
        <v>30</v>
      </c>
      <c r="AR871" s="38" t="s">
        <v>2980</v>
      </c>
      <c r="AS871" s="16" t="s">
        <v>3373</v>
      </c>
      <c r="AT871" s="51">
        <v>41669</v>
      </c>
      <c r="AU871" s="51">
        <v>41771</v>
      </c>
      <c r="AV871" s="51">
        <v>41771</v>
      </c>
      <c r="AW871" s="38">
        <v>2014</v>
      </c>
      <c r="AX871" s="60"/>
      <c r="AY871" s="135"/>
      <c r="AZ871" s="16"/>
      <c r="BA871" s="38">
        <v>2014</v>
      </c>
      <c r="BB871" s="38" t="s">
        <v>4697</v>
      </c>
      <c r="BC871" s="60" t="s">
        <v>4698</v>
      </c>
      <c r="BD871" s="60"/>
      <c r="BE871" s="474"/>
      <c r="BF871" s="42" t="s">
        <v>132</v>
      </c>
      <c r="BG871" s="42" t="s">
        <v>132</v>
      </c>
      <c r="BH871" s="304"/>
      <c r="BI871" s="304"/>
      <c r="BJ871" s="304"/>
      <c r="BK871" s="16"/>
    </row>
    <row r="872" spans="1:63" s="199" customFormat="1" ht="75">
      <c r="A872" s="38">
        <v>2</v>
      </c>
      <c r="B872" s="38" t="s">
        <v>4702</v>
      </c>
      <c r="C872" s="38" t="s">
        <v>83</v>
      </c>
      <c r="D872" s="38" t="s">
        <v>231</v>
      </c>
      <c r="E872" s="38" t="s">
        <v>274</v>
      </c>
      <c r="F872" s="38" t="s">
        <v>4620</v>
      </c>
      <c r="G872" s="38">
        <v>31</v>
      </c>
      <c r="H872" s="11">
        <v>626559</v>
      </c>
      <c r="I872" s="16" t="s">
        <v>4704</v>
      </c>
      <c r="J872" s="16" t="s">
        <v>4282</v>
      </c>
      <c r="K872" s="29" t="s">
        <v>4917</v>
      </c>
      <c r="L872" s="16" t="s">
        <v>438</v>
      </c>
      <c r="M872" s="95" t="s">
        <v>4170</v>
      </c>
      <c r="N872" s="15" t="s">
        <v>4171</v>
      </c>
      <c r="O872" s="16" t="s">
        <v>4172</v>
      </c>
      <c r="P872" s="23">
        <v>1354.59</v>
      </c>
      <c r="Q872" s="23">
        <f>P872*1.18</f>
        <v>1598.4161999999999</v>
      </c>
      <c r="R872" s="23"/>
      <c r="S872" s="29" t="s">
        <v>4706</v>
      </c>
      <c r="T872" s="38"/>
      <c r="U872" s="38"/>
      <c r="V872" s="38"/>
      <c r="W872" s="38"/>
      <c r="X872" s="38"/>
      <c r="Y872" s="23">
        <v>1354.59</v>
      </c>
      <c r="Z872" s="23">
        <f>Y872*1.18</f>
        <v>1598.4161999999999</v>
      </c>
      <c r="AA872" s="23">
        <v>1354.59</v>
      </c>
      <c r="AB872" s="23">
        <f>AA872*1.18</f>
        <v>1598.4161999999999</v>
      </c>
      <c r="AC872" s="456">
        <v>1354.59</v>
      </c>
      <c r="AD872" s="456">
        <f t="shared" si="127"/>
        <v>1598.4161999999999</v>
      </c>
      <c r="AE872" s="494" t="s">
        <v>173</v>
      </c>
      <c r="AF872" s="38" t="s">
        <v>83</v>
      </c>
      <c r="AG872" s="38" t="s">
        <v>83</v>
      </c>
      <c r="AH872" s="38" t="s">
        <v>90</v>
      </c>
      <c r="AI872" s="51">
        <v>41623</v>
      </c>
      <c r="AJ872" s="51">
        <v>41669</v>
      </c>
      <c r="AK872" s="369"/>
      <c r="AL872" s="60"/>
      <c r="AM872" s="60" t="s">
        <v>4708</v>
      </c>
      <c r="AN872" s="60" t="s">
        <v>1757</v>
      </c>
      <c r="AO872" s="11">
        <v>796</v>
      </c>
      <c r="AP872" s="38" t="s">
        <v>368</v>
      </c>
      <c r="AQ872" s="38">
        <v>6</v>
      </c>
      <c r="AR872" s="38" t="s">
        <v>2980</v>
      </c>
      <c r="AS872" s="16" t="s">
        <v>3373</v>
      </c>
      <c r="AT872" s="51">
        <v>41669</v>
      </c>
      <c r="AU872" s="51">
        <v>41708</v>
      </c>
      <c r="AV872" s="51">
        <v>41708</v>
      </c>
      <c r="AW872" s="38">
        <v>2014</v>
      </c>
      <c r="AX872" s="60"/>
      <c r="AY872" s="135"/>
      <c r="AZ872" s="16"/>
      <c r="BA872" s="38">
        <v>2014</v>
      </c>
      <c r="BB872" s="38" t="s">
        <v>4703</v>
      </c>
      <c r="BC872" s="60" t="s">
        <v>4705</v>
      </c>
      <c r="BD872" s="60"/>
      <c r="BE872" s="474"/>
      <c r="BF872" s="42" t="s">
        <v>132</v>
      </c>
      <c r="BG872" s="42" t="s">
        <v>132</v>
      </c>
      <c r="BH872" s="304"/>
      <c r="BI872" s="304"/>
      <c r="BJ872" s="304"/>
      <c r="BK872" s="401"/>
    </row>
    <row r="873" spans="1:63" s="199" customFormat="1" ht="75">
      <c r="A873" s="38">
        <v>2</v>
      </c>
      <c r="B873" s="38" t="s">
        <v>4735</v>
      </c>
      <c r="C873" s="38" t="s">
        <v>83</v>
      </c>
      <c r="D873" s="38" t="s">
        <v>238</v>
      </c>
      <c r="E873" s="38" t="s">
        <v>274</v>
      </c>
      <c r="F873" s="38" t="s">
        <v>4620</v>
      </c>
      <c r="G873" s="38">
        <v>31</v>
      </c>
      <c r="H873" s="11">
        <v>626658</v>
      </c>
      <c r="I873" s="16" t="s">
        <v>4737</v>
      </c>
      <c r="J873" s="16" t="s">
        <v>4282</v>
      </c>
      <c r="K873" s="29" t="s">
        <v>4917</v>
      </c>
      <c r="L873" s="16" t="s">
        <v>438</v>
      </c>
      <c r="M873" s="95" t="s">
        <v>4170</v>
      </c>
      <c r="N873" s="15" t="s">
        <v>4171</v>
      </c>
      <c r="O873" s="16" t="s">
        <v>4172</v>
      </c>
      <c r="P873" s="23">
        <v>4669.4239399999997</v>
      </c>
      <c r="Q873" s="23">
        <f>P873*1.18</f>
        <v>5509.9202491999995</v>
      </c>
      <c r="R873" s="23"/>
      <c r="S873" s="29" t="s">
        <v>4739</v>
      </c>
      <c r="T873" s="38"/>
      <c r="U873" s="38"/>
      <c r="V873" s="38"/>
      <c r="W873" s="38"/>
      <c r="X873" s="38"/>
      <c r="Y873" s="23">
        <v>4669.4239399999997</v>
      </c>
      <c r="Z873" s="23">
        <f>Y873*1.18</f>
        <v>5509.9202491999995</v>
      </c>
      <c r="AA873" s="23">
        <v>4669.4239399999997</v>
      </c>
      <c r="AB873" s="23">
        <f>AA873*1.18</f>
        <v>5509.9202491999995</v>
      </c>
      <c r="AC873" s="456">
        <v>4669.4239399999997</v>
      </c>
      <c r="AD873" s="456">
        <f t="shared" si="127"/>
        <v>5509.9202491999995</v>
      </c>
      <c r="AE873" s="494" t="s">
        <v>173</v>
      </c>
      <c r="AF873" s="38" t="s">
        <v>83</v>
      </c>
      <c r="AG873" s="38" t="s">
        <v>83</v>
      </c>
      <c r="AH873" s="38" t="s">
        <v>90</v>
      </c>
      <c r="AI873" s="51">
        <v>41623</v>
      </c>
      <c r="AJ873" s="51">
        <v>41669</v>
      </c>
      <c r="AK873" s="369"/>
      <c r="AL873" s="60"/>
      <c r="AM873" s="60" t="s">
        <v>4740</v>
      </c>
      <c r="AN873" s="60" t="s">
        <v>1757</v>
      </c>
      <c r="AO873" s="11">
        <v>796</v>
      </c>
      <c r="AP873" s="38" t="s">
        <v>368</v>
      </c>
      <c r="AQ873" s="38">
        <v>1</v>
      </c>
      <c r="AR873" s="38" t="s">
        <v>2980</v>
      </c>
      <c r="AS873" s="16" t="s">
        <v>3373</v>
      </c>
      <c r="AT873" s="51">
        <v>41669</v>
      </c>
      <c r="AU873" s="51">
        <v>41708</v>
      </c>
      <c r="AV873" s="51">
        <v>41708</v>
      </c>
      <c r="AW873" s="38">
        <v>2014</v>
      </c>
      <c r="AX873" s="60"/>
      <c r="AY873" s="135"/>
      <c r="AZ873" s="16"/>
      <c r="BA873" s="38">
        <v>2014</v>
      </c>
      <c r="BB873" s="38" t="s">
        <v>4736</v>
      </c>
      <c r="BC873" s="60" t="s">
        <v>4738</v>
      </c>
      <c r="BD873" s="60"/>
      <c r="BE873" s="474"/>
      <c r="BF873" s="42" t="s">
        <v>132</v>
      </c>
      <c r="BG873" s="42" t="s">
        <v>132</v>
      </c>
      <c r="BH873" s="304"/>
      <c r="BI873" s="304"/>
      <c r="BJ873" s="304"/>
      <c r="BK873" s="401"/>
    </row>
    <row r="874" spans="1:63" s="199" customFormat="1" ht="75">
      <c r="A874" s="127">
        <v>2</v>
      </c>
      <c r="B874" s="127" t="s">
        <v>4741</v>
      </c>
      <c r="C874" s="127" t="s">
        <v>83</v>
      </c>
      <c r="D874" s="127" t="s">
        <v>213</v>
      </c>
      <c r="E874" s="127" t="s">
        <v>274</v>
      </c>
      <c r="F874" s="172" t="s">
        <v>4620</v>
      </c>
      <c r="G874" s="172">
        <v>31</v>
      </c>
      <c r="H874" s="133">
        <v>625477</v>
      </c>
      <c r="I874" s="137" t="s">
        <v>4743</v>
      </c>
      <c r="J874" s="137" t="s">
        <v>4282</v>
      </c>
      <c r="K874" s="153" t="s">
        <v>4917</v>
      </c>
      <c r="L874" s="137" t="s">
        <v>438</v>
      </c>
      <c r="M874" s="363" t="s">
        <v>4170</v>
      </c>
      <c r="N874" s="364" t="s">
        <v>4171</v>
      </c>
      <c r="O874" s="137" t="s">
        <v>4172</v>
      </c>
      <c r="P874" s="152">
        <v>1853.0823800000001</v>
      </c>
      <c r="Q874" s="152">
        <f>P874*1.18</f>
        <v>2186.6372084</v>
      </c>
      <c r="R874" s="227">
        <v>1743.767301367347</v>
      </c>
      <c r="S874" s="230"/>
      <c r="T874" s="172">
        <v>1.0900000000000001</v>
      </c>
      <c r="U874" s="172">
        <v>1.0409999999999999</v>
      </c>
      <c r="V874" s="172">
        <v>1.0389999999999999</v>
      </c>
      <c r="W874" s="172">
        <v>1.044</v>
      </c>
      <c r="X874" s="172">
        <v>0.9</v>
      </c>
      <c r="Y874" s="152">
        <v>1931.63165</v>
      </c>
      <c r="Z874" s="152">
        <f>Y874*1.18</f>
        <v>2279.325347</v>
      </c>
      <c r="AA874" s="152">
        <v>1931.63165</v>
      </c>
      <c r="AB874" s="152">
        <f>AA874*1.18</f>
        <v>2279.325347</v>
      </c>
      <c r="AC874" s="456">
        <v>1931.63165</v>
      </c>
      <c r="AD874" s="456">
        <f t="shared" si="127"/>
        <v>2279.325347</v>
      </c>
      <c r="AE874" s="494" t="s">
        <v>173</v>
      </c>
      <c r="AF874" s="127" t="s">
        <v>83</v>
      </c>
      <c r="AG874" s="127" t="s">
        <v>83</v>
      </c>
      <c r="AH874" s="127" t="s">
        <v>90</v>
      </c>
      <c r="AI874" s="128">
        <v>41623</v>
      </c>
      <c r="AJ874" s="128">
        <v>41664</v>
      </c>
      <c r="AK874" s="365"/>
      <c r="AL874" s="366"/>
      <c r="AM874" s="366" t="s">
        <v>4748</v>
      </c>
      <c r="AN874" s="366" t="s">
        <v>1757</v>
      </c>
      <c r="AO874" s="133">
        <v>796</v>
      </c>
      <c r="AP874" s="127" t="s">
        <v>368</v>
      </c>
      <c r="AQ874" s="127">
        <v>8</v>
      </c>
      <c r="AR874" s="127" t="s">
        <v>2980</v>
      </c>
      <c r="AS874" s="137" t="s">
        <v>3373</v>
      </c>
      <c r="AT874" s="128">
        <v>41664</v>
      </c>
      <c r="AU874" s="128">
        <v>41670</v>
      </c>
      <c r="AV874" s="128">
        <v>41670</v>
      </c>
      <c r="AW874" s="127">
        <v>2014</v>
      </c>
      <c r="AX874" s="366"/>
      <c r="AY874" s="129"/>
      <c r="AZ874" s="137"/>
      <c r="BA874" s="127">
        <v>2014</v>
      </c>
      <c r="BB874" s="127"/>
      <c r="BC874" s="366" t="s">
        <v>4606</v>
      </c>
      <c r="BD874" s="366"/>
      <c r="BE874" s="473"/>
      <c r="BF874" s="367"/>
      <c r="BG874" s="488">
        <v>0</v>
      </c>
      <c r="BH874" s="367"/>
      <c r="BI874" s="367"/>
      <c r="BJ874" s="367"/>
      <c r="BK874" s="137"/>
    </row>
    <row r="875" spans="1:63" s="287" customFormat="1" ht="93.75">
      <c r="A875" s="42">
        <v>2</v>
      </c>
      <c r="B875" s="42" t="s">
        <v>4742</v>
      </c>
      <c r="C875" s="42" t="s">
        <v>4742</v>
      </c>
      <c r="D875" s="42" t="s">
        <v>238</v>
      </c>
      <c r="E875" s="42" t="s">
        <v>274</v>
      </c>
      <c r="F875" s="201" t="s">
        <v>132</v>
      </c>
      <c r="G875" s="201" t="s">
        <v>132</v>
      </c>
      <c r="H875" s="42" t="s">
        <v>4742</v>
      </c>
      <c r="I875" s="113" t="s">
        <v>4744</v>
      </c>
      <c r="J875" s="13" t="s">
        <v>4282</v>
      </c>
      <c r="K875" s="201" t="s">
        <v>4917</v>
      </c>
      <c r="L875" s="13" t="s">
        <v>438</v>
      </c>
      <c r="M875" s="13">
        <v>2010102</v>
      </c>
      <c r="N875" s="13" t="s">
        <v>4171</v>
      </c>
      <c r="O875" s="201" t="s">
        <v>132</v>
      </c>
      <c r="P875" s="201" t="s">
        <v>132</v>
      </c>
      <c r="Q875" s="201" t="s">
        <v>132</v>
      </c>
      <c r="R875" s="201" t="s">
        <v>132</v>
      </c>
      <c r="S875" s="201" t="s">
        <v>132</v>
      </c>
      <c r="T875" s="201" t="s">
        <v>132</v>
      </c>
      <c r="U875" s="201" t="s">
        <v>132</v>
      </c>
      <c r="V875" s="201" t="s">
        <v>132</v>
      </c>
      <c r="W875" s="201" t="s">
        <v>132</v>
      </c>
      <c r="X875" s="201" t="s">
        <v>132</v>
      </c>
      <c r="Y875" s="201" t="s">
        <v>132</v>
      </c>
      <c r="Z875" s="201" t="s">
        <v>132</v>
      </c>
      <c r="AA875" s="201" t="s">
        <v>132</v>
      </c>
      <c r="AB875" s="201" t="s">
        <v>132</v>
      </c>
      <c r="AC875" s="472" t="s">
        <v>132</v>
      </c>
      <c r="AD875" s="472" t="s">
        <v>132</v>
      </c>
      <c r="AE875" s="201" t="s">
        <v>132</v>
      </c>
      <c r="AF875" s="201" t="s">
        <v>132</v>
      </c>
      <c r="AG875" s="201" t="s">
        <v>132</v>
      </c>
      <c r="AH875" s="201" t="s">
        <v>132</v>
      </c>
      <c r="AI875" s="201" t="s">
        <v>132</v>
      </c>
      <c r="AJ875" s="201" t="s">
        <v>132</v>
      </c>
      <c r="AK875" s="201" t="s">
        <v>132</v>
      </c>
      <c r="AL875" s="201" t="s">
        <v>132</v>
      </c>
      <c r="AM875" s="201" t="s">
        <v>132</v>
      </c>
      <c r="AN875" s="201" t="s">
        <v>132</v>
      </c>
      <c r="AO875" s="201" t="s">
        <v>132</v>
      </c>
      <c r="AP875" s="201" t="s">
        <v>132</v>
      </c>
      <c r="AQ875" s="201" t="s">
        <v>132</v>
      </c>
      <c r="AR875" s="201" t="s">
        <v>132</v>
      </c>
      <c r="AS875" s="201" t="s">
        <v>132</v>
      </c>
      <c r="AT875" s="201" t="s">
        <v>132</v>
      </c>
      <c r="AU875" s="201" t="s">
        <v>132</v>
      </c>
      <c r="AV875" s="201" t="s">
        <v>132</v>
      </c>
      <c r="AW875" s="201" t="s">
        <v>132</v>
      </c>
      <c r="AX875" s="201" t="s">
        <v>132</v>
      </c>
      <c r="AY875" s="201" t="s">
        <v>132</v>
      </c>
      <c r="AZ875" s="201" t="s">
        <v>132</v>
      </c>
      <c r="BA875" s="42">
        <v>2014</v>
      </c>
      <c r="BB875" s="42" t="s">
        <v>4603</v>
      </c>
      <c r="BC875" s="57" t="s">
        <v>4749</v>
      </c>
      <c r="BD875" s="42" t="s">
        <v>132</v>
      </c>
      <c r="BE875" s="470" t="s">
        <v>132</v>
      </c>
      <c r="BF875" s="42" t="s">
        <v>132</v>
      </c>
      <c r="BG875" s="42" t="s">
        <v>132</v>
      </c>
      <c r="BH875" s="42" t="s">
        <v>132</v>
      </c>
      <c r="BI875" s="42" t="s">
        <v>132</v>
      </c>
      <c r="BJ875" s="42" t="s">
        <v>132</v>
      </c>
      <c r="BK875" s="368"/>
    </row>
    <row r="876" spans="1:63" s="287" customFormat="1" ht="129" customHeight="1">
      <c r="A876" s="42">
        <v>2</v>
      </c>
      <c r="B876" s="42" t="s">
        <v>4742</v>
      </c>
      <c r="C876" s="42" t="s">
        <v>4742</v>
      </c>
      <c r="D876" s="42" t="s">
        <v>235</v>
      </c>
      <c r="E876" s="42" t="s">
        <v>274</v>
      </c>
      <c r="F876" s="201" t="s">
        <v>132</v>
      </c>
      <c r="G876" s="201" t="s">
        <v>132</v>
      </c>
      <c r="H876" s="42" t="s">
        <v>4742</v>
      </c>
      <c r="I876" s="113" t="s">
        <v>4745</v>
      </c>
      <c r="J876" s="13" t="s">
        <v>4282</v>
      </c>
      <c r="K876" s="201" t="s">
        <v>4917</v>
      </c>
      <c r="L876" s="13" t="s">
        <v>438</v>
      </c>
      <c r="M876" s="13">
        <v>2010102</v>
      </c>
      <c r="N876" s="13" t="s">
        <v>4171</v>
      </c>
      <c r="O876" s="201" t="s">
        <v>132</v>
      </c>
      <c r="P876" s="201" t="s">
        <v>132</v>
      </c>
      <c r="Q876" s="201" t="s">
        <v>132</v>
      </c>
      <c r="R876" s="201" t="s">
        <v>132</v>
      </c>
      <c r="S876" s="201" t="s">
        <v>132</v>
      </c>
      <c r="T876" s="201" t="s">
        <v>132</v>
      </c>
      <c r="U876" s="201" t="s">
        <v>132</v>
      </c>
      <c r="V876" s="201" t="s">
        <v>132</v>
      </c>
      <c r="W876" s="201" t="s">
        <v>132</v>
      </c>
      <c r="X876" s="201" t="s">
        <v>132</v>
      </c>
      <c r="Y876" s="201" t="s">
        <v>132</v>
      </c>
      <c r="Z876" s="201" t="s">
        <v>132</v>
      </c>
      <c r="AA876" s="201" t="s">
        <v>132</v>
      </c>
      <c r="AB876" s="201" t="s">
        <v>132</v>
      </c>
      <c r="AC876" s="472" t="s">
        <v>132</v>
      </c>
      <c r="AD876" s="472" t="s">
        <v>132</v>
      </c>
      <c r="AE876" s="201" t="s">
        <v>132</v>
      </c>
      <c r="AF876" s="201" t="s">
        <v>132</v>
      </c>
      <c r="AG876" s="201" t="s">
        <v>132</v>
      </c>
      <c r="AH876" s="201" t="s">
        <v>132</v>
      </c>
      <c r="AI876" s="201" t="s">
        <v>132</v>
      </c>
      <c r="AJ876" s="201" t="s">
        <v>132</v>
      </c>
      <c r="AK876" s="201" t="s">
        <v>132</v>
      </c>
      <c r="AL876" s="201" t="s">
        <v>132</v>
      </c>
      <c r="AM876" s="201" t="s">
        <v>132</v>
      </c>
      <c r="AN876" s="201" t="s">
        <v>132</v>
      </c>
      <c r="AO876" s="201" t="s">
        <v>132</v>
      </c>
      <c r="AP876" s="201" t="s">
        <v>132</v>
      </c>
      <c r="AQ876" s="201" t="s">
        <v>132</v>
      </c>
      <c r="AR876" s="201" t="s">
        <v>132</v>
      </c>
      <c r="AS876" s="201" t="s">
        <v>132</v>
      </c>
      <c r="AT876" s="201" t="s">
        <v>132</v>
      </c>
      <c r="AU876" s="201" t="s">
        <v>132</v>
      </c>
      <c r="AV876" s="201" t="s">
        <v>132</v>
      </c>
      <c r="AW876" s="201" t="s">
        <v>132</v>
      </c>
      <c r="AX876" s="201" t="s">
        <v>132</v>
      </c>
      <c r="AY876" s="201" t="s">
        <v>132</v>
      </c>
      <c r="AZ876" s="201" t="s">
        <v>132</v>
      </c>
      <c r="BA876" s="42">
        <v>2014</v>
      </c>
      <c r="BB876" s="42" t="s">
        <v>4753</v>
      </c>
      <c r="BC876" s="57" t="s">
        <v>4750</v>
      </c>
      <c r="BD876" s="42" t="s">
        <v>132</v>
      </c>
      <c r="BE876" s="470" t="s">
        <v>132</v>
      </c>
      <c r="BF876" s="42" t="s">
        <v>132</v>
      </c>
      <c r="BG876" s="42" t="s">
        <v>132</v>
      </c>
      <c r="BH876" s="42" t="s">
        <v>132</v>
      </c>
      <c r="BI876" s="42" t="s">
        <v>132</v>
      </c>
      <c r="BJ876" s="42" t="s">
        <v>132</v>
      </c>
      <c r="BK876" s="401"/>
    </row>
    <row r="877" spans="1:63" s="287" customFormat="1" ht="110.25" customHeight="1">
      <c r="A877" s="42">
        <v>2</v>
      </c>
      <c r="B877" s="42" t="s">
        <v>4742</v>
      </c>
      <c r="C877" s="42" t="s">
        <v>4742</v>
      </c>
      <c r="D877" s="42" t="s">
        <v>231</v>
      </c>
      <c r="E877" s="42" t="s">
        <v>274</v>
      </c>
      <c r="F877" s="201" t="s">
        <v>132</v>
      </c>
      <c r="G877" s="201" t="s">
        <v>132</v>
      </c>
      <c r="H877" s="42" t="s">
        <v>4742</v>
      </c>
      <c r="I877" s="113" t="s">
        <v>4746</v>
      </c>
      <c r="J877" s="13" t="s">
        <v>4282</v>
      </c>
      <c r="K877" s="201" t="s">
        <v>4917</v>
      </c>
      <c r="L877" s="13" t="s">
        <v>438</v>
      </c>
      <c r="M877" s="13">
        <v>2010102</v>
      </c>
      <c r="N877" s="13" t="s">
        <v>4171</v>
      </c>
      <c r="O877" s="201" t="s">
        <v>132</v>
      </c>
      <c r="P877" s="201" t="s">
        <v>132</v>
      </c>
      <c r="Q877" s="201" t="s">
        <v>132</v>
      </c>
      <c r="R877" s="201" t="s">
        <v>132</v>
      </c>
      <c r="S877" s="201" t="s">
        <v>132</v>
      </c>
      <c r="T877" s="201" t="s">
        <v>132</v>
      </c>
      <c r="U877" s="201" t="s">
        <v>132</v>
      </c>
      <c r="V877" s="201" t="s">
        <v>132</v>
      </c>
      <c r="W877" s="201" t="s">
        <v>132</v>
      </c>
      <c r="X877" s="201" t="s">
        <v>132</v>
      </c>
      <c r="Y877" s="201" t="s">
        <v>132</v>
      </c>
      <c r="Z877" s="201" t="s">
        <v>132</v>
      </c>
      <c r="AA877" s="201" t="s">
        <v>132</v>
      </c>
      <c r="AB877" s="201" t="s">
        <v>132</v>
      </c>
      <c r="AC877" s="472" t="s">
        <v>132</v>
      </c>
      <c r="AD877" s="472" t="s">
        <v>132</v>
      </c>
      <c r="AE877" s="201" t="s">
        <v>132</v>
      </c>
      <c r="AF877" s="201" t="s">
        <v>132</v>
      </c>
      <c r="AG877" s="201" t="s">
        <v>132</v>
      </c>
      <c r="AH877" s="201" t="s">
        <v>132</v>
      </c>
      <c r="AI877" s="201" t="s">
        <v>132</v>
      </c>
      <c r="AJ877" s="201" t="s">
        <v>132</v>
      </c>
      <c r="AK877" s="201" t="s">
        <v>132</v>
      </c>
      <c r="AL877" s="201" t="s">
        <v>132</v>
      </c>
      <c r="AM877" s="201" t="s">
        <v>132</v>
      </c>
      <c r="AN877" s="201" t="s">
        <v>132</v>
      </c>
      <c r="AO877" s="201" t="s">
        <v>132</v>
      </c>
      <c r="AP877" s="201" t="s">
        <v>132</v>
      </c>
      <c r="AQ877" s="201" t="s">
        <v>132</v>
      </c>
      <c r="AR877" s="201" t="s">
        <v>132</v>
      </c>
      <c r="AS877" s="201" t="s">
        <v>132</v>
      </c>
      <c r="AT877" s="201" t="s">
        <v>132</v>
      </c>
      <c r="AU877" s="201" t="s">
        <v>132</v>
      </c>
      <c r="AV877" s="201" t="s">
        <v>132</v>
      </c>
      <c r="AW877" s="201" t="s">
        <v>132</v>
      </c>
      <c r="AX877" s="201" t="s">
        <v>132</v>
      </c>
      <c r="AY877" s="201" t="s">
        <v>132</v>
      </c>
      <c r="AZ877" s="201" t="s">
        <v>132</v>
      </c>
      <c r="BA877" s="42">
        <v>2014</v>
      </c>
      <c r="BB877" s="42" t="s">
        <v>4754</v>
      </c>
      <c r="BC877" s="57" t="s">
        <v>4751</v>
      </c>
      <c r="BD877" s="42" t="s">
        <v>132</v>
      </c>
      <c r="BE877" s="470" t="s">
        <v>132</v>
      </c>
      <c r="BF877" s="42" t="s">
        <v>132</v>
      </c>
      <c r="BG877" s="42" t="s">
        <v>132</v>
      </c>
      <c r="BH877" s="42" t="s">
        <v>132</v>
      </c>
      <c r="BI877" s="42" t="s">
        <v>132</v>
      </c>
      <c r="BJ877" s="42" t="s">
        <v>132</v>
      </c>
      <c r="BK877" s="401"/>
    </row>
    <row r="878" spans="1:63" s="287" customFormat="1" ht="93" customHeight="1">
      <c r="A878" s="42">
        <v>2</v>
      </c>
      <c r="B878" s="42" t="s">
        <v>4742</v>
      </c>
      <c r="C878" s="42" t="s">
        <v>4742</v>
      </c>
      <c r="D878" s="42" t="s">
        <v>231</v>
      </c>
      <c r="E878" s="42" t="s">
        <v>274</v>
      </c>
      <c r="F878" s="201" t="s">
        <v>132</v>
      </c>
      <c r="G878" s="201" t="s">
        <v>132</v>
      </c>
      <c r="H878" s="42" t="s">
        <v>4742</v>
      </c>
      <c r="I878" s="113" t="s">
        <v>4747</v>
      </c>
      <c r="J878" s="13" t="s">
        <v>4282</v>
      </c>
      <c r="K878" s="201" t="s">
        <v>4917</v>
      </c>
      <c r="L878" s="13" t="s">
        <v>438</v>
      </c>
      <c r="M878" s="13">
        <v>2010102</v>
      </c>
      <c r="N878" s="13" t="s">
        <v>4171</v>
      </c>
      <c r="O878" s="201" t="s">
        <v>132</v>
      </c>
      <c r="P878" s="201" t="s">
        <v>132</v>
      </c>
      <c r="Q878" s="201" t="s">
        <v>132</v>
      </c>
      <c r="R878" s="201" t="s">
        <v>132</v>
      </c>
      <c r="S878" s="201" t="s">
        <v>132</v>
      </c>
      <c r="T878" s="201" t="s">
        <v>132</v>
      </c>
      <c r="U878" s="201" t="s">
        <v>132</v>
      </c>
      <c r="V878" s="201" t="s">
        <v>132</v>
      </c>
      <c r="W878" s="201" t="s">
        <v>132</v>
      </c>
      <c r="X878" s="201" t="s">
        <v>132</v>
      </c>
      <c r="Y878" s="201" t="s">
        <v>132</v>
      </c>
      <c r="Z878" s="201" t="s">
        <v>132</v>
      </c>
      <c r="AA878" s="201" t="s">
        <v>132</v>
      </c>
      <c r="AB878" s="201" t="s">
        <v>132</v>
      </c>
      <c r="AC878" s="472" t="s">
        <v>132</v>
      </c>
      <c r="AD878" s="472" t="s">
        <v>132</v>
      </c>
      <c r="AE878" s="201" t="s">
        <v>132</v>
      </c>
      <c r="AF878" s="201" t="s">
        <v>132</v>
      </c>
      <c r="AG878" s="201" t="s">
        <v>132</v>
      </c>
      <c r="AH878" s="201" t="s">
        <v>132</v>
      </c>
      <c r="AI878" s="201" t="s">
        <v>132</v>
      </c>
      <c r="AJ878" s="201" t="s">
        <v>132</v>
      </c>
      <c r="AK878" s="201" t="s">
        <v>132</v>
      </c>
      <c r="AL878" s="201" t="s">
        <v>132</v>
      </c>
      <c r="AM878" s="201" t="s">
        <v>132</v>
      </c>
      <c r="AN878" s="201" t="s">
        <v>132</v>
      </c>
      <c r="AO878" s="201" t="s">
        <v>132</v>
      </c>
      <c r="AP878" s="201" t="s">
        <v>132</v>
      </c>
      <c r="AQ878" s="201" t="s">
        <v>132</v>
      </c>
      <c r="AR878" s="201" t="s">
        <v>132</v>
      </c>
      <c r="AS878" s="201" t="s">
        <v>132</v>
      </c>
      <c r="AT878" s="201" t="s">
        <v>132</v>
      </c>
      <c r="AU878" s="201" t="s">
        <v>132</v>
      </c>
      <c r="AV878" s="201" t="s">
        <v>132</v>
      </c>
      <c r="AW878" s="201" t="s">
        <v>132</v>
      </c>
      <c r="AX878" s="201" t="s">
        <v>132</v>
      </c>
      <c r="AY878" s="201" t="s">
        <v>132</v>
      </c>
      <c r="AZ878" s="201" t="s">
        <v>132</v>
      </c>
      <c r="BA878" s="42">
        <v>2014</v>
      </c>
      <c r="BB878" s="42" t="s">
        <v>4755</v>
      </c>
      <c r="BC878" s="57" t="s">
        <v>4752</v>
      </c>
      <c r="BD878" s="42" t="s">
        <v>132</v>
      </c>
      <c r="BE878" s="470" t="s">
        <v>132</v>
      </c>
      <c r="BF878" s="42" t="s">
        <v>132</v>
      </c>
      <c r="BG878" s="42" t="s">
        <v>132</v>
      </c>
      <c r="BH878" s="42" t="s">
        <v>132</v>
      </c>
      <c r="BI878" s="42" t="s">
        <v>132</v>
      </c>
      <c r="BJ878" s="42" t="s">
        <v>132</v>
      </c>
      <c r="BK878" s="368"/>
    </row>
    <row r="879" spans="1:63" s="199" customFormat="1" ht="80.25" customHeight="1">
      <c r="A879" s="127">
        <v>2</v>
      </c>
      <c r="B879" s="127" t="s">
        <v>4936</v>
      </c>
      <c r="C879" s="127" t="s">
        <v>83</v>
      </c>
      <c r="D879" s="127" t="s">
        <v>213</v>
      </c>
      <c r="E879" s="127" t="s">
        <v>274</v>
      </c>
      <c r="F879" s="127" t="s">
        <v>4620</v>
      </c>
      <c r="G879" s="127">
        <v>31</v>
      </c>
      <c r="H879" s="133">
        <v>626684</v>
      </c>
      <c r="I879" s="137" t="s">
        <v>4938</v>
      </c>
      <c r="J879" s="137" t="s">
        <v>4282</v>
      </c>
      <c r="K879" s="153" t="s">
        <v>4917</v>
      </c>
      <c r="L879" s="137" t="s">
        <v>438</v>
      </c>
      <c r="M879" s="363" t="s">
        <v>4170</v>
      </c>
      <c r="N879" s="364" t="s">
        <v>4171</v>
      </c>
      <c r="O879" s="137" t="s">
        <v>4172</v>
      </c>
      <c r="P879" s="152">
        <v>2024.50423</v>
      </c>
      <c r="Q879" s="152">
        <f>P879*1.18</f>
        <v>2388.9149914</v>
      </c>
      <c r="R879" s="227">
        <v>2047.6504949476212</v>
      </c>
      <c r="S879" s="230"/>
      <c r="T879" s="172">
        <v>1.0900000000000001</v>
      </c>
      <c r="U879" s="172">
        <v>1.0409999999999999</v>
      </c>
      <c r="V879" s="172">
        <v>1.0229999999999999</v>
      </c>
      <c r="W879" s="172">
        <v>1.044</v>
      </c>
      <c r="X879" s="172">
        <v>0.9</v>
      </c>
      <c r="Y879" s="152">
        <v>2233.3238299999998</v>
      </c>
      <c r="Z879" s="152">
        <f>Y879*1.18</f>
        <v>2635.3221193999998</v>
      </c>
      <c r="AA879" s="152">
        <v>2233.3238299999998</v>
      </c>
      <c r="AB879" s="152">
        <f>AA879*1.18</f>
        <v>2635.3221193999998</v>
      </c>
      <c r="AC879" s="456">
        <v>2024.50423</v>
      </c>
      <c r="AD879" s="456">
        <f>AC879*1.18</f>
        <v>2388.9149914</v>
      </c>
      <c r="AE879" s="494" t="s">
        <v>173</v>
      </c>
      <c r="AF879" s="127" t="s">
        <v>83</v>
      </c>
      <c r="AG879" s="127" t="s">
        <v>83</v>
      </c>
      <c r="AH879" s="127" t="s">
        <v>90</v>
      </c>
      <c r="AI879" s="128">
        <v>41628</v>
      </c>
      <c r="AJ879" s="128">
        <v>41669</v>
      </c>
      <c r="AK879" s="365"/>
      <c r="AL879" s="366"/>
      <c r="AM879" s="366" t="s">
        <v>4939</v>
      </c>
      <c r="AN879" s="366" t="s">
        <v>1757</v>
      </c>
      <c r="AO879" s="133">
        <v>796</v>
      </c>
      <c r="AP879" s="127" t="s">
        <v>368</v>
      </c>
      <c r="AQ879" s="127">
        <v>8</v>
      </c>
      <c r="AR879" s="127" t="s">
        <v>2980</v>
      </c>
      <c r="AS879" s="137" t="s">
        <v>3373</v>
      </c>
      <c r="AT879" s="128">
        <v>41669</v>
      </c>
      <c r="AU879" s="128">
        <v>41670</v>
      </c>
      <c r="AV879" s="128">
        <v>41701</v>
      </c>
      <c r="AW879" s="127">
        <v>2014</v>
      </c>
      <c r="AX879" s="366"/>
      <c r="AY879" s="129"/>
      <c r="AZ879" s="137"/>
      <c r="BA879" s="127">
        <v>2014</v>
      </c>
      <c r="BB879" s="127"/>
      <c r="BC879" s="366" t="s">
        <v>4606</v>
      </c>
      <c r="BD879" s="366"/>
      <c r="BE879" s="473"/>
      <c r="BF879" s="367"/>
      <c r="BG879" s="488">
        <v>0</v>
      </c>
      <c r="BH879" s="367"/>
      <c r="BI879" s="367"/>
      <c r="BJ879" s="367"/>
      <c r="BK879" s="137"/>
    </row>
    <row r="880" spans="1:63" s="287" customFormat="1" ht="93.75">
      <c r="A880" s="42">
        <v>2</v>
      </c>
      <c r="B880" s="42" t="s">
        <v>4937</v>
      </c>
      <c r="C880" s="42" t="s">
        <v>4937</v>
      </c>
      <c r="D880" s="42" t="s">
        <v>213</v>
      </c>
      <c r="E880" s="42" t="s">
        <v>274</v>
      </c>
      <c r="F880" s="201" t="s">
        <v>132</v>
      </c>
      <c r="G880" s="201" t="s">
        <v>132</v>
      </c>
      <c r="H880" s="42" t="s">
        <v>4937</v>
      </c>
      <c r="I880" s="113" t="s">
        <v>4941</v>
      </c>
      <c r="J880" s="13" t="s">
        <v>4282</v>
      </c>
      <c r="K880" s="201" t="s">
        <v>4917</v>
      </c>
      <c r="L880" s="13" t="s">
        <v>438</v>
      </c>
      <c r="M880" s="13">
        <v>2010102</v>
      </c>
      <c r="N880" s="13" t="s">
        <v>4171</v>
      </c>
      <c r="O880" s="201" t="s">
        <v>132</v>
      </c>
      <c r="P880" s="201" t="s">
        <v>132</v>
      </c>
      <c r="Q880" s="201" t="s">
        <v>132</v>
      </c>
      <c r="R880" s="201" t="s">
        <v>132</v>
      </c>
      <c r="S880" s="201" t="s">
        <v>132</v>
      </c>
      <c r="T880" s="201" t="s">
        <v>132</v>
      </c>
      <c r="U880" s="201" t="s">
        <v>132</v>
      </c>
      <c r="V880" s="201" t="s">
        <v>132</v>
      </c>
      <c r="W880" s="201" t="s">
        <v>132</v>
      </c>
      <c r="X880" s="201" t="s">
        <v>132</v>
      </c>
      <c r="Y880" s="201" t="s">
        <v>132</v>
      </c>
      <c r="Z880" s="201" t="s">
        <v>132</v>
      </c>
      <c r="AA880" s="201" t="s">
        <v>132</v>
      </c>
      <c r="AB880" s="201" t="s">
        <v>132</v>
      </c>
      <c r="AC880" s="472" t="s">
        <v>132</v>
      </c>
      <c r="AD880" s="472" t="s">
        <v>132</v>
      </c>
      <c r="AE880" s="201" t="s">
        <v>132</v>
      </c>
      <c r="AF880" s="201" t="s">
        <v>132</v>
      </c>
      <c r="AG880" s="201" t="s">
        <v>132</v>
      </c>
      <c r="AH880" s="201" t="s">
        <v>132</v>
      </c>
      <c r="AI880" s="201" t="s">
        <v>132</v>
      </c>
      <c r="AJ880" s="201" t="s">
        <v>132</v>
      </c>
      <c r="AK880" s="201" t="s">
        <v>132</v>
      </c>
      <c r="AL880" s="201" t="s">
        <v>132</v>
      </c>
      <c r="AM880" s="201" t="s">
        <v>132</v>
      </c>
      <c r="AN880" s="201" t="s">
        <v>132</v>
      </c>
      <c r="AO880" s="201" t="s">
        <v>132</v>
      </c>
      <c r="AP880" s="201" t="s">
        <v>132</v>
      </c>
      <c r="AQ880" s="201" t="s">
        <v>132</v>
      </c>
      <c r="AR880" s="201" t="s">
        <v>132</v>
      </c>
      <c r="AS880" s="201" t="s">
        <v>132</v>
      </c>
      <c r="AT880" s="201" t="s">
        <v>132</v>
      </c>
      <c r="AU880" s="201" t="s">
        <v>132</v>
      </c>
      <c r="AV880" s="201" t="s">
        <v>132</v>
      </c>
      <c r="AW880" s="201" t="s">
        <v>132</v>
      </c>
      <c r="AX880" s="201" t="s">
        <v>132</v>
      </c>
      <c r="AY880" s="201" t="s">
        <v>132</v>
      </c>
      <c r="AZ880" s="201" t="s">
        <v>132</v>
      </c>
      <c r="BA880" s="42">
        <v>2014</v>
      </c>
      <c r="BB880" s="42" t="s">
        <v>4940</v>
      </c>
      <c r="BC880" s="57" t="s">
        <v>4942</v>
      </c>
      <c r="BD880" s="42" t="s">
        <v>132</v>
      </c>
      <c r="BE880" s="470" t="s">
        <v>132</v>
      </c>
      <c r="BF880" s="42" t="s">
        <v>132</v>
      </c>
      <c r="BG880" s="42" t="s">
        <v>132</v>
      </c>
      <c r="BH880" s="42" t="s">
        <v>132</v>
      </c>
      <c r="BI880" s="42" t="s">
        <v>132</v>
      </c>
      <c r="BJ880" s="42" t="s">
        <v>132</v>
      </c>
      <c r="BK880" s="368"/>
    </row>
    <row r="881" spans="1:63" s="287" customFormat="1" ht="93.75" customHeight="1">
      <c r="A881" s="42">
        <v>2</v>
      </c>
      <c r="B881" s="42" t="s">
        <v>4937</v>
      </c>
      <c r="C881" s="42" t="s">
        <v>4937</v>
      </c>
      <c r="D881" s="42" t="s">
        <v>213</v>
      </c>
      <c r="E881" s="42" t="s">
        <v>274</v>
      </c>
      <c r="F881" s="201" t="s">
        <v>132</v>
      </c>
      <c r="G881" s="201" t="s">
        <v>132</v>
      </c>
      <c r="H881" s="42" t="s">
        <v>4937</v>
      </c>
      <c r="I881" s="113" t="s">
        <v>4944</v>
      </c>
      <c r="J881" s="13" t="s">
        <v>4282</v>
      </c>
      <c r="K881" s="201" t="s">
        <v>4917</v>
      </c>
      <c r="L881" s="13" t="s">
        <v>438</v>
      </c>
      <c r="M881" s="13">
        <v>2010102</v>
      </c>
      <c r="N881" s="13" t="s">
        <v>4171</v>
      </c>
      <c r="O881" s="201" t="s">
        <v>132</v>
      </c>
      <c r="P881" s="201" t="s">
        <v>132</v>
      </c>
      <c r="Q881" s="201" t="s">
        <v>132</v>
      </c>
      <c r="R881" s="201" t="s">
        <v>132</v>
      </c>
      <c r="S881" s="201" t="s">
        <v>132</v>
      </c>
      <c r="T881" s="201" t="s">
        <v>132</v>
      </c>
      <c r="U881" s="201" t="s">
        <v>132</v>
      </c>
      <c r="V881" s="201" t="s">
        <v>132</v>
      </c>
      <c r="W881" s="201" t="s">
        <v>132</v>
      </c>
      <c r="X881" s="201" t="s">
        <v>132</v>
      </c>
      <c r="Y881" s="201" t="s">
        <v>132</v>
      </c>
      <c r="Z881" s="201" t="s">
        <v>132</v>
      </c>
      <c r="AA881" s="201" t="s">
        <v>132</v>
      </c>
      <c r="AB881" s="201" t="s">
        <v>132</v>
      </c>
      <c r="AC881" s="472" t="s">
        <v>132</v>
      </c>
      <c r="AD881" s="472" t="s">
        <v>132</v>
      </c>
      <c r="AE881" s="201" t="s">
        <v>132</v>
      </c>
      <c r="AF881" s="201" t="s">
        <v>132</v>
      </c>
      <c r="AG881" s="201" t="s">
        <v>132</v>
      </c>
      <c r="AH881" s="201" t="s">
        <v>132</v>
      </c>
      <c r="AI881" s="201" t="s">
        <v>132</v>
      </c>
      <c r="AJ881" s="201" t="s">
        <v>132</v>
      </c>
      <c r="AK881" s="201" t="s">
        <v>132</v>
      </c>
      <c r="AL881" s="201" t="s">
        <v>132</v>
      </c>
      <c r="AM881" s="201" t="s">
        <v>132</v>
      </c>
      <c r="AN881" s="201" t="s">
        <v>132</v>
      </c>
      <c r="AO881" s="201" t="s">
        <v>132</v>
      </c>
      <c r="AP881" s="201" t="s">
        <v>132</v>
      </c>
      <c r="AQ881" s="201" t="s">
        <v>132</v>
      </c>
      <c r="AR881" s="201" t="s">
        <v>132</v>
      </c>
      <c r="AS881" s="201" t="s">
        <v>132</v>
      </c>
      <c r="AT881" s="201" t="s">
        <v>132</v>
      </c>
      <c r="AU881" s="201" t="s">
        <v>132</v>
      </c>
      <c r="AV881" s="201" t="s">
        <v>132</v>
      </c>
      <c r="AW881" s="201" t="s">
        <v>132</v>
      </c>
      <c r="AX881" s="201" t="s">
        <v>132</v>
      </c>
      <c r="AY881" s="201" t="s">
        <v>132</v>
      </c>
      <c r="AZ881" s="201" t="s">
        <v>132</v>
      </c>
      <c r="BA881" s="42">
        <v>2014</v>
      </c>
      <c r="BB881" s="42" t="s">
        <v>4943</v>
      </c>
      <c r="BC881" s="57" t="s">
        <v>4945</v>
      </c>
      <c r="BD881" s="42" t="s">
        <v>132</v>
      </c>
      <c r="BE881" s="470" t="s">
        <v>132</v>
      </c>
      <c r="BF881" s="42" t="s">
        <v>132</v>
      </c>
      <c r="BG881" s="42" t="s">
        <v>132</v>
      </c>
      <c r="BH881" s="42" t="s">
        <v>132</v>
      </c>
      <c r="BI881" s="42" t="s">
        <v>132</v>
      </c>
      <c r="BJ881" s="42" t="s">
        <v>132</v>
      </c>
      <c r="BK881" s="401"/>
    </row>
    <row r="882" spans="1:63" s="199" customFormat="1" ht="80.25" customHeight="1">
      <c r="A882" s="127">
        <v>2</v>
      </c>
      <c r="B882" s="127" t="s">
        <v>4947</v>
      </c>
      <c r="C882" s="127" t="s">
        <v>83</v>
      </c>
      <c r="D882" s="127" t="s">
        <v>160</v>
      </c>
      <c r="E882" s="127" t="s">
        <v>274</v>
      </c>
      <c r="F882" s="127" t="s">
        <v>4620</v>
      </c>
      <c r="G882" s="127">
        <v>31</v>
      </c>
      <c r="H882" s="133">
        <v>626569</v>
      </c>
      <c r="I882" s="137" t="s">
        <v>4949</v>
      </c>
      <c r="J882" s="137" t="s">
        <v>4282</v>
      </c>
      <c r="K882" s="153" t="s">
        <v>4917</v>
      </c>
      <c r="L882" s="137" t="s">
        <v>438</v>
      </c>
      <c r="M882" s="363" t="s">
        <v>4170</v>
      </c>
      <c r="N882" s="364" t="s">
        <v>4171</v>
      </c>
      <c r="O882" s="137" t="s">
        <v>4172</v>
      </c>
      <c r="P882" s="152">
        <v>1772.278</v>
      </c>
      <c r="Q882" s="152">
        <f>P882*1.18</f>
        <v>2091.2880399999999</v>
      </c>
      <c r="R882" s="227">
        <v>1788.5738243585004</v>
      </c>
      <c r="S882" s="230"/>
      <c r="T882" s="172">
        <v>1.0900000000000001</v>
      </c>
      <c r="U882" s="172">
        <v>1.0409999999999999</v>
      </c>
      <c r="V882" s="172">
        <v>1.0229999999999999</v>
      </c>
      <c r="W882" s="172">
        <v>1.044</v>
      </c>
      <c r="X882" s="172">
        <v>0.9</v>
      </c>
      <c r="Y882" s="152">
        <v>1950.75505</v>
      </c>
      <c r="Z882" s="152">
        <f>Y882*1.18</f>
        <v>2301.8909589999998</v>
      </c>
      <c r="AA882" s="152">
        <v>1950.75505</v>
      </c>
      <c r="AB882" s="152">
        <f>AA882*1.18</f>
        <v>2301.8909589999998</v>
      </c>
      <c r="AC882" s="456">
        <v>1772.278</v>
      </c>
      <c r="AD882" s="456">
        <f>AC882*1.18</f>
        <v>2091.2880399999999</v>
      </c>
      <c r="AE882" s="494" t="s">
        <v>173</v>
      </c>
      <c r="AF882" s="127" t="s">
        <v>83</v>
      </c>
      <c r="AG882" s="127" t="s">
        <v>83</v>
      </c>
      <c r="AH882" s="127" t="s">
        <v>90</v>
      </c>
      <c r="AI882" s="128">
        <v>41628</v>
      </c>
      <c r="AJ882" s="128">
        <v>41669</v>
      </c>
      <c r="AK882" s="365"/>
      <c r="AL882" s="366"/>
      <c r="AM882" s="366" t="s">
        <v>4951</v>
      </c>
      <c r="AN882" s="366" t="s">
        <v>1757</v>
      </c>
      <c r="AO882" s="133">
        <v>796</v>
      </c>
      <c r="AP882" s="127" t="s">
        <v>368</v>
      </c>
      <c r="AQ882" s="127">
        <v>51</v>
      </c>
      <c r="AR882" s="127" t="s">
        <v>2980</v>
      </c>
      <c r="AS882" s="137" t="s">
        <v>3373</v>
      </c>
      <c r="AT882" s="128">
        <v>41669</v>
      </c>
      <c r="AU882" s="128">
        <v>41698</v>
      </c>
      <c r="AV882" s="128">
        <v>41771</v>
      </c>
      <c r="AW882" s="127">
        <v>2014</v>
      </c>
      <c r="AX882" s="366"/>
      <c r="AY882" s="129"/>
      <c r="AZ882" s="137"/>
      <c r="BA882" s="127">
        <v>2014</v>
      </c>
      <c r="BB882" s="127"/>
      <c r="BC882" s="366" t="s">
        <v>4606</v>
      </c>
      <c r="BD882" s="366"/>
      <c r="BE882" s="473"/>
      <c r="BF882" s="367"/>
      <c r="BG882" s="488">
        <v>0</v>
      </c>
      <c r="BH882" s="367"/>
      <c r="BI882" s="367"/>
      <c r="BJ882" s="367"/>
      <c r="BK882" s="137"/>
    </row>
    <row r="883" spans="1:63" s="287" customFormat="1" ht="93.75">
      <c r="A883" s="42">
        <v>2</v>
      </c>
      <c r="B883" s="42" t="s">
        <v>4948</v>
      </c>
      <c r="C883" s="42" t="s">
        <v>4948</v>
      </c>
      <c r="D883" s="42" t="s">
        <v>235</v>
      </c>
      <c r="E883" s="42" t="s">
        <v>274</v>
      </c>
      <c r="F883" s="201" t="s">
        <v>132</v>
      </c>
      <c r="G883" s="201" t="s">
        <v>132</v>
      </c>
      <c r="H883" s="42" t="s">
        <v>4948</v>
      </c>
      <c r="I883" s="113" t="s">
        <v>4950</v>
      </c>
      <c r="J883" s="13" t="s">
        <v>4282</v>
      </c>
      <c r="K883" s="201" t="s">
        <v>4917</v>
      </c>
      <c r="L883" s="13" t="s">
        <v>438</v>
      </c>
      <c r="M883" s="13">
        <v>2010102</v>
      </c>
      <c r="N883" s="13" t="s">
        <v>4171</v>
      </c>
      <c r="O883" s="201" t="s">
        <v>132</v>
      </c>
      <c r="P883" s="201" t="s">
        <v>132</v>
      </c>
      <c r="Q883" s="201" t="s">
        <v>132</v>
      </c>
      <c r="R883" s="201" t="s">
        <v>132</v>
      </c>
      <c r="S883" s="201" t="s">
        <v>132</v>
      </c>
      <c r="T883" s="201" t="s">
        <v>132</v>
      </c>
      <c r="U883" s="201" t="s">
        <v>132</v>
      </c>
      <c r="V883" s="201" t="s">
        <v>132</v>
      </c>
      <c r="W883" s="201" t="s">
        <v>132</v>
      </c>
      <c r="X883" s="201" t="s">
        <v>132</v>
      </c>
      <c r="Y883" s="201" t="s">
        <v>132</v>
      </c>
      <c r="Z883" s="201" t="s">
        <v>132</v>
      </c>
      <c r="AA883" s="201" t="s">
        <v>132</v>
      </c>
      <c r="AB883" s="201" t="s">
        <v>132</v>
      </c>
      <c r="AC883" s="472" t="s">
        <v>132</v>
      </c>
      <c r="AD883" s="472" t="s">
        <v>132</v>
      </c>
      <c r="AE883" s="201" t="s">
        <v>132</v>
      </c>
      <c r="AF883" s="201" t="s">
        <v>132</v>
      </c>
      <c r="AG883" s="201" t="s">
        <v>132</v>
      </c>
      <c r="AH883" s="201" t="s">
        <v>132</v>
      </c>
      <c r="AI883" s="201" t="s">
        <v>132</v>
      </c>
      <c r="AJ883" s="201" t="s">
        <v>132</v>
      </c>
      <c r="AK883" s="201" t="s">
        <v>132</v>
      </c>
      <c r="AL883" s="201" t="s">
        <v>132</v>
      </c>
      <c r="AM883" s="201" t="s">
        <v>132</v>
      </c>
      <c r="AN883" s="201" t="s">
        <v>132</v>
      </c>
      <c r="AO883" s="201" t="s">
        <v>132</v>
      </c>
      <c r="AP883" s="201" t="s">
        <v>132</v>
      </c>
      <c r="AQ883" s="201" t="s">
        <v>132</v>
      </c>
      <c r="AR883" s="201" t="s">
        <v>132</v>
      </c>
      <c r="AS883" s="201" t="s">
        <v>132</v>
      </c>
      <c r="AT883" s="201" t="s">
        <v>132</v>
      </c>
      <c r="AU883" s="201" t="s">
        <v>132</v>
      </c>
      <c r="AV883" s="201" t="s">
        <v>132</v>
      </c>
      <c r="AW883" s="201" t="s">
        <v>132</v>
      </c>
      <c r="AX883" s="201" t="s">
        <v>132</v>
      </c>
      <c r="AY883" s="201" t="s">
        <v>132</v>
      </c>
      <c r="AZ883" s="201" t="s">
        <v>132</v>
      </c>
      <c r="BA883" s="201" t="s">
        <v>132</v>
      </c>
      <c r="BB883" s="201" t="s">
        <v>132</v>
      </c>
      <c r="BC883" s="57" t="s">
        <v>4952</v>
      </c>
      <c r="BD883" s="42" t="s">
        <v>132</v>
      </c>
      <c r="BE883" s="470" t="s">
        <v>132</v>
      </c>
      <c r="BF883" s="42" t="s">
        <v>132</v>
      </c>
      <c r="BG883" s="488" t="s">
        <v>132</v>
      </c>
      <c r="BH883" s="42" t="s">
        <v>132</v>
      </c>
      <c r="BI883" s="42" t="s">
        <v>132</v>
      </c>
      <c r="BJ883" s="42" t="s">
        <v>132</v>
      </c>
      <c r="BK883" s="368"/>
    </row>
    <row r="884" spans="1:63" s="287" customFormat="1" ht="93.75" customHeight="1">
      <c r="A884" s="42">
        <v>2</v>
      </c>
      <c r="B884" s="42" t="s">
        <v>4948</v>
      </c>
      <c r="C884" s="42" t="s">
        <v>4948</v>
      </c>
      <c r="D884" s="42" t="s">
        <v>238</v>
      </c>
      <c r="E884" s="42" t="s">
        <v>274</v>
      </c>
      <c r="F884" s="201" t="s">
        <v>132</v>
      </c>
      <c r="G884" s="201" t="s">
        <v>132</v>
      </c>
      <c r="H884" s="42" t="s">
        <v>4948</v>
      </c>
      <c r="I884" s="113" t="s">
        <v>4953</v>
      </c>
      <c r="J884" s="13" t="s">
        <v>4282</v>
      </c>
      <c r="K884" s="201" t="s">
        <v>4917</v>
      </c>
      <c r="L884" s="13" t="s">
        <v>438</v>
      </c>
      <c r="M884" s="13">
        <v>2010102</v>
      </c>
      <c r="N884" s="13" t="s">
        <v>4171</v>
      </c>
      <c r="O884" s="201" t="s">
        <v>132</v>
      </c>
      <c r="P884" s="201" t="s">
        <v>132</v>
      </c>
      <c r="Q884" s="201" t="s">
        <v>132</v>
      </c>
      <c r="R884" s="201" t="s">
        <v>132</v>
      </c>
      <c r="S884" s="201" t="s">
        <v>132</v>
      </c>
      <c r="T884" s="201" t="s">
        <v>132</v>
      </c>
      <c r="U884" s="201" t="s">
        <v>132</v>
      </c>
      <c r="V884" s="201" t="s">
        <v>132</v>
      </c>
      <c r="W884" s="201" t="s">
        <v>132</v>
      </c>
      <c r="X884" s="201" t="s">
        <v>132</v>
      </c>
      <c r="Y884" s="201" t="s">
        <v>132</v>
      </c>
      <c r="Z884" s="201" t="s">
        <v>132</v>
      </c>
      <c r="AA884" s="201" t="s">
        <v>132</v>
      </c>
      <c r="AB884" s="201" t="s">
        <v>132</v>
      </c>
      <c r="AC884" s="472" t="s">
        <v>132</v>
      </c>
      <c r="AD884" s="472" t="s">
        <v>132</v>
      </c>
      <c r="AE884" s="201" t="s">
        <v>132</v>
      </c>
      <c r="AF884" s="201" t="s">
        <v>132</v>
      </c>
      <c r="AG884" s="201" t="s">
        <v>132</v>
      </c>
      <c r="AH884" s="201" t="s">
        <v>132</v>
      </c>
      <c r="AI884" s="201" t="s">
        <v>132</v>
      </c>
      <c r="AJ884" s="201" t="s">
        <v>132</v>
      </c>
      <c r="AK884" s="201" t="s">
        <v>132</v>
      </c>
      <c r="AL884" s="201" t="s">
        <v>132</v>
      </c>
      <c r="AM884" s="201" t="s">
        <v>132</v>
      </c>
      <c r="AN884" s="201" t="s">
        <v>132</v>
      </c>
      <c r="AO884" s="201" t="s">
        <v>132</v>
      </c>
      <c r="AP884" s="201" t="s">
        <v>132</v>
      </c>
      <c r="AQ884" s="201" t="s">
        <v>132</v>
      </c>
      <c r="AR884" s="201" t="s">
        <v>132</v>
      </c>
      <c r="AS884" s="201" t="s">
        <v>132</v>
      </c>
      <c r="AT884" s="201" t="s">
        <v>132</v>
      </c>
      <c r="AU884" s="201" t="s">
        <v>132</v>
      </c>
      <c r="AV884" s="201" t="s">
        <v>132</v>
      </c>
      <c r="AW884" s="201" t="s">
        <v>132</v>
      </c>
      <c r="AX884" s="201" t="s">
        <v>132</v>
      </c>
      <c r="AY884" s="201" t="s">
        <v>132</v>
      </c>
      <c r="AZ884" s="201" t="s">
        <v>132</v>
      </c>
      <c r="BA884" s="42">
        <v>2014</v>
      </c>
      <c r="BB884" s="42" t="s">
        <v>4697</v>
      </c>
      <c r="BC884" s="57" t="s">
        <v>4698</v>
      </c>
      <c r="BD884" s="42" t="s">
        <v>132</v>
      </c>
      <c r="BE884" s="470" t="s">
        <v>132</v>
      </c>
      <c r="BF884" s="42" t="s">
        <v>132</v>
      </c>
      <c r="BG884" s="42" t="s">
        <v>132</v>
      </c>
      <c r="BH884" s="42" t="s">
        <v>132</v>
      </c>
      <c r="BI884" s="42" t="s">
        <v>132</v>
      </c>
      <c r="BJ884" s="42" t="s">
        <v>132</v>
      </c>
      <c r="BK884" s="368"/>
    </row>
    <row r="885" spans="1:63" s="199" customFormat="1" ht="80.25" customHeight="1">
      <c r="A885" s="127">
        <v>2</v>
      </c>
      <c r="B885" s="127" t="s">
        <v>4960</v>
      </c>
      <c r="C885" s="127" t="s">
        <v>83</v>
      </c>
      <c r="D885" s="127" t="s">
        <v>160</v>
      </c>
      <c r="E885" s="127" t="s">
        <v>274</v>
      </c>
      <c r="F885" s="127" t="s">
        <v>4620</v>
      </c>
      <c r="G885" s="127">
        <v>31</v>
      </c>
      <c r="H885" s="133">
        <v>625780</v>
      </c>
      <c r="I885" s="137" t="s">
        <v>4962</v>
      </c>
      <c r="J885" s="137" t="s">
        <v>4282</v>
      </c>
      <c r="K885" s="153" t="s">
        <v>4917</v>
      </c>
      <c r="L885" s="137" t="s">
        <v>438</v>
      </c>
      <c r="M885" s="363" t="s">
        <v>4170</v>
      </c>
      <c r="N885" s="364" t="s">
        <v>4171</v>
      </c>
      <c r="O885" s="137" t="s">
        <v>4172</v>
      </c>
      <c r="P885" s="152">
        <v>673.99324000000001</v>
      </c>
      <c r="Q885" s="152">
        <f>P885*1.18</f>
        <v>795.3120232</v>
      </c>
      <c r="R885" s="227">
        <v>650.13719194933697</v>
      </c>
      <c r="S885" s="230"/>
      <c r="T885" s="172">
        <v>1.0900000000000001</v>
      </c>
      <c r="U885" s="172">
        <v>1.04</v>
      </c>
      <c r="V885" s="172">
        <v>1.0389999999999999</v>
      </c>
      <c r="W885" s="172">
        <v>1.044</v>
      </c>
      <c r="X885" s="172">
        <v>0.9</v>
      </c>
      <c r="Y885" s="152">
        <v>719.48775000000001</v>
      </c>
      <c r="Z885" s="152">
        <f>Y885*1.18</f>
        <v>848.99554499999999</v>
      </c>
      <c r="AA885" s="152">
        <v>719.48775000000001</v>
      </c>
      <c r="AB885" s="152">
        <f>AA885*1.18</f>
        <v>848.99554499999999</v>
      </c>
      <c r="AC885" s="152">
        <v>719.48775000000001</v>
      </c>
      <c r="AD885" s="152">
        <f>AC885*1.18</f>
        <v>848.99554499999999</v>
      </c>
      <c r="AE885" s="494" t="s">
        <v>173</v>
      </c>
      <c r="AF885" s="127" t="s">
        <v>83</v>
      </c>
      <c r="AG885" s="127" t="s">
        <v>83</v>
      </c>
      <c r="AH885" s="127" t="s">
        <v>90</v>
      </c>
      <c r="AI885" s="128">
        <v>41628</v>
      </c>
      <c r="AJ885" s="128">
        <v>41669</v>
      </c>
      <c r="AK885" s="365"/>
      <c r="AL885" s="366"/>
      <c r="AM885" s="366" t="s">
        <v>4584</v>
      </c>
      <c r="AN885" s="366" t="s">
        <v>1757</v>
      </c>
      <c r="AO885" s="133">
        <v>796</v>
      </c>
      <c r="AP885" s="127" t="s">
        <v>368</v>
      </c>
      <c r="AQ885" s="127">
        <v>1</v>
      </c>
      <c r="AR885" s="127" t="s">
        <v>2980</v>
      </c>
      <c r="AS885" s="137" t="s">
        <v>3373</v>
      </c>
      <c r="AT885" s="128">
        <v>41669</v>
      </c>
      <c r="AU885" s="128">
        <v>41669</v>
      </c>
      <c r="AV885" s="128">
        <v>41670</v>
      </c>
      <c r="AW885" s="127">
        <v>2014</v>
      </c>
      <c r="AX885" s="366"/>
      <c r="AY885" s="129"/>
      <c r="AZ885" s="137"/>
      <c r="BA885" s="127">
        <v>2014</v>
      </c>
      <c r="BB885" s="127"/>
      <c r="BC885" s="366" t="s">
        <v>4606</v>
      </c>
      <c r="BD885" s="366"/>
      <c r="BE885" s="473"/>
      <c r="BF885" s="367"/>
      <c r="BG885" s="488">
        <v>0</v>
      </c>
      <c r="BH885" s="367"/>
      <c r="BI885" s="367"/>
      <c r="BJ885" s="367"/>
      <c r="BK885" s="137"/>
    </row>
    <row r="886" spans="1:63" s="287" customFormat="1" ht="75">
      <c r="A886" s="42">
        <v>2</v>
      </c>
      <c r="B886" s="42" t="s">
        <v>4961</v>
      </c>
      <c r="C886" s="42" t="s">
        <v>4961</v>
      </c>
      <c r="D886" s="42" t="s">
        <v>160</v>
      </c>
      <c r="E886" s="42" t="s">
        <v>274</v>
      </c>
      <c r="F886" s="201" t="s">
        <v>132</v>
      </c>
      <c r="G886" s="201" t="s">
        <v>132</v>
      </c>
      <c r="H886" s="42" t="s">
        <v>4961</v>
      </c>
      <c r="I886" s="113" t="s">
        <v>4963</v>
      </c>
      <c r="J886" s="13" t="s">
        <v>4282</v>
      </c>
      <c r="K886" s="201" t="s">
        <v>4917</v>
      </c>
      <c r="L886" s="13" t="s">
        <v>438</v>
      </c>
      <c r="M886" s="13">
        <v>2010102</v>
      </c>
      <c r="N886" s="13" t="s">
        <v>4171</v>
      </c>
      <c r="O886" s="201" t="s">
        <v>132</v>
      </c>
      <c r="P886" s="201" t="s">
        <v>132</v>
      </c>
      <c r="Q886" s="201" t="s">
        <v>132</v>
      </c>
      <c r="R886" s="201" t="s">
        <v>132</v>
      </c>
      <c r="S886" s="201" t="s">
        <v>132</v>
      </c>
      <c r="T886" s="201" t="s">
        <v>132</v>
      </c>
      <c r="U886" s="201" t="s">
        <v>132</v>
      </c>
      <c r="V886" s="201" t="s">
        <v>132</v>
      </c>
      <c r="W886" s="201" t="s">
        <v>132</v>
      </c>
      <c r="X886" s="201" t="s">
        <v>132</v>
      </c>
      <c r="Y886" s="201" t="s">
        <v>132</v>
      </c>
      <c r="Z886" s="201" t="s">
        <v>132</v>
      </c>
      <c r="AA886" s="201" t="s">
        <v>132</v>
      </c>
      <c r="AB886" s="201" t="s">
        <v>132</v>
      </c>
      <c r="AC886" s="472" t="s">
        <v>132</v>
      </c>
      <c r="AD886" s="472" t="s">
        <v>132</v>
      </c>
      <c r="AE886" s="201" t="s">
        <v>132</v>
      </c>
      <c r="AF886" s="201" t="s">
        <v>132</v>
      </c>
      <c r="AG886" s="201" t="s">
        <v>132</v>
      </c>
      <c r="AH886" s="201" t="s">
        <v>132</v>
      </c>
      <c r="AI886" s="201" t="s">
        <v>132</v>
      </c>
      <c r="AJ886" s="201" t="s">
        <v>132</v>
      </c>
      <c r="AK886" s="201" t="s">
        <v>132</v>
      </c>
      <c r="AL886" s="201" t="s">
        <v>132</v>
      </c>
      <c r="AM886" s="201" t="s">
        <v>132</v>
      </c>
      <c r="AN886" s="201" t="s">
        <v>132</v>
      </c>
      <c r="AO886" s="201" t="s">
        <v>132</v>
      </c>
      <c r="AP886" s="201" t="s">
        <v>132</v>
      </c>
      <c r="AQ886" s="201" t="s">
        <v>132</v>
      </c>
      <c r="AR886" s="201" t="s">
        <v>132</v>
      </c>
      <c r="AS886" s="201" t="s">
        <v>132</v>
      </c>
      <c r="AT886" s="201" t="s">
        <v>132</v>
      </c>
      <c r="AU886" s="201" t="s">
        <v>132</v>
      </c>
      <c r="AV886" s="201" t="s">
        <v>132</v>
      </c>
      <c r="AW886" s="201" t="s">
        <v>132</v>
      </c>
      <c r="AX886" s="201" t="s">
        <v>132</v>
      </c>
      <c r="AY886" s="201" t="s">
        <v>132</v>
      </c>
      <c r="AZ886" s="201" t="s">
        <v>132</v>
      </c>
      <c r="BA886" s="42">
        <v>2014</v>
      </c>
      <c r="BB886" s="201" t="s">
        <v>4968</v>
      </c>
      <c r="BC886" s="57" t="s">
        <v>4966</v>
      </c>
      <c r="BD886" s="42" t="s">
        <v>132</v>
      </c>
      <c r="BE886" s="470" t="s">
        <v>132</v>
      </c>
      <c r="BF886" s="42" t="s">
        <v>132</v>
      </c>
      <c r="BG886" s="42" t="s">
        <v>132</v>
      </c>
      <c r="BH886" s="42" t="s">
        <v>132</v>
      </c>
      <c r="BI886" s="42" t="s">
        <v>132</v>
      </c>
      <c r="BJ886" s="42" t="s">
        <v>132</v>
      </c>
      <c r="BK886" s="401"/>
    </row>
    <row r="887" spans="1:63" s="287" customFormat="1" ht="93.75" customHeight="1">
      <c r="A887" s="42">
        <v>2</v>
      </c>
      <c r="B887" s="42" t="s">
        <v>4961</v>
      </c>
      <c r="C887" s="42" t="s">
        <v>4961</v>
      </c>
      <c r="D887" s="42" t="s">
        <v>231</v>
      </c>
      <c r="E887" s="42" t="s">
        <v>274</v>
      </c>
      <c r="F887" s="201" t="s">
        <v>132</v>
      </c>
      <c r="G887" s="201" t="s">
        <v>132</v>
      </c>
      <c r="H887" s="42" t="s">
        <v>4961</v>
      </c>
      <c r="I887" s="113" t="s">
        <v>4964</v>
      </c>
      <c r="J887" s="13" t="s">
        <v>4282</v>
      </c>
      <c r="K887" s="201" t="s">
        <v>4917</v>
      </c>
      <c r="L887" s="13" t="s">
        <v>438</v>
      </c>
      <c r="M887" s="13">
        <v>2010102</v>
      </c>
      <c r="N887" s="13" t="s">
        <v>4171</v>
      </c>
      <c r="O887" s="201" t="s">
        <v>132</v>
      </c>
      <c r="P887" s="201" t="s">
        <v>132</v>
      </c>
      <c r="Q887" s="201" t="s">
        <v>132</v>
      </c>
      <c r="R887" s="201" t="s">
        <v>132</v>
      </c>
      <c r="S887" s="201" t="s">
        <v>132</v>
      </c>
      <c r="T887" s="201" t="s">
        <v>132</v>
      </c>
      <c r="U887" s="201" t="s">
        <v>132</v>
      </c>
      <c r="V887" s="201" t="s">
        <v>132</v>
      </c>
      <c r="W887" s="201" t="s">
        <v>132</v>
      </c>
      <c r="X887" s="201" t="s">
        <v>132</v>
      </c>
      <c r="Y887" s="201" t="s">
        <v>132</v>
      </c>
      <c r="Z887" s="201" t="s">
        <v>132</v>
      </c>
      <c r="AA887" s="201" t="s">
        <v>132</v>
      </c>
      <c r="AB887" s="201" t="s">
        <v>132</v>
      </c>
      <c r="AC887" s="472" t="s">
        <v>132</v>
      </c>
      <c r="AD887" s="472" t="s">
        <v>132</v>
      </c>
      <c r="AE887" s="201" t="s">
        <v>132</v>
      </c>
      <c r="AF887" s="201" t="s">
        <v>132</v>
      </c>
      <c r="AG887" s="201" t="s">
        <v>132</v>
      </c>
      <c r="AH887" s="201" t="s">
        <v>132</v>
      </c>
      <c r="AI887" s="201" t="s">
        <v>132</v>
      </c>
      <c r="AJ887" s="201" t="s">
        <v>132</v>
      </c>
      <c r="AK887" s="201" t="s">
        <v>132</v>
      </c>
      <c r="AL887" s="201" t="s">
        <v>132</v>
      </c>
      <c r="AM887" s="201" t="s">
        <v>132</v>
      </c>
      <c r="AN887" s="201" t="s">
        <v>132</v>
      </c>
      <c r="AO887" s="201" t="s">
        <v>132</v>
      </c>
      <c r="AP887" s="201" t="s">
        <v>132</v>
      </c>
      <c r="AQ887" s="201" t="s">
        <v>132</v>
      </c>
      <c r="AR887" s="201" t="s">
        <v>132</v>
      </c>
      <c r="AS887" s="201" t="s">
        <v>132</v>
      </c>
      <c r="AT887" s="201" t="s">
        <v>132</v>
      </c>
      <c r="AU887" s="201" t="s">
        <v>132</v>
      </c>
      <c r="AV887" s="201" t="s">
        <v>132</v>
      </c>
      <c r="AW887" s="201" t="s">
        <v>132</v>
      </c>
      <c r="AX887" s="201" t="s">
        <v>132</v>
      </c>
      <c r="AY887" s="201" t="s">
        <v>132</v>
      </c>
      <c r="AZ887" s="201" t="s">
        <v>132</v>
      </c>
      <c r="BA887" s="42">
        <v>2014</v>
      </c>
      <c r="BB887" s="42" t="s">
        <v>4969</v>
      </c>
      <c r="BC887" s="57" t="s">
        <v>4967</v>
      </c>
      <c r="BD887" s="42" t="s">
        <v>132</v>
      </c>
      <c r="BE887" s="470" t="s">
        <v>132</v>
      </c>
      <c r="BF887" s="42" t="s">
        <v>132</v>
      </c>
      <c r="BG887" s="42" t="s">
        <v>132</v>
      </c>
      <c r="BH887" s="42" t="s">
        <v>132</v>
      </c>
      <c r="BI887" s="42" t="s">
        <v>132</v>
      </c>
      <c r="BJ887" s="42" t="s">
        <v>132</v>
      </c>
      <c r="BK887" s="401"/>
    </row>
    <row r="888" spans="1:63" s="287" customFormat="1" ht="93.75" customHeight="1">
      <c r="A888" s="42">
        <v>2</v>
      </c>
      <c r="B888" s="42" t="s">
        <v>4961</v>
      </c>
      <c r="C888" s="42" t="s">
        <v>4961</v>
      </c>
      <c r="D888" s="42" t="s">
        <v>245</v>
      </c>
      <c r="E888" s="42" t="s">
        <v>274</v>
      </c>
      <c r="F888" s="201" t="s">
        <v>132</v>
      </c>
      <c r="G888" s="201" t="s">
        <v>132</v>
      </c>
      <c r="H888" s="42" t="s">
        <v>4961</v>
      </c>
      <c r="I888" s="113" t="s">
        <v>4965</v>
      </c>
      <c r="J888" s="13" t="s">
        <v>4282</v>
      </c>
      <c r="K888" s="201" t="s">
        <v>4917</v>
      </c>
      <c r="L888" s="13" t="s">
        <v>438</v>
      </c>
      <c r="M888" s="13">
        <v>2010102</v>
      </c>
      <c r="N888" s="13" t="s">
        <v>4171</v>
      </c>
      <c r="O888" s="201" t="s">
        <v>132</v>
      </c>
      <c r="P888" s="201" t="s">
        <v>132</v>
      </c>
      <c r="Q888" s="201" t="s">
        <v>132</v>
      </c>
      <c r="R888" s="201" t="s">
        <v>132</v>
      </c>
      <c r="S888" s="201" t="s">
        <v>132</v>
      </c>
      <c r="T888" s="201" t="s">
        <v>132</v>
      </c>
      <c r="U888" s="201" t="s">
        <v>132</v>
      </c>
      <c r="V888" s="201" t="s">
        <v>132</v>
      </c>
      <c r="W888" s="201" t="s">
        <v>132</v>
      </c>
      <c r="X888" s="201" t="s">
        <v>132</v>
      </c>
      <c r="Y888" s="201" t="s">
        <v>132</v>
      </c>
      <c r="Z888" s="201" t="s">
        <v>132</v>
      </c>
      <c r="AA888" s="201" t="s">
        <v>132</v>
      </c>
      <c r="AB888" s="201" t="s">
        <v>132</v>
      </c>
      <c r="AC888" s="472" t="s">
        <v>132</v>
      </c>
      <c r="AD888" s="472" t="s">
        <v>132</v>
      </c>
      <c r="AE888" s="201" t="s">
        <v>132</v>
      </c>
      <c r="AF888" s="201" t="s">
        <v>132</v>
      </c>
      <c r="AG888" s="201" t="s">
        <v>132</v>
      </c>
      <c r="AH888" s="201" t="s">
        <v>132</v>
      </c>
      <c r="AI888" s="201" t="s">
        <v>132</v>
      </c>
      <c r="AJ888" s="201" t="s">
        <v>132</v>
      </c>
      <c r="AK888" s="201" t="s">
        <v>132</v>
      </c>
      <c r="AL888" s="201" t="s">
        <v>132</v>
      </c>
      <c r="AM888" s="201" t="s">
        <v>132</v>
      </c>
      <c r="AN888" s="201" t="s">
        <v>132</v>
      </c>
      <c r="AO888" s="201" t="s">
        <v>132</v>
      </c>
      <c r="AP888" s="201" t="s">
        <v>132</v>
      </c>
      <c r="AQ888" s="201" t="s">
        <v>132</v>
      </c>
      <c r="AR888" s="201" t="s">
        <v>132</v>
      </c>
      <c r="AS888" s="201" t="s">
        <v>132</v>
      </c>
      <c r="AT888" s="201" t="s">
        <v>132</v>
      </c>
      <c r="AU888" s="201" t="s">
        <v>132</v>
      </c>
      <c r="AV888" s="201" t="s">
        <v>132</v>
      </c>
      <c r="AW888" s="201" t="s">
        <v>132</v>
      </c>
      <c r="AX888" s="201" t="s">
        <v>132</v>
      </c>
      <c r="AY888" s="201" t="s">
        <v>132</v>
      </c>
      <c r="AZ888" s="201" t="s">
        <v>132</v>
      </c>
      <c r="BA888" s="201" t="s">
        <v>132</v>
      </c>
      <c r="BB888" s="42" t="s">
        <v>132</v>
      </c>
      <c r="BC888" s="57" t="s">
        <v>132</v>
      </c>
      <c r="BD888" s="42" t="s">
        <v>132</v>
      </c>
      <c r="BE888" s="470" t="s">
        <v>132</v>
      </c>
      <c r="BF888" s="42" t="s">
        <v>132</v>
      </c>
      <c r="BG888" s="488" t="s">
        <v>132</v>
      </c>
      <c r="BH888" s="42" t="s">
        <v>132</v>
      </c>
      <c r="BI888" s="42" t="s">
        <v>132</v>
      </c>
      <c r="BJ888" s="42" t="s">
        <v>132</v>
      </c>
      <c r="BK888" s="57"/>
    </row>
    <row r="889" spans="1:63" s="199" customFormat="1" ht="75">
      <c r="A889" s="38">
        <v>2</v>
      </c>
      <c r="B889" s="38" t="s">
        <v>4970</v>
      </c>
      <c r="C889" s="38" t="s">
        <v>83</v>
      </c>
      <c r="D889" s="38" t="s">
        <v>225</v>
      </c>
      <c r="E889" s="38" t="s">
        <v>274</v>
      </c>
      <c r="F889" s="38" t="s">
        <v>4620</v>
      </c>
      <c r="G889" s="38">
        <v>31</v>
      </c>
      <c r="H889" s="11">
        <v>626665</v>
      </c>
      <c r="I889" s="16" t="s">
        <v>4972</v>
      </c>
      <c r="J889" s="16" t="s">
        <v>4282</v>
      </c>
      <c r="K889" s="29" t="s">
        <v>4917</v>
      </c>
      <c r="L889" s="16" t="s">
        <v>438</v>
      </c>
      <c r="M889" s="95" t="s">
        <v>4170</v>
      </c>
      <c r="N889" s="15" t="s">
        <v>4171</v>
      </c>
      <c r="O889" s="16" t="s">
        <v>4172</v>
      </c>
      <c r="P889" s="23">
        <v>10995.695</v>
      </c>
      <c r="Q889" s="23">
        <f>P889*1.18</f>
        <v>12974.920099999999</v>
      </c>
      <c r="R889" s="23"/>
      <c r="S889" s="29" t="s">
        <v>4706</v>
      </c>
      <c r="T889" s="38"/>
      <c r="U889" s="38"/>
      <c r="V889" s="38"/>
      <c r="W889" s="38"/>
      <c r="X889" s="38"/>
      <c r="Y889" s="23">
        <v>10995.695</v>
      </c>
      <c r="Z889" s="23">
        <f>Y889*1.18</f>
        <v>12974.920099999999</v>
      </c>
      <c r="AA889" s="23">
        <v>10995.695</v>
      </c>
      <c r="AB889" s="23">
        <f>AA889*1.18</f>
        <v>12974.920099999999</v>
      </c>
      <c r="AC889" s="456">
        <v>10995.695</v>
      </c>
      <c r="AD889" s="456">
        <f t="shared" ref="AD889:AD891" si="128">AC889*1.18</f>
        <v>12974.920099999999</v>
      </c>
      <c r="AE889" s="494" t="s">
        <v>218</v>
      </c>
      <c r="AF889" s="38" t="s">
        <v>83</v>
      </c>
      <c r="AG889" s="38" t="s">
        <v>83</v>
      </c>
      <c r="AH889" s="38" t="s">
        <v>90</v>
      </c>
      <c r="AI889" s="51">
        <v>41628</v>
      </c>
      <c r="AJ889" s="51">
        <v>41679</v>
      </c>
      <c r="AK889" s="369"/>
      <c r="AL889" s="60"/>
      <c r="AM889" s="60" t="s">
        <v>4974</v>
      </c>
      <c r="AN889" s="60" t="s">
        <v>1757</v>
      </c>
      <c r="AO889" s="11">
        <v>796</v>
      </c>
      <c r="AP889" s="38" t="s">
        <v>368</v>
      </c>
      <c r="AQ889" s="38">
        <v>1</v>
      </c>
      <c r="AR889" s="38" t="s">
        <v>2980</v>
      </c>
      <c r="AS889" s="16" t="s">
        <v>3373</v>
      </c>
      <c r="AT889" s="51">
        <v>41679</v>
      </c>
      <c r="AU889" s="51">
        <v>41680</v>
      </c>
      <c r="AV889" s="51">
        <v>41680</v>
      </c>
      <c r="AW889" s="38">
        <v>2014</v>
      </c>
      <c r="AX889" s="60"/>
      <c r="AY889" s="135"/>
      <c r="AZ889" s="16"/>
      <c r="BA889" s="38">
        <v>2014</v>
      </c>
      <c r="BB889" s="38" t="s">
        <v>4971</v>
      </c>
      <c r="BC889" s="60" t="s">
        <v>4973</v>
      </c>
      <c r="BD889" s="60"/>
      <c r="BE889" s="474"/>
      <c r="BF889" s="42" t="s">
        <v>132</v>
      </c>
      <c r="BG889" s="42" t="s">
        <v>132</v>
      </c>
      <c r="BH889" s="304"/>
      <c r="BI889" s="304"/>
      <c r="BJ889" s="304"/>
      <c r="BK889" s="16"/>
    </row>
    <row r="890" spans="1:63" s="199" customFormat="1" ht="75">
      <c r="A890" s="38">
        <v>2</v>
      </c>
      <c r="B890" s="38" t="s">
        <v>4975</v>
      </c>
      <c r="C890" s="38" t="s">
        <v>83</v>
      </c>
      <c r="D890" s="38" t="s">
        <v>213</v>
      </c>
      <c r="E890" s="38" t="s">
        <v>274</v>
      </c>
      <c r="F890" s="38" t="s">
        <v>4620</v>
      </c>
      <c r="G890" s="38">
        <v>31</v>
      </c>
      <c r="H890" s="11">
        <v>626685</v>
      </c>
      <c r="I890" s="16" t="s">
        <v>4976</v>
      </c>
      <c r="J890" s="16" t="s">
        <v>4282</v>
      </c>
      <c r="K890" s="29" t="s">
        <v>4917</v>
      </c>
      <c r="L890" s="16" t="s">
        <v>438</v>
      </c>
      <c r="M890" s="95" t="s">
        <v>4170</v>
      </c>
      <c r="N890" s="15" t="s">
        <v>4171</v>
      </c>
      <c r="O890" s="16" t="s">
        <v>4172</v>
      </c>
      <c r="P890" s="23">
        <v>2810.69</v>
      </c>
      <c r="Q890" s="23">
        <f>P890*1.18</f>
        <v>3316.6142</v>
      </c>
      <c r="R890" s="23"/>
      <c r="S890" s="29" t="s">
        <v>4978</v>
      </c>
      <c r="T890" s="38"/>
      <c r="U890" s="38"/>
      <c r="V890" s="38"/>
      <c r="W890" s="38"/>
      <c r="X890" s="38"/>
      <c r="Y890" s="23">
        <v>2810.69</v>
      </c>
      <c r="Z890" s="23">
        <f>Y890*1.18</f>
        <v>3316.6142</v>
      </c>
      <c r="AA890" s="23">
        <v>2810.69</v>
      </c>
      <c r="AB890" s="23">
        <f>AA890*1.18</f>
        <v>3316.6142</v>
      </c>
      <c r="AC890" s="456">
        <v>2810.69</v>
      </c>
      <c r="AD890" s="456">
        <f t="shared" si="128"/>
        <v>3316.6142</v>
      </c>
      <c r="AE890" s="494" t="s">
        <v>173</v>
      </c>
      <c r="AF890" s="38" t="s">
        <v>83</v>
      </c>
      <c r="AG890" s="38" t="s">
        <v>83</v>
      </c>
      <c r="AH890" s="38" t="s">
        <v>90</v>
      </c>
      <c r="AI890" s="51">
        <v>41628</v>
      </c>
      <c r="AJ890" s="51">
        <v>41669</v>
      </c>
      <c r="AK890" s="369"/>
      <c r="AL890" s="60"/>
      <c r="AM890" s="60" t="s">
        <v>4977</v>
      </c>
      <c r="AN890" s="60" t="s">
        <v>1757</v>
      </c>
      <c r="AO890" s="11">
        <v>796</v>
      </c>
      <c r="AP890" s="38" t="s">
        <v>368</v>
      </c>
      <c r="AQ890" s="38">
        <v>1</v>
      </c>
      <c r="AR890" s="38" t="s">
        <v>2980</v>
      </c>
      <c r="AS890" s="16" t="s">
        <v>3373</v>
      </c>
      <c r="AT890" s="51">
        <v>41670</v>
      </c>
      <c r="AU890" s="51">
        <v>41701</v>
      </c>
      <c r="AV890" s="51">
        <v>41701</v>
      </c>
      <c r="AW890" s="38">
        <v>2014</v>
      </c>
      <c r="AX890" s="60"/>
      <c r="AY890" s="135"/>
      <c r="AZ890" s="16"/>
      <c r="BA890" s="38">
        <v>2014</v>
      </c>
      <c r="BB890" s="38" t="s">
        <v>4943</v>
      </c>
      <c r="BC890" s="60" t="s">
        <v>4945</v>
      </c>
      <c r="BD890" s="60"/>
      <c r="BE890" s="474"/>
      <c r="BF890" s="42" t="s">
        <v>132</v>
      </c>
      <c r="BG890" s="42" t="s">
        <v>132</v>
      </c>
      <c r="BH890" s="304"/>
      <c r="BI890" s="304"/>
      <c r="BJ890" s="304"/>
      <c r="BK890" s="401"/>
    </row>
    <row r="891" spans="1:63" s="199" customFormat="1" ht="93.75" customHeight="1">
      <c r="A891" s="38">
        <v>2</v>
      </c>
      <c r="B891" s="38" t="s">
        <v>4979</v>
      </c>
      <c r="C891" s="38" t="s">
        <v>83</v>
      </c>
      <c r="D891" s="38" t="s">
        <v>213</v>
      </c>
      <c r="E891" s="38" t="s">
        <v>274</v>
      </c>
      <c r="F891" s="38" t="s">
        <v>4620</v>
      </c>
      <c r="G891" s="38">
        <v>31</v>
      </c>
      <c r="H891" s="11">
        <v>626687</v>
      </c>
      <c r="I891" s="16" t="s">
        <v>4980</v>
      </c>
      <c r="J891" s="16" t="s">
        <v>4282</v>
      </c>
      <c r="K891" s="29" t="s">
        <v>4917</v>
      </c>
      <c r="L891" s="16" t="s">
        <v>438</v>
      </c>
      <c r="M891" s="95" t="s">
        <v>4170</v>
      </c>
      <c r="N891" s="15" t="s">
        <v>4171</v>
      </c>
      <c r="O891" s="16" t="s">
        <v>4172</v>
      </c>
      <c r="P891" s="23">
        <v>9802.42</v>
      </c>
      <c r="Q891" s="23">
        <f>P891*1.18</f>
        <v>11566.855599999999</v>
      </c>
      <c r="R891" s="23"/>
      <c r="S891" s="29" t="s">
        <v>4978</v>
      </c>
      <c r="T891" s="38"/>
      <c r="U891" s="38"/>
      <c r="V891" s="38"/>
      <c r="W891" s="38"/>
      <c r="X891" s="38"/>
      <c r="Y891" s="23">
        <v>9802.42</v>
      </c>
      <c r="Z891" s="23">
        <f>Y891*1.18</f>
        <v>11566.855599999999</v>
      </c>
      <c r="AA891" s="23">
        <v>9802.42</v>
      </c>
      <c r="AB891" s="23">
        <f>AA891*1.18</f>
        <v>11566.855599999999</v>
      </c>
      <c r="AC891" s="456">
        <v>9802.42</v>
      </c>
      <c r="AD891" s="456">
        <f t="shared" si="128"/>
        <v>11566.855599999999</v>
      </c>
      <c r="AE891" s="494" t="s">
        <v>218</v>
      </c>
      <c r="AF891" s="38" t="s">
        <v>83</v>
      </c>
      <c r="AG891" s="38" t="s">
        <v>83</v>
      </c>
      <c r="AH891" s="38" t="s">
        <v>90</v>
      </c>
      <c r="AI891" s="51">
        <v>41628</v>
      </c>
      <c r="AJ891" s="51">
        <v>41679</v>
      </c>
      <c r="AK891" s="369"/>
      <c r="AL891" s="60"/>
      <c r="AM891" s="60" t="s">
        <v>4977</v>
      </c>
      <c r="AN891" s="60" t="s">
        <v>1757</v>
      </c>
      <c r="AO891" s="11">
        <v>796</v>
      </c>
      <c r="AP891" s="38" t="s">
        <v>368</v>
      </c>
      <c r="AQ891" s="38">
        <v>1</v>
      </c>
      <c r="AR891" s="38" t="s">
        <v>2980</v>
      </c>
      <c r="AS891" s="16" t="s">
        <v>3373</v>
      </c>
      <c r="AT891" s="51">
        <v>41679</v>
      </c>
      <c r="AU891" s="51">
        <v>41679</v>
      </c>
      <c r="AV891" s="51">
        <v>41679</v>
      </c>
      <c r="AW891" s="38">
        <v>2014</v>
      </c>
      <c r="AX891" s="60"/>
      <c r="AY891" s="135"/>
      <c r="AZ891" s="16"/>
      <c r="BA891" s="38">
        <v>2014</v>
      </c>
      <c r="BB891" s="38" t="s">
        <v>4940</v>
      </c>
      <c r="BC891" s="60" t="s">
        <v>4942</v>
      </c>
      <c r="BD891" s="60"/>
      <c r="BE891" s="474"/>
      <c r="BF891" s="42" t="s">
        <v>132</v>
      </c>
      <c r="BG891" s="42" t="s">
        <v>132</v>
      </c>
      <c r="BH891" s="304"/>
      <c r="BI891" s="304"/>
      <c r="BJ891" s="304"/>
      <c r="BK891" s="16"/>
    </row>
    <row r="892" spans="1:63" s="199" customFormat="1" ht="75">
      <c r="A892" s="127">
        <v>2</v>
      </c>
      <c r="B892" s="127" t="s">
        <v>6117</v>
      </c>
      <c r="C892" s="127" t="s">
        <v>83</v>
      </c>
      <c r="D892" s="127" t="s">
        <v>238</v>
      </c>
      <c r="E892" s="127" t="s">
        <v>274</v>
      </c>
      <c r="F892" s="127" t="s">
        <v>4620</v>
      </c>
      <c r="G892" s="127">
        <v>31</v>
      </c>
      <c r="H892" s="133">
        <v>626601</v>
      </c>
      <c r="I892" s="137" t="s">
        <v>6118</v>
      </c>
      <c r="J892" s="137" t="s">
        <v>4282</v>
      </c>
      <c r="K892" s="153" t="s">
        <v>4917</v>
      </c>
      <c r="L892" s="137" t="s">
        <v>438</v>
      </c>
      <c r="M892" s="363" t="s">
        <v>4170</v>
      </c>
      <c r="N892" s="364" t="s">
        <v>4171</v>
      </c>
      <c r="O892" s="137" t="s">
        <v>4172</v>
      </c>
      <c r="P892" s="152">
        <v>135367.86011000001</v>
      </c>
      <c r="Q892" s="152">
        <f>P892*1.18</f>
        <v>159734.0749298</v>
      </c>
      <c r="R892" s="227">
        <v>135160.67572456412</v>
      </c>
      <c r="S892" s="230"/>
      <c r="T892" s="172">
        <v>1.0900000000000001</v>
      </c>
      <c r="U892" s="172">
        <v>1.0409999999999999</v>
      </c>
      <c r="V892" s="172">
        <v>1.0229999999999999</v>
      </c>
      <c r="W892" s="172">
        <v>1.044</v>
      </c>
      <c r="X892" s="172">
        <v>0.9</v>
      </c>
      <c r="Y892" s="152">
        <v>147416.54336000001</v>
      </c>
      <c r="Z892" s="152">
        <f>Y892*1.18</f>
        <v>173951.52116480001</v>
      </c>
      <c r="AA892" s="152">
        <v>147416.54336000001</v>
      </c>
      <c r="AB892" s="152">
        <f>AA892*1.18</f>
        <v>173951.52116480001</v>
      </c>
      <c r="AC892" s="152">
        <v>135367.86011000001</v>
      </c>
      <c r="AD892" s="152">
        <f>AC892*1.18</f>
        <v>159734.0749298</v>
      </c>
      <c r="AE892" s="494" t="s">
        <v>218</v>
      </c>
      <c r="AF892" s="127" t="s">
        <v>83</v>
      </c>
      <c r="AG892" s="127" t="s">
        <v>83</v>
      </c>
      <c r="AH892" s="127" t="s">
        <v>90</v>
      </c>
      <c r="AI892" s="128">
        <v>41636</v>
      </c>
      <c r="AJ892" s="128">
        <v>41696</v>
      </c>
      <c r="AK892" s="365"/>
      <c r="AL892" s="366"/>
      <c r="AM892" s="366" t="s">
        <v>6119</v>
      </c>
      <c r="AN892" s="366" t="s">
        <v>1757</v>
      </c>
      <c r="AO892" s="133">
        <v>796</v>
      </c>
      <c r="AP892" s="127" t="s">
        <v>368</v>
      </c>
      <c r="AQ892" s="127">
        <v>98</v>
      </c>
      <c r="AR892" s="127" t="s">
        <v>2980</v>
      </c>
      <c r="AS892" s="137" t="s">
        <v>3373</v>
      </c>
      <c r="AT892" s="128">
        <v>41696</v>
      </c>
      <c r="AU892" s="128">
        <v>41701</v>
      </c>
      <c r="AV892" s="128">
        <v>41790</v>
      </c>
      <c r="AW892" s="127">
        <v>2014</v>
      </c>
      <c r="AX892" s="366"/>
      <c r="AY892" s="129"/>
      <c r="AZ892" s="137"/>
      <c r="BA892" s="127">
        <v>2014</v>
      </c>
      <c r="BB892" s="127"/>
      <c r="BC892" s="366" t="s">
        <v>4606</v>
      </c>
      <c r="BD892" s="366"/>
      <c r="BE892" s="473"/>
      <c r="BF892" s="367"/>
      <c r="BG892" s="488">
        <v>0</v>
      </c>
      <c r="BH892" s="367"/>
      <c r="BI892" s="367"/>
      <c r="BJ892" s="367"/>
      <c r="BK892" s="137"/>
    </row>
    <row r="893" spans="1:63" s="287" customFormat="1" ht="75">
      <c r="A893" s="42">
        <v>2</v>
      </c>
      <c r="B893" s="42" t="s">
        <v>6120</v>
      </c>
      <c r="C893" s="42" t="s">
        <v>6120</v>
      </c>
      <c r="D893" s="42" t="s">
        <v>238</v>
      </c>
      <c r="E893" s="42" t="s">
        <v>274</v>
      </c>
      <c r="F893" s="201" t="s">
        <v>132</v>
      </c>
      <c r="G893" s="201" t="s">
        <v>132</v>
      </c>
      <c r="H893" s="42" t="s">
        <v>6120</v>
      </c>
      <c r="I893" s="113" t="s">
        <v>6121</v>
      </c>
      <c r="J893" s="13" t="s">
        <v>4282</v>
      </c>
      <c r="K893" s="201" t="s">
        <v>4917</v>
      </c>
      <c r="L893" s="13" t="s">
        <v>438</v>
      </c>
      <c r="M893" s="13">
        <v>2010102</v>
      </c>
      <c r="N893" s="13" t="s">
        <v>4171</v>
      </c>
      <c r="O893" s="201" t="s">
        <v>132</v>
      </c>
      <c r="P893" s="201" t="s">
        <v>132</v>
      </c>
      <c r="Q893" s="201" t="s">
        <v>132</v>
      </c>
      <c r="R893" s="201" t="s">
        <v>132</v>
      </c>
      <c r="S893" s="201" t="s">
        <v>132</v>
      </c>
      <c r="T893" s="201" t="s">
        <v>132</v>
      </c>
      <c r="U893" s="201" t="s">
        <v>132</v>
      </c>
      <c r="V893" s="201" t="s">
        <v>132</v>
      </c>
      <c r="W893" s="201" t="s">
        <v>132</v>
      </c>
      <c r="X893" s="201" t="s">
        <v>132</v>
      </c>
      <c r="Y893" s="201" t="s">
        <v>132</v>
      </c>
      <c r="Z893" s="201" t="s">
        <v>132</v>
      </c>
      <c r="AA893" s="201" t="s">
        <v>132</v>
      </c>
      <c r="AB893" s="201" t="s">
        <v>132</v>
      </c>
      <c r="AC893" s="472"/>
      <c r="AD893" s="472"/>
      <c r="AE893" s="201" t="s">
        <v>132</v>
      </c>
      <c r="AF893" s="201" t="s">
        <v>132</v>
      </c>
      <c r="AG893" s="201" t="s">
        <v>132</v>
      </c>
      <c r="AH893" s="201" t="s">
        <v>132</v>
      </c>
      <c r="AI893" s="201" t="s">
        <v>132</v>
      </c>
      <c r="AJ893" s="201" t="s">
        <v>132</v>
      </c>
      <c r="AK893" s="201" t="s">
        <v>132</v>
      </c>
      <c r="AL893" s="201" t="s">
        <v>132</v>
      </c>
      <c r="AM893" s="201" t="s">
        <v>132</v>
      </c>
      <c r="AN893" s="201" t="s">
        <v>132</v>
      </c>
      <c r="AO893" s="201" t="s">
        <v>132</v>
      </c>
      <c r="AP893" s="201" t="s">
        <v>132</v>
      </c>
      <c r="AQ893" s="201" t="s">
        <v>132</v>
      </c>
      <c r="AR893" s="201" t="s">
        <v>132</v>
      </c>
      <c r="AS893" s="201" t="s">
        <v>132</v>
      </c>
      <c r="AT893" s="201" t="s">
        <v>132</v>
      </c>
      <c r="AU893" s="201" t="s">
        <v>132</v>
      </c>
      <c r="AV893" s="201" t="s">
        <v>132</v>
      </c>
      <c r="AW893" s="201" t="s">
        <v>132</v>
      </c>
      <c r="AX893" s="201" t="s">
        <v>132</v>
      </c>
      <c r="AY893" s="201" t="s">
        <v>132</v>
      </c>
      <c r="AZ893" s="201" t="s">
        <v>132</v>
      </c>
      <c r="BA893" s="42">
        <v>2014</v>
      </c>
      <c r="BB893" s="201" t="s">
        <v>6122</v>
      </c>
      <c r="BC893" s="57" t="s">
        <v>6123</v>
      </c>
      <c r="BD893" s="42" t="s">
        <v>132</v>
      </c>
      <c r="BE893" s="470" t="s">
        <v>132</v>
      </c>
      <c r="BF893" s="42" t="s">
        <v>132</v>
      </c>
      <c r="BG893" s="42" t="s">
        <v>132</v>
      </c>
      <c r="BH893" s="42" t="s">
        <v>132</v>
      </c>
      <c r="BI893" s="42" t="s">
        <v>132</v>
      </c>
      <c r="BJ893" s="42" t="s">
        <v>132</v>
      </c>
      <c r="BK893" s="401"/>
    </row>
    <row r="894" spans="1:63" s="287" customFormat="1" ht="75">
      <c r="A894" s="42">
        <v>2</v>
      </c>
      <c r="B894" s="42" t="s">
        <v>6120</v>
      </c>
      <c r="C894" s="42" t="s">
        <v>6120</v>
      </c>
      <c r="D894" s="42" t="s">
        <v>238</v>
      </c>
      <c r="E894" s="42" t="s">
        <v>274</v>
      </c>
      <c r="F894" s="201" t="s">
        <v>132</v>
      </c>
      <c r="G894" s="201" t="s">
        <v>132</v>
      </c>
      <c r="H894" s="42" t="s">
        <v>6120</v>
      </c>
      <c r="I894" s="113" t="s">
        <v>6124</v>
      </c>
      <c r="J894" s="13" t="s">
        <v>4282</v>
      </c>
      <c r="K894" s="201" t="s">
        <v>4917</v>
      </c>
      <c r="L894" s="13" t="s">
        <v>438</v>
      </c>
      <c r="M894" s="13">
        <v>2010102</v>
      </c>
      <c r="N894" s="13" t="s">
        <v>4171</v>
      </c>
      <c r="O894" s="201" t="s">
        <v>132</v>
      </c>
      <c r="P894" s="201" t="s">
        <v>132</v>
      </c>
      <c r="Q894" s="201" t="s">
        <v>132</v>
      </c>
      <c r="R894" s="201" t="s">
        <v>132</v>
      </c>
      <c r="S894" s="201" t="s">
        <v>132</v>
      </c>
      <c r="T894" s="201" t="s">
        <v>132</v>
      </c>
      <c r="U894" s="201" t="s">
        <v>132</v>
      </c>
      <c r="V894" s="201" t="s">
        <v>132</v>
      </c>
      <c r="W894" s="201" t="s">
        <v>132</v>
      </c>
      <c r="X894" s="201" t="s">
        <v>132</v>
      </c>
      <c r="Y894" s="201" t="s">
        <v>132</v>
      </c>
      <c r="Z894" s="201" t="s">
        <v>132</v>
      </c>
      <c r="AA894" s="201" t="s">
        <v>132</v>
      </c>
      <c r="AB894" s="201" t="s">
        <v>132</v>
      </c>
      <c r="AC894" s="472"/>
      <c r="AD894" s="472"/>
      <c r="AE894" s="201" t="s">
        <v>132</v>
      </c>
      <c r="AF894" s="201" t="s">
        <v>132</v>
      </c>
      <c r="AG894" s="201" t="s">
        <v>132</v>
      </c>
      <c r="AH894" s="201" t="s">
        <v>132</v>
      </c>
      <c r="AI894" s="201" t="s">
        <v>132</v>
      </c>
      <c r="AJ894" s="201" t="s">
        <v>132</v>
      </c>
      <c r="AK894" s="201" t="s">
        <v>132</v>
      </c>
      <c r="AL894" s="201" t="s">
        <v>132</v>
      </c>
      <c r="AM894" s="201" t="s">
        <v>132</v>
      </c>
      <c r="AN894" s="201" t="s">
        <v>132</v>
      </c>
      <c r="AO894" s="201" t="s">
        <v>132</v>
      </c>
      <c r="AP894" s="201" t="s">
        <v>132</v>
      </c>
      <c r="AQ894" s="201" t="s">
        <v>132</v>
      </c>
      <c r="AR894" s="201" t="s">
        <v>132</v>
      </c>
      <c r="AS894" s="201" t="s">
        <v>132</v>
      </c>
      <c r="AT894" s="201" t="s">
        <v>132</v>
      </c>
      <c r="AU894" s="201" t="s">
        <v>132</v>
      </c>
      <c r="AV894" s="201" t="s">
        <v>132</v>
      </c>
      <c r="AW894" s="201" t="s">
        <v>132</v>
      </c>
      <c r="AX894" s="201" t="s">
        <v>132</v>
      </c>
      <c r="AY894" s="201" t="s">
        <v>132</v>
      </c>
      <c r="AZ894" s="201" t="s">
        <v>132</v>
      </c>
      <c r="BA894" s="42">
        <v>2014</v>
      </c>
      <c r="BB894" s="42" t="s">
        <v>6125</v>
      </c>
      <c r="BC894" s="57" t="s">
        <v>6126</v>
      </c>
      <c r="BD894" s="42" t="s">
        <v>132</v>
      </c>
      <c r="BE894" s="470" t="s">
        <v>132</v>
      </c>
      <c r="BF894" s="42" t="s">
        <v>132</v>
      </c>
      <c r="BG894" s="42" t="s">
        <v>132</v>
      </c>
      <c r="BH894" s="42" t="s">
        <v>132</v>
      </c>
      <c r="BI894" s="42" t="s">
        <v>132</v>
      </c>
      <c r="BJ894" s="42" t="s">
        <v>132</v>
      </c>
      <c r="BK894" s="401"/>
    </row>
    <row r="895" spans="1:63" s="287" customFormat="1" ht="75">
      <c r="A895" s="42">
        <v>2</v>
      </c>
      <c r="B895" s="42" t="s">
        <v>6120</v>
      </c>
      <c r="C895" s="42" t="s">
        <v>6120</v>
      </c>
      <c r="D895" s="42" t="s">
        <v>238</v>
      </c>
      <c r="E895" s="42" t="s">
        <v>274</v>
      </c>
      <c r="F895" s="201" t="s">
        <v>132</v>
      </c>
      <c r="G895" s="201" t="s">
        <v>132</v>
      </c>
      <c r="H895" s="42" t="s">
        <v>6120</v>
      </c>
      <c r="I895" s="113" t="s">
        <v>6127</v>
      </c>
      <c r="J895" s="13" t="s">
        <v>4282</v>
      </c>
      <c r="K895" s="201" t="s">
        <v>4917</v>
      </c>
      <c r="L895" s="13" t="s">
        <v>438</v>
      </c>
      <c r="M895" s="13">
        <v>2010102</v>
      </c>
      <c r="N895" s="13" t="s">
        <v>4171</v>
      </c>
      <c r="O895" s="201" t="s">
        <v>132</v>
      </c>
      <c r="P895" s="201" t="s">
        <v>132</v>
      </c>
      <c r="Q895" s="201" t="s">
        <v>132</v>
      </c>
      <c r="R895" s="201" t="s">
        <v>132</v>
      </c>
      <c r="S895" s="201" t="s">
        <v>132</v>
      </c>
      <c r="T895" s="201" t="s">
        <v>132</v>
      </c>
      <c r="U895" s="201" t="s">
        <v>132</v>
      </c>
      <c r="V895" s="201" t="s">
        <v>132</v>
      </c>
      <c r="W895" s="201" t="s">
        <v>132</v>
      </c>
      <c r="X895" s="201" t="s">
        <v>132</v>
      </c>
      <c r="Y895" s="201" t="s">
        <v>132</v>
      </c>
      <c r="Z895" s="201" t="s">
        <v>132</v>
      </c>
      <c r="AA895" s="201" t="s">
        <v>132</v>
      </c>
      <c r="AB895" s="201" t="s">
        <v>132</v>
      </c>
      <c r="AC895" s="472"/>
      <c r="AD895" s="472"/>
      <c r="AE895" s="201" t="s">
        <v>132</v>
      </c>
      <c r="AF895" s="201" t="s">
        <v>132</v>
      </c>
      <c r="AG895" s="201" t="s">
        <v>132</v>
      </c>
      <c r="AH895" s="201" t="s">
        <v>132</v>
      </c>
      <c r="AI895" s="201" t="s">
        <v>132</v>
      </c>
      <c r="AJ895" s="201" t="s">
        <v>132</v>
      </c>
      <c r="AK895" s="201" t="s">
        <v>132</v>
      </c>
      <c r="AL895" s="201" t="s">
        <v>132</v>
      </c>
      <c r="AM895" s="201" t="s">
        <v>132</v>
      </c>
      <c r="AN895" s="201" t="s">
        <v>132</v>
      </c>
      <c r="AO895" s="201" t="s">
        <v>132</v>
      </c>
      <c r="AP895" s="201" t="s">
        <v>132</v>
      </c>
      <c r="AQ895" s="201" t="s">
        <v>132</v>
      </c>
      <c r="AR895" s="201" t="s">
        <v>132</v>
      </c>
      <c r="AS895" s="201" t="s">
        <v>132</v>
      </c>
      <c r="AT895" s="201" t="s">
        <v>132</v>
      </c>
      <c r="AU895" s="201" t="s">
        <v>132</v>
      </c>
      <c r="AV895" s="201" t="s">
        <v>132</v>
      </c>
      <c r="AW895" s="201" t="s">
        <v>132</v>
      </c>
      <c r="AX895" s="201" t="s">
        <v>132</v>
      </c>
      <c r="AY895" s="201" t="s">
        <v>132</v>
      </c>
      <c r="AZ895" s="201" t="s">
        <v>132</v>
      </c>
      <c r="BA895" s="201">
        <v>2014</v>
      </c>
      <c r="BB895" s="42" t="s">
        <v>1784</v>
      </c>
      <c r="BC895" s="57" t="s">
        <v>6128</v>
      </c>
      <c r="BD895" s="42" t="s">
        <v>132</v>
      </c>
      <c r="BE895" s="470" t="s">
        <v>132</v>
      </c>
      <c r="BF895" s="42" t="s">
        <v>132</v>
      </c>
      <c r="BG895" s="488" t="s">
        <v>132</v>
      </c>
      <c r="BH895" s="42" t="s">
        <v>132</v>
      </c>
      <c r="BI895" s="42" t="s">
        <v>132</v>
      </c>
      <c r="BJ895" s="42" t="s">
        <v>132</v>
      </c>
      <c r="BK895" s="57"/>
    </row>
    <row r="896" spans="1:63" s="199" customFormat="1" ht="75">
      <c r="A896" s="38">
        <v>2</v>
      </c>
      <c r="B896" s="38" t="s">
        <v>6129</v>
      </c>
      <c r="C896" s="38" t="s">
        <v>83</v>
      </c>
      <c r="D896" s="38" t="s">
        <v>231</v>
      </c>
      <c r="E896" s="38" t="s">
        <v>274</v>
      </c>
      <c r="F896" s="38" t="s">
        <v>4620</v>
      </c>
      <c r="G896" s="38">
        <v>31</v>
      </c>
      <c r="H896" s="11">
        <v>626558</v>
      </c>
      <c r="I896" s="16" t="s">
        <v>6130</v>
      </c>
      <c r="J896" s="16" t="s">
        <v>4282</v>
      </c>
      <c r="K896" s="29" t="s">
        <v>4917</v>
      </c>
      <c r="L896" s="16" t="s">
        <v>438</v>
      </c>
      <c r="M896" s="95" t="s">
        <v>4170</v>
      </c>
      <c r="N896" s="15" t="s">
        <v>4171</v>
      </c>
      <c r="O896" s="16" t="s">
        <v>4172</v>
      </c>
      <c r="P896" s="23">
        <v>1807.96606</v>
      </c>
      <c r="Q896" s="23">
        <f t="shared" ref="Q896:Q942" si="129">P896*1.18</f>
        <v>2133.3999507999997</v>
      </c>
      <c r="R896" s="23">
        <v>1826.3898204116203</v>
      </c>
      <c r="S896" s="29"/>
      <c r="T896" s="38">
        <v>1.0900000000000001</v>
      </c>
      <c r="U896" s="38">
        <v>1.0409999999999999</v>
      </c>
      <c r="V896" s="38">
        <v>1.0229999999999999</v>
      </c>
      <c r="W896" s="38">
        <v>1.044</v>
      </c>
      <c r="X896" s="38">
        <v>0.9</v>
      </c>
      <c r="Y896" s="23">
        <v>1992.0000600000001</v>
      </c>
      <c r="Z896" s="23">
        <f t="shared" ref="Z896:Z942" si="130">Y896*1.18</f>
        <v>2350.5600708000002</v>
      </c>
      <c r="AA896" s="23">
        <v>1992.0000600000001</v>
      </c>
      <c r="AB896" s="23">
        <f t="shared" ref="AB896:AB942" si="131">AA896*1.18</f>
        <v>2350.5600708000002</v>
      </c>
      <c r="AC896" s="456">
        <v>1807.96606</v>
      </c>
      <c r="AD896" s="456">
        <f t="shared" ref="AD896:AD942" si="132">AC896*1.18</f>
        <v>2133.3999507999997</v>
      </c>
      <c r="AE896" s="494" t="s">
        <v>173</v>
      </c>
      <c r="AF896" s="38" t="s">
        <v>83</v>
      </c>
      <c r="AG896" s="38" t="s">
        <v>83</v>
      </c>
      <c r="AH896" s="38" t="s">
        <v>90</v>
      </c>
      <c r="AI896" s="51">
        <v>41636</v>
      </c>
      <c r="AJ896" s="51">
        <v>41681</v>
      </c>
      <c r="AK896" s="369"/>
      <c r="AL896" s="60"/>
      <c r="AM896" s="60" t="s">
        <v>6131</v>
      </c>
      <c r="AN896" s="60" t="s">
        <v>1757</v>
      </c>
      <c r="AO896" s="11">
        <v>796</v>
      </c>
      <c r="AP896" s="38" t="s">
        <v>368</v>
      </c>
      <c r="AQ896" s="38">
        <v>6</v>
      </c>
      <c r="AR896" s="38" t="s">
        <v>2980</v>
      </c>
      <c r="AS896" s="16" t="s">
        <v>3373</v>
      </c>
      <c r="AT896" s="51">
        <v>41681</v>
      </c>
      <c r="AU896" s="51">
        <v>41681</v>
      </c>
      <c r="AV896" s="51">
        <v>41685</v>
      </c>
      <c r="AW896" s="38">
        <v>2014</v>
      </c>
      <c r="AX896" s="60"/>
      <c r="AY896" s="135"/>
      <c r="AZ896" s="16"/>
      <c r="BA896" s="38">
        <v>2014</v>
      </c>
      <c r="BB896" s="38" t="s">
        <v>4703</v>
      </c>
      <c r="BC896" s="60" t="s">
        <v>4705</v>
      </c>
      <c r="BD896" s="60"/>
      <c r="BE896" s="474"/>
      <c r="BF896" s="42" t="s">
        <v>132</v>
      </c>
      <c r="BG896" s="42" t="s">
        <v>132</v>
      </c>
      <c r="BH896" s="304"/>
      <c r="BI896" s="304"/>
      <c r="BJ896" s="304"/>
      <c r="BK896" s="401"/>
    </row>
    <row r="897" spans="1:63" s="199" customFormat="1" ht="75">
      <c r="A897" s="38">
        <v>2</v>
      </c>
      <c r="B897" s="38" t="s">
        <v>6132</v>
      </c>
      <c r="C897" s="38" t="s">
        <v>83</v>
      </c>
      <c r="D897" s="38" t="s">
        <v>238</v>
      </c>
      <c r="E897" s="38" t="s">
        <v>274</v>
      </c>
      <c r="F897" s="38" t="s">
        <v>4620</v>
      </c>
      <c r="G897" s="38">
        <v>31</v>
      </c>
      <c r="H897" s="11">
        <v>626606</v>
      </c>
      <c r="I897" s="16" t="s">
        <v>6133</v>
      </c>
      <c r="J897" s="16" t="s">
        <v>4282</v>
      </c>
      <c r="K897" s="29" t="s">
        <v>4917</v>
      </c>
      <c r="L897" s="16" t="s">
        <v>438</v>
      </c>
      <c r="M897" s="95" t="s">
        <v>4170</v>
      </c>
      <c r="N897" s="15" t="s">
        <v>4171</v>
      </c>
      <c r="O897" s="16" t="s">
        <v>4172</v>
      </c>
      <c r="P897" s="23">
        <v>745.04</v>
      </c>
      <c r="Q897" s="23">
        <f t="shared" si="129"/>
        <v>879.14719999999988</v>
      </c>
      <c r="R897" s="23">
        <v>745.04000217567216</v>
      </c>
      <c r="S897" s="29"/>
      <c r="T897" s="38">
        <v>1.0900000000000001</v>
      </c>
      <c r="U897" s="38">
        <v>1.0409999999999999</v>
      </c>
      <c r="V897" s="38">
        <v>1.0229999999999999</v>
      </c>
      <c r="W897" s="38">
        <v>1.044</v>
      </c>
      <c r="X897" s="38">
        <v>0.9</v>
      </c>
      <c r="Y897" s="23">
        <v>812.59745999999996</v>
      </c>
      <c r="Z897" s="23">
        <f t="shared" si="130"/>
        <v>958.86500279999984</v>
      </c>
      <c r="AA897" s="23">
        <v>812.59745999999996</v>
      </c>
      <c r="AB897" s="23">
        <f t="shared" si="131"/>
        <v>958.86500279999984</v>
      </c>
      <c r="AC897" s="456">
        <v>745.04</v>
      </c>
      <c r="AD897" s="456">
        <f t="shared" si="132"/>
        <v>879.14719999999988</v>
      </c>
      <c r="AE897" s="494" t="s">
        <v>173</v>
      </c>
      <c r="AF897" s="38" t="s">
        <v>83</v>
      </c>
      <c r="AG897" s="38" t="s">
        <v>83</v>
      </c>
      <c r="AH897" s="38" t="s">
        <v>90</v>
      </c>
      <c r="AI897" s="51">
        <v>41636</v>
      </c>
      <c r="AJ897" s="51">
        <v>41681</v>
      </c>
      <c r="AK897" s="369"/>
      <c r="AL897" s="60"/>
      <c r="AM897" s="60" t="s">
        <v>4462</v>
      </c>
      <c r="AN897" s="60" t="s">
        <v>1757</v>
      </c>
      <c r="AO897" s="11">
        <v>796</v>
      </c>
      <c r="AP897" s="38" t="s">
        <v>368</v>
      </c>
      <c r="AQ897" s="38">
        <v>4</v>
      </c>
      <c r="AR897" s="38" t="s">
        <v>2980</v>
      </c>
      <c r="AS897" s="16" t="s">
        <v>3373</v>
      </c>
      <c r="AT897" s="51">
        <v>41681</v>
      </c>
      <c r="AU897" s="51">
        <v>41681</v>
      </c>
      <c r="AV897" s="51">
        <v>41771</v>
      </c>
      <c r="AW897" s="38">
        <v>2014</v>
      </c>
      <c r="AX897" s="60"/>
      <c r="AY897" s="135"/>
      <c r="AZ897" s="16"/>
      <c r="BA897" s="38">
        <v>2014</v>
      </c>
      <c r="BB897" s="38" t="s">
        <v>4697</v>
      </c>
      <c r="BC897" s="60" t="s">
        <v>4698</v>
      </c>
      <c r="BD897" s="60"/>
      <c r="BE897" s="474"/>
      <c r="BF897" s="42" t="s">
        <v>132</v>
      </c>
      <c r="BG897" s="42" t="s">
        <v>132</v>
      </c>
      <c r="BH897" s="304"/>
      <c r="BI897" s="304"/>
      <c r="BJ897" s="304"/>
      <c r="BK897" s="16"/>
    </row>
    <row r="898" spans="1:63" s="199" customFormat="1" ht="75">
      <c r="A898" s="38">
        <v>2</v>
      </c>
      <c r="B898" s="38" t="s">
        <v>6134</v>
      </c>
      <c r="C898" s="38" t="s">
        <v>83</v>
      </c>
      <c r="D898" s="38" t="s">
        <v>238</v>
      </c>
      <c r="E898" s="38" t="s">
        <v>274</v>
      </c>
      <c r="F898" s="38" t="s">
        <v>4620</v>
      </c>
      <c r="G898" s="38">
        <v>31</v>
      </c>
      <c r="H898" s="11">
        <v>626667</v>
      </c>
      <c r="I898" s="16" t="s">
        <v>6135</v>
      </c>
      <c r="J898" s="16" t="s">
        <v>4282</v>
      </c>
      <c r="K898" s="29" t="s">
        <v>4917</v>
      </c>
      <c r="L898" s="16" t="s">
        <v>438</v>
      </c>
      <c r="M898" s="95" t="s">
        <v>4170</v>
      </c>
      <c r="N898" s="15" t="s">
        <v>4171</v>
      </c>
      <c r="O898" s="16" t="s">
        <v>4172</v>
      </c>
      <c r="P898" s="23">
        <v>1540</v>
      </c>
      <c r="Q898" s="23">
        <f t="shared" si="129"/>
        <v>1817.1999999999998</v>
      </c>
      <c r="R898" s="23"/>
      <c r="S898" s="29" t="s">
        <v>4706</v>
      </c>
      <c r="T898" s="38"/>
      <c r="U898" s="38"/>
      <c r="V898" s="38"/>
      <c r="W898" s="38"/>
      <c r="X898" s="38"/>
      <c r="Y898" s="23">
        <v>1540</v>
      </c>
      <c r="Z898" s="23">
        <f t="shared" si="130"/>
        <v>1817.1999999999998</v>
      </c>
      <c r="AA898" s="23">
        <v>1540</v>
      </c>
      <c r="AB898" s="23">
        <f t="shared" si="131"/>
        <v>1817.1999999999998</v>
      </c>
      <c r="AC898" s="456">
        <v>1540</v>
      </c>
      <c r="AD898" s="456">
        <f t="shared" si="132"/>
        <v>1817.1999999999998</v>
      </c>
      <c r="AE898" s="494" t="s">
        <v>173</v>
      </c>
      <c r="AF898" s="38" t="s">
        <v>83</v>
      </c>
      <c r="AG898" s="38" t="s">
        <v>83</v>
      </c>
      <c r="AH898" s="38" t="s">
        <v>90</v>
      </c>
      <c r="AI898" s="51">
        <v>41636</v>
      </c>
      <c r="AJ898" s="51">
        <v>41681</v>
      </c>
      <c r="AK898" s="369"/>
      <c r="AL898" s="60"/>
      <c r="AM898" s="60" t="s">
        <v>6136</v>
      </c>
      <c r="AN898" s="60" t="s">
        <v>1757</v>
      </c>
      <c r="AO898" s="11">
        <v>796</v>
      </c>
      <c r="AP898" s="38" t="s">
        <v>368</v>
      </c>
      <c r="AQ898" s="38">
        <v>1</v>
      </c>
      <c r="AR898" s="38" t="s">
        <v>2980</v>
      </c>
      <c r="AS898" s="16" t="s">
        <v>3373</v>
      </c>
      <c r="AT898" s="51">
        <v>41681</v>
      </c>
      <c r="AU898" s="51">
        <v>41681</v>
      </c>
      <c r="AV898" s="51">
        <v>41771</v>
      </c>
      <c r="AW898" s="38">
        <v>2014</v>
      </c>
      <c r="AX898" s="60"/>
      <c r="AY898" s="135"/>
      <c r="AZ898" s="16"/>
      <c r="BA898" s="38">
        <v>2014</v>
      </c>
      <c r="BB898" s="38" t="s">
        <v>4697</v>
      </c>
      <c r="BC898" s="60" t="s">
        <v>4698</v>
      </c>
      <c r="BD898" s="60"/>
      <c r="BE898" s="474"/>
      <c r="BF898" s="42" t="s">
        <v>132</v>
      </c>
      <c r="BG898" s="42" t="s">
        <v>132</v>
      </c>
      <c r="BH898" s="304"/>
      <c r="BI898" s="304"/>
      <c r="BJ898" s="304"/>
      <c r="BK898" s="16"/>
    </row>
    <row r="899" spans="1:63" s="199" customFormat="1" ht="56.25">
      <c r="A899" s="38">
        <v>2</v>
      </c>
      <c r="B899" s="38" t="s">
        <v>7294</v>
      </c>
      <c r="C899" s="38" t="s">
        <v>83</v>
      </c>
      <c r="D899" s="38" t="s">
        <v>213</v>
      </c>
      <c r="E899" s="41" t="s">
        <v>5853</v>
      </c>
      <c r="F899" s="472" t="s">
        <v>4620</v>
      </c>
      <c r="G899" s="472">
        <v>31</v>
      </c>
      <c r="H899" s="715">
        <v>62100</v>
      </c>
      <c r="I899" s="716" t="s">
        <v>7295</v>
      </c>
      <c r="J899" s="29" t="s">
        <v>4282</v>
      </c>
      <c r="K899" s="29" t="s">
        <v>4917</v>
      </c>
      <c r="L899" s="29" t="s">
        <v>438</v>
      </c>
      <c r="M899" s="45" t="s">
        <v>4170</v>
      </c>
      <c r="N899" s="29" t="s">
        <v>4171</v>
      </c>
      <c r="O899" s="29" t="s">
        <v>167</v>
      </c>
      <c r="P899" s="34">
        <v>80000</v>
      </c>
      <c r="Q899" s="34">
        <f t="shared" si="129"/>
        <v>94400</v>
      </c>
      <c r="R899" s="34"/>
      <c r="S899" s="29"/>
      <c r="T899" s="29"/>
      <c r="U899" s="29"/>
      <c r="V899" s="29"/>
      <c r="W899" s="29"/>
      <c r="X899" s="29"/>
      <c r="Y899" s="34">
        <v>80000</v>
      </c>
      <c r="Z899" s="34">
        <f t="shared" si="130"/>
        <v>94400</v>
      </c>
      <c r="AA899" s="34">
        <v>80000</v>
      </c>
      <c r="AB899" s="34">
        <f t="shared" si="131"/>
        <v>94400</v>
      </c>
      <c r="AC899" s="34">
        <v>80000</v>
      </c>
      <c r="AD899" s="717">
        <f t="shared" si="132"/>
        <v>94400</v>
      </c>
      <c r="AE899" s="29" t="s">
        <v>169</v>
      </c>
      <c r="AF899" s="29" t="s">
        <v>83</v>
      </c>
      <c r="AG899" s="29" t="s">
        <v>83</v>
      </c>
      <c r="AH899" s="29" t="s">
        <v>90</v>
      </c>
      <c r="AI899" s="51">
        <v>41912</v>
      </c>
      <c r="AJ899" s="51">
        <v>41957</v>
      </c>
      <c r="AK899" s="718"/>
      <c r="AL899" s="29"/>
      <c r="AM899" s="29" t="s">
        <v>4159</v>
      </c>
      <c r="AN899" s="29" t="s">
        <v>1757</v>
      </c>
      <c r="AO899" s="11">
        <v>796</v>
      </c>
      <c r="AP899" s="29" t="s">
        <v>368</v>
      </c>
      <c r="AQ899" s="29">
        <v>1</v>
      </c>
      <c r="AR899" s="29">
        <v>46</v>
      </c>
      <c r="AS899" s="29" t="s">
        <v>223</v>
      </c>
      <c r="AT899" s="51">
        <v>41957</v>
      </c>
      <c r="AU899" s="51">
        <v>41957</v>
      </c>
      <c r="AV899" s="51">
        <v>42004</v>
      </c>
      <c r="AW899" s="29">
        <v>2014</v>
      </c>
      <c r="AX899" s="29"/>
      <c r="AY899" s="135" t="s">
        <v>186</v>
      </c>
      <c r="AZ899" s="29"/>
      <c r="BA899" s="29">
        <v>2014</v>
      </c>
      <c r="BB899" s="38" t="s">
        <v>7296</v>
      </c>
      <c r="BC899" s="41" t="s">
        <v>7297</v>
      </c>
      <c r="BD899" s="38" t="s">
        <v>1818</v>
      </c>
      <c r="BE899" s="719">
        <v>42338</v>
      </c>
      <c r="BF899" s="68">
        <v>480323.37126345007</v>
      </c>
      <c r="BG899" s="68">
        <v>480323.37126345007</v>
      </c>
      <c r="BH899" s="34">
        <v>80</v>
      </c>
      <c r="BI899" s="34">
        <v>0</v>
      </c>
      <c r="BJ899" s="38" t="s">
        <v>186</v>
      </c>
      <c r="BK899" s="38"/>
    </row>
    <row r="900" spans="1:63" s="199" customFormat="1" ht="93.75">
      <c r="A900" s="38">
        <v>2</v>
      </c>
      <c r="B900" s="38" t="s">
        <v>7298</v>
      </c>
      <c r="C900" s="38" t="s">
        <v>83</v>
      </c>
      <c r="D900" s="41" t="s">
        <v>213</v>
      </c>
      <c r="E900" s="41" t="s">
        <v>5853</v>
      </c>
      <c r="F900" s="472" t="s">
        <v>4620</v>
      </c>
      <c r="G900" s="472">
        <v>31</v>
      </c>
      <c r="H900" s="715">
        <v>62101</v>
      </c>
      <c r="I900" s="720" t="s">
        <v>7299</v>
      </c>
      <c r="J900" s="29" t="s">
        <v>4282</v>
      </c>
      <c r="K900" s="29" t="s">
        <v>4917</v>
      </c>
      <c r="L900" s="29" t="s">
        <v>1772</v>
      </c>
      <c r="M900" s="45" t="s">
        <v>4170</v>
      </c>
      <c r="N900" s="29" t="s">
        <v>4171</v>
      </c>
      <c r="O900" s="29" t="s">
        <v>167</v>
      </c>
      <c r="P900" s="717">
        <f>80000+15000+3000+10000+25000+1800</f>
        <v>134800</v>
      </c>
      <c r="Q900" s="34">
        <f t="shared" si="129"/>
        <v>159064</v>
      </c>
      <c r="R900" s="34"/>
      <c r="S900" s="29"/>
      <c r="T900" s="29"/>
      <c r="U900" s="29"/>
      <c r="V900" s="29"/>
      <c r="W900" s="29"/>
      <c r="X900" s="29"/>
      <c r="Y900" s="34">
        <v>134800</v>
      </c>
      <c r="Z900" s="34">
        <f t="shared" si="130"/>
        <v>159064</v>
      </c>
      <c r="AA900" s="34">
        <v>134800</v>
      </c>
      <c r="AB900" s="34">
        <f t="shared" si="131"/>
        <v>159064</v>
      </c>
      <c r="AC900" s="34">
        <v>134800</v>
      </c>
      <c r="AD900" s="717">
        <f t="shared" si="132"/>
        <v>159064</v>
      </c>
      <c r="AE900" s="472" t="s">
        <v>169</v>
      </c>
      <c r="AF900" s="29" t="s">
        <v>83</v>
      </c>
      <c r="AG900" s="29" t="s">
        <v>83</v>
      </c>
      <c r="AH900" s="29" t="s">
        <v>90</v>
      </c>
      <c r="AI900" s="51">
        <v>41912</v>
      </c>
      <c r="AJ900" s="51">
        <v>41957</v>
      </c>
      <c r="AK900" s="721"/>
      <c r="AL900" s="472"/>
      <c r="AM900" s="29" t="s">
        <v>4159</v>
      </c>
      <c r="AN900" s="472" t="s">
        <v>1757</v>
      </c>
      <c r="AO900" s="11">
        <v>796</v>
      </c>
      <c r="AP900" s="29" t="s">
        <v>368</v>
      </c>
      <c r="AQ900" s="29">
        <v>1</v>
      </c>
      <c r="AR900" s="472">
        <v>46</v>
      </c>
      <c r="AS900" s="472" t="s">
        <v>223</v>
      </c>
      <c r="AT900" s="51">
        <v>41957</v>
      </c>
      <c r="AU900" s="51">
        <v>41957</v>
      </c>
      <c r="AV900" s="51">
        <v>42004</v>
      </c>
      <c r="AW900" s="29">
        <v>2014</v>
      </c>
      <c r="AX900" s="472"/>
      <c r="AY900" s="135" t="s">
        <v>186</v>
      </c>
      <c r="AZ900" s="472"/>
      <c r="BA900" s="29">
        <v>2014</v>
      </c>
      <c r="BB900" s="29" t="s">
        <v>7300</v>
      </c>
      <c r="BC900" s="472" t="s">
        <v>7301</v>
      </c>
      <c r="BD900" s="38" t="s">
        <v>1818</v>
      </c>
      <c r="BE900" s="719" t="s">
        <v>7302</v>
      </c>
      <c r="BF900" s="68">
        <v>1287994.1664</v>
      </c>
      <c r="BG900" s="68">
        <v>1287994.1663999998</v>
      </c>
      <c r="BH900" s="34">
        <v>126</v>
      </c>
      <c r="BI900" s="34">
        <v>0</v>
      </c>
      <c r="BJ900" s="29" t="s">
        <v>186</v>
      </c>
      <c r="BK900" s="41"/>
    </row>
    <row r="901" spans="1:63" s="199" customFormat="1" ht="56.25">
      <c r="A901" s="38">
        <v>2</v>
      </c>
      <c r="B901" s="38" t="s">
        <v>7303</v>
      </c>
      <c r="C901" s="38" t="s">
        <v>83</v>
      </c>
      <c r="D901" s="41" t="s">
        <v>213</v>
      </c>
      <c r="E901" s="41" t="s">
        <v>5853</v>
      </c>
      <c r="F901" s="472" t="s">
        <v>4620</v>
      </c>
      <c r="G901" s="472">
        <v>31</v>
      </c>
      <c r="H901" s="715">
        <v>62102</v>
      </c>
      <c r="I901" s="722" t="s">
        <v>7304</v>
      </c>
      <c r="J901" s="29" t="s">
        <v>4282</v>
      </c>
      <c r="K901" s="29" t="s">
        <v>4917</v>
      </c>
      <c r="L901" s="38" t="s">
        <v>1772</v>
      </c>
      <c r="M901" s="249" t="s">
        <v>4170</v>
      </c>
      <c r="N901" s="723" t="s">
        <v>4171</v>
      </c>
      <c r="O901" s="29" t="s">
        <v>167</v>
      </c>
      <c r="P901" s="717">
        <v>80000</v>
      </c>
      <c r="Q901" s="34">
        <f t="shared" si="129"/>
        <v>94400</v>
      </c>
      <c r="R901" s="34"/>
      <c r="S901" s="29"/>
      <c r="T901" s="29"/>
      <c r="U901" s="29"/>
      <c r="V901" s="29"/>
      <c r="W901" s="29"/>
      <c r="X901" s="29"/>
      <c r="Y901" s="34">
        <v>80000</v>
      </c>
      <c r="Z901" s="34">
        <f t="shared" si="130"/>
        <v>94400</v>
      </c>
      <c r="AA901" s="34">
        <v>80000</v>
      </c>
      <c r="AB901" s="34">
        <f t="shared" si="131"/>
        <v>94400</v>
      </c>
      <c r="AC901" s="34">
        <v>80000</v>
      </c>
      <c r="AD901" s="717">
        <f t="shared" si="132"/>
        <v>94400</v>
      </c>
      <c r="AE901" s="472" t="s">
        <v>169</v>
      </c>
      <c r="AF901" s="29" t="s">
        <v>83</v>
      </c>
      <c r="AG901" s="29" t="s">
        <v>83</v>
      </c>
      <c r="AH901" s="29" t="s">
        <v>90</v>
      </c>
      <c r="AI901" s="51">
        <v>41912</v>
      </c>
      <c r="AJ901" s="51">
        <v>41957</v>
      </c>
      <c r="AK901" s="721"/>
      <c r="AL901" s="41"/>
      <c r="AM901" s="29" t="s">
        <v>4159</v>
      </c>
      <c r="AN901" s="41" t="s">
        <v>1757</v>
      </c>
      <c r="AO901" s="11">
        <v>796</v>
      </c>
      <c r="AP901" s="29" t="s">
        <v>368</v>
      </c>
      <c r="AQ901" s="29">
        <v>1</v>
      </c>
      <c r="AR901" s="41">
        <v>46</v>
      </c>
      <c r="AS901" s="472" t="s">
        <v>223</v>
      </c>
      <c r="AT901" s="51">
        <v>41957</v>
      </c>
      <c r="AU901" s="51">
        <v>41957</v>
      </c>
      <c r="AV901" s="51">
        <v>42004</v>
      </c>
      <c r="AW901" s="29">
        <v>2014</v>
      </c>
      <c r="AX901" s="41"/>
      <c r="AY901" s="135" t="s">
        <v>186</v>
      </c>
      <c r="AZ901" s="472"/>
      <c r="BA901" s="29">
        <v>2014</v>
      </c>
      <c r="BB901" s="29" t="s">
        <v>7305</v>
      </c>
      <c r="BC901" s="472" t="s">
        <v>7306</v>
      </c>
      <c r="BD901" s="29" t="s">
        <v>1818</v>
      </c>
      <c r="BE901" s="719">
        <v>43830</v>
      </c>
      <c r="BF901" s="68">
        <v>843343.72</v>
      </c>
      <c r="BG901" s="68">
        <v>843343.72</v>
      </c>
      <c r="BH901" s="34">
        <v>126</v>
      </c>
      <c r="BI901" s="34">
        <v>0</v>
      </c>
      <c r="BJ901" s="29" t="s">
        <v>186</v>
      </c>
      <c r="BK901" s="41"/>
    </row>
    <row r="902" spans="1:63" s="199" customFormat="1" ht="56.25">
      <c r="A902" s="38">
        <v>2</v>
      </c>
      <c r="B902" s="38" t="s">
        <v>7307</v>
      </c>
      <c r="C902" s="38" t="s">
        <v>83</v>
      </c>
      <c r="D902" s="38" t="s">
        <v>213</v>
      </c>
      <c r="E902" s="41" t="s">
        <v>5853</v>
      </c>
      <c r="F902" s="472" t="s">
        <v>4620</v>
      </c>
      <c r="G902" s="472">
        <v>31</v>
      </c>
      <c r="H902" s="715">
        <v>62103</v>
      </c>
      <c r="I902" s="722" t="s">
        <v>7308</v>
      </c>
      <c r="J902" s="29" t="s">
        <v>4282</v>
      </c>
      <c r="K902" s="29" t="s">
        <v>4917</v>
      </c>
      <c r="L902" s="38" t="s">
        <v>1772</v>
      </c>
      <c r="M902" s="249" t="s">
        <v>4170</v>
      </c>
      <c r="N902" s="723" t="s">
        <v>4171</v>
      </c>
      <c r="O902" s="29" t="s">
        <v>167</v>
      </c>
      <c r="P902" s="34">
        <v>35000</v>
      </c>
      <c r="Q902" s="34">
        <f t="shared" si="129"/>
        <v>41300</v>
      </c>
      <c r="R902" s="34"/>
      <c r="S902" s="29"/>
      <c r="T902" s="29"/>
      <c r="U902" s="29"/>
      <c r="V902" s="29"/>
      <c r="W902" s="29"/>
      <c r="X902" s="29"/>
      <c r="Y902" s="34">
        <v>35000</v>
      </c>
      <c r="Z902" s="34">
        <f t="shared" si="130"/>
        <v>41300</v>
      </c>
      <c r="AA902" s="34">
        <v>35000</v>
      </c>
      <c r="AB902" s="34">
        <f t="shared" si="131"/>
        <v>41300</v>
      </c>
      <c r="AC902" s="34">
        <v>35000</v>
      </c>
      <c r="AD902" s="717">
        <f t="shared" si="132"/>
        <v>41300</v>
      </c>
      <c r="AE902" s="29" t="s">
        <v>169</v>
      </c>
      <c r="AF902" s="38" t="s">
        <v>83</v>
      </c>
      <c r="AG902" s="38" t="s">
        <v>83</v>
      </c>
      <c r="AH902" s="38" t="s">
        <v>90</v>
      </c>
      <c r="AI902" s="51">
        <v>41912</v>
      </c>
      <c r="AJ902" s="51">
        <v>41957</v>
      </c>
      <c r="AK902" s="724"/>
      <c r="AL902" s="38"/>
      <c r="AM902" s="29" t="s">
        <v>4159</v>
      </c>
      <c r="AN902" s="38" t="s">
        <v>1757</v>
      </c>
      <c r="AO902" s="11">
        <v>796</v>
      </c>
      <c r="AP902" s="29" t="s">
        <v>368</v>
      </c>
      <c r="AQ902" s="29">
        <v>1</v>
      </c>
      <c r="AR902" s="38">
        <v>46</v>
      </c>
      <c r="AS902" s="29" t="s">
        <v>223</v>
      </c>
      <c r="AT902" s="51">
        <v>41957</v>
      </c>
      <c r="AU902" s="51">
        <v>41957</v>
      </c>
      <c r="AV902" s="51">
        <v>42004</v>
      </c>
      <c r="AW902" s="29">
        <v>2014</v>
      </c>
      <c r="AX902" s="38"/>
      <c r="AY902" s="135" t="s">
        <v>186</v>
      </c>
      <c r="AZ902" s="29"/>
      <c r="BA902" s="38">
        <v>2014</v>
      </c>
      <c r="BB902" s="29" t="s">
        <v>2283</v>
      </c>
      <c r="BC902" s="472" t="s">
        <v>2284</v>
      </c>
      <c r="BD902" s="29" t="s">
        <v>1818</v>
      </c>
      <c r="BE902" s="719">
        <v>43465</v>
      </c>
      <c r="BF902" s="68">
        <v>880114.85000000009</v>
      </c>
      <c r="BG902" s="68">
        <v>880114.85000000009</v>
      </c>
      <c r="BH902" s="34">
        <v>40</v>
      </c>
      <c r="BI902" s="34">
        <v>0</v>
      </c>
      <c r="BJ902" s="29" t="s">
        <v>186</v>
      </c>
      <c r="BK902" s="29"/>
    </row>
    <row r="903" spans="1:63" s="199" customFormat="1" ht="56.25">
      <c r="A903" s="38">
        <v>2</v>
      </c>
      <c r="B903" s="38" t="s">
        <v>7309</v>
      </c>
      <c r="C903" s="38" t="s">
        <v>83</v>
      </c>
      <c r="D903" s="41" t="s">
        <v>213</v>
      </c>
      <c r="E903" s="41" t="s">
        <v>5853</v>
      </c>
      <c r="F903" s="472" t="s">
        <v>4620</v>
      </c>
      <c r="G903" s="472">
        <v>31</v>
      </c>
      <c r="H903" s="715">
        <v>62104</v>
      </c>
      <c r="I903" s="722" t="s">
        <v>7310</v>
      </c>
      <c r="J903" s="29" t="s">
        <v>4282</v>
      </c>
      <c r="K903" s="29" t="s">
        <v>4917</v>
      </c>
      <c r="L903" s="38" t="s">
        <v>1772</v>
      </c>
      <c r="M903" s="249" t="s">
        <v>4170</v>
      </c>
      <c r="N903" s="723" t="s">
        <v>4171</v>
      </c>
      <c r="O903" s="29" t="s">
        <v>167</v>
      </c>
      <c r="P903" s="717">
        <v>70000</v>
      </c>
      <c r="Q903" s="34">
        <f t="shared" si="129"/>
        <v>82600</v>
      </c>
      <c r="R903" s="34"/>
      <c r="S903" s="29"/>
      <c r="T903" s="29"/>
      <c r="U903" s="29"/>
      <c r="V903" s="29"/>
      <c r="W903" s="29"/>
      <c r="X903" s="29"/>
      <c r="Y903" s="34">
        <v>70000</v>
      </c>
      <c r="Z903" s="34">
        <f t="shared" si="130"/>
        <v>82600</v>
      </c>
      <c r="AA903" s="34">
        <v>70000</v>
      </c>
      <c r="AB903" s="34">
        <f t="shared" si="131"/>
        <v>82600</v>
      </c>
      <c r="AC903" s="34">
        <v>70000</v>
      </c>
      <c r="AD903" s="717">
        <f t="shared" si="132"/>
        <v>82600</v>
      </c>
      <c r="AE903" s="472" t="s">
        <v>169</v>
      </c>
      <c r="AF903" s="38" t="s">
        <v>83</v>
      </c>
      <c r="AG903" s="38" t="s">
        <v>83</v>
      </c>
      <c r="AH903" s="38" t="s">
        <v>90</v>
      </c>
      <c r="AI903" s="51">
        <v>41912</v>
      </c>
      <c r="AJ903" s="51">
        <v>41957</v>
      </c>
      <c r="AK903" s="721"/>
      <c r="AL903" s="41"/>
      <c r="AM903" s="29" t="s">
        <v>4159</v>
      </c>
      <c r="AN903" s="41" t="s">
        <v>1757</v>
      </c>
      <c r="AO903" s="11">
        <v>796</v>
      </c>
      <c r="AP903" s="29" t="s">
        <v>368</v>
      </c>
      <c r="AQ903" s="29">
        <v>1</v>
      </c>
      <c r="AR903" s="41">
        <v>46</v>
      </c>
      <c r="AS903" s="472" t="s">
        <v>223</v>
      </c>
      <c r="AT903" s="51">
        <v>41957</v>
      </c>
      <c r="AU903" s="51">
        <v>41957</v>
      </c>
      <c r="AV903" s="51">
        <v>42004</v>
      </c>
      <c r="AW903" s="29">
        <v>2014</v>
      </c>
      <c r="AX903" s="41"/>
      <c r="AY903" s="135" t="s">
        <v>186</v>
      </c>
      <c r="AZ903" s="472"/>
      <c r="BA903" s="29">
        <v>2014</v>
      </c>
      <c r="BB903" s="38" t="s">
        <v>7311</v>
      </c>
      <c r="BC903" s="472" t="s">
        <v>7312</v>
      </c>
      <c r="BD903" s="29" t="s">
        <v>1818</v>
      </c>
      <c r="BE903" s="719">
        <v>42735</v>
      </c>
      <c r="BF903" s="68">
        <v>366692.4694</v>
      </c>
      <c r="BG903" s="68">
        <v>366692.4694</v>
      </c>
      <c r="BH903" s="34">
        <v>80</v>
      </c>
      <c r="BI903" s="34">
        <v>0</v>
      </c>
      <c r="BJ903" s="29" t="s">
        <v>186</v>
      </c>
      <c r="BK903" s="472"/>
    </row>
    <row r="904" spans="1:63" s="199" customFormat="1" ht="56.25">
      <c r="A904" s="38">
        <v>2</v>
      </c>
      <c r="B904" s="38" t="s">
        <v>7313</v>
      </c>
      <c r="C904" s="38" t="s">
        <v>83</v>
      </c>
      <c r="D904" s="41" t="s">
        <v>213</v>
      </c>
      <c r="E904" s="41" t="s">
        <v>5853</v>
      </c>
      <c r="F904" s="472" t="s">
        <v>4620</v>
      </c>
      <c r="G904" s="472">
        <v>31</v>
      </c>
      <c r="H904" s="715">
        <v>62105</v>
      </c>
      <c r="I904" s="722" t="s">
        <v>7314</v>
      </c>
      <c r="J904" s="29" t="s">
        <v>4282</v>
      </c>
      <c r="K904" s="29" t="s">
        <v>4917</v>
      </c>
      <c r="L904" s="38" t="s">
        <v>1772</v>
      </c>
      <c r="M904" s="249" t="s">
        <v>4170</v>
      </c>
      <c r="N904" s="723" t="s">
        <v>4171</v>
      </c>
      <c r="O904" s="29" t="s">
        <v>167</v>
      </c>
      <c r="P904" s="717">
        <v>140000</v>
      </c>
      <c r="Q904" s="34">
        <f t="shared" si="129"/>
        <v>165200</v>
      </c>
      <c r="R904" s="34"/>
      <c r="S904" s="29"/>
      <c r="T904" s="29"/>
      <c r="U904" s="29"/>
      <c r="V904" s="29"/>
      <c r="W904" s="29"/>
      <c r="X904" s="29"/>
      <c r="Y904" s="34">
        <v>140000</v>
      </c>
      <c r="Z904" s="34">
        <f t="shared" si="130"/>
        <v>165200</v>
      </c>
      <c r="AA904" s="34">
        <v>140000</v>
      </c>
      <c r="AB904" s="34">
        <f t="shared" si="131"/>
        <v>165200</v>
      </c>
      <c r="AC904" s="34">
        <v>140000</v>
      </c>
      <c r="AD904" s="717">
        <f t="shared" si="132"/>
        <v>165200</v>
      </c>
      <c r="AE904" s="472" t="s">
        <v>169</v>
      </c>
      <c r="AF904" s="38" t="s">
        <v>83</v>
      </c>
      <c r="AG904" s="38" t="s">
        <v>83</v>
      </c>
      <c r="AH904" s="38" t="s">
        <v>90</v>
      </c>
      <c r="AI904" s="51">
        <v>41912</v>
      </c>
      <c r="AJ904" s="51">
        <v>41957</v>
      </c>
      <c r="AK904" s="721"/>
      <c r="AL904" s="41"/>
      <c r="AM904" s="29" t="s">
        <v>4159</v>
      </c>
      <c r="AN904" s="41" t="s">
        <v>1757</v>
      </c>
      <c r="AO904" s="11">
        <v>796</v>
      </c>
      <c r="AP904" s="29" t="s">
        <v>368</v>
      </c>
      <c r="AQ904" s="29">
        <v>1</v>
      </c>
      <c r="AR904" s="41">
        <v>46</v>
      </c>
      <c r="AS904" s="472" t="s">
        <v>223</v>
      </c>
      <c r="AT904" s="51">
        <v>41957</v>
      </c>
      <c r="AU904" s="51">
        <v>41957</v>
      </c>
      <c r="AV904" s="51">
        <v>42004</v>
      </c>
      <c r="AW904" s="29">
        <v>2014</v>
      </c>
      <c r="AX904" s="41"/>
      <c r="AY904" s="135" t="s">
        <v>186</v>
      </c>
      <c r="AZ904" s="472"/>
      <c r="BA904" s="29">
        <v>2014</v>
      </c>
      <c r="BB904" s="38" t="s">
        <v>7315</v>
      </c>
      <c r="BC904" s="472" t="s">
        <v>7316</v>
      </c>
      <c r="BD904" s="29" t="s">
        <v>1818</v>
      </c>
      <c r="BE904" s="719">
        <v>43830</v>
      </c>
      <c r="BF904" s="68">
        <v>936288.69999999984</v>
      </c>
      <c r="BG904" s="68">
        <v>936288.69999999984</v>
      </c>
      <c r="BH904" s="34">
        <v>80</v>
      </c>
      <c r="BI904" s="34">
        <v>0</v>
      </c>
      <c r="BJ904" s="29" t="s">
        <v>186</v>
      </c>
      <c r="BK904" s="472"/>
    </row>
    <row r="905" spans="1:63" s="199" customFormat="1" ht="56.25">
      <c r="A905" s="38">
        <v>2</v>
      </c>
      <c r="B905" s="38" t="s">
        <v>7317</v>
      </c>
      <c r="C905" s="38" t="s">
        <v>83</v>
      </c>
      <c r="D905" s="38" t="s">
        <v>213</v>
      </c>
      <c r="E905" s="41" t="s">
        <v>5853</v>
      </c>
      <c r="F905" s="41" t="s">
        <v>4620</v>
      </c>
      <c r="G905" s="472">
        <v>31</v>
      </c>
      <c r="H905" s="715">
        <v>62106</v>
      </c>
      <c r="I905" s="722" t="s">
        <v>7318</v>
      </c>
      <c r="J905" s="29" t="s">
        <v>4282</v>
      </c>
      <c r="K905" s="29" t="s">
        <v>4917</v>
      </c>
      <c r="L905" s="29" t="s">
        <v>1772</v>
      </c>
      <c r="M905" s="249" t="s">
        <v>4170</v>
      </c>
      <c r="N905" s="723" t="s">
        <v>4171</v>
      </c>
      <c r="O905" s="29" t="s">
        <v>167</v>
      </c>
      <c r="P905" s="34">
        <v>90000</v>
      </c>
      <c r="Q905" s="34">
        <f t="shared" si="129"/>
        <v>106200</v>
      </c>
      <c r="R905" s="34"/>
      <c r="S905" s="29"/>
      <c r="T905" s="29"/>
      <c r="U905" s="29"/>
      <c r="V905" s="29"/>
      <c r="W905" s="29"/>
      <c r="X905" s="29"/>
      <c r="Y905" s="34">
        <v>90000</v>
      </c>
      <c r="Z905" s="34">
        <f t="shared" si="130"/>
        <v>106200</v>
      </c>
      <c r="AA905" s="34">
        <v>90000</v>
      </c>
      <c r="AB905" s="34">
        <f t="shared" si="131"/>
        <v>106200</v>
      </c>
      <c r="AC905" s="34">
        <v>90000</v>
      </c>
      <c r="AD905" s="717">
        <f t="shared" si="132"/>
        <v>106200</v>
      </c>
      <c r="AE905" s="29" t="s">
        <v>169</v>
      </c>
      <c r="AF905" s="38" t="s">
        <v>83</v>
      </c>
      <c r="AG905" s="38" t="s">
        <v>83</v>
      </c>
      <c r="AH905" s="38" t="s">
        <v>90</v>
      </c>
      <c r="AI905" s="51">
        <v>41912</v>
      </c>
      <c r="AJ905" s="51">
        <v>41957</v>
      </c>
      <c r="AK905" s="724"/>
      <c r="AL905" s="38"/>
      <c r="AM905" s="29" t="s">
        <v>4159</v>
      </c>
      <c r="AN905" s="38" t="s">
        <v>1757</v>
      </c>
      <c r="AO905" s="11">
        <v>796</v>
      </c>
      <c r="AP905" s="29" t="s">
        <v>368</v>
      </c>
      <c r="AQ905" s="29">
        <v>1</v>
      </c>
      <c r="AR905" s="38">
        <v>46</v>
      </c>
      <c r="AS905" s="29" t="s">
        <v>223</v>
      </c>
      <c r="AT905" s="51">
        <v>41957</v>
      </c>
      <c r="AU905" s="51">
        <v>41957</v>
      </c>
      <c r="AV905" s="51">
        <v>42004</v>
      </c>
      <c r="AW905" s="29">
        <v>2014</v>
      </c>
      <c r="AX905" s="38"/>
      <c r="AY905" s="135" t="s">
        <v>186</v>
      </c>
      <c r="AZ905" s="29"/>
      <c r="BA905" s="29">
        <v>2014</v>
      </c>
      <c r="BB905" s="48" t="s">
        <v>7319</v>
      </c>
      <c r="BC905" s="472" t="s">
        <v>7320</v>
      </c>
      <c r="BD905" s="29" t="s">
        <v>1818</v>
      </c>
      <c r="BE905" s="719">
        <v>43100</v>
      </c>
      <c r="BF905" s="68">
        <v>360281.13999999996</v>
      </c>
      <c r="BG905" s="68">
        <v>360281.13999999996</v>
      </c>
      <c r="BH905" s="34">
        <v>63</v>
      </c>
      <c r="BI905" s="34">
        <v>0</v>
      </c>
      <c r="BJ905" s="29" t="s">
        <v>186</v>
      </c>
      <c r="BK905" s="29"/>
    </row>
    <row r="906" spans="1:63" s="199" customFormat="1" ht="56.25">
      <c r="A906" s="38">
        <v>2</v>
      </c>
      <c r="B906" s="38" t="s">
        <v>7321</v>
      </c>
      <c r="C906" s="38" t="s">
        <v>83</v>
      </c>
      <c r="D906" s="725" t="s">
        <v>213</v>
      </c>
      <c r="E906" s="41" t="s">
        <v>5853</v>
      </c>
      <c r="F906" s="41" t="s">
        <v>4620</v>
      </c>
      <c r="G906" s="472">
        <v>31</v>
      </c>
      <c r="H906" s="715">
        <v>62107</v>
      </c>
      <c r="I906" s="72" t="s">
        <v>7322</v>
      </c>
      <c r="J906" s="29" t="s">
        <v>4282</v>
      </c>
      <c r="K906" s="29" t="s">
        <v>4917</v>
      </c>
      <c r="L906" s="29" t="s">
        <v>1772</v>
      </c>
      <c r="M906" s="249" t="s">
        <v>4170</v>
      </c>
      <c r="N906" s="723" t="s">
        <v>4171</v>
      </c>
      <c r="O906" s="29" t="s">
        <v>167</v>
      </c>
      <c r="P906" s="475">
        <v>32000</v>
      </c>
      <c r="Q906" s="34">
        <f t="shared" si="129"/>
        <v>37760</v>
      </c>
      <c r="R906" s="34"/>
      <c r="S906" s="29"/>
      <c r="T906" s="29"/>
      <c r="U906" s="29"/>
      <c r="V906" s="29"/>
      <c r="W906" s="29"/>
      <c r="X906" s="29"/>
      <c r="Y906" s="34">
        <v>32000</v>
      </c>
      <c r="Z906" s="34">
        <f t="shared" si="130"/>
        <v>37760</v>
      </c>
      <c r="AA906" s="34">
        <v>32000</v>
      </c>
      <c r="AB906" s="34">
        <f t="shared" si="131"/>
        <v>37760</v>
      </c>
      <c r="AC906" s="34">
        <v>32000</v>
      </c>
      <c r="AD906" s="717">
        <f t="shared" si="132"/>
        <v>37760</v>
      </c>
      <c r="AE906" s="725" t="s">
        <v>169</v>
      </c>
      <c r="AF906" s="725" t="s">
        <v>83</v>
      </c>
      <c r="AG906" s="725" t="s">
        <v>83</v>
      </c>
      <c r="AH906" s="725" t="s">
        <v>90</v>
      </c>
      <c r="AI906" s="51">
        <v>41912</v>
      </c>
      <c r="AJ906" s="51">
        <v>41957</v>
      </c>
      <c r="AK906" s="726"/>
      <c r="AL906" s="725"/>
      <c r="AM906" s="29" t="s">
        <v>4159</v>
      </c>
      <c r="AN906" s="725" t="s">
        <v>1757</v>
      </c>
      <c r="AO906" s="11">
        <v>796</v>
      </c>
      <c r="AP906" s="29" t="s">
        <v>368</v>
      </c>
      <c r="AQ906" s="29">
        <v>1</v>
      </c>
      <c r="AR906" s="725">
        <v>46</v>
      </c>
      <c r="AS906" s="725" t="s">
        <v>223</v>
      </c>
      <c r="AT906" s="51">
        <v>41957</v>
      </c>
      <c r="AU906" s="51">
        <v>41957</v>
      </c>
      <c r="AV906" s="51">
        <v>42004</v>
      </c>
      <c r="AW906" s="29">
        <v>2014</v>
      </c>
      <c r="AX906" s="725"/>
      <c r="AY906" s="135" t="s">
        <v>186</v>
      </c>
      <c r="AZ906" s="725"/>
      <c r="BA906" s="725">
        <v>2014</v>
      </c>
      <c r="BB906" s="48" t="s">
        <v>7323</v>
      </c>
      <c r="BC906" s="725" t="s">
        <v>7324</v>
      </c>
      <c r="BD906" s="29" t="s">
        <v>1818</v>
      </c>
      <c r="BE906" s="727" t="s">
        <v>7325</v>
      </c>
      <c r="BF906" s="68">
        <v>180907.08619999999</v>
      </c>
      <c r="BG906" s="68">
        <v>180907.08619999999</v>
      </c>
      <c r="BH906" s="34">
        <v>32</v>
      </c>
      <c r="BI906" s="34">
        <v>0</v>
      </c>
      <c r="BJ906" s="29" t="s">
        <v>186</v>
      </c>
      <c r="BK906" s="41"/>
    </row>
    <row r="907" spans="1:63" s="199" customFormat="1" ht="56.25">
      <c r="A907" s="38">
        <v>2</v>
      </c>
      <c r="B907" s="38" t="s">
        <v>7326</v>
      </c>
      <c r="C907" s="38" t="s">
        <v>83</v>
      </c>
      <c r="D907" s="725" t="s">
        <v>213</v>
      </c>
      <c r="E907" s="41" t="s">
        <v>5853</v>
      </c>
      <c r="F907" s="41" t="s">
        <v>4620</v>
      </c>
      <c r="G907" s="472">
        <v>31</v>
      </c>
      <c r="H907" s="715">
        <v>62108</v>
      </c>
      <c r="I907" s="72" t="s">
        <v>7327</v>
      </c>
      <c r="J907" s="29" t="s">
        <v>4282</v>
      </c>
      <c r="K907" s="29" t="s">
        <v>4917</v>
      </c>
      <c r="L907" s="29" t="s">
        <v>1772</v>
      </c>
      <c r="M907" s="249" t="s">
        <v>4170</v>
      </c>
      <c r="N907" s="723" t="s">
        <v>4171</v>
      </c>
      <c r="O907" s="29" t="s">
        <v>167</v>
      </c>
      <c r="P907" s="475">
        <v>45600</v>
      </c>
      <c r="Q907" s="34">
        <f t="shared" si="129"/>
        <v>53808</v>
      </c>
      <c r="R907" s="34"/>
      <c r="S907" s="29"/>
      <c r="T907" s="29"/>
      <c r="U907" s="29"/>
      <c r="V907" s="29"/>
      <c r="W907" s="29"/>
      <c r="X907" s="29"/>
      <c r="Y907" s="34">
        <v>45600</v>
      </c>
      <c r="Z907" s="34">
        <f t="shared" si="130"/>
        <v>53808</v>
      </c>
      <c r="AA907" s="34">
        <v>45600</v>
      </c>
      <c r="AB907" s="34">
        <f t="shared" si="131"/>
        <v>53808</v>
      </c>
      <c r="AC907" s="34">
        <v>45600</v>
      </c>
      <c r="AD907" s="717">
        <f t="shared" si="132"/>
        <v>53808</v>
      </c>
      <c r="AE907" s="725" t="s">
        <v>169</v>
      </c>
      <c r="AF907" s="725" t="s">
        <v>83</v>
      </c>
      <c r="AG907" s="725" t="s">
        <v>83</v>
      </c>
      <c r="AH907" s="725" t="s">
        <v>90</v>
      </c>
      <c r="AI907" s="51">
        <v>41912</v>
      </c>
      <c r="AJ907" s="51">
        <v>41957</v>
      </c>
      <c r="AK907" s="726"/>
      <c r="AL907" s="725"/>
      <c r="AM907" s="29" t="s">
        <v>4159</v>
      </c>
      <c r="AN907" s="725" t="s">
        <v>1757</v>
      </c>
      <c r="AO907" s="11">
        <v>796</v>
      </c>
      <c r="AP907" s="29" t="s">
        <v>368</v>
      </c>
      <c r="AQ907" s="29">
        <v>1</v>
      </c>
      <c r="AR907" s="725">
        <v>46</v>
      </c>
      <c r="AS907" s="725" t="s">
        <v>223</v>
      </c>
      <c r="AT907" s="51">
        <v>41957</v>
      </c>
      <c r="AU907" s="51">
        <v>41957</v>
      </c>
      <c r="AV907" s="51">
        <v>42004</v>
      </c>
      <c r="AW907" s="29">
        <v>2014</v>
      </c>
      <c r="AX907" s="725"/>
      <c r="AY907" s="135" t="s">
        <v>186</v>
      </c>
      <c r="AZ907" s="725"/>
      <c r="BA907" s="725">
        <v>2014</v>
      </c>
      <c r="BB907" s="38" t="s">
        <v>2273</v>
      </c>
      <c r="BC907" s="725" t="s">
        <v>2274</v>
      </c>
      <c r="BD907" s="29" t="s">
        <v>1818</v>
      </c>
      <c r="BE907" s="719">
        <v>42369</v>
      </c>
      <c r="BF907" s="68">
        <v>141971.82980000001</v>
      </c>
      <c r="BG907" s="68">
        <v>141971.82980000001</v>
      </c>
      <c r="BH907" s="34">
        <v>50</v>
      </c>
      <c r="BI907" s="34">
        <v>0</v>
      </c>
      <c r="BJ907" s="29" t="s">
        <v>186</v>
      </c>
      <c r="BK907" s="41"/>
    </row>
    <row r="908" spans="1:63" s="199" customFormat="1" ht="56.25">
      <c r="A908" s="38">
        <v>2</v>
      </c>
      <c r="B908" s="38" t="s">
        <v>7328</v>
      </c>
      <c r="C908" s="38" t="s">
        <v>83</v>
      </c>
      <c r="D908" s="725" t="s">
        <v>213</v>
      </c>
      <c r="E908" s="41" t="s">
        <v>5853</v>
      </c>
      <c r="F908" s="41" t="s">
        <v>4620</v>
      </c>
      <c r="G908" s="472">
        <v>31</v>
      </c>
      <c r="H908" s="715">
        <v>62109</v>
      </c>
      <c r="I908" s="728" t="s">
        <v>7329</v>
      </c>
      <c r="J908" s="29" t="s">
        <v>4282</v>
      </c>
      <c r="K908" s="29" t="s">
        <v>4917</v>
      </c>
      <c r="L908" s="29" t="s">
        <v>1772</v>
      </c>
      <c r="M908" s="249" t="s">
        <v>4170</v>
      </c>
      <c r="N908" s="723" t="s">
        <v>4171</v>
      </c>
      <c r="O908" s="29" t="s">
        <v>167</v>
      </c>
      <c r="P908" s="475">
        <v>2000</v>
      </c>
      <c r="Q908" s="34">
        <f t="shared" si="129"/>
        <v>2360</v>
      </c>
      <c r="R908" s="34"/>
      <c r="S908" s="29"/>
      <c r="T908" s="29"/>
      <c r="U908" s="29"/>
      <c r="V908" s="29"/>
      <c r="W908" s="29"/>
      <c r="X908" s="29"/>
      <c r="Y908" s="34">
        <v>2000</v>
      </c>
      <c r="Z908" s="34">
        <f t="shared" si="130"/>
        <v>2360</v>
      </c>
      <c r="AA908" s="34">
        <v>2000</v>
      </c>
      <c r="AB908" s="34">
        <f t="shared" si="131"/>
        <v>2360</v>
      </c>
      <c r="AC908" s="34">
        <v>2000</v>
      </c>
      <c r="AD908" s="717">
        <f t="shared" si="132"/>
        <v>2360</v>
      </c>
      <c r="AE908" s="725" t="s">
        <v>173</v>
      </c>
      <c r="AF908" s="725" t="s">
        <v>83</v>
      </c>
      <c r="AG908" s="725" t="s">
        <v>83</v>
      </c>
      <c r="AH908" s="725" t="s">
        <v>90</v>
      </c>
      <c r="AI908" s="51">
        <v>41912</v>
      </c>
      <c r="AJ908" s="51">
        <v>41957</v>
      </c>
      <c r="AK908" s="726"/>
      <c r="AL908" s="725"/>
      <c r="AM908" s="29" t="s">
        <v>4159</v>
      </c>
      <c r="AN908" s="725" t="s">
        <v>1757</v>
      </c>
      <c r="AO908" s="11">
        <v>796</v>
      </c>
      <c r="AP908" s="29" t="s">
        <v>368</v>
      </c>
      <c r="AQ908" s="29">
        <v>1</v>
      </c>
      <c r="AR908" s="725">
        <v>46</v>
      </c>
      <c r="AS908" s="725" t="s">
        <v>223</v>
      </c>
      <c r="AT908" s="51">
        <v>41957</v>
      </c>
      <c r="AU908" s="51">
        <v>41957</v>
      </c>
      <c r="AV908" s="51">
        <v>42004</v>
      </c>
      <c r="AW908" s="29">
        <v>2014</v>
      </c>
      <c r="AX908" s="725"/>
      <c r="AY908" s="135" t="s">
        <v>186</v>
      </c>
      <c r="AZ908" s="725"/>
      <c r="BA908" s="725">
        <v>2014</v>
      </c>
      <c r="BB908" s="48" t="s">
        <v>7330</v>
      </c>
      <c r="BC908" s="729" t="s">
        <v>7331</v>
      </c>
      <c r="BD908" s="730">
        <v>40725</v>
      </c>
      <c r="BE908" s="719">
        <v>42004</v>
      </c>
      <c r="BF908" s="68">
        <v>631934.37743999995</v>
      </c>
      <c r="BG908" s="68">
        <v>631934.37743999995</v>
      </c>
      <c r="BH908" s="34">
        <v>50</v>
      </c>
      <c r="BI908" s="34">
        <v>8</v>
      </c>
      <c r="BJ908" s="725" t="s">
        <v>186</v>
      </c>
      <c r="BK908" s="41"/>
    </row>
    <row r="909" spans="1:63" s="199" customFormat="1" ht="56.25">
      <c r="A909" s="38">
        <v>2</v>
      </c>
      <c r="B909" s="38" t="s">
        <v>7332</v>
      </c>
      <c r="C909" s="38" t="s">
        <v>83</v>
      </c>
      <c r="D909" s="725" t="s">
        <v>213</v>
      </c>
      <c r="E909" s="41" t="s">
        <v>5853</v>
      </c>
      <c r="F909" s="41" t="s">
        <v>4620</v>
      </c>
      <c r="G909" s="472">
        <v>31</v>
      </c>
      <c r="H909" s="715">
        <v>62110</v>
      </c>
      <c r="I909" s="90" t="s">
        <v>7333</v>
      </c>
      <c r="J909" s="29" t="s">
        <v>4282</v>
      </c>
      <c r="K909" s="29" t="s">
        <v>4917</v>
      </c>
      <c r="L909" s="29" t="s">
        <v>1772</v>
      </c>
      <c r="M909" s="249" t="s">
        <v>4170</v>
      </c>
      <c r="N909" s="723" t="s">
        <v>4171</v>
      </c>
      <c r="O909" s="29" t="s">
        <v>167</v>
      </c>
      <c r="P909" s="475">
        <v>1480</v>
      </c>
      <c r="Q909" s="34">
        <f t="shared" si="129"/>
        <v>1746.3999999999999</v>
      </c>
      <c r="R909" s="34"/>
      <c r="S909" s="29"/>
      <c r="T909" s="29"/>
      <c r="U909" s="29"/>
      <c r="V909" s="29"/>
      <c r="W909" s="29"/>
      <c r="X909" s="29"/>
      <c r="Y909" s="34">
        <v>1480</v>
      </c>
      <c r="Z909" s="34">
        <f t="shared" si="130"/>
        <v>1746.3999999999999</v>
      </c>
      <c r="AA909" s="34">
        <v>1480</v>
      </c>
      <c r="AB909" s="34">
        <f t="shared" si="131"/>
        <v>1746.3999999999999</v>
      </c>
      <c r="AC909" s="34">
        <v>1480</v>
      </c>
      <c r="AD909" s="717">
        <f t="shared" si="132"/>
        <v>1746.3999999999999</v>
      </c>
      <c r="AE909" s="725" t="s">
        <v>173</v>
      </c>
      <c r="AF909" s="725" t="s">
        <v>83</v>
      </c>
      <c r="AG909" s="725" t="s">
        <v>83</v>
      </c>
      <c r="AH909" s="725" t="s">
        <v>90</v>
      </c>
      <c r="AI909" s="51">
        <v>41912</v>
      </c>
      <c r="AJ909" s="51">
        <v>41957</v>
      </c>
      <c r="AK909" s="726"/>
      <c r="AL909" s="725"/>
      <c r="AM909" s="29" t="s">
        <v>4159</v>
      </c>
      <c r="AN909" s="725" t="s">
        <v>1757</v>
      </c>
      <c r="AO909" s="11">
        <v>796</v>
      </c>
      <c r="AP909" s="29" t="s">
        <v>368</v>
      </c>
      <c r="AQ909" s="29">
        <v>1</v>
      </c>
      <c r="AR909" s="725">
        <v>46</v>
      </c>
      <c r="AS909" s="725" t="s">
        <v>223</v>
      </c>
      <c r="AT909" s="51">
        <v>41957</v>
      </c>
      <c r="AU909" s="51">
        <v>41957</v>
      </c>
      <c r="AV909" s="51">
        <v>42004</v>
      </c>
      <c r="AW909" s="29">
        <v>2014</v>
      </c>
      <c r="AX909" s="725"/>
      <c r="AY909" s="135" t="s">
        <v>186</v>
      </c>
      <c r="AZ909" s="725"/>
      <c r="BA909" s="725">
        <v>2014</v>
      </c>
      <c r="BB909" s="38" t="s">
        <v>2275</v>
      </c>
      <c r="BC909" s="731" t="s">
        <v>2276</v>
      </c>
      <c r="BD909" s="29" t="s">
        <v>1818</v>
      </c>
      <c r="BE909" s="719">
        <v>43465</v>
      </c>
      <c r="BF909" s="68">
        <f>991.2211102*1000</f>
        <v>991221.1102</v>
      </c>
      <c r="BG909" s="68">
        <f>902.32997265*1000</f>
        <v>902329.97264999989</v>
      </c>
      <c r="BH909" s="34">
        <v>400</v>
      </c>
      <c r="BI909" s="34"/>
      <c r="BJ909" s="725" t="s">
        <v>186</v>
      </c>
      <c r="BK909" s="41"/>
    </row>
    <row r="910" spans="1:63" s="199" customFormat="1" ht="93.75">
      <c r="A910" s="38">
        <v>2</v>
      </c>
      <c r="B910" s="38" t="s">
        <v>7334</v>
      </c>
      <c r="C910" s="38" t="s">
        <v>83</v>
      </c>
      <c r="D910" s="41" t="s">
        <v>213</v>
      </c>
      <c r="E910" s="41" t="s">
        <v>5853</v>
      </c>
      <c r="F910" s="41" t="s">
        <v>4620</v>
      </c>
      <c r="G910" s="472">
        <v>31</v>
      </c>
      <c r="H910" s="715">
        <v>62111</v>
      </c>
      <c r="I910" s="720" t="s">
        <v>7335</v>
      </c>
      <c r="J910" s="29" t="s">
        <v>4282</v>
      </c>
      <c r="K910" s="29" t="s">
        <v>4917</v>
      </c>
      <c r="L910" s="732" t="s">
        <v>7336</v>
      </c>
      <c r="M910" s="249" t="s">
        <v>4170</v>
      </c>
      <c r="N910" s="733" t="s">
        <v>4171</v>
      </c>
      <c r="O910" s="29" t="s">
        <v>167</v>
      </c>
      <c r="P910" s="717">
        <f>600+3000+4000+10000</f>
        <v>17600</v>
      </c>
      <c r="Q910" s="34">
        <f t="shared" si="129"/>
        <v>20768</v>
      </c>
      <c r="R910" s="34"/>
      <c r="S910" s="29"/>
      <c r="T910" s="29"/>
      <c r="U910" s="29"/>
      <c r="V910" s="29"/>
      <c r="W910" s="29"/>
      <c r="X910" s="29"/>
      <c r="Y910" s="34">
        <v>17600</v>
      </c>
      <c r="Z910" s="34">
        <f t="shared" si="130"/>
        <v>20768</v>
      </c>
      <c r="AA910" s="34">
        <v>17600</v>
      </c>
      <c r="AB910" s="34">
        <f t="shared" si="131"/>
        <v>20768</v>
      </c>
      <c r="AC910" s="34">
        <v>17600</v>
      </c>
      <c r="AD910" s="717">
        <f t="shared" si="132"/>
        <v>20768</v>
      </c>
      <c r="AE910" s="472" t="s">
        <v>169</v>
      </c>
      <c r="AF910" s="472" t="s">
        <v>83</v>
      </c>
      <c r="AG910" s="472" t="s">
        <v>83</v>
      </c>
      <c r="AH910" s="472" t="s">
        <v>90</v>
      </c>
      <c r="AI910" s="51">
        <v>41912</v>
      </c>
      <c r="AJ910" s="51">
        <v>41957</v>
      </c>
      <c r="AK910" s="721"/>
      <c r="AL910" s="472"/>
      <c r="AM910" s="29" t="s">
        <v>4159</v>
      </c>
      <c r="AN910" s="472" t="s">
        <v>1757</v>
      </c>
      <c r="AO910" s="11">
        <v>796</v>
      </c>
      <c r="AP910" s="29" t="s">
        <v>368</v>
      </c>
      <c r="AQ910" s="29">
        <v>1</v>
      </c>
      <c r="AR910" s="472">
        <v>46</v>
      </c>
      <c r="AS910" s="472" t="s">
        <v>223</v>
      </c>
      <c r="AT910" s="51">
        <v>41957</v>
      </c>
      <c r="AU910" s="51">
        <v>41957</v>
      </c>
      <c r="AV910" s="51">
        <v>42004</v>
      </c>
      <c r="AW910" s="29">
        <v>2014</v>
      </c>
      <c r="AX910" s="472"/>
      <c r="AY910" s="135" t="s">
        <v>186</v>
      </c>
      <c r="AZ910" s="472"/>
      <c r="BA910" s="725">
        <v>2014</v>
      </c>
      <c r="BB910" s="48" t="s">
        <v>4602</v>
      </c>
      <c r="BC910" s="734" t="s">
        <v>7337</v>
      </c>
      <c r="BD910" s="730">
        <v>40848</v>
      </c>
      <c r="BE910" s="727" t="s">
        <v>7290</v>
      </c>
      <c r="BF910" s="68">
        <v>1148761.8600000001</v>
      </c>
      <c r="BG910" s="68">
        <v>702377.50532</v>
      </c>
      <c r="BH910" s="34">
        <v>80</v>
      </c>
      <c r="BI910" s="34"/>
      <c r="BJ910" s="725" t="s">
        <v>186</v>
      </c>
      <c r="BK910" s="41"/>
    </row>
    <row r="911" spans="1:63" s="199" customFormat="1" ht="56.25">
      <c r="A911" s="38">
        <v>2</v>
      </c>
      <c r="B911" s="38" t="s">
        <v>7338</v>
      </c>
      <c r="C911" s="38" t="s">
        <v>83</v>
      </c>
      <c r="D911" s="725" t="s">
        <v>213</v>
      </c>
      <c r="E911" s="41" t="s">
        <v>5853</v>
      </c>
      <c r="F911" s="41" t="s">
        <v>4620</v>
      </c>
      <c r="G911" s="472">
        <v>31</v>
      </c>
      <c r="H911" s="715">
        <v>62112</v>
      </c>
      <c r="I911" s="735" t="s">
        <v>7339</v>
      </c>
      <c r="J911" s="29" t="s">
        <v>4282</v>
      </c>
      <c r="K911" s="29" t="s">
        <v>4917</v>
      </c>
      <c r="L911" s="732" t="s">
        <v>7336</v>
      </c>
      <c r="M911" s="249" t="s">
        <v>4170</v>
      </c>
      <c r="N911" s="723" t="s">
        <v>4171</v>
      </c>
      <c r="O911" s="29" t="s">
        <v>167</v>
      </c>
      <c r="P911" s="475">
        <v>600</v>
      </c>
      <c r="Q911" s="34">
        <f t="shared" si="129"/>
        <v>708</v>
      </c>
      <c r="R911" s="34"/>
      <c r="S911" s="29"/>
      <c r="T911" s="29"/>
      <c r="U911" s="29"/>
      <c r="V911" s="29"/>
      <c r="W911" s="29"/>
      <c r="X911" s="29"/>
      <c r="Y911" s="34">
        <v>600</v>
      </c>
      <c r="Z911" s="34">
        <f t="shared" si="130"/>
        <v>708</v>
      </c>
      <c r="AA911" s="34">
        <v>600</v>
      </c>
      <c r="AB911" s="34">
        <f t="shared" si="131"/>
        <v>708</v>
      </c>
      <c r="AC911" s="34">
        <v>600</v>
      </c>
      <c r="AD911" s="717">
        <f t="shared" si="132"/>
        <v>708</v>
      </c>
      <c r="AE911" s="725" t="s">
        <v>173</v>
      </c>
      <c r="AF911" s="725" t="s">
        <v>83</v>
      </c>
      <c r="AG911" s="725" t="s">
        <v>83</v>
      </c>
      <c r="AH911" s="725" t="s">
        <v>90</v>
      </c>
      <c r="AI911" s="51">
        <v>41912</v>
      </c>
      <c r="AJ911" s="51">
        <v>41957</v>
      </c>
      <c r="AK911" s="726"/>
      <c r="AL911" s="725"/>
      <c r="AM911" s="29" t="s">
        <v>4159</v>
      </c>
      <c r="AN911" s="725" t="s">
        <v>1757</v>
      </c>
      <c r="AO911" s="11">
        <v>796</v>
      </c>
      <c r="AP911" s="29" t="s">
        <v>368</v>
      </c>
      <c r="AQ911" s="29">
        <v>1</v>
      </c>
      <c r="AR911" s="725">
        <v>46</v>
      </c>
      <c r="AS911" s="725" t="s">
        <v>223</v>
      </c>
      <c r="AT911" s="51">
        <v>41957</v>
      </c>
      <c r="AU911" s="51">
        <v>41957</v>
      </c>
      <c r="AV911" s="51">
        <v>42004</v>
      </c>
      <c r="AW911" s="29">
        <v>2014</v>
      </c>
      <c r="AX911" s="725"/>
      <c r="AY911" s="135" t="s">
        <v>186</v>
      </c>
      <c r="AZ911" s="725"/>
      <c r="BA911" s="725">
        <v>2014</v>
      </c>
      <c r="BB911" s="736" t="s">
        <v>7340</v>
      </c>
      <c r="BC911" s="736" t="s">
        <v>7341</v>
      </c>
      <c r="BD911" s="29" t="s">
        <v>1818</v>
      </c>
      <c r="BE911" s="727" t="s">
        <v>7342</v>
      </c>
      <c r="BF911" s="68">
        <v>350046.66960000002</v>
      </c>
      <c r="BG911" s="68">
        <v>350046.66960000002</v>
      </c>
      <c r="BH911" s="34">
        <v>126</v>
      </c>
      <c r="BI911" s="34"/>
      <c r="BJ911" s="725" t="s">
        <v>186</v>
      </c>
      <c r="BK911" s="41"/>
    </row>
    <row r="912" spans="1:63" s="199" customFormat="1" ht="75">
      <c r="A912" s="38">
        <v>2</v>
      </c>
      <c r="B912" s="38" t="s">
        <v>7343</v>
      </c>
      <c r="C912" s="38" t="s">
        <v>83</v>
      </c>
      <c r="D912" s="725" t="s">
        <v>213</v>
      </c>
      <c r="E912" s="41" t="s">
        <v>5853</v>
      </c>
      <c r="F912" s="41" t="s">
        <v>4620</v>
      </c>
      <c r="G912" s="472">
        <v>31</v>
      </c>
      <c r="H912" s="715">
        <v>62113</v>
      </c>
      <c r="I912" s="735" t="s">
        <v>7344</v>
      </c>
      <c r="J912" s="29" t="s">
        <v>4282</v>
      </c>
      <c r="K912" s="29" t="s">
        <v>4917</v>
      </c>
      <c r="L912" s="732" t="s">
        <v>7345</v>
      </c>
      <c r="M912" s="249" t="s">
        <v>4170</v>
      </c>
      <c r="N912" s="723" t="s">
        <v>4171</v>
      </c>
      <c r="O912" s="29" t="s">
        <v>167</v>
      </c>
      <c r="P912" s="475">
        <v>4000</v>
      </c>
      <c r="Q912" s="34">
        <f t="shared" si="129"/>
        <v>4720</v>
      </c>
      <c r="R912" s="34"/>
      <c r="S912" s="29"/>
      <c r="T912" s="29"/>
      <c r="U912" s="29"/>
      <c r="V912" s="29"/>
      <c r="W912" s="29"/>
      <c r="X912" s="29"/>
      <c r="Y912" s="34">
        <v>4000</v>
      </c>
      <c r="Z912" s="34">
        <f t="shared" si="130"/>
        <v>4720</v>
      </c>
      <c r="AA912" s="34">
        <v>4000</v>
      </c>
      <c r="AB912" s="34">
        <f t="shared" si="131"/>
        <v>4720</v>
      </c>
      <c r="AC912" s="34">
        <v>4000</v>
      </c>
      <c r="AD912" s="717">
        <f t="shared" si="132"/>
        <v>4720</v>
      </c>
      <c r="AE912" s="725" t="s">
        <v>173</v>
      </c>
      <c r="AF912" s="725" t="s">
        <v>83</v>
      </c>
      <c r="AG912" s="725" t="s">
        <v>83</v>
      </c>
      <c r="AH912" s="725" t="s">
        <v>90</v>
      </c>
      <c r="AI912" s="51">
        <v>41912</v>
      </c>
      <c r="AJ912" s="51">
        <v>41957</v>
      </c>
      <c r="AK912" s="726"/>
      <c r="AL912" s="725"/>
      <c r="AM912" s="29" t="s">
        <v>4159</v>
      </c>
      <c r="AN912" s="725" t="s">
        <v>1757</v>
      </c>
      <c r="AO912" s="11">
        <v>796</v>
      </c>
      <c r="AP912" s="29" t="s">
        <v>368</v>
      </c>
      <c r="AQ912" s="29">
        <v>1</v>
      </c>
      <c r="AR912" s="725">
        <v>46</v>
      </c>
      <c r="AS912" s="725" t="s">
        <v>223</v>
      </c>
      <c r="AT912" s="51">
        <v>41957</v>
      </c>
      <c r="AU912" s="51">
        <v>41957</v>
      </c>
      <c r="AV912" s="51">
        <v>42004</v>
      </c>
      <c r="AW912" s="29">
        <v>2014</v>
      </c>
      <c r="AX912" s="725"/>
      <c r="AY912" s="135" t="s">
        <v>186</v>
      </c>
      <c r="AZ912" s="725"/>
      <c r="BA912" s="725">
        <v>2014</v>
      </c>
      <c r="BB912" s="737" t="s">
        <v>4940</v>
      </c>
      <c r="BC912" s="736" t="s">
        <v>7346</v>
      </c>
      <c r="BD912" s="738">
        <v>40885</v>
      </c>
      <c r="BE912" s="727">
        <v>2014</v>
      </c>
      <c r="BF912" s="68">
        <f>302.76760606*1000</f>
        <v>302767.60606000002</v>
      </c>
      <c r="BG912" s="68">
        <f>284.6015496964*1000</f>
        <v>284601.5496964</v>
      </c>
      <c r="BH912" s="34">
        <v>80</v>
      </c>
      <c r="BI912" s="34"/>
      <c r="BJ912" s="725" t="s">
        <v>186</v>
      </c>
      <c r="BK912" s="41"/>
    </row>
    <row r="913" spans="1:63" s="199" customFormat="1" ht="56.25">
      <c r="A913" s="38">
        <v>2</v>
      </c>
      <c r="B913" s="38" t="s">
        <v>7347</v>
      </c>
      <c r="C913" s="38" t="s">
        <v>83</v>
      </c>
      <c r="D913" s="725" t="s">
        <v>213</v>
      </c>
      <c r="E913" s="41" t="s">
        <v>5853</v>
      </c>
      <c r="F913" s="41" t="s">
        <v>4620</v>
      </c>
      <c r="G913" s="472">
        <v>31</v>
      </c>
      <c r="H913" s="715">
        <v>62114</v>
      </c>
      <c r="I913" s="735" t="s">
        <v>7348</v>
      </c>
      <c r="J913" s="29" t="s">
        <v>4282</v>
      </c>
      <c r="K913" s="29" t="s">
        <v>4917</v>
      </c>
      <c r="L913" s="732" t="s">
        <v>1772</v>
      </c>
      <c r="M913" s="45" t="s">
        <v>4170</v>
      </c>
      <c r="N913" s="723" t="s">
        <v>4171</v>
      </c>
      <c r="O913" s="29" t="s">
        <v>167</v>
      </c>
      <c r="P913" s="475">
        <v>4000</v>
      </c>
      <c r="Q913" s="34">
        <f t="shared" si="129"/>
        <v>4720</v>
      </c>
      <c r="R913" s="34"/>
      <c r="S913" s="29"/>
      <c r="T913" s="29"/>
      <c r="U913" s="29"/>
      <c r="V913" s="29"/>
      <c r="W913" s="29"/>
      <c r="X913" s="29"/>
      <c r="Y913" s="34">
        <v>4000</v>
      </c>
      <c r="Z913" s="34">
        <f t="shared" si="130"/>
        <v>4720</v>
      </c>
      <c r="AA913" s="34">
        <v>4000</v>
      </c>
      <c r="AB913" s="34">
        <f t="shared" si="131"/>
        <v>4720</v>
      </c>
      <c r="AC913" s="34">
        <v>4000</v>
      </c>
      <c r="AD913" s="717">
        <f t="shared" si="132"/>
        <v>4720</v>
      </c>
      <c r="AE913" s="725" t="s">
        <v>173</v>
      </c>
      <c r="AF913" s="725" t="s">
        <v>83</v>
      </c>
      <c r="AG913" s="725" t="s">
        <v>83</v>
      </c>
      <c r="AH913" s="725" t="s">
        <v>90</v>
      </c>
      <c r="AI913" s="51">
        <v>41912</v>
      </c>
      <c r="AJ913" s="51">
        <v>41957</v>
      </c>
      <c r="AK913" s="726"/>
      <c r="AL913" s="725"/>
      <c r="AM913" s="29" t="s">
        <v>4159</v>
      </c>
      <c r="AN913" s="725" t="s">
        <v>1757</v>
      </c>
      <c r="AO913" s="11">
        <v>796</v>
      </c>
      <c r="AP913" s="29" t="s">
        <v>368</v>
      </c>
      <c r="AQ913" s="29">
        <v>1</v>
      </c>
      <c r="AR913" s="725">
        <v>46</v>
      </c>
      <c r="AS913" s="725" t="s">
        <v>223</v>
      </c>
      <c r="AT913" s="51">
        <v>41957</v>
      </c>
      <c r="AU913" s="51">
        <v>41957</v>
      </c>
      <c r="AV913" s="51">
        <v>42004</v>
      </c>
      <c r="AW913" s="29">
        <v>2014</v>
      </c>
      <c r="AX913" s="725"/>
      <c r="AY913" s="135" t="s">
        <v>186</v>
      </c>
      <c r="AZ913" s="725"/>
      <c r="BA913" s="725">
        <v>2014</v>
      </c>
      <c r="BB913" s="41" t="s">
        <v>5644</v>
      </c>
      <c r="BC913" s="736" t="s">
        <v>5645</v>
      </c>
      <c r="BD913" s="730" t="s">
        <v>5646</v>
      </c>
      <c r="BE913" s="739">
        <v>42353</v>
      </c>
      <c r="BF913" s="68">
        <v>620221.92388959904</v>
      </c>
      <c r="BG913" s="68">
        <v>620221.92388959904</v>
      </c>
      <c r="BH913" s="34">
        <v>126</v>
      </c>
      <c r="BI913" s="34">
        <v>0</v>
      </c>
      <c r="BJ913" s="725" t="s">
        <v>186</v>
      </c>
      <c r="BK913" s="41"/>
    </row>
    <row r="914" spans="1:63" s="199" customFormat="1" ht="56.25">
      <c r="A914" s="38">
        <v>2</v>
      </c>
      <c r="B914" s="38" t="s">
        <v>7349</v>
      </c>
      <c r="C914" s="38" t="s">
        <v>83</v>
      </c>
      <c r="D914" s="38" t="s">
        <v>225</v>
      </c>
      <c r="E914" s="41" t="s">
        <v>5853</v>
      </c>
      <c r="F914" s="41" t="s">
        <v>4620</v>
      </c>
      <c r="G914" s="472">
        <v>31</v>
      </c>
      <c r="H914" s="715">
        <v>62115</v>
      </c>
      <c r="I914" s="740" t="s">
        <v>7350</v>
      </c>
      <c r="J914" s="29" t="s">
        <v>4282</v>
      </c>
      <c r="K914" s="29" t="s">
        <v>4917</v>
      </c>
      <c r="L914" s="29" t="s">
        <v>438</v>
      </c>
      <c r="M914" s="249" t="s">
        <v>4170</v>
      </c>
      <c r="N914" s="723" t="s">
        <v>4171</v>
      </c>
      <c r="O914" s="29" t="s">
        <v>167</v>
      </c>
      <c r="P914" s="23">
        <f>10995.695+6255.91+1193.43</f>
        <v>18445.035</v>
      </c>
      <c r="Q914" s="34">
        <f t="shared" si="129"/>
        <v>21765.141299999999</v>
      </c>
      <c r="R914" s="34"/>
      <c r="S914" s="29"/>
      <c r="T914" s="29"/>
      <c r="U914" s="29"/>
      <c r="V914" s="29"/>
      <c r="W914" s="29"/>
      <c r="X914" s="29"/>
      <c r="Y914" s="34">
        <v>18445.035</v>
      </c>
      <c r="Z914" s="34">
        <f t="shared" si="130"/>
        <v>21765.141299999999</v>
      </c>
      <c r="AA914" s="34">
        <v>18445.035</v>
      </c>
      <c r="AB914" s="34">
        <f t="shared" si="131"/>
        <v>21765.141299999999</v>
      </c>
      <c r="AC914" s="34">
        <v>18445.035</v>
      </c>
      <c r="AD914" s="717">
        <f t="shared" si="132"/>
        <v>21765.141299999999</v>
      </c>
      <c r="AE914" s="38" t="s">
        <v>169</v>
      </c>
      <c r="AF914" s="38" t="s">
        <v>83</v>
      </c>
      <c r="AG914" s="38" t="s">
        <v>83</v>
      </c>
      <c r="AH914" s="38" t="s">
        <v>90</v>
      </c>
      <c r="AI914" s="51">
        <v>41912</v>
      </c>
      <c r="AJ914" s="51">
        <v>41957</v>
      </c>
      <c r="AK914" s="724"/>
      <c r="AL914" s="38"/>
      <c r="AM914" s="29" t="s">
        <v>4159</v>
      </c>
      <c r="AN914" s="38" t="s">
        <v>1757</v>
      </c>
      <c r="AO914" s="11">
        <v>796</v>
      </c>
      <c r="AP914" s="29" t="s">
        <v>368</v>
      </c>
      <c r="AQ914" s="29">
        <v>1</v>
      </c>
      <c r="AR914" s="38">
        <v>46</v>
      </c>
      <c r="AS914" s="29" t="s">
        <v>223</v>
      </c>
      <c r="AT914" s="51">
        <v>41957</v>
      </c>
      <c r="AU914" s="51">
        <v>41957</v>
      </c>
      <c r="AV914" s="51">
        <v>42004</v>
      </c>
      <c r="AW914" s="29">
        <v>2014</v>
      </c>
      <c r="AX914" s="38"/>
      <c r="AY914" s="135" t="s">
        <v>186</v>
      </c>
      <c r="AZ914" s="29"/>
      <c r="BA914" s="38">
        <v>2014</v>
      </c>
      <c r="BB914" s="38" t="s">
        <v>4971</v>
      </c>
      <c r="BC914" s="41" t="s">
        <v>4973</v>
      </c>
      <c r="BD914" s="741" t="s">
        <v>7351</v>
      </c>
      <c r="BE914" s="741" t="s">
        <v>7342</v>
      </c>
      <c r="BF914" s="741">
        <f>2220.5712*1000</f>
        <v>2220571.1999999997</v>
      </c>
      <c r="BG914" s="741">
        <f>2020.0413422317*1000</f>
        <v>2020041.3422317</v>
      </c>
      <c r="BH914" s="34">
        <v>500</v>
      </c>
      <c r="BI914" s="34"/>
      <c r="BJ914" s="741" t="s">
        <v>186</v>
      </c>
      <c r="BK914" s="29"/>
    </row>
    <row r="915" spans="1:63" s="199" customFormat="1" ht="78.75">
      <c r="A915" s="38">
        <v>2</v>
      </c>
      <c r="B915" s="38" t="s">
        <v>7352</v>
      </c>
      <c r="C915" s="38" t="s">
        <v>83</v>
      </c>
      <c r="D915" s="38" t="s">
        <v>225</v>
      </c>
      <c r="E915" s="41" t="s">
        <v>5853</v>
      </c>
      <c r="F915" s="41" t="s">
        <v>4620</v>
      </c>
      <c r="G915" s="472">
        <v>31</v>
      </c>
      <c r="H915" s="715">
        <v>62116</v>
      </c>
      <c r="I915" s="740" t="s">
        <v>7353</v>
      </c>
      <c r="J915" s="29" t="s">
        <v>4282</v>
      </c>
      <c r="K915" s="29" t="s">
        <v>4917</v>
      </c>
      <c r="L915" s="29" t="s">
        <v>438</v>
      </c>
      <c r="M915" s="249" t="s">
        <v>4170</v>
      </c>
      <c r="N915" s="723" t="s">
        <v>4171</v>
      </c>
      <c r="O915" s="29" t="s">
        <v>167</v>
      </c>
      <c r="P915" s="23">
        <f>32333.067+8411.44+3480.11+23753.55+3671.5+27169.2+22219.42+69681.15+557.72+61091.19+10732.56+24684.4+3493.67</f>
        <v>291278.97700000001</v>
      </c>
      <c r="Q915" s="34">
        <f t="shared" si="129"/>
        <v>343709.19286000001</v>
      </c>
      <c r="R915" s="34"/>
      <c r="S915" s="29"/>
      <c r="T915" s="29"/>
      <c r="U915" s="29"/>
      <c r="V915" s="29"/>
      <c r="W915" s="29"/>
      <c r="X915" s="29"/>
      <c r="Y915" s="34">
        <v>291278.97700000001</v>
      </c>
      <c r="Z915" s="34">
        <f t="shared" si="130"/>
        <v>343709.19286000001</v>
      </c>
      <c r="AA915" s="34">
        <v>291278.97700000001</v>
      </c>
      <c r="AB915" s="34">
        <f t="shared" si="131"/>
        <v>343709.19286000001</v>
      </c>
      <c r="AC915" s="34">
        <v>291278.97700000001</v>
      </c>
      <c r="AD915" s="717">
        <f t="shared" si="132"/>
        <v>343709.19286000001</v>
      </c>
      <c r="AE915" s="38" t="s">
        <v>169</v>
      </c>
      <c r="AF915" s="38" t="s">
        <v>83</v>
      </c>
      <c r="AG915" s="38" t="s">
        <v>83</v>
      </c>
      <c r="AH915" s="38" t="s">
        <v>90</v>
      </c>
      <c r="AI915" s="51">
        <v>41912</v>
      </c>
      <c r="AJ915" s="51">
        <v>41957</v>
      </c>
      <c r="AK915" s="724"/>
      <c r="AL915" s="38"/>
      <c r="AM915" s="29" t="s">
        <v>4159</v>
      </c>
      <c r="AN915" s="38" t="s">
        <v>1757</v>
      </c>
      <c r="AO915" s="11">
        <v>796</v>
      </c>
      <c r="AP915" s="29" t="s">
        <v>368</v>
      </c>
      <c r="AQ915" s="29">
        <v>1</v>
      </c>
      <c r="AR915" s="38">
        <v>46</v>
      </c>
      <c r="AS915" s="29" t="s">
        <v>223</v>
      </c>
      <c r="AT915" s="51">
        <v>41957</v>
      </c>
      <c r="AU915" s="51">
        <v>41957</v>
      </c>
      <c r="AV915" s="51">
        <v>42004</v>
      </c>
      <c r="AW915" s="29">
        <v>2014</v>
      </c>
      <c r="AX915" s="38"/>
      <c r="AY915" s="135" t="s">
        <v>186</v>
      </c>
      <c r="AZ915" s="29"/>
      <c r="BA915" s="38">
        <v>2014</v>
      </c>
      <c r="BB915" s="38" t="s">
        <v>7354</v>
      </c>
      <c r="BC915" s="41" t="s">
        <v>7355</v>
      </c>
      <c r="BD915" s="741" t="s">
        <v>7356</v>
      </c>
      <c r="BE915" s="742">
        <v>42735</v>
      </c>
      <c r="BF915" s="741">
        <f>551.7416506*1000</f>
        <v>551741.65059999994</v>
      </c>
      <c r="BG915" s="741">
        <f>BF915</f>
        <v>551741.65059999994</v>
      </c>
      <c r="BH915" s="34">
        <v>126</v>
      </c>
      <c r="BI915" s="34"/>
      <c r="BJ915" s="741" t="s">
        <v>186</v>
      </c>
      <c r="BK915" s="29"/>
    </row>
    <row r="916" spans="1:63" s="199" customFormat="1" ht="56.25">
      <c r="A916" s="38">
        <v>2</v>
      </c>
      <c r="B916" s="38" t="s">
        <v>7357</v>
      </c>
      <c r="C916" s="38" t="s">
        <v>83</v>
      </c>
      <c r="D916" s="38" t="s">
        <v>225</v>
      </c>
      <c r="E916" s="41" t="s">
        <v>5853</v>
      </c>
      <c r="F916" s="41" t="s">
        <v>4620</v>
      </c>
      <c r="G916" s="472">
        <v>31</v>
      </c>
      <c r="H916" s="715">
        <v>62117</v>
      </c>
      <c r="I916" s="740" t="s">
        <v>7358</v>
      </c>
      <c r="J916" s="29" t="s">
        <v>4282</v>
      </c>
      <c r="K916" s="29" t="s">
        <v>4917</v>
      </c>
      <c r="L916" s="29" t="s">
        <v>438</v>
      </c>
      <c r="M916" s="249" t="s">
        <v>4170</v>
      </c>
      <c r="N916" s="723" t="s">
        <v>4171</v>
      </c>
      <c r="O916" s="29" t="s">
        <v>167</v>
      </c>
      <c r="P916" s="23">
        <f>734.85+1644.44+7548.96</f>
        <v>9928.25</v>
      </c>
      <c r="Q916" s="34">
        <f t="shared" si="129"/>
        <v>11715.334999999999</v>
      </c>
      <c r="R916" s="34"/>
      <c r="S916" s="29"/>
      <c r="T916" s="29"/>
      <c r="U916" s="29"/>
      <c r="V916" s="29"/>
      <c r="W916" s="29"/>
      <c r="X916" s="29"/>
      <c r="Y916" s="34">
        <v>9928.25</v>
      </c>
      <c r="Z916" s="34">
        <f t="shared" si="130"/>
        <v>11715.334999999999</v>
      </c>
      <c r="AA916" s="34">
        <v>9928.25</v>
      </c>
      <c r="AB916" s="34">
        <f t="shared" si="131"/>
        <v>11715.334999999999</v>
      </c>
      <c r="AC916" s="34">
        <v>9928.25</v>
      </c>
      <c r="AD916" s="717">
        <f t="shared" si="132"/>
        <v>11715.334999999999</v>
      </c>
      <c r="AE916" s="472" t="s">
        <v>169</v>
      </c>
      <c r="AF916" s="38" t="s">
        <v>83</v>
      </c>
      <c r="AG916" s="38" t="s">
        <v>83</v>
      </c>
      <c r="AH916" s="38" t="s">
        <v>90</v>
      </c>
      <c r="AI916" s="51">
        <v>41912</v>
      </c>
      <c r="AJ916" s="51">
        <v>41957</v>
      </c>
      <c r="AK916" s="724"/>
      <c r="AL916" s="38"/>
      <c r="AM916" s="29" t="s">
        <v>4159</v>
      </c>
      <c r="AN916" s="38" t="s">
        <v>1757</v>
      </c>
      <c r="AO916" s="11">
        <v>796</v>
      </c>
      <c r="AP916" s="29" t="s">
        <v>368</v>
      </c>
      <c r="AQ916" s="29">
        <v>1</v>
      </c>
      <c r="AR916" s="38">
        <v>46</v>
      </c>
      <c r="AS916" s="29" t="s">
        <v>223</v>
      </c>
      <c r="AT916" s="51">
        <v>41957</v>
      </c>
      <c r="AU916" s="51">
        <v>41957</v>
      </c>
      <c r="AV916" s="51">
        <v>42004</v>
      </c>
      <c r="AW916" s="29">
        <v>2014</v>
      </c>
      <c r="AX916" s="38"/>
      <c r="AY916" s="135" t="s">
        <v>186</v>
      </c>
      <c r="AZ916" s="29"/>
      <c r="BA916" s="38">
        <v>2014</v>
      </c>
      <c r="BB916" s="38" t="s">
        <v>2429</v>
      </c>
      <c r="BC916" s="41" t="s">
        <v>2430</v>
      </c>
      <c r="BD916" s="741" t="s">
        <v>1818</v>
      </c>
      <c r="BE916" s="741" t="s">
        <v>7359</v>
      </c>
      <c r="BF916" s="741">
        <f>603.7803468*1000</f>
        <v>603780.34679999994</v>
      </c>
      <c r="BG916" s="741">
        <f>BF916</f>
        <v>603780.34679999994</v>
      </c>
      <c r="BH916" s="34">
        <v>126</v>
      </c>
      <c r="BI916" s="34"/>
      <c r="BJ916" s="741" t="s">
        <v>186</v>
      </c>
      <c r="BK916" s="29"/>
    </row>
    <row r="917" spans="1:63" s="199" customFormat="1" ht="63">
      <c r="A917" s="38">
        <v>2</v>
      </c>
      <c r="B917" s="38" t="s">
        <v>7360</v>
      </c>
      <c r="C917" s="38" t="s">
        <v>83</v>
      </c>
      <c r="D917" s="38" t="s">
        <v>225</v>
      </c>
      <c r="E917" s="41" t="s">
        <v>5853</v>
      </c>
      <c r="F917" s="41" t="s">
        <v>4620</v>
      </c>
      <c r="G917" s="472">
        <v>31</v>
      </c>
      <c r="H917" s="715">
        <v>62118</v>
      </c>
      <c r="I917" s="740" t="s">
        <v>7361</v>
      </c>
      <c r="J917" s="29" t="s">
        <v>4282</v>
      </c>
      <c r="K917" s="29" t="s">
        <v>4917</v>
      </c>
      <c r="L917" s="29" t="s">
        <v>438</v>
      </c>
      <c r="M917" s="249" t="s">
        <v>4170</v>
      </c>
      <c r="N917" s="723" t="s">
        <v>4171</v>
      </c>
      <c r="O917" s="29" t="s">
        <v>167</v>
      </c>
      <c r="P917" s="23">
        <f>2013.847+6024.85+13371.58+1200+33000+9800+2100+20800</f>
        <v>88310.277000000002</v>
      </c>
      <c r="Q917" s="34">
        <f t="shared" si="129"/>
        <v>104206.12686</v>
      </c>
      <c r="R917" s="34"/>
      <c r="S917" s="29"/>
      <c r="T917" s="29"/>
      <c r="U917" s="29"/>
      <c r="V917" s="29"/>
      <c r="W917" s="29"/>
      <c r="X917" s="29"/>
      <c r="Y917" s="34">
        <v>88310.277000000002</v>
      </c>
      <c r="Z917" s="34">
        <f t="shared" si="130"/>
        <v>104206.12686</v>
      </c>
      <c r="AA917" s="34">
        <v>88310.277000000002</v>
      </c>
      <c r="AB917" s="34">
        <f t="shared" si="131"/>
        <v>104206.12686</v>
      </c>
      <c r="AC917" s="34">
        <v>88310.277000000002</v>
      </c>
      <c r="AD917" s="717">
        <f t="shared" si="132"/>
        <v>104206.12686</v>
      </c>
      <c r="AE917" s="472" t="s">
        <v>169</v>
      </c>
      <c r="AF917" s="38" t="s">
        <v>83</v>
      </c>
      <c r="AG917" s="38" t="s">
        <v>83</v>
      </c>
      <c r="AH917" s="38" t="s">
        <v>90</v>
      </c>
      <c r="AI917" s="51">
        <v>41912</v>
      </c>
      <c r="AJ917" s="51">
        <v>41957</v>
      </c>
      <c r="AK917" s="724"/>
      <c r="AL917" s="38"/>
      <c r="AM917" s="29" t="s">
        <v>4159</v>
      </c>
      <c r="AN917" s="38" t="s">
        <v>1757</v>
      </c>
      <c r="AO917" s="11">
        <v>796</v>
      </c>
      <c r="AP917" s="29" t="s">
        <v>368</v>
      </c>
      <c r="AQ917" s="29">
        <v>1</v>
      </c>
      <c r="AR917" s="38">
        <v>46</v>
      </c>
      <c r="AS917" s="29" t="s">
        <v>223</v>
      </c>
      <c r="AT917" s="51">
        <v>41957</v>
      </c>
      <c r="AU917" s="51">
        <v>41957</v>
      </c>
      <c r="AV917" s="51">
        <v>42004</v>
      </c>
      <c r="AW917" s="29">
        <v>2014</v>
      </c>
      <c r="AX917" s="38"/>
      <c r="AY917" s="135" t="s">
        <v>186</v>
      </c>
      <c r="AZ917" s="29"/>
      <c r="BA917" s="38">
        <v>2014</v>
      </c>
      <c r="BB917" s="38" t="s">
        <v>7362</v>
      </c>
      <c r="BC917" s="41" t="s">
        <v>7363</v>
      </c>
      <c r="BD917" s="741" t="s">
        <v>7364</v>
      </c>
      <c r="BE917" s="741" t="s">
        <v>7365</v>
      </c>
      <c r="BF917" s="741">
        <v>243702.87479999999</v>
      </c>
      <c r="BG917" s="741">
        <v>243702.87479999999</v>
      </c>
      <c r="BH917" s="34">
        <v>20</v>
      </c>
      <c r="BI917" s="34"/>
      <c r="BJ917" s="741" t="s">
        <v>186</v>
      </c>
      <c r="BK917" s="29"/>
    </row>
    <row r="918" spans="1:63" s="199" customFormat="1" ht="56.25">
      <c r="A918" s="38">
        <v>2</v>
      </c>
      <c r="B918" s="38" t="s">
        <v>7366</v>
      </c>
      <c r="C918" s="38" t="s">
        <v>83</v>
      </c>
      <c r="D918" s="743" t="s">
        <v>160</v>
      </c>
      <c r="E918" s="41" t="s">
        <v>5853</v>
      </c>
      <c r="F918" s="41" t="s">
        <v>4620</v>
      </c>
      <c r="G918" s="472">
        <v>31</v>
      </c>
      <c r="H918" s="715">
        <v>62119</v>
      </c>
      <c r="I918" s="744" t="s">
        <v>7367</v>
      </c>
      <c r="J918" s="472" t="s">
        <v>4282</v>
      </c>
      <c r="K918" s="472" t="s">
        <v>4917</v>
      </c>
      <c r="L918" s="743" t="s">
        <v>7368</v>
      </c>
      <c r="M918" s="745" t="s">
        <v>4170</v>
      </c>
      <c r="N918" s="746" t="s">
        <v>4171</v>
      </c>
      <c r="O918" s="29" t="s">
        <v>167</v>
      </c>
      <c r="P918" s="456">
        <v>134108</v>
      </c>
      <c r="Q918" s="34">
        <f t="shared" si="129"/>
        <v>158247.44</v>
      </c>
      <c r="R918" s="34"/>
      <c r="S918" s="29"/>
      <c r="T918" s="29"/>
      <c r="U918" s="29"/>
      <c r="V918" s="29"/>
      <c r="W918" s="29"/>
      <c r="X918" s="29"/>
      <c r="Y918" s="34">
        <v>134108</v>
      </c>
      <c r="Z918" s="34">
        <f t="shared" si="130"/>
        <v>158247.44</v>
      </c>
      <c r="AA918" s="34">
        <v>134108</v>
      </c>
      <c r="AB918" s="34">
        <f t="shared" si="131"/>
        <v>158247.44</v>
      </c>
      <c r="AC918" s="34">
        <v>134108</v>
      </c>
      <c r="AD918" s="717">
        <f t="shared" si="132"/>
        <v>158247.44</v>
      </c>
      <c r="AE918" s="743" t="s">
        <v>169</v>
      </c>
      <c r="AF918" s="41" t="s">
        <v>83</v>
      </c>
      <c r="AG918" s="41" t="s">
        <v>83</v>
      </c>
      <c r="AH918" s="41" t="s">
        <v>90</v>
      </c>
      <c r="AI918" s="51">
        <v>41912</v>
      </c>
      <c r="AJ918" s="51">
        <v>41957</v>
      </c>
      <c r="AK918" s="747"/>
      <c r="AL918" s="41"/>
      <c r="AM918" s="29" t="s">
        <v>4159</v>
      </c>
      <c r="AN918" s="41" t="s">
        <v>1757</v>
      </c>
      <c r="AO918" s="11">
        <v>796</v>
      </c>
      <c r="AP918" s="29" t="s">
        <v>368</v>
      </c>
      <c r="AQ918" s="29">
        <v>1</v>
      </c>
      <c r="AR918" s="41">
        <v>45</v>
      </c>
      <c r="AS918" s="472" t="s">
        <v>7369</v>
      </c>
      <c r="AT918" s="51">
        <v>41957</v>
      </c>
      <c r="AU918" s="51">
        <v>41957</v>
      </c>
      <c r="AV918" s="51">
        <v>42004</v>
      </c>
      <c r="AW918" s="29">
        <v>2014</v>
      </c>
      <c r="AX918" s="41"/>
      <c r="AY918" s="135" t="s">
        <v>186</v>
      </c>
      <c r="AZ918" s="472"/>
      <c r="BA918" s="38">
        <v>2014</v>
      </c>
      <c r="BB918" s="41" t="s">
        <v>7370</v>
      </c>
      <c r="BC918" s="41" t="s">
        <v>7371</v>
      </c>
      <c r="BD918" s="748">
        <v>41302</v>
      </c>
      <c r="BE918" s="749">
        <v>42004</v>
      </c>
      <c r="BF918" s="750">
        <v>1334000</v>
      </c>
      <c r="BG918" s="750">
        <v>1334000</v>
      </c>
      <c r="BH918" s="34">
        <v>80</v>
      </c>
      <c r="BI918" s="34"/>
      <c r="BJ918" s="741" t="s">
        <v>186</v>
      </c>
      <c r="BK918" s="41"/>
    </row>
    <row r="919" spans="1:63" s="199" customFormat="1" ht="75">
      <c r="A919" s="38">
        <v>2</v>
      </c>
      <c r="B919" s="38" t="s">
        <v>7372</v>
      </c>
      <c r="C919" s="38" t="s">
        <v>83</v>
      </c>
      <c r="D919" s="743" t="s">
        <v>160</v>
      </c>
      <c r="E919" s="41" t="s">
        <v>5853</v>
      </c>
      <c r="F919" s="41" t="s">
        <v>4620</v>
      </c>
      <c r="G919" s="472">
        <v>31</v>
      </c>
      <c r="H919" s="715">
        <v>62120</v>
      </c>
      <c r="I919" s="744" t="s">
        <v>7373</v>
      </c>
      <c r="J919" s="472" t="s">
        <v>4282</v>
      </c>
      <c r="K919" s="472" t="s">
        <v>4917</v>
      </c>
      <c r="L919" s="472" t="s">
        <v>438</v>
      </c>
      <c r="M919" s="745" t="s">
        <v>4170</v>
      </c>
      <c r="N919" s="746" t="s">
        <v>4171</v>
      </c>
      <c r="O919" s="29" t="s">
        <v>167</v>
      </c>
      <c r="P919" s="751">
        <f>1853+2823+545+74669+17617+33350+41166</f>
        <v>172023</v>
      </c>
      <c r="Q919" s="34">
        <f t="shared" si="129"/>
        <v>202987.13999999998</v>
      </c>
      <c r="R919" s="34"/>
      <c r="S919" s="29"/>
      <c r="T919" s="29"/>
      <c r="U919" s="29"/>
      <c r="V919" s="29"/>
      <c r="W919" s="29"/>
      <c r="X919" s="29"/>
      <c r="Y919" s="34">
        <v>172023</v>
      </c>
      <c r="Z919" s="34">
        <f t="shared" si="130"/>
        <v>202987.13999999998</v>
      </c>
      <c r="AA919" s="34">
        <v>172023</v>
      </c>
      <c r="AB919" s="34">
        <f t="shared" si="131"/>
        <v>202987.13999999998</v>
      </c>
      <c r="AC919" s="34">
        <v>172023</v>
      </c>
      <c r="AD919" s="717">
        <f t="shared" si="132"/>
        <v>202987.13999999998</v>
      </c>
      <c r="AE919" s="472" t="s">
        <v>169</v>
      </c>
      <c r="AF919" s="41" t="s">
        <v>83</v>
      </c>
      <c r="AG919" s="41" t="s">
        <v>83</v>
      </c>
      <c r="AH919" s="41" t="s">
        <v>90</v>
      </c>
      <c r="AI919" s="51">
        <v>41912</v>
      </c>
      <c r="AJ919" s="51">
        <v>41957</v>
      </c>
      <c r="AK919" s="747"/>
      <c r="AL919" s="41"/>
      <c r="AM919" s="29" t="s">
        <v>4159</v>
      </c>
      <c r="AN919" s="41" t="s">
        <v>1757</v>
      </c>
      <c r="AO919" s="11">
        <v>796</v>
      </c>
      <c r="AP919" s="29" t="s">
        <v>368</v>
      </c>
      <c r="AQ919" s="29">
        <v>1</v>
      </c>
      <c r="AR919" s="41">
        <v>45</v>
      </c>
      <c r="AS919" s="472" t="s">
        <v>7369</v>
      </c>
      <c r="AT919" s="51">
        <v>41957</v>
      </c>
      <c r="AU919" s="51">
        <v>41957</v>
      </c>
      <c r="AV919" s="51">
        <v>42004</v>
      </c>
      <c r="AW919" s="29">
        <v>2014</v>
      </c>
      <c r="AX919" s="41"/>
      <c r="AY919" s="135" t="s">
        <v>186</v>
      </c>
      <c r="AZ919" s="472"/>
      <c r="BA919" s="38">
        <v>2014</v>
      </c>
      <c r="BB919" s="737" t="s">
        <v>2974</v>
      </c>
      <c r="BC919" s="737" t="s">
        <v>2975</v>
      </c>
      <c r="BD919" s="41" t="s">
        <v>1818</v>
      </c>
      <c r="BE919" s="749">
        <v>42004</v>
      </c>
      <c r="BF919" s="750">
        <v>146197.33900000001</v>
      </c>
      <c r="BG919" s="750">
        <v>146197.33900000001</v>
      </c>
      <c r="BH919" s="34"/>
      <c r="BI919" s="34"/>
      <c r="BJ919" s="741" t="s">
        <v>186</v>
      </c>
      <c r="BK919" s="472"/>
    </row>
    <row r="920" spans="1:63" s="199" customFormat="1" ht="187.5">
      <c r="A920" s="38">
        <v>2</v>
      </c>
      <c r="B920" s="38" t="s">
        <v>7374</v>
      </c>
      <c r="C920" s="38" t="s">
        <v>83</v>
      </c>
      <c r="D920" s="41" t="s">
        <v>231</v>
      </c>
      <c r="E920" s="41" t="s">
        <v>5853</v>
      </c>
      <c r="F920" s="41" t="s">
        <v>4620</v>
      </c>
      <c r="G920" s="472">
        <v>31</v>
      </c>
      <c r="H920" s="715">
        <v>62121</v>
      </c>
      <c r="I920" s="722" t="s">
        <v>7375</v>
      </c>
      <c r="J920" s="472" t="s">
        <v>4282</v>
      </c>
      <c r="K920" s="472" t="s">
        <v>4917</v>
      </c>
      <c r="L920" s="472" t="s">
        <v>438</v>
      </c>
      <c r="M920" s="745" t="s">
        <v>4170</v>
      </c>
      <c r="N920" s="746" t="s">
        <v>4171</v>
      </c>
      <c r="O920" s="29" t="s">
        <v>167</v>
      </c>
      <c r="P920" s="456">
        <f>16788.2748+14394.88+7285+40999.73+2558.4+2270.2+684.38+5740.91+41329.27+5312.42+4192.02</f>
        <v>141555.48480000001</v>
      </c>
      <c r="Q920" s="34">
        <f t="shared" si="129"/>
        <v>167035.472064</v>
      </c>
      <c r="R920" s="34"/>
      <c r="S920" s="29"/>
      <c r="T920" s="29"/>
      <c r="U920" s="29"/>
      <c r="V920" s="29"/>
      <c r="W920" s="29"/>
      <c r="X920" s="29"/>
      <c r="Y920" s="34">
        <v>141555.48480000001</v>
      </c>
      <c r="Z920" s="34">
        <f t="shared" si="130"/>
        <v>167035.472064</v>
      </c>
      <c r="AA920" s="34">
        <v>141555.48480000001</v>
      </c>
      <c r="AB920" s="34">
        <f t="shared" si="131"/>
        <v>167035.472064</v>
      </c>
      <c r="AC920" s="34">
        <v>141555.48480000001</v>
      </c>
      <c r="AD920" s="717">
        <f t="shared" si="132"/>
        <v>167035.472064</v>
      </c>
      <c r="AE920" s="472" t="s">
        <v>169</v>
      </c>
      <c r="AF920" s="41" t="s">
        <v>83</v>
      </c>
      <c r="AG920" s="41" t="s">
        <v>83</v>
      </c>
      <c r="AH920" s="41" t="s">
        <v>90</v>
      </c>
      <c r="AI920" s="51">
        <v>41912</v>
      </c>
      <c r="AJ920" s="51">
        <v>41957</v>
      </c>
      <c r="AK920" s="747"/>
      <c r="AL920" s="41"/>
      <c r="AM920" s="29" t="s">
        <v>4159</v>
      </c>
      <c r="AN920" s="41" t="s">
        <v>1757</v>
      </c>
      <c r="AO920" s="11">
        <v>796</v>
      </c>
      <c r="AP920" s="29" t="s">
        <v>368</v>
      </c>
      <c r="AQ920" s="29">
        <v>1</v>
      </c>
      <c r="AR920" s="41">
        <v>46</v>
      </c>
      <c r="AS920" s="472" t="s">
        <v>223</v>
      </c>
      <c r="AT920" s="51">
        <v>41957</v>
      </c>
      <c r="AU920" s="51">
        <v>41957</v>
      </c>
      <c r="AV920" s="51">
        <v>42004</v>
      </c>
      <c r="AW920" s="29">
        <v>2014</v>
      </c>
      <c r="AX920" s="41"/>
      <c r="AY920" s="135" t="s">
        <v>186</v>
      </c>
      <c r="AZ920" s="472"/>
      <c r="BA920" s="41">
        <v>2014</v>
      </c>
      <c r="BB920" s="41" t="s">
        <v>7376</v>
      </c>
      <c r="BC920" s="41" t="s">
        <v>7377</v>
      </c>
      <c r="BD920" s="41" t="s">
        <v>7378</v>
      </c>
      <c r="BE920" s="752" t="s">
        <v>7379</v>
      </c>
      <c r="BF920" s="741">
        <v>507140.25839999999</v>
      </c>
      <c r="BG920" s="741">
        <f>BF920</f>
        <v>507140.25839999999</v>
      </c>
      <c r="BH920" s="34">
        <v>40</v>
      </c>
      <c r="BI920" s="34"/>
      <c r="BJ920" s="741" t="s">
        <v>186</v>
      </c>
      <c r="BK920" s="472"/>
    </row>
    <row r="921" spans="1:63" s="199" customFormat="1" ht="93.75">
      <c r="A921" s="38">
        <v>2</v>
      </c>
      <c r="B921" s="38" t="s">
        <v>7380</v>
      </c>
      <c r="C921" s="38" t="s">
        <v>83</v>
      </c>
      <c r="D921" s="41" t="s">
        <v>160</v>
      </c>
      <c r="E921" s="41" t="s">
        <v>5853</v>
      </c>
      <c r="F921" s="41" t="s">
        <v>4620</v>
      </c>
      <c r="G921" s="472">
        <v>31</v>
      </c>
      <c r="H921" s="715">
        <v>62122</v>
      </c>
      <c r="I921" s="16" t="s">
        <v>7381</v>
      </c>
      <c r="J921" s="472" t="s">
        <v>4282</v>
      </c>
      <c r="K921" s="472" t="s">
        <v>4917</v>
      </c>
      <c r="L921" s="472" t="s">
        <v>438</v>
      </c>
      <c r="M921" s="745" t="s">
        <v>4170</v>
      </c>
      <c r="N921" s="746" t="s">
        <v>4171</v>
      </c>
      <c r="O921" s="29" t="s">
        <v>167</v>
      </c>
      <c r="P921" s="753">
        <f>533881.38/1.18</f>
        <v>452441.84745762713</v>
      </c>
      <c r="Q921" s="34">
        <f t="shared" si="129"/>
        <v>533881.38</v>
      </c>
      <c r="R921" s="34"/>
      <c r="S921" s="29"/>
      <c r="T921" s="29"/>
      <c r="U921" s="29"/>
      <c r="V921" s="29"/>
      <c r="W921" s="29"/>
      <c r="X921" s="29"/>
      <c r="Y921" s="34">
        <v>452441.84745762713</v>
      </c>
      <c r="Z921" s="34">
        <f t="shared" si="130"/>
        <v>533881.38</v>
      </c>
      <c r="AA921" s="34">
        <v>452441.84745762713</v>
      </c>
      <c r="AB921" s="34">
        <f t="shared" si="131"/>
        <v>533881.38</v>
      </c>
      <c r="AC921" s="34">
        <v>452441.84745762713</v>
      </c>
      <c r="AD921" s="717">
        <f t="shared" si="132"/>
        <v>533881.38</v>
      </c>
      <c r="AE921" s="472" t="s">
        <v>218</v>
      </c>
      <c r="AF921" s="472" t="s">
        <v>83</v>
      </c>
      <c r="AG921" s="472" t="s">
        <v>211</v>
      </c>
      <c r="AH921" s="472" t="s">
        <v>545</v>
      </c>
      <c r="AI921" s="51">
        <v>41912</v>
      </c>
      <c r="AJ921" s="51">
        <v>41957</v>
      </c>
      <c r="AK921" s="747"/>
      <c r="AL921" s="41"/>
      <c r="AM921" s="29" t="s">
        <v>4159</v>
      </c>
      <c r="AN921" s="754" t="s">
        <v>1757</v>
      </c>
      <c r="AO921" s="472">
        <v>796</v>
      </c>
      <c r="AP921" s="472" t="s">
        <v>368</v>
      </c>
      <c r="AQ921" s="29">
        <v>1</v>
      </c>
      <c r="AR921" s="472">
        <v>45</v>
      </c>
      <c r="AS921" s="754" t="s">
        <v>547</v>
      </c>
      <c r="AT921" s="51">
        <v>41957</v>
      </c>
      <c r="AU921" s="51">
        <v>41957</v>
      </c>
      <c r="AV921" s="51">
        <v>42004</v>
      </c>
      <c r="AW921" s="29">
        <v>2014</v>
      </c>
      <c r="AX921" s="754"/>
      <c r="AY921" s="135" t="s">
        <v>186</v>
      </c>
      <c r="AZ921" s="472"/>
      <c r="BA921" s="472">
        <v>2014</v>
      </c>
      <c r="BB921" s="472" t="s">
        <v>2970</v>
      </c>
      <c r="BC921" s="754" t="s">
        <v>2971</v>
      </c>
      <c r="BD921" s="754" t="s">
        <v>1779</v>
      </c>
      <c r="BE921" s="742" t="s">
        <v>7291</v>
      </c>
      <c r="BF921" s="741">
        <v>4017994.0542600001</v>
      </c>
      <c r="BG921" s="741">
        <f>BF921</f>
        <v>4017994.0542600001</v>
      </c>
      <c r="BH921" s="34">
        <v>700</v>
      </c>
      <c r="BI921" s="34">
        <v>0</v>
      </c>
      <c r="BJ921" s="472" t="s">
        <v>186</v>
      </c>
      <c r="BK921" s="472"/>
    </row>
    <row r="922" spans="1:63" s="199" customFormat="1" ht="131.25">
      <c r="A922" s="38">
        <v>2</v>
      </c>
      <c r="B922" s="38" t="s">
        <v>7382</v>
      </c>
      <c r="C922" s="38" t="s">
        <v>83</v>
      </c>
      <c r="D922" s="41" t="s">
        <v>231</v>
      </c>
      <c r="E922" s="41" t="s">
        <v>5853</v>
      </c>
      <c r="F922" s="41" t="s">
        <v>4620</v>
      </c>
      <c r="G922" s="472">
        <v>31</v>
      </c>
      <c r="H922" s="715">
        <v>62123</v>
      </c>
      <c r="I922" s="722" t="s">
        <v>7383</v>
      </c>
      <c r="J922" s="472" t="s">
        <v>4282</v>
      </c>
      <c r="K922" s="472" t="s">
        <v>4917</v>
      </c>
      <c r="L922" s="472" t="s">
        <v>438</v>
      </c>
      <c r="M922" s="745" t="s">
        <v>4170</v>
      </c>
      <c r="N922" s="746" t="s">
        <v>4171</v>
      </c>
      <c r="O922" s="29" t="s">
        <v>167</v>
      </c>
      <c r="P922" s="456">
        <f>972.42+1684.8+837+26858.3+1485+1485+10018.85</f>
        <v>43341.37</v>
      </c>
      <c r="Q922" s="34">
        <f t="shared" si="129"/>
        <v>51142.816599999998</v>
      </c>
      <c r="R922" s="34"/>
      <c r="S922" s="29"/>
      <c r="T922" s="29"/>
      <c r="U922" s="29"/>
      <c r="V922" s="29"/>
      <c r="W922" s="29"/>
      <c r="X922" s="29"/>
      <c r="Y922" s="34">
        <v>43341.37</v>
      </c>
      <c r="Z922" s="34">
        <f t="shared" si="130"/>
        <v>51142.816599999998</v>
      </c>
      <c r="AA922" s="34">
        <v>43341.37</v>
      </c>
      <c r="AB922" s="34">
        <f t="shared" si="131"/>
        <v>51142.816599999998</v>
      </c>
      <c r="AC922" s="34">
        <v>43341.37</v>
      </c>
      <c r="AD922" s="717">
        <f t="shared" si="132"/>
        <v>51142.816599999998</v>
      </c>
      <c r="AE922" s="472" t="s">
        <v>169</v>
      </c>
      <c r="AF922" s="41" t="s">
        <v>83</v>
      </c>
      <c r="AG922" s="41" t="s">
        <v>83</v>
      </c>
      <c r="AH922" s="41" t="s">
        <v>90</v>
      </c>
      <c r="AI922" s="51">
        <v>41912</v>
      </c>
      <c r="AJ922" s="51">
        <v>41957</v>
      </c>
      <c r="AK922" s="747"/>
      <c r="AL922" s="41"/>
      <c r="AM922" s="29" t="s">
        <v>4159</v>
      </c>
      <c r="AN922" s="41" t="s">
        <v>1757</v>
      </c>
      <c r="AO922" s="11">
        <v>796</v>
      </c>
      <c r="AP922" s="29" t="s">
        <v>368</v>
      </c>
      <c r="AQ922" s="29">
        <v>1</v>
      </c>
      <c r="AR922" s="41">
        <v>46</v>
      </c>
      <c r="AS922" s="472" t="s">
        <v>223</v>
      </c>
      <c r="AT922" s="51">
        <v>41957</v>
      </c>
      <c r="AU922" s="51">
        <v>41957</v>
      </c>
      <c r="AV922" s="51">
        <v>42004</v>
      </c>
      <c r="AW922" s="29">
        <v>2014</v>
      </c>
      <c r="AX922" s="41"/>
      <c r="AY922" s="135" t="s">
        <v>186</v>
      </c>
      <c r="AZ922" s="472"/>
      <c r="BA922" s="41">
        <v>2014</v>
      </c>
      <c r="BB922" s="41" t="s">
        <v>2581</v>
      </c>
      <c r="BC922" s="41" t="s">
        <v>7384</v>
      </c>
      <c r="BD922" s="41" t="s">
        <v>7385</v>
      </c>
      <c r="BE922" s="749">
        <v>42004</v>
      </c>
      <c r="BF922" s="741">
        <v>82914.446400000001</v>
      </c>
      <c r="BG922" s="741">
        <f>BF922</f>
        <v>82914.446400000001</v>
      </c>
      <c r="BH922" s="34">
        <v>12.6</v>
      </c>
      <c r="BI922" s="34"/>
      <c r="BJ922" s="472" t="s">
        <v>186</v>
      </c>
      <c r="BK922" s="472"/>
    </row>
    <row r="923" spans="1:63" s="199" customFormat="1" ht="150">
      <c r="A923" s="38">
        <v>2</v>
      </c>
      <c r="B923" s="38" t="s">
        <v>7386</v>
      </c>
      <c r="C923" s="38" t="s">
        <v>83</v>
      </c>
      <c r="D923" s="41" t="s">
        <v>231</v>
      </c>
      <c r="E923" s="41" t="s">
        <v>5853</v>
      </c>
      <c r="F923" s="41" t="s">
        <v>4620</v>
      </c>
      <c r="G923" s="472">
        <v>31</v>
      </c>
      <c r="H923" s="715">
        <v>62124</v>
      </c>
      <c r="I923" s="722" t="s">
        <v>7387</v>
      </c>
      <c r="J923" s="472" t="s">
        <v>4282</v>
      </c>
      <c r="K923" s="472" t="s">
        <v>4917</v>
      </c>
      <c r="L923" s="472" t="s">
        <v>438</v>
      </c>
      <c r="M923" s="745" t="s">
        <v>4170</v>
      </c>
      <c r="N923" s="746" t="s">
        <v>4171</v>
      </c>
      <c r="O923" s="29" t="s">
        <v>167</v>
      </c>
      <c r="P923" s="456">
        <f>5608.1812+10427.68+7609.52+1863.33+51420.26+11342.01+20000+3389.49+31363.75+2999.12+1141.95</f>
        <v>147165.29120000001</v>
      </c>
      <c r="Q923" s="34">
        <f t="shared" si="129"/>
        <v>173655.04361600001</v>
      </c>
      <c r="R923" s="34"/>
      <c r="S923" s="29"/>
      <c r="T923" s="29"/>
      <c r="U923" s="29"/>
      <c r="V923" s="29"/>
      <c r="W923" s="29"/>
      <c r="X923" s="29"/>
      <c r="Y923" s="34">
        <v>147165.29120000001</v>
      </c>
      <c r="Z923" s="34">
        <f t="shared" si="130"/>
        <v>173655.04361600001</v>
      </c>
      <c r="AA923" s="34">
        <v>147165.29120000001</v>
      </c>
      <c r="AB923" s="34">
        <f t="shared" si="131"/>
        <v>173655.04361600001</v>
      </c>
      <c r="AC923" s="34">
        <v>147165.29120000001</v>
      </c>
      <c r="AD923" s="717">
        <f t="shared" si="132"/>
        <v>173655.04361600001</v>
      </c>
      <c r="AE923" s="472" t="s">
        <v>169</v>
      </c>
      <c r="AF923" s="41" t="s">
        <v>83</v>
      </c>
      <c r="AG923" s="41" t="s">
        <v>83</v>
      </c>
      <c r="AH923" s="41" t="s">
        <v>90</v>
      </c>
      <c r="AI923" s="51">
        <v>41912</v>
      </c>
      <c r="AJ923" s="51">
        <v>41957</v>
      </c>
      <c r="AK923" s="747"/>
      <c r="AL923" s="41"/>
      <c r="AM923" s="29" t="s">
        <v>4159</v>
      </c>
      <c r="AN923" s="41" t="s">
        <v>1757</v>
      </c>
      <c r="AO923" s="11">
        <v>796</v>
      </c>
      <c r="AP923" s="29" t="s">
        <v>368</v>
      </c>
      <c r="AQ923" s="29">
        <v>1</v>
      </c>
      <c r="AR923" s="41">
        <v>46</v>
      </c>
      <c r="AS923" s="472" t="s">
        <v>223</v>
      </c>
      <c r="AT923" s="51">
        <v>41957</v>
      </c>
      <c r="AU923" s="51">
        <v>41957</v>
      </c>
      <c r="AV923" s="51">
        <v>42004</v>
      </c>
      <c r="AW923" s="29">
        <v>2014</v>
      </c>
      <c r="AX923" s="41"/>
      <c r="AY923" s="135" t="s">
        <v>186</v>
      </c>
      <c r="AZ923" s="472"/>
      <c r="BA923" s="41">
        <v>2014</v>
      </c>
      <c r="BB923" s="41" t="s">
        <v>4703</v>
      </c>
      <c r="BC923" s="41" t="s">
        <v>4705</v>
      </c>
      <c r="BD923" s="41" t="s">
        <v>7388</v>
      </c>
      <c r="BE923" s="752" t="s">
        <v>7325</v>
      </c>
      <c r="BF923" s="741">
        <f>735.2416688*1000</f>
        <v>735241.66879999998</v>
      </c>
      <c r="BG923" s="741">
        <f>586.95337*1000</f>
        <v>586953.37</v>
      </c>
      <c r="BH923" s="34">
        <v>126</v>
      </c>
      <c r="BI923" s="34"/>
      <c r="BJ923" s="472" t="s">
        <v>186</v>
      </c>
      <c r="BK923" s="472"/>
    </row>
    <row r="924" spans="1:63" s="199" customFormat="1" ht="187.5">
      <c r="A924" s="38">
        <v>2</v>
      </c>
      <c r="B924" s="38" t="s">
        <v>7389</v>
      </c>
      <c r="C924" s="38" t="s">
        <v>83</v>
      </c>
      <c r="D924" s="41" t="s">
        <v>231</v>
      </c>
      <c r="E924" s="41" t="s">
        <v>5853</v>
      </c>
      <c r="F924" s="41" t="s">
        <v>4620</v>
      </c>
      <c r="G924" s="472">
        <v>31</v>
      </c>
      <c r="H924" s="715">
        <v>62125</v>
      </c>
      <c r="I924" s="722" t="s">
        <v>7390</v>
      </c>
      <c r="J924" s="472" t="s">
        <v>4282</v>
      </c>
      <c r="K924" s="472" t="s">
        <v>4917</v>
      </c>
      <c r="L924" s="472" t="s">
        <v>438</v>
      </c>
      <c r="M924" s="745" t="s">
        <v>4170</v>
      </c>
      <c r="N924" s="746" t="s">
        <v>4171</v>
      </c>
      <c r="O924" s="29" t="s">
        <v>167</v>
      </c>
      <c r="P924" s="456">
        <f>39018.21902+22875+16332.75+8337.49+86931.72+2723.83+15066.64+947.4+8655.09+89617.13+843+1823.46</f>
        <v>293171.72901999997</v>
      </c>
      <c r="Q924" s="34">
        <f t="shared" si="129"/>
        <v>345942.64024359995</v>
      </c>
      <c r="R924" s="34"/>
      <c r="S924" s="29"/>
      <c r="T924" s="29"/>
      <c r="U924" s="29"/>
      <c r="V924" s="29"/>
      <c r="W924" s="29"/>
      <c r="X924" s="29"/>
      <c r="Y924" s="34">
        <v>293171.72901999997</v>
      </c>
      <c r="Z924" s="34">
        <f t="shared" si="130"/>
        <v>345942.64024359995</v>
      </c>
      <c r="AA924" s="34">
        <v>293171.72901999997</v>
      </c>
      <c r="AB924" s="34">
        <f t="shared" si="131"/>
        <v>345942.64024359995</v>
      </c>
      <c r="AC924" s="34">
        <v>293171.72901999997</v>
      </c>
      <c r="AD924" s="717">
        <f t="shared" si="132"/>
        <v>345942.64024359995</v>
      </c>
      <c r="AE924" s="472" t="s">
        <v>169</v>
      </c>
      <c r="AF924" s="41" t="s">
        <v>83</v>
      </c>
      <c r="AG924" s="41" t="s">
        <v>83</v>
      </c>
      <c r="AH924" s="41" t="s">
        <v>90</v>
      </c>
      <c r="AI924" s="51">
        <v>41912</v>
      </c>
      <c r="AJ924" s="51">
        <v>41957</v>
      </c>
      <c r="AK924" s="747"/>
      <c r="AL924" s="41"/>
      <c r="AM924" s="29" t="s">
        <v>4159</v>
      </c>
      <c r="AN924" s="41" t="s">
        <v>1757</v>
      </c>
      <c r="AO924" s="11">
        <v>796</v>
      </c>
      <c r="AP924" s="29" t="s">
        <v>368</v>
      </c>
      <c r="AQ924" s="29">
        <v>1</v>
      </c>
      <c r="AR924" s="41">
        <v>46</v>
      </c>
      <c r="AS924" s="472" t="s">
        <v>223</v>
      </c>
      <c r="AT924" s="51">
        <v>41957</v>
      </c>
      <c r="AU924" s="51">
        <v>41957</v>
      </c>
      <c r="AV924" s="51">
        <v>42004</v>
      </c>
      <c r="AW924" s="29">
        <v>2014</v>
      </c>
      <c r="AX924" s="41"/>
      <c r="AY924" s="135" t="s">
        <v>186</v>
      </c>
      <c r="AZ924" s="472"/>
      <c r="BA924" s="41">
        <v>2014</v>
      </c>
      <c r="BB924" s="41" t="s">
        <v>2600</v>
      </c>
      <c r="BC924" s="41" t="s">
        <v>7391</v>
      </c>
      <c r="BD924" s="41" t="s">
        <v>7392</v>
      </c>
      <c r="BE924" s="752" t="s">
        <v>7288</v>
      </c>
      <c r="BF924" s="741">
        <v>1131128.3293999997</v>
      </c>
      <c r="BG924" s="741">
        <v>1131128.3293999997</v>
      </c>
      <c r="BH924" s="34">
        <v>160</v>
      </c>
      <c r="BI924" s="34"/>
      <c r="BJ924" s="472" t="s">
        <v>186</v>
      </c>
      <c r="BK924" s="472"/>
    </row>
    <row r="925" spans="1:63" s="199" customFormat="1" ht="187.5">
      <c r="A925" s="38">
        <v>2</v>
      </c>
      <c r="B925" s="38" t="s">
        <v>7393</v>
      </c>
      <c r="C925" s="38" t="s">
        <v>83</v>
      </c>
      <c r="D925" s="41" t="s">
        <v>231</v>
      </c>
      <c r="E925" s="41" t="s">
        <v>5853</v>
      </c>
      <c r="F925" s="41" t="s">
        <v>4620</v>
      </c>
      <c r="G925" s="472">
        <v>31</v>
      </c>
      <c r="H925" s="715">
        <v>62126</v>
      </c>
      <c r="I925" s="722" t="s">
        <v>7394</v>
      </c>
      <c r="J925" s="472" t="s">
        <v>4282</v>
      </c>
      <c r="K925" s="472" t="s">
        <v>4917</v>
      </c>
      <c r="L925" s="472" t="s">
        <v>438</v>
      </c>
      <c r="M925" s="745" t="s">
        <v>4170</v>
      </c>
      <c r="N925" s="746" t="s">
        <v>4171</v>
      </c>
      <c r="O925" s="29" t="s">
        <v>167</v>
      </c>
      <c r="P925" s="456">
        <f>44230.38699+5557.48+2007.13+981.41+15972.26+1057.93+730.91+5485.93+46231.1+1031.44+24828.51</f>
        <v>148114.48699</v>
      </c>
      <c r="Q925" s="34">
        <f t="shared" si="129"/>
        <v>174775.0946482</v>
      </c>
      <c r="R925" s="34"/>
      <c r="S925" s="29"/>
      <c r="T925" s="29"/>
      <c r="U925" s="29"/>
      <c r="V925" s="29"/>
      <c r="W925" s="29"/>
      <c r="X925" s="29"/>
      <c r="Y925" s="34">
        <v>148114.48699</v>
      </c>
      <c r="Z925" s="34">
        <f t="shared" si="130"/>
        <v>174775.0946482</v>
      </c>
      <c r="AA925" s="34">
        <v>148114.48699</v>
      </c>
      <c r="AB925" s="34">
        <f t="shared" si="131"/>
        <v>174775.0946482</v>
      </c>
      <c r="AC925" s="34">
        <v>148114.48699</v>
      </c>
      <c r="AD925" s="717">
        <f t="shared" si="132"/>
        <v>174775.0946482</v>
      </c>
      <c r="AE925" s="472" t="s">
        <v>169</v>
      </c>
      <c r="AF925" s="41" t="s">
        <v>83</v>
      </c>
      <c r="AG925" s="41" t="s">
        <v>83</v>
      </c>
      <c r="AH925" s="41" t="s">
        <v>90</v>
      </c>
      <c r="AI925" s="51">
        <v>41912</v>
      </c>
      <c r="AJ925" s="51">
        <v>41957</v>
      </c>
      <c r="AK925" s="747" t="s">
        <v>132</v>
      </c>
      <c r="AL925" s="41" t="s">
        <v>132</v>
      </c>
      <c r="AM925" s="29" t="s">
        <v>4159</v>
      </c>
      <c r="AN925" s="41" t="s">
        <v>132</v>
      </c>
      <c r="AO925" s="11">
        <v>796</v>
      </c>
      <c r="AP925" s="29" t="s">
        <v>368</v>
      </c>
      <c r="AQ925" s="29">
        <v>1</v>
      </c>
      <c r="AR925" s="41">
        <v>46</v>
      </c>
      <c r="AS925" s="472" t="s">
        <v>223</v>
      </c>
      <c r="AT925" s="51">
        <v>41957</v>
      </c>
      <c r="AU925" s="51">
        <v>41957</v>
      </c>
      <c r="AV925" s="51">
        <v>42004</v>
      </c>
      <c r="AW925" s="29">
        <v>2014</v>
      </c>
      <c r="AX925" s="41" t="s">
        <v>132</v>
      </c>
      <c r="AY925" s="135" t="s">
        <v>186</v>
      </c>
      <c r="AZ925" s="472" t="s">
        <v>132</v>
      </c>
      <c r="BA925" s="41">
        <v>2014</v>
      </c>
      <c r="BB925" s="41" t="s">
        <v>7395</v>
      </c>
      <c r="BC925" s="41" t="s">
        <v>7396</v>
      </c>
      <c r="BD925" s="41" t="s">
        <v>7397</v>
      </c>
      <c r="BE925" s="752" t="s">
        <v>7398</v>
      </c>
      <c r="BF925" s="741">
        <f>861.6725328*1000</f>
        <v>861672.53280000004</v>
      </c>
      <c r="BG925" s="741">
        <f>584.1327922*1000</f>
        <v>584132.79220000003</v>
      </c>
      <c r="BH925" s="34">
        <v>126</v>
      </c>
      <c r="BI925" s="34"/>
      <c r="BJ925" s="472" t="s">
        <v>186</v>
      </c>
      <c r="BK925" s="472"/>
    </row>
    <row r="926" spans="1:63" s="199" customFormat="1" ht="206.25">
      <c r="A926" s="38">
        <v>2</v>
      </c>
      <c r="B926" s="38" t="s">
        <v>7399</v>
      </c>
      <c r="C926" s="38" t="s">
        <v>83</v>
      </c>
      <c r="D926" s="41" t="s">
        <v>231</v>
      </c>
      <c r="E926" s="41" t="s">
        <v>5853</v>
      </c>
      <c r="F926" s="41" t="s">
        <v>4620</v>
      </c>
      <c r="G926" s="472">
        <v>31</v>
      </c>
      <c r="H926" s="715">
        <v>62127</v>
      </c>
      <c r="I926" s="722" t="s">
        <v>7400</v>
      </c>
      <c r="J926" s="472" t="s">
        <v>4282</v>
      </c>
      <c r="K926" s="472" t="s">
        <v>4917</v>
      </c>
      <c r="L926" s="472" t="s">
        <v>438</v>
      </c>
      <c r="M926" s="745" t="s">
        <v>4170</v>
      </c>
      <c r="N926" s="746" t="s">
        <v>4171</v>
      </c>
      <c r="O926" s="29" t="s">
        <v>167</v>
      </c>
      <c r="P926" s="456">
        <f>80632.48935+1857.06+7609.52+129598.99+12900.99+60791.32+6016.54+68474.91+1413.1+3558.65</f>
        <v>372853.56935000001</v>
      </c>
      <c r="Q926" s="34">
        <f t="shared" si="129"/>
        <v>439967.21183300001</v>
      </c>
      <c r="R926" s="34"/>
      <c r="S926" s="29"/>
      <c r="T926" s="29"/>
      <c r="U926" s="29"/>
      <c r="V926" s="29"/>
      <c r="W926" s="29"/>
      <c r="X926" s="29"/>
      <c r="Y926" s="34">
        <v>372853.56935000001</v>
      </c>
      <c r="Z926" s="34">
        <f t="shared" si="130"/>
        <v>439967.21183300001</v>
      </c>
      <c r="AA926" s="34">
        <v>372853.56935000001</v>
      </c>
      <c r="AB926" s="34">
        <f t="shared" si="131"/>
        <v>439967.21183300001</v>
      </c>
      <c r="AC926" s="34">
        <v>372853.56935000001</v>
      </c>
      <c r="AD926" s="717">
        <f t="shared" si="132"/>
        <v>439967.21183300001</v>
      </c>
      <c r="AE926" s="472" t="s">
        <v>169</v>
      </c>
      <c r="AF926" s="41" t="s">
        <v>83</v>
      </c>
      <c r="AG926" s="41" t="s">
        <v>83</v>
      </c>
      <c r="AH926" s="41" t="s">
        <v>90</v>
      </c>
      <c r="AI926" s="51">
        <v>41912</v>
      </c>
      <c r="AJ926" s="51">
        <v>41957</v>
      </c>
      <c r="AK926" s="747"/>
      <c r="AL926" s="41"/>
      <c r="AM926" s="29" t="s">
        <v>4159</v>
      </c>
      <c r="AN926" s="41" t="s">
        <v>1757</v>
      </c>
      <c r="AO926" s="11">
        <v>796</v>
      </c>
      <c r="AP926" s="29" t="s">
        <v>368</v>
      </c>
      <c r="AQ926" s="29">
        <v>1</v>
      </c>
      <c r="AR926" s="41">
        <v>46</v>
      </c>
      <c r="AS926" s="472" t="s">
        <v>223</v>
      </c>
      <c r="AT926" s="51">
        <v>41957</v>
      </c>
      <c r="AU926" s="51">
        <v>41957</v>
      </c>
      <c r="AV926" s="51">
        <v>42004</v>
      </c>
      <c r="AW926" s="29">
        <v>2014</v>
      </c>
      <c r="AX926" s="41"/>
      <c r="AY926" s="135" t="s">
        <v>186</v>
      </c>
      <c r="AZ926" s="472"/>
      <c r="BA926" s="41">
        <v>2014</v>
      </c>
      <c r="BB926" s="41" t="s">
        <v>5707</v>
      </c>
      <c r="BC926" s="41" t="s">
        <v>5708</v>
      </c>
      <c r="BD926" s="41" t="s">
        <v>7401</v>
      </c>
      <c r="BE926" s="749">
        <v>42004</v>
      </c>
      <c r="BF926" s="741">
        <v>741697.26</v>
      </c>
      <c r="BG926" s="741">
        <f>BF926</f>
        <v>741697.26</v>
      </c>
      <c r="BH926" s="34">
        <v>189</v>
      </c>
      <c r="BI926" s="34"/>
      <c r="BJ926" s="472" t="s">
        <v>186</v>
      </c>
      <c r="BK926" s="472"/>
    </row>
    <row r="927" spans="1:63" s="199" customFormat="1" ht="56.25">
      <c r="A927" s="38">
        <v>2</v>
      </c>
      <c r="B927" s="38" t="s">
        <v>7402</v>
      </c>
      <c r="C927" s="38" t="s">
        <v>83</v>
      </c>
      <c r="D927" s="41" t="s">
        <v>231</v>
      </c>
      <c r="E927" s="41" t="s">
        <v>5853</v>
      </c>
      <c r="F927" s="41" t="s">
        <v>4620</v>
      </c>
      <c r="G927" s="472">
        <v>31</v>
      </c>
      <c r="H927" s="715">
        <v>62128</v>
      </c>
      <c r="I927" s="722" t="s">
        <v>7403</v>
      </c>
      <c r="J927" s="472" t="s">
        <v>4282</v>
      </c>
      <c r="K927" s="472" t="s">
        <v>4917</v>
      </c>
      <c r="L927" s="472" t="s">
        <v>438</v>
      </c>
      <c r="M927" s="745" t="s">
        <v>4170</v>
      </c>
      <c r="N927" s="746" t="s">
        <v>4171</v>
      </c>
      <c r="O927" s="29" t="s">
        <v>167</v>
      </c>
      <c r="P927" s="456">
        <v>15000</v>
      </c>
      <c r="Q927" s="34">
        <f t="shared" si="129"/>
        <v>17700</v>
      </c>
      <c r="R927" s="34"/>
      <c r="S927" s="29"/>
      <c r="T927" s="29"/>
      <c r="U927" s="29"/>
      <c r="V927" s="29"/>
      <c r="W927" s="29"/>
      <c r="X927" s="29"/>
      <c r="Y927" s="34">
        <v>15000</v>
      </c>
      <c r="Z927" s="34">
        <f t="shared" si="130"/>
        <v>17700</v>
      </c>
      <c r="AA927" s="34">
        <v>15000</v>
      </c>
      <c r="AB927" s="34">
        <f t="shared" si="131"/>
        <v>17700</v>
      </c>
      <c r="AC927" s="34">
        <v>15000</v>
      </c>
      <c r="AD927" s="717">
        <f t="shared" si="132"/>
        <v>17700</v>
      </c>
      <c r="AE927" s="472" t="s">
        <v>169</v>
      </c>
      <c r="AF927" s="41" t="s">
        <v>83</v>
      </c>
      <c r="AG927" s="41" t="s">
        <v>83</v>
      </c>
      <c r="AH927" s="41" t="s">
        <v>90</v>
      </c>
      <c r="AI927" s="51">
        <v>41912</v>
      </c>
      <c r="AJ927" s="51">
        <v>41957</v>
      </c>
      <c r="AK927" s="747"/>
      <c r="AL927" s="41"/>
      <c r="AM927" s="29" t="s">
        <v>4159</v>
      </c>
      <c r="AN927" s="41" t="s">
        <v>1757</v>
      </c>
      <c r="AO927" s="11">
        <v>796</v>
      </c>
      <c r="AP927" s="29" t="s">
        <v>368</v>
      </c>
      <c r="AQ927" s="29">
        <v>1</v>
      </c>
      <c r="AR927" s="41">
        <v>46</v>
      </c>
      <c r="AS927" s="472" t="s">
        <v>223</v>
      </c>
      <c r="AT927" s="51">
        <v>41957</v>
      </c>
      <c r="AU927" s="51">
        <v>41957</v>
      </c>
      <c r="AV927" s="51">
        <v>42004</v>
      </c>
      <c r="AW927" s="29">
        <v>2014</v>
      </c>
      <c r="AX927" s="41"/>
      <c r="AY927" s="135" t="s">
        <v>186</v>
      </c>
      <c r="AZ927" s="472"/>
      <c r="BA927" s="41">
        <v>2014</v>
      </c>
      <c r="BB927" s="41" t="s">
        <v>4755</v>
      </c>
      <c r="BC927" s="41" t="s">
        <v>7404</v>
      </c>
      <c r="BD927" s="41" t="s">
        <v>7405</v>
      </c>
      <c r="BE927" s="752" t="s">
        <v>7406</v>
      </c>
      <c r="BF927" s="741">
        <f>153.2160616*1000</f>
        <v>153216.06159999999</v>
      </c>
      <c r="BG927" s="741">
        <f>140.62414*1000</f>
        <v>140624.14000000001</v>
      </c>
      <c r="BH927" s="34">
        <v>20</v>
      </c>
      <c r="BI927" s="34"/>
      <c r="BJ927" s="472" t="s">
        <v>186</v>
      </c>
      <c r="BK927" s="472"/>
    </row>
    <row r="928" spans="1:63" s="199" customFormat="1" ht="93.75">
      <c r="A928" s="38">
        <v>2</v>
      </c>
      <c r="B928" s="38" t="s">
        <v>7407</v>
      </c>
      <c r="C928" s="38" t="s">
        <v>83</v>
      </c>
      <c r="D928" s="41" t="s">
        <v>245</v>
      </c>
      <c r="E928" s="41" t="s">
        <v>5853</v>
      </c>
      <c r="F928" s="41" t="s">
        <v>4620</v>
      </c>
      <c r="G928" s="472">
        <v>31</v>
      </c>
      <c r="H928" s="715">
        <v>62129</v>
      </c>
      <c r="I928" s="72" t="s">
        <v>7408</v>
      </c>
      <c r="J928" s="472" t="s">
        <v>4282</v>
      </c>
      <c r="K928" s="472" t="s">
        <v>4917</v>
      </c>
      <c r="L928" s="472" t="s">
        <v>438</v>
      </c>
      <c r="M928" s="745" t="s">
        <v>4170</v>
      </c>
      <c r="N928" s="746" t="s">
        <v>4171</v>
      </c>
      <c r="O928" s="29" t="s">
        <v>167</v>
      </c>
      <c r="P928" s="456">
        <f>468755.87+17700/1.18</f>
        <v>483755.87</v>
      </c>
      <c r="Q928" s="34">
        <f t="shared" si="129"/>
        <v>570831.92660000001</v>
      </c>
      <c r="R928" s="34"/>
      <c r="S928" s="29"/>
      <c r="T928" s="29"/>
      <c r="U928" s="29"/>
      <c r="V928" s="29"/>
      <c r="W928" s="29"/>
      <c r="X928" s="29"/>
      <c r="Y928" s="34">
        <v>483755.87</v>
      </c>
      <c r="Z928" s="34">
        <f t="shared" si="130"/>
        <v>570831.92660000001</v>
      </c>
      <c r="AA928" s="34">
        <v>483755.87</v>
      </c>
      <c r="AB928" s="34">
        <f t="shared" si="131"/>
        <v>570831.92660000001</v>
      </c>
      <c r="AC928" s="34">
        <v>483755.87</v>
      </c>
      <c r="AD928" s="717">
        <f t="shared" si="132"/>
        <v>570831.92660000001</v>
      </c>
      <c r="AE928" s="472" t="s">
        <v>169</v>
      </c>
      <c r="AF928" s="41" t="s">
        <v>83</v>
      </c>
      <c r="AG928" s="41" t="s">
        <v>83</v>
      </c>
      <c r="AH928" s="41" t="s">
        <v>90</v>
      </c>
      <c r="AI928" s="51">
        <v>41912</v>
      </c>
      <c r="AJ928" s="51">
        <v>41957</v>
      </c>
      <c r="AK928" s="747"/>
      <c r="AL928" s="41"/>
      <c r="AM928" s="29" t="s">
        <v>4159</v>
      </c>
      <c r="AN928" s="41" t="s">
        <v>1757</v>
      </c>
      <c r="AO928" s="11">
        <v>796</v>
      </c>
      <c r="AP928" s="29" t="s">
        <v>368</v>
      </c>
      <c r="AQ928" s="29">
        <v>1</v>
      </c>
      <c r="AR928" s="41">
        <v>45</v>
      </c>
      <c r="AS928" s="472" t="s">
        <v>7369</v>
      </c>
      <c r="AT928" s="51">
        <v>41957</v>
      </c>
      <c r="AU928" s="51">
        <v>41957</v>
      </c>
      <c r="AV928" s="51">
        <v>42004</v>
      </c>
      <c r="AW928" s="29">
        <v>2014</v>
      </c>
      <c r="AX928" s="41"/>
      <c r="AY928" s="135" t="s">
        <v>186</v>
      </c>
      <c r="AZ928" s="472"/>
      <c r="BA928" s="41">
        <v>2014</v>
      </c>
      <c r="BB928" s="472" t="s">
        <v>2255</v>
      </c>
      <c r="BC928" s="41" t="s">
        <v>2256</v>
      </c>
      <c r="BD928" s="41" t="s">
        <v>1818</v>
      </c>
      <c r="BE928" s="749">
        <v>43465</v>
      </c>
      <c r="BF928" s="741">
        <f>1861.033283*1000</f>
        <v>1861033.2830000001</v>
      </c>
      <c r="BG928" s="741">
        <f>1302.72329999*1000</f>
        <v>1302723.29999</v>
      </c>
      <c r="BH928" s="34"/>
      <c r="BI928" s="34">
        <v>13.94</v>
      </c>
      <c r="BJ928" s="472" t="s">
        <v>186</v>
      </c>
      <c r="BK928" s="472"/>
    </row>
    <row r="929" spans="1:63" s="199" customFormat="1" ht="75">
      <c r="A929" s="38">
        <v>2</v>
      </c>
      <c r="B929" s="38" t="s">
        <v>7409</v>
      </c>
      <c r="C929" s="38" t="s">
        <v>83</v>
      </c>
      <c r="D929" s="41" t="s">
        <v>245</v>
      </c>
      <c r="E929" s="41" t="s">
        <v>5853</v>
      </c>
      <c r="F929" s="41" t="s">
        <v>4620</v>
      </c>
      <c r="G929" s="472">
        <v>31</v>
      </c>
      <c r="H929" s="715">
        <v>62130</v>
      </c>
      <c r="I929" s="16" t="s">
        <v>7410</v>
      </c>
      <c r="J929" s="472" t="s">
        <v>4282</v>
      </c>
      <c r="K929" s="472" t="s">
        <v>4917</v>
      </c>
      <c r="L929" s="472" t="s">
        <v>438</v>
      </c>
      <c r="M929" s="745" t="s">
        <v>4170</v>
      </c>
      <c r="N929" s="746" t="s">
        <v>4171</v>
      </c>
      <c r="O929" s="29" t="s">
        <v>167</v>
      </c>
      <c r="P929" s="753">
        <f>26786/1.18</f>
        <v>22700</v>
      </c>
      <c r="Q929" s="34">
        <f t="shared" si="129"/>
        <v>26786</v>
      </c>
      <c r="R929" s="34"/>
      <c r="S929" s="29"/>
      <c r="T929" s="29"/>
      <c r="U929" s="29"/>
      <c r="V929" s="29"/>
      <c r="W929" s="29"/>
      <c r="X929" s="29"/>
      <c r="Y929" s="34">
        <v>22700</v>
      </c>
      <c r="Z929" s="34">
        <f t="shared" si="130"/>
        <v>26786</v>
      </c>
      <c r="AA929" s="34">
        <v>22700</v>
      </c>
      <c r="AB929" s="34">
        <f t="shared" si="131"/>
        <v>26786</v>
      </c>
      <c r="AC929" s="34">
        <v>22700</v>
      </c>
      <c r="AD929" s="717">
        <f t="shared" si="132"/>
        <v>26786</v>
      </c>
      <c r="AE929" s="472" t="s">
        <v>218</v>
      </c>
      <c r="AF929" s="472" t="s">
        <v>83</v>
      </c>
      <c r="AG929" s="472" t="s">
        <v>211</v>
      </c>
      <c r="AH929" s="472" t="s">
        <v>545</v>
      </c>
      <c r="AI929" s="51">
        <v>41912</v>
      </c>
      <c r="AJ929" s="51">
        <v>41957</v>
      </c>
      <c r="AK929" s="472"/>
      <c r="AL929" s="472"/>
      <c r="AM929" s="29" t="s">
        <v>4159</v>
      </c>
      <c r="AN929" s="754" t="s">
        <v>1757</v>
      </c>
      <c r="AO929" s="472">
        <v>796</v>
      </c>
      <c r="AP929" s="472" t="s">
        <v>368</v>
      </c>
      <c r="AQ929" s="29">
        <v>1</v>
      </c>
      <c r="AR929" s="472">
        <v>45</v>
      </c>
      <c r="AS929" s="754" t="s">
        <v>547</v>
      </c>
      <c r="AT929" s="51">
        <v>41957</v>
      </c>
      <c r="AU929" s="51">
        <v>41957</v>
      </c>
      <c r="AV929" s="51">
        <v>42004</v>
      </c>
      <c r="AW929" s="29">
        <v>2014</v>
      </c>
      <c r="AX929" s="754"/>
      <c r="AY929" s="135" t="s">
        <v>186</v>
      </c>
      <c r="AZ929" s="472"/>
      <c r="BA929" s="472">
        <v>2014</v>
      </c>
      <c r="BB929" s="472" t="s">
        <v>2258</v>
      </c>
      <c r="BC929" s="754" t="s">
        <v>2259</v>
      </c>
      <c r="BD929" s="754" t="s">
        <v>7285</v>
      </c>
      <c r="BE929" s="742">
        <v>42339</v>
      </c>
      <c r="BF929" s="741">
        <v>659551.1</v>
      </c>
      <c r="BG929" s="741">
        <f>BF929</f>
        <v>659551.1</v>
      </c>
      <c r="BH929" s="34">
        <v>0</v>
      </c>
      <c r="BI929" s="34">
        <v>5.53</v>
      </c>
      <c r="BJ929" s="472" t="s">
        <v>186</v>
      </c>
      <c r="BK929" s="472"/>
    </row>
    <row r="930" spans="1:63" s="199" customFormat="1" ht="75">
      <c r="A930" s="38">
        <v>2</v>
      </c>
      <c r="B930" s="38" t="s">
        <v>7411</v>
      </c>
      <c r="C930" s="38" t="s">
        <v>83</v>
      </c>
      <c r="D930" s="41" t="s">
        <v>245</v>
      </c>
      <c r="E930" s="41" t="s">
        <v>5853</v>
      </c>
      <c r="F930" s="41" t="s">
        <v>4620</v>
      </c>
      <c r="G930" s="472">
        <v>31</v>
      </c>
      <c r="H930" s="715">
        <v>62131</v>
      </c>
      <c r="I930" s="16" t="s">
        <v>7412</v>
      </c>
      <c r="J930" s="472" t="s">
        <v>4282</v>
      </c>
      <c r="K930" s="472" t="s">
        <v>4917</v>
      </c>
      <c r="L930" s="472" t="s">
        <v>438</v>
      </c>
      <c r="M930" s="745" t="s">
        <v>4170</v>
      </c>
      <c r="N930" s="746" t="s">
        <v>4171</v>
      </c>
      <c r="O930" s="29" t="s">
        <v>167</v>
      </c>
      <c r="P930" s="753">
        <f>11800/1.18</f>
        <v>10000</v>
      </c>
      <c r="Q930" s="34">
        <f t="shared" si="129"/>
        <v>11800</v>
      </c>
      <c r="R930" s="34"/>
      <c r="S930" s="29"/>
      <c r="T930" s="29"/>
      <c r="U930" s="29"/>
      <c r="V930" s="29"/>
      <c r="W930" s="29"/>
      <c r="X930" s="29"/>
      <c r="Y930" s="34">
        <v>10000</v>
      </c>
      <c r="Z930" s="34">
        <f t="shared" si="130"/>
        <v>11800</v>
      </c>
      <c r="AA930" s="34">
        <v>10000</v>
      </c>
      <c r="AB930" s="34">
        <f t="shared" si="131"/>
        <v>11800</v>
      </c>
      <c r="AC930" s="34">
        <v>10000</v>
      </c>
      <c r="AD930" s="717">
        <f t="shared" si="132"/>
        <v>11800</v>
      </c>
      <c r="AE930" s="472" t="s">
        <v>218</v>
      </c>
      <c r="AF930" s="472" t="s">
        <v>83</v>
      </c>
      <c r="AG930" s="472" t="s">
        <v>211</v>
      </c>
      <c r="AH930" s="472" t="s">
        <v>545</v>
      </c>
      <c r="AI930" s="51">
        <v>41912</v>
      </c>
      <c r="AJ930" s="51">
        <v>41957</v>
      </c>
      <c r="AK930" s="472"/>
      <c r="AL930" s="472"/>
      <c r="AM930" s="29" t="s">
        <v>4159</v>
      </c>
      <c r="AN930" s="754" t="s">
        <v>1757</v>
      </c>
      <c r="AO930" s="472">
        <v>796</v>
      </c>
      <c r="AP930" s="472" t="s">
        <v>368</v>
      </c>
      <c r="AQ930" s="29">
        <v>1</v>
      </c>
      <c r="AR930" s="472">
        <v>45</v>
      </c>
      <c r="AS930" s="754" t="s">
        <v>547</v>
      </c>
      <c r="AT930" s="51">
        <v>41957</v>
      </c>
      <c r="AU930" s="51">
        <v>41957</v>
      </c>
      <c r="AV930" s="51">
        <v>42004</v>
      </c>
      <c r="AW930" s="29">
        <v>2014</v>
      </c>
      <c r="AX930" s="754"/>
      <c r="AY930" s="135" t="s">
        <v>186</v>
      </c>
      <c r="AZ930" s="472"/>
      <c r="BA930" s="472">
        <v>2014</v>
      </c>
      <c r="BB930" s="472" t="s">
        <v>2240</v>
      </c>
      <c r="BC930" s="754" t="s">
        <v>2241</v>
      </c>
      <c r="BD930" s="754" t="s">
        <v>1818</v>
      </c>
      <c r="BE930" s="742">
        <v>42339</v>
      </c>
      <c r="BF930" s="741">
        <f>944.1606806*1000</f>
        <v>944160.68059999996</v>
      </c>
      <c r="BG930" s="741">
        <v>660912.47805999999</v>
      </c>
      <c r="BH930" s="34">
        <v>0</v>
      </c>
      <c r="BI930" s="34">
        <v>5.34</v>
      </c>
      <c r="BJ930" s="472" t="s">
        <v>186</v>
      </c>
      <c r="BK930" s="472"/>
    </row>
    <row r="931" spans="1:63" s="199" customFormat="1" ht="75">
      <c r="A931" s="38">
        <v>2</v>
      </c>
      <c r="B931" s="38" t="s">
        <v>7413</v>
      </c>
      <c r="C931" s="38" t="s">
        <v>83</v>
      </c>
      <c r="D931" s="41" t="s">
        <v>245</v>
      </c>
      <c r="E931" s="41" t="s">
        <v>5853</v>
      </c>
      <c r="F931" s="41" t="s">
        <v>4620</v>
      </c>
      <c r="G931" s="472">
        <v>31</v>
      </c>
      <c r="H931" s="715">
        <v>62132</v>
      </c>
      <c r="I931" s="72" t="s">
        <v>7414</v>
      </c>
      <c r="J931" s="472" t="s">
        <v>4282</v>
      </c>
      <c r="K931" s="472" t="s">
        <v>4917</v>
      </c>
      <c r="L931" s="472" t="s">
        <v>438</v>
      </c>
      <c r="M931" s="745" t="s">
        <v>4170</v>
      </c>
      <c r="N931" s="746" t="s">
        <v>4171</v>
      </c>
      <c r="O931" s="29" t="s">
        <v>167</v>
      </c>
      <c r="P931" s="717">
        <f>105722.75*0.5*6.61*1.059*1.058</f>
        <v>391490.78397665248</v>
      </c>
      <c r="Q931" s="34">
        <f t="shared" si="129"/>
        <v>461959.12509244989</v>
      </c>
      <c r="R931" s="34"/>
      <c r="S931" s="29"/>
      <c r="T931" s="29"/>
      <c r="U931" s="29"/>
      <c r="V931" s="29"/>
      <c r="W931" s="29"/>
      <c r="X931" s="29"/>
      <c r="Y931" s="34">
        <v>391490.78397665248</v>
      </c>
      <c r="Z931" s="34">
        <f t="shared" si="130"/>
        <v>461959.12509244989</v>
      </c>
      <c r="AA931" s="34">
        <v>391490.78397665248</v>
      </c>
      <c r="AB931" s="34">
        <f t="shared" si="131"/>
        <v>461959.12509244989</v>
      </c>
      <c r="AC931" s="34">
        <v>391490.78397665248</v>
      </c>
      <c r="AD931" s="717">
        <f t="shared" si="132"/>
        <v>461959.12509244989</v>
      </c>
      <c r="AE931" s="472" t="s">
        <v>169</v>
      </c>
      <c r="AF931" s="41" t="s">
        <v>83</v>
      </c>
      <c r="AG931" s="41" t="s">
        <v>83</v>
      </c>
      <c r="AH931" s="41" t="s">
        <v>90</v>
      </c>
      <c r="AI931" s="51">
        <v>41912</v>
      </c>
      <c r="AJ931" s="51">
        <v>41957</v>
      </c>
      <c r="AK931" s="747"/>
      <c r="AL931" s="41"/>
      <c r="AM931" s="29" t="s">
        <v>4159</v>
      </c>
      <c r="AN931" s="41" t="s">
        <v>1757</v>
      </c>
      <c r="AO931" s="11">
        <v>796</v>
      </c>
      <c r="AP931" s="29" t="s">
        <v>368</v>
      </c>
      <c r="AQ931" s="29">
        <v>1</v>
      </c>
      <c r="AR931" s="41">
        <v>45</v>
      </c>
      <c r="AS931" s="472" t="s">
        <v>7369</v>
      </c>
      <c r="AT931" s="51">
        <v>41957</v>
      </c>
      <c r="AU931" s="51">
        <v>41957</v>
      </c>
      <c r="AV931" s="51">
        <v>42004</v>
      </c>
      <c r="AW931" s="29">
        <v>2014</v>
      </c>
      <c r="AX931" s="41"/>
      <c r="AY931" s="135" t="s">
        <v>186</v>
      </c>
      <c r="AZ931" s="472"/>
      <c r="BA931" s="41">
        <v>2014</v>
      </c>
      <c r="BB931" s="472" t="s">
        <v>2246</v>
      </c>
      <c r="BC931" s="41" t="s">
        <v>2247</v>
      </c>
      <c r="BD931" s="41" t="s">
        <v>1818</v>
      </c>
      <c r="BE931" s="749">
        <v>42705</v>
      </c>
      <c r="BF931" s="741">
        <v>1089479.8399999999</v>
      </c>
      <c r="BG931" s="741">
        <v>1089479.8399999999</v>
      </c>
      <c r="BH931" s="34"/>
      <c r="BI931" s="34">
        <v>3.84</v>
      </c>
      <c r="BJ931" s="41" t="s">
        <v>186</v>
      </c>
      <c r="BK931" s="472"/>
    </row>
    <row r="932" spans="1:63" s="199" customFormat="1" ht="150">
      <c r="A932" s="38">
        <v>2</v>
      </c>
      <c r="B932" s="38" t="s">
        <v>7415</v>
      </c>
      <c r="C932" s="38" t="s">
        <v>83</v>
      </c>
      <c r="D932" s="41" t="s">
        <v>245</v>
      </c>
      <c r="E932" s="41" t="s">
        <v>5853</v>
      </c>
      <c r="F932" s="41" t="s">
        <v>4620</v>
      </c>
      <c r="G932" s="472">
        <v>31</v>
      </c>
      <c r="H932" s="715">
        <v>62133</v>
      </c>
      <c r="I932" s="72" t="s">
        <v>7416</v>
      </c>
      <c r="J932" s="472" t="s">
        <v>4282</v>
      </c>
      <c r="K932" s="472" t="s">
        <v>4917</v>
      </c>
      <c r="L932" s="472" t="s">
        <v>438</v>
      </c>
      <c r="M932" s="745" t="s">
        <v>4170</v>
      </c>
      <c r="N932" s="746" t="s">
        <v>4171</v>
      </c>
      <c r="O932" s="29" t="s">
        <v>167</v>
      </c>
      <c r="P932" s="717">
        <f>25000+1000</f>
        <v>26000</v>
      </c>
      <c r="Q932" s="34">
        <f t="shared" si="129"/>
        <v>30680</v>
      </c>
      <c r="R932" s="34"/>
      <c r="S932" s="29"/>
      <c r="T932" s="29"/>
      <c r="U932" s="29"/>
      <c r="V932" s="29"/>
      <c r="W932" s="29"/>
      <c r="X932" s="29"/>
      <c r="Y932" s="34">
        <v>26000</v>
      </c>
      <c r="Z932" s="34">
        <f t="shared" si="130"/>
        <v>30680</v>
      </c>
      <c r="AA932" s="34">
        <v>26000</v>
      </c>
      <c r="AB932" s="34">
        <f t="shared" si="131"/>
        <v>30680</v>
      </c>
      <c r="AC932" s="34">
        <v>26000</v>
      </c>
      <c r="AD932" s="717">
        <f t="shared" si="132"/>
        <v>30680</v>
      </c>
      <c r="AE932" s="472" t="s">
        <v>169</v>
      </c>
      <c r="AF932" s="41" t="s">
        <v>83</v>
      </c>
      <c r="AG932" s="41" t="s">
        <v>83</v>
      </c>
      <c r="AH932" s="41" t="s">
        <v>90</v>
      </c>
      <c r="AI932" s="51">
        <v>41912</v>
      </c>
      <c r="AJ932" s="51">
        <v>41957</v>
      </c>
      <c r="AK932" s="747"/>
      <c r="AL932" s="41"/>
      <c r="AM932" s="29" t="s">
        <v>4159</v>
      </c>
      <c r="AN932" s="41" t="s">
        <v>1757</v>
      </c>
      <c r="AO932" s="11">
        <v>796</v>
      </c>
      <c r="AP932" s="29" t="s">
        <v>368</v>
      </c>
      <c r="AQ932" s="29">
        <v>1</v>
      </c>
      <c r="AR932" s="41">
        <v>45</v>
      </c>
      <c r="AS932" s="472" t="s">
        <v>7369</v>
      </c>
      <c r="AT932" s="51">
        <v>41957</v>
      </c>
      <c r="AU932" s="51">
        <v>41957</v>
      </c>
      <c r="AV932" s="51">
        <v>42004</v>
      </c>
      <c r="AW932" s="29">
        <v>2014</v>
      </c>
      <c r="AX932" s="41"/>
      <c r="AY932" s="135" t="s">
        <v>186</v>
      </c>
      <c r="AZ932" s="472"/>
      <c r="BA932" s="41">
        <v>2014</v>
      </c>
      <c r="BB932" s="472" t="s">
        <v>7417</v>
      </c>
      <c r="BC932" s="41" t="s">
        <v>7418</v>
      </c>
      <c r="BD932" s="748">
        <v>41271</v>
      </c>
      <c r="BE932" s="749">
        <v>41974</v>
      </c>
      <c r="BF932" s="741">
        <v>315485.70860000001</v>
      </c>
      <c r="BG932" s="741">
        <v>296260.60839999997</v>
      </c>
      <c r="BH932" s="34"/>
      <c r="BI932" s="34">
        <v>1.72</v>
      </c>
      <c r="BJ932" s="41" t="s">
        <v>186</v>
      </c>
      <c r="BK932" s="472"/>
    </row>
    <row r="933" spans="1:63" s="199" customFormat="1" ht="112.5">
      <c r="A933" s="38">
        <v>2</v>
      </c>
      <c r="B933" s="38" t="s">
        <v>7419</v>
      </c>
      <c r="C933" s="38" t="s">
        <v>83</v>
      </c>
      <c r="D933" s="41" t="s">
        <v>245</v>
      </c>
      <c r="E933" s="41" t="s">
        <v>5853</v>
      </c>
      <c r="F933" s="41" t="s">
        <v>4620</v>
      </c>
      <c r="G933" s="472">
        <v>31</v>
      </c>
      <c r="H933" s="715">
        <v>62134</v>
      </c>
      <c r="I933" s="72" t="s">
        <v>7420</v>
      </c>
      <c r="J933" s="472" t="s">
        <v>4282</v>
      </c>
      <c r="K933" s="472" t="s">
        <v>4917</v>
      </c>
      <c r="L933" s="472" t="s">
        <v>438</v>
      </c>
      <c r="M933" s="745" t="s">
        <v>4170</v>
      </c>
      <c r="N933" s="746" t="s">
        <v>4171</v>
      </c>
      <c r="O933" s="29" t="s">
        <v>167</v>
      </c>
      <c r="P933" s="717">
        <f>25000+500</f>
        <v>25500</v>
      </c>
      <c r="Q933" s="34">
        <f t="shared" si="129"/>
        <v>30090</v>
      </c>
      <c r="R933" s="34"/>
      <c r="S933" s="29"/>
      <c r="T933" s="29"/>
      <c r="U933" s="29"/>
      <c r="V933" s="29"/>
      <c r="W933" s="29"/>
      <c r="X933" s="29"/>
      <c r="Y933" s="34">
        <v>25500</v>
      </c>
      <c r="Z933" s="34">
        <f t="shared" si="130"/>
        <v>30090</v>
      </c>
      <c r="AA933" s="34">
        <v>25500</v>
      </c>
      <c r="AB933" s="34">
        <f t="shared" si="131"/>
        <v>30090</v>
      </c>
      <c r="AC933" s="34">
        <v>25500</v>
      </c>
      <c r="AD933" s="717">
        <f t="shared" si="132"/>
        <v>30090</v>
      </c>
      <c r="AE933" s="472" t="s">
        <v>169</v>
      </c>
      <c r="AF933" s="41" t="s">
        <v>83</v>
      </c>
      <c r="AG933" s="41" t="s">
        <v>83</v>
      </c>
      <c r="AH933" s="41" t="s">
        <v>90</v>
      </c>
      <c r="AI933" s="51">
        <v>41912</v>
      </c>
      <c r="AJ933" s="51">
        <v>41957</v>
      </c>
      <c r="AK933" s="747"/>
      <c r="AL933" s="41"/>
      <c r="AM933" s="29" t="s">
        <v>4159</v>
      </c>
      <c r="AN933" s="41" t="s">
        <v>1757</v>
      </c>
      <c r="AO933" s="11">
        <v>796</v>
      </c>
      <c r="AP933" s="29" t="s">
        <v>368</v>
      </c>
      <c r="AQ933" s="29">
        <v>1</v>
      </c>
      <c r="AR933" s="41">
        <v>45</v>
      </c>
      <c r="AS933" s="472" t="s">
        <v>7369</v>
      </c>
      <c r="AT933" s="51">
        <v>41957</v>
      </c>
      <c r="AU933" s="51">
        <v>41957</v>
      </c>
      <c r="AV933" s="51">
        <v>42004</v>
      </c>
      <c r="AW933" s="29">
        <v>2014</v>
      </c>
      <c r="AX933" s="41"/>
      <c r="AY933" s="135" t="s">
        <v>186</v>
      </c>
      <c r="AZ933" s="472"/>
      <c r="BA933" s="41">
        <v>2014</v>
      </c>
      <c r="BB933" s="472" t="s">
        <v>7421</v>
      </c>
      <c r="BC933" s="41" t="s">
        <v>7422</v>
      </c>
      <c r="BD933" s="748">
        <v>41241</v>
      </c>
      <c r="BE933" s="749">
        <v>41974</v>
      </c>
      <c r="BF933" s="741">
        <v>314451.11999999994</v>
      </c>
      <c r="BG933" s="741">
        <v>230605.2996</v>
      </c>
      <c r="BH933" s="34"/>
      <c r="BI933" s="34">
        <v>1.07</v>
      </c>
      <c r="BJ933" s="41" t="s">
        <v>186</v>
      </c>
      <c r="BK933" s="472"/>
    </row>
    <row r="934" spans="1:63" s="199" customFormat="1" ht="112.5">
      <c r="A934" s="38">
        <v>2</v>
      </c>
      <c r="B934" s="38" t="s">
        <v>7423</v>
      </c>
      <c r="C934" s="38" t="s">
        <v>83</v>
      </c>
      <c r="D934" s="41" t="s">
        <v>245</v>
      </c>
      <c r="E934" s="41" t="s">
        <v>5853</v>
      </c>
      <c r="F934" s="41" t="s">
        <v>4620</v>
      </c>
      <c r="G934" s="472">
        <v>31</v>
      </c>
      <c r="H934" s="715">
        <v>62135</v>
      </c>
      <c r="I934" s="72" t="s">
        <v>7424</v>
      </c>
      <c r="J934" s="472" t="s">
        <v>4282</v>
      </c>
      <c r="K934" s="472" t="s">
        <v>4917</v>
      </c>
      <c r="L934" s="472" t="s">
        <v>438</v>
      </c>
      <c r="M934" s="745" t="s">
        <v>4170</v>
      </c>
      <c r="N934" s="746" t="s">
        <v>4171</v>
      </c>
      <c r="O934" s="29" t="s">
        <v>167</v>
      </c>
      <c r="P934" s="717">
        <v>10000</v>
      </c>
      <c r="Q934" s="34">
        <f t="shared" si="129"/>
        <v>11800</v>
      </c>
      <c r="R934" s="34"/>
      <c r="S934" s="29"/>
      <c r="T934" s="29"/>
      <c r="U934" s="29"/>
      <c r="V934" s="29"/>
      <c r="W934" s="29"/>
      <c r="X934" s="29"/>
      <c r="Y934" s="34">
        <v>10000</v>
      </c>
      <c r="Z934" s="34">
        <f t="shared" si="130"/>
        <v>11800</v>
      </c>
      <c r="AA934" s="34">
        <v>10000</v>
      </c>
      <c r="AB934" s="34">
        <f t="shared" si="131"/>
        <v>11800</v>
      </c>
      <c r="AC934" s="34">
        <v>10000</v>
      </c>
      <c r="AD934" s="717">
        <f t="shared" si="132"/>
        <v>11800</v>
      </c>
      <c r="AE934" s="472" t="s">
        <v>169</v>
      </c>
      <c r="AF934" s="41" t="s">
        <v>83</v>
      </c>
      <c r="AG934" s="41" t="s">
        <v>83</v>
      </c>
      <c r="AH934" s="41" t="s">
        <v>90</v>
      </c>
      <c r="AI934" s="51">
        <v>41912</v>
      </c>
      <c r="AJ934" s="51">
        <v>41957</v>
      </c>
      <c r="AK934" s="747"/>
      <c r="AL934" s="41"/>
      <c r="AM934" s="29" t="s">
        <v>4159</v>
      </c>
      <c r="AN934" s="41" t="s">
        <v>1757</v>
      </c>
      <c r="AO934" s="11">
        <v>796</v>
      </c>
      <c r="AP934" s="29" t="s">
        <v>368</v>
      </c>
      <c r="AQ934" s="29">
        <v>1</v>
      </c>
      <c r="AR934" s="41">
        <v>45</v>
      </c>
      <c r="AS934" s="472" t="s">
        <v>7369</v>
      </c>
      <c r="AT934" s="51">
        <v>41957</v>
      </c>
      <c r="AU934" s="51">
        <v>41957</v>
      </c>
      <c r="AV934" s="51">
        <v>42004</v>
      </c>
      <c r="AW934" s="29">
        <v>2014</v>
      </c>
      <c r="AX934" s="41"/>
      <c r="AY934" s="135" t="s">
        <v>186</v>
      </c>
      <c r="AZ934" s="472"/>
      <c r="BA934" s="41">
        <v>2014</v>
      </c>
      <c r="BB934" s="472" t="s">
        <v>7425</v>
      </c>
      <c r="BC934" s="41" t="s">
        <v>7426</v>
      </c>
      <c r="BD934" s="748" t="s">
        <v>1818</v>
      </c>
      <c r="BE934" s="749">
        <v>42339</v>
      </c>
      <c r="BF934" s="741">
        <v>157438.53487239996</v>
      </c>
      <c r="BG934" s="741">
        <v>147486.00985722398</v>
      </c>
      <c r="BH934" s="34"/>
      <c r="BI934" s="34">
        <v>0.26</v>
      </c>
      <c r="BJ934" s="41" t="s">
        <v>186</v>
      </c>
      <c r="BK934" s="472"/>
    </row>
    <row r="935" spans="1:63" s="199" customFormat="1" ht="112.5">
      <c r="A935" s="38">
        <v>2</v>
      </c>
      <c r="B935" s="38" t="s">
        <v>7427</v>
      </c>
      <c r="C935" s="38" t="s">
        <v>83</v>
      </c>
      <c r="D935" s="41" t="s">
        <v>235</v>
      </c>
      <c r="E935" s="41" t="s">
        <v>5853</v>
      </c>
      <c r="F935" s="41" t="s">
        <v>4620</v>
      </c>
      <c r="G935" s="472">
        <v>31</v>
      </c>
      <c r="H935" s="715">
        <v>62136</v>
      </c>
      <c r="I935" s="744" t="s">
        <v>7428</v>
      </c>
      <c r="J935" s="472" t="s">
        <v>4282</v>
      </c>
      <c r="K935" s="472" t="s">
        <v>4917</v>
      </c>
      <c r="L935" s="472" t="s">
        <v>438</v>
      </c>
      <c r="M935" s="45" t="s">
        <v>4170</v>
      </c>
      <c r="N935" s="743" t="s">
        <v>4171</v>
      </c>
      <c r="O935" s="29" t="s">
        <v>167</v>
      </c>
      <c r="P935" s="751">
        <f>50000+53000+60000+75000+53000+80000</f>
        <v>371000</v>
      </c>
      <c r="Q935" s="34">
        <f t="shared" si="129"/>
        <v>437780</v>
      </c>
      <c r="R935" s="34"/>
      <c r="S935" s="29"/>
      <c r="T935" s="29"/>
      <c r="U935" s="29"/>
      <c r="V935" s="29"/>
      <c r="W935" s="29"/>
      <c r="X935" s="29"/>
      <c r="Y935" s="34">
        <v>371000</v>
      </c>
      <c r="Z935" s="34">
        <f t="shared" si="130"/>
        <v>437780</v>
      </c>
      <c r="AA935" s="34">
        <v>371000</v>
      </c>
      <c r="AB935" s="34">
        <f t="shared" si="131"/>
        <v>437780</v>
      </c>
      <c r="AC935" s="34">
        <v>371000</v>
      </c>
      <c r="AD935" s="717">
        <f t="shared" si="132"/>
        <v>437780</v>
      </c>
      <c r="AE935" s="743" t="s">
        <v>169</v>
      </c>
      <c r="AF935" s="41" t="s">
        <v>83</v>
      </c>
      <c r="AG935" s="41" t="s">
        <v>83</v>
      </c>
      <c r="AH935" s="743" t="s">
        <v>545</v>
      </c>
      <c r="AI935" s="51">
        <v>41912</v>
      </c>
      <c r="AJ935" s="51">
        <v>41957</v>
      </c>
      <c r="AK935" s="743"/>
      <c r="AL935" s="743"/>
      <c r="AM935" s="29" t="s">
        <v>4159</v>
      </c>
      <c r="AN935" s="743" t="s">
        <v>7429</v>
      </c>
      <c r="AO935" s="11">
        <v>796</v>
      </c>
      <c r="AP935" s="29" t="s">
        <v>368</v>
      </c>
      <c r="AQ935" s="743">
        <v>2</v>
      </c>
      <c r="AR935" s="743">
        <v>46</v>
      </c>
      <c r="AS935" s="755" t="s">
        <v>223</v>
      </c>
      <c r="AT935" s="51">
        <v>41957</v>
      </c>
      <c r="AU935" s="51">
        <v>41957</v>
      </c>
      <c r="AV935" s="51">
        <v>42004</v>
      </c>
      <c r="AW935" s="29">
        <v>2014</v>
      </c>
      <c r="AX935" s="743"/>
      <c r="AY935" s="135" t="s">
        <v>186</v>
      </c>
      <c r="AZ935" s="743"/>
      <c r="BA935" s="743">
        <v>2014</v>
      </c>
      <c r="BB935" s="755" t="s">
        <v>2336</v>
      </c>
      <c r="BC935" s="743" t="s">
        <v>7430</v>
      </c>
      <c r="BD935" s="16" t="s">
        <v>1818</v>
      </c>
      <c r="BE935" s="719">
        <v>42368</v>
      </c>
      <c r="BF935" s="68">
        <f>283.23670154*1000</f>
        <v>283236.70154000004</v>
      </c>
      <c r="BG935" s="68">
        <v>203903.92</v>
      </c>
      <c r="BH935" s="34">
        <v>40</v>
      </c>
      <c r="BI935" s="34"/>
      <c r="BJ935" s="743" t="s">
        <v>186</v>
      </c>
      <c r="BK935" s="743"/>
    </row>
    <row r="936" spans="1:63" s="199" customFormat="1" ht="112.5">
      <c r="A936" s="38">
        <v>2</v>
      </c>
      <c r="B936" s="38" t="s">
        <v>7431</v>
      </c>
      <c r="C936" s="38" t="s">
        <v>83</v>
      </c>
      <c r="D936" s="41" t="s">
        <v>235</v>
      </c>
      <c r="E936" s="41" t="s">
        <v>5853</v>
      </c>
      <c r="F936" s="41" t="s">
        <v>4620</v>
      </c>
      <c r="G936" s="472">
        <v>31</v>
      </c>
      <c r="H936" s="715">
        <v>62137</v>
      </c>
      <c r="I936" s="744" t="s">
        <v>7432</v>
      </c>
      <c r="J936" s="472" t="s">
        <v>4282</v>
      </c>
      <c r="K936" s="472" t="s">
        <v>4917</v>
      </c>
      <c r="L936" s="472" t="s">
        <v>438</v>
      </c>
      <c r="M936" s="45" t="s">
        <v>4170</v>
      </c>
      <c r="N936" s="743" t="s">
        <v>4171</v>
      </c>
      <c r="O936" s="29" t="s">
        <v>167</v>
      </c>
      <c r="P936" s="751">
        <f>50000+58000+75000+53000+80000</f>
        <v>316000</v>
      </c>
      <c r="Q936" s="34">
        <f t="shared" si="129"/>
        <v>372880</v>
      </c>
      <c r="R936" s="34"/>
      <c r="S936" s="29"/>
      <c r="T936" s="29"/>
      <c r="U936" s="29"/>
      <c r="V936" s="29"/>
      <c r="W936" s="29"/>
      <c r="X936" s="29"/>
      <c r="Y936" s="34">
        <v>316000</v>
      </c>
      <c r="Z936" s="34">
        <f t="shared" si="130"/>
        <v>372880</v>
      </c>
      <c r="AA936" s="34">
        <v>316000</v>
      </c>
      <c r="AB936" s="34">
        <f t="shared" si="131"/>
        <v>372880</v>
      </c>
      <c r="AC936" s="34">
        <v>316000</v>
      </c>
      <c r="AD936" s="717">
        <f t="shared" si="132"/>
        <v>372880</v>
      </c>
      <c r="AE936" s="743" t="s">
        <v>169</v>
      </c>
      <c r="AF936" s="41" t="s">
        <v>83</v>
      </c>
      <c r="AG936" s="41" t="s">
        <v>83</v>
      </c>
      <c r="AH936" s="743" t="s">
        <v>545</v>
      </c>
      <c r="AI936" s="51">
        <v>41912</v>
      </c>
      <c r="AJ936" s="51">
        <v>41957</v>
      </c>
      <c r="AK936" s="743"/>
      <c r="AL936" s="743"/>
      <c r="AM936" s="29" t="s">
        <v>4159</v>
      </c>
      <c r="AN936" s="743" t="s">
        <v>7429</v>
      </c>
      <c r="AO936" s="11">
        <v>796</v>
      </c>
      <c r="AP936" s="29" t="s">
        <v>368</v>
      </c>
      <c r="AQ936" s="743">
        <v>2</v>
      </c>
      <c r="AR936" s="743">
        <v>46</v>
      </c>
      <c r="AS936" s="755" t="s">
        <v>223</v>
      </c>
      <c r="AT936" s="51">
        <v>41957</v>
      </c>
      <c r="AU936" s="51">
        <v>41957</v>
      </c>
      <c r="AV936" s="51">
        <v>42004</v>
      </c>
      <c r="AW936" s="29">
        <v>2014</v>
      </c>
      <c r="AX936" s="743"/>
      <c r="AY936" s="135" t="s">
        <v>186</v>
      </c>
      <c r="AZ936" s="743"/>
      <c r="BA936" s="743">
        <v>2014</v>
      </c>
      <c r="BB936" s="755" t="s">
        <v>7433</v>
      </c>
      <c r="BC936" s="743" t="s">
        <v>7434</v>
      </c>
      <c r="BD936" s="16" t="s">
        <v>1818</v>
      </c>
      <c r="BE936" s="719" t="s">
        <v>7284</v>
      </c>
      <c r="BF936" s="68">
        <f>589.0026758*1000</f>
        <v>589002.67579999997</v>
      </c>
      <c r="BG936" s="68">
        <f>577.48366*1000</f>
        <v>577483.66</v>
      </c>
      <c r="BH936" s="34">
        <v>80</v>
      </c>
      <c r="BI936" s="34"/>
      <c r="BJ936" s="743" t="s">
        <v>186</v>
      </c>
      <c r="BK936" s="743"/>
    </row>
    <row r="937" spans="1:63" s="199" customFormat="1" ht="112.5">
      <c r="A937" s="38">
        <v>2</v>
      </c>
      <c r="B937" s="38" t="s">
        <v>7435</v>
      </c>
      <c r="C937" s="38" t="s">
        <v>83</v>
      </c>
      <c r="D937" s="41" t="s">
        <v>235</v>
      </c>
      <c r="E937" s="41" t="s">
        <v>5853</v>
      </c>
      <c r="F937" s="41" t="s">
        <v>4620</v>
      </c>
      <c r="G937" s="472">
        <v>31</v>
      </c>
      <c r="H937" s="715">
        <v>62138</v>
      </c>
      <c r="I937" s="744" t="s">
        <v>7436</v>
      </c>
      <c r="J937" s="472" t="s">
        <v>4282</v>
      </c>
      <c r="K937" s="472" t="s">
        <v>4917</v>
      </c>
      <c r="L937" s="472" t="s">
        <v>438</v>
      </c>
      <c r="M937" s="45" t="s">
        <v>4170</v>
      </c>
      <c r="N937" s="743" t="s">
        <v>4171</v>
      </c>
      <c r="O937" s="29" t="s">
        <v>167</v>
      </c>
      <c r="P937" s="751">
        <f>23000+53000+45000+25000+40000</f>
        <v>186000</v>
      </c>
      <c r="Q937" s="34">
        <f t="shared" si="129"/>
        <v>219480</v>
      </c>
      <c r="R937" s="34"/>
      <c r="S937" s="29"/>
      <c r="T937" s="29"/>
      <c r="U937" s="29"/>
      <c r="V937" s="29"/>
      <c r="W937" s="29"/>
      <c r="X937" s="29"/>
      <c r="Y937" s="34">
        <v>186000</v>
      </c>
      <c r="Z937" s="34">
        <f t="shared" si="130"/>
        <v>219480</v>
      </c>
      <c r="AA937" s="34">
        <v>186000</v>
      </c>
      <c r="AB937" s="34">
        <f t="shared" si="131"/>
        <v>219480</v>
      </c>
      <c r="AC937" s="34">
        <v>186000</v>
      </c>
      <c r="AD937" s="717">
        <f t="shared" si="132"/>
        <v>219480</v>
      </c>
      <c r="AE937" s="743" t="s">
        <v>169</v>
      </c>
      <c r="AF937" s="41" t="s">
        <v>83</v>
      </c>
      <c r="AG937" s="41" t="s">
        <v>83</v>
      </c>
      <c r="AH937" s="743" t="s">
        <v>545</v>
      </c>
      <c r="AI937" s="51">
        <v>41912</v>
      </c>
      <c r="AJ937" s="51">
        <v>41957</v>
      </c>
      <c r="AK937" s="743"/>
      <c r="AL937" s="743"/>
      <c r="AM937" s="29" t="s">
        <v>4159</v>
      </c>
      <c r="AN937" s="743" t="s">
        <v>7429</v>
      </c>
      <c r="AO937" s="11">
        <v>796</v>
      </c>
      <c r="AP937" s="29" t="s">
        <v>368</v>
      </c>
      <c r="AQ937" s="743">
        <v>1</v>
      </c>
      <c r="AR937" s="743">
        <v>46</v>
      </c>
      <c r="AS937" s="755" t="s">
        <v>223</v>
      </c>
      <c r="AT937" s="51">
        <v>41957</v>
      </c>
      <c r="AU937" s="51">
        <v>41957</v>
      </c>
      <c r="AV937" s="51">
        <v>42004</v>
      </c>
      <c r="AW937" s="29">
        <v>2014</v>
      </c>
      <c r="AX937" s="743"/>
      <c r="AY937" s="135" t="s">
        <v>186</v>
      </c>
      <c r="AZ937" s="743"/>
      <c r="BA937" s="743">
        <v>2014</v>
      </c>
      <c r="BB937" s="755" t="s">
        <v>2333</v>
      </c>
      <c r="BC937" s="743" t="s">
        <v>7437</v>
      </c>
      <c r="BD937" s="16" t="s">
        <v>1818</v>
      </c>
      <c r="BE937" s="719">
        <v>43008</v>
      </c>
      <c r="BF937" s="68">
        <v>452934.12639999989</v>
      </c>
      <c r="BG937" s="68">
        <v>473392.37995196634</v>
      </c>
      <c r="BH937" s="34">
        <v>25</v>
      </c>
      <c r="BI937" s="34"/>
      <c r="BJ937" s="743" t="s">
        <v>186</v>
      </c>
      <c r="BK937" s="743"/>
    </row>
    <row r="938" spans="1:63" s="199" customFormat="1" ht="93.75">
      <c r="A938" s="38">
        <v>2</v>
      </c>
      <c r="B938" s="38" t="s">
        <v>7438</v>
      </c>
      <c r="C938" s="38" t="s">
        <v>83</v>
      </c>
      <c r="D938" s="41" t="s">
        <v>235</v>
      </c>
      <c r="E938" s="41" t="s">
        <v>5853</v>
      </c>
      <c r="F938" s="41" t="s">
        <v>4620</v>
      </c>
      <c r="G938" s="472">
        <v>31</v>
      </c>
      <c r="H938" s="715">
        <v>62139</v>
      </c>
      <c r="I938" s="744" t="s">
        <v>7439</v>
      </c>
      <c r="J938" s="472" t="s">
        <v>4282</v>
      </c>
      <c r="K938" s="472" t="s">
        <v>4917</v>
      </c>
      <c r="L938" s="472" t="s">
        <v>7281</v>
      </c>
      <c r="M938" s="45" t="s">
        <v>4170</v>
      </c>
      <c r="N938" s="743" t="s">
        <v>4171</v>
      </c>
      <c r="O938" s="29" t="s">
        <v>167</v>
      </c>
      <c r="P938" s="751">
        <f>11084.966+7390.3</f>
        <v>18475.266</v>
      </c>
      <c r="Q938" s="34">
        <f t="shared" si="129"/>
        <v>21800.813879999998</v>
      </c>
      <c r="R938" s="34"/>
      <c r="S938" s="29"/>
      <c r="T938" s="29"/>
      <c r="U938" s="29"/>
      <c r="V938" s="29"/>
      <c r="W938" s="29"/>
      <c r="X938" s="29"/>
      <c r="Y938" s="34">
        <v>18475.266</v>
      </c>
      <c r="Z938" s="34">
        <f t="shared" si="130"/>
        <v>21800.813879999998</v>
      </c>
      <c r="AA938" s="34">
        <v>18475.266</v>
      </c>
      <c r="AB938" s="34">
        <f t="shared" si="131"/>
        <v>21800.813879999998</v>
      </c>
      <c r="AC938" s="34">
        <v>18475.266</v>
      </c>
      <c r="AD938" s="717">
        <f t="shared" si="132"/>
        <v>21800.813879999998</v>
      </c>
      <c r="AE938" s="743" t="s">
        <v>169</v>
      </c>
      <c r="AF938" s="41" t="s">
        <v>83</v>
      </c>
      <c r="AG938" s="41" t="s">
        <v>83</v>
      </c>
      <c r="AH938" s="743" t="s">
        <v>545</v>
      </c>
      <c r="AI938" s="51">
        <v>41912</v>
      </c>
      <c r="AJ938" s="51">
        <v>41957</v>
      </c>
      <c r="AK938" s="743" t="s">
        <v>7440</v>
      </c>
      <c r="AL938" s="743"/>
      <c r="AM938" s="29" t="s">
        <v>4159</v>
      </c>
      <c r="AN938" s="743" t="s">
        <v>7441</v>
      </c>
      <c r="AO938" s="11">
        <v>796</v>
      </c>
      <c r="AP938" s="29" t="s">
        <v>368</v>
      </c>
      <c r="AQ938" s="743">
        <v>2</v>
      </c>
      <c r="AR938" s="743">
        <v>46</v>
      </c>
      <c r="AS938" s="755" t="s">
        <v>223</v>
      </c>
      <c r="AT938" s="51">
        <v>41957</v>
      </c>
      <c r="AU938" s="51">
        <v>41957</v>
      </c>
      <c r="AV938" s="51">
        <v>42004</v>
      </c>
      <c r="AW938" s="29">
        <v>2014</v>
      </c>
      <c r="AX938" s="743"/>
      <c r="AY938" s="135" t="s">
        <v>186</v>
      </c>
      <c r="AZ938" s="743"/>
      <c r="BA938" s="743">
        <v>2014</v>
      </c>
      <c r="BB938" s="755" t="s">
        <v>7442</v>
      </c>
      <c r="BC938" s="743" t="s">
        <v>7443</v>
      </c>
      <c r="BD938" s="16" t="s">
        <v>1818</v>
      </c>
      <c r="BE938" s="749">
        <v>41974</v>
      </c>
      <c r="BF938" s="755">
        <f>33.3552284922*1000</f>
        <v>33355.228492199996</v>
      </c>
      <c r="BG938" s="755">
        <f>31.3926269098*1000</f>
        <v>31392.626909800001</v>
      </c>
      <c r="BH938" s="34"/>
      <c r="BI938" s="34"/>
      <c r="BJ938" s="743" t="s">
        <v>1465</v>
      </c>
      <c r="BK938" s="743"/>
    </row>
    <row r="939" spans="1:63" s="199" customFormat="1" ht="93.75">
      <c r="A939" s="38">
        <v>2</v>
      </c>
      <c r="B939" s="38" t="s">
        <v>7444</v>
      </c>
      <c r="C939" s="38" t="s">
        <v>83</v>
      </c>
      <c r="D939" s="41" t="s">
        <v>235</v>
      </c>
      <c r="E939" s="41" t="s">
        <v>5853</v>
      </c>
      <c r="F939" s="41" t="s">
        <v>4620</v>
      </c>
      <c r="G939" s="472">
        <v>31</v>
      </c>
      <c r="H939" s="715">
        <v>62140</v>
      </c>
      <c r="I939" s="744" t="s">
        <v>7445</v>
      </c>
      <c r="J939" s="472" t="s">
        <v>4282</v>
      </c>
      <c r="K939" s="472" t="s">
        <v>4917</v>
      </c>
      <c r="L939" s="472" t="s">
        <v>438</v>
      </c>
      <c r="M939" s="45" t="s">
        <v>4170</v>
      </c>
      <c r="N939" s="743" t="s">
        <v>4171</v>
      </c>
      <c r="O939" s="29" t="s">
        <v>167</v>
      </c>
      <c r="P939" s="751">
        <f>46000+60000+75000+40000+80000</f>
        <v>301000</v>
      </c>
      <c r="Q939" s="34">
        <f t="shared" si="129"/>
        <v>355180</v>
      </c>
      <c r="R939" s="34"/>
      <c r="S939" s="29"/>
      <c r="T939" s="29"/>
      <c r="U939" s="29"/>
      <c r="V939" s="29"/>
      <c r="W939" s="29"/>
      <c r="X939" s="29"/>
      <c r="Y939" s="34">
        <v>301000</v>
      </c>
      <c r="Z939" s="34">
        <f t="shared" si="130"/>
        <v>355180</v>
      </c>
      <c r="AA939" s="34">
        <v>301000</v>
      </c>
      <c r="AB939" s="34">
        <f t="shared" si="131"/>
        <v>355180</v>
      </c>
      <c r="AC939" s="34">
        <v>301000</v>
      </c>
      <c r="AD939" s="717">
        <f t="shared" si="132"/>
        <v>355180</v>
      </c>
      <c r="AE939" s="743" t="s">
        <v>169</v>
      </c>
      <c r="AF939" s="41" t="s">
        <v>83</v>
      </c>
      <c r="AG939" s="41" t="s">
        <v>83</v>
      </c>
      <c r="AH939" s="743" t="s">
        <v>545</v>
      </c>
      <c r="AI939" s="51">
        <v>41912</v>
      </c>
      <c r="AJ939" s="51">
        <v>41957</v>
      </c>
      <c r="AK939" s="743"/>
      <c r="AL939" s="743"/>
      <c r="AM939" s="29" t="s">
        <v>4159</v>
      </c>
      <c r="AN939" s="743" t="s">
        <v>7441</v>
      </c>
      <c r="AO939" s="11">
        <v>796</v>
      </c>
      <c r="AP939" s="29" t="s">
        <v>368</v>
      </c>
      <c r="AQ939" s="743">
        <v>1</v>
      </c>
      <c r="AR939" s="743">
        <v>46</v>
      </c>
      <c r="AS939" s="755" t="s">
        <v>223</v>
      </c>
      <c r="AT939" s="51">
        <v>41957</v>
      </c>
      <c r="AU939" s="51">
        <v>41957</v>
      </c>
      <c r="AV939" s="51">
        <v>42004</v>
      </c>
      <c r="AW939" s="29">
        <v>2014</v>
      </c>
      <c r="AX939" s="743"/>
      <c r="AY939" s="135" t="s">
        <v>186</v>
      </c>
      <c r="AZ939" s="743"/>
      <c r="BA939" s="743">
        <v>2014</v>
      </c>
      <c r="BB939" s="755" t="s">
        <v>7446</v>
      </c>
      <c r="BC939" s="743" t="s">
        <v>7447</v>
      </c>
      <c r="BD939" s="16" t="s">
        <v>1818</v>
      </c>
      <c r="BE939" s="755" t="s">
        <v>7359</v>
      </c>
      <c r="BF939" s="755">
        <f>581.29632*1000</f>
        <v>581296.32000000007</v>
      </c>
      <c r="BG939" s="755">
        <f>581.29632*1000</f>
        <v>581296.32000000007</v>
      </c>
      <c r="BH939" s="34">
        <v>50</v>
      </c>
      <c r="BI939" s="34"/>
      <c r="BJ939" s="743" t="s">
        <v>186</v>
      </c>
      <c r="BK939" s="743"/>
    </row>
    <row r="940" spans="1:63" s="199" customFormat="1" ht="112.5">
      <c r="A940" s="38">
        <v>2</v>
      </c>
      <c r="B940" s="38" t="s">
        <v>7448</v>
      </c>
      <c r="C940" s="38" t="s">
        <v>83</v>
      </c>
      <c r="D940" s="41" t="s">
        <v>235</v>
      </c>
      <c r="E940" s="41" t="s">
        <v>5853</v>
      </c>
      <c r="F940" s="41" t="s">
        <v>4620</v>
      </c>
      <c r="G940" s="472">
        <v>31</v>
      </c>
      <c r="H940" s="715">
        <v>62141</v>
      </c>
      <c r="I940" s="744" t="s">
        <v>7449</v>
      </c>
      <c r="J940" s="472" t="s">
        <v>4282</v>
      </c>
      <c r="K940" s="472" t="s">
        <v>4917</v>
      </c>
      <c r="L940" s="472" t="s">
        <v>438</v>
      </c>
      <c r="M940" s="45" t="s">
        <v>4170</v>
      </c>
      <c r="N940" s="743" t="s">
        <v>4171</v>
      </c>
      <c r="O940" s="29" t="s">
        <v>167</v>
      </c>
      <c r="P940" s="751">
        <v>100000</v>
      </c>
      <c r="Q940" s="34">
        <f t="shared" si="129"/>
        <v>118000</v>
      </c>
      <c r="R940" s="34"/>
      <c r="S940" s="29"/>
      <c r="T940" s="29"/>
      <c r="U940" s="29"/>
      <c r="V940" s="29"/>
      <c r="W940" s="29"/>
      <c r="X940" s="29"/>
      <c r="Y940" s="34">
        <v>100000</v>
      </c>
      <c r="Z940" s="34">
        <f t="shared" si="130"/>
        <v>118000</v>
      </c>
      <c r="AA940" s="34">
        <v>100000</v>
      </c>
      <c r="AB940" s="34">
        <f t="shared" si="131"/>
        <v>118000</v>
      </c>
      <c r="AC940" s="34">
        <v>100000</v>
      </c>
      <c r="AD940" s="717">
        <f t="shared" si="132"/>
        <v>118000</v>
      </c>
      <c r="AE940" s="743" t="s">
        <v>169</v>
      </c>
      <c r="AF940" s="41" t="s">
        <v>83</v>
      </c>
      <c r="AG940" s="41" t="s">
        <v>83</v>
      </c>
      <c r="AH940" s="743" t="s">
        <v>545</v>
      </c>
      <c r="AI940" s="51">
        <v>41912</v>
      </c>
      <c r="AJ940" s="51">
        <v>41957</v>
      </c>
      <c r="AK940" s="743"/>
      <c r="AL940" s="743"/>
      <c r="AM940" s="29" t="s">
        <v>4159</v>
      </c>
      <c r="AN940" s="743" t="s">
        <v>7450</v>
      </c>
      <c r="AO940" s="11">
        <v>796</v>
      </c>
      <c r="AP940" s="29" t="s">
        <v>368</v>
      </c>
      <c r="AQ940" s="743">
        <v>1</v>
      </c>
      <c r="AR940" s="743">
        <v>46</v>
      </c>
      <c r="AS940" s="755" t="s">
        <v>223</v>
      </c>
      <c r="AT940" s="51">
        <v>41957</v>
      </c>
      <c r="AU940" s="51">
        <v>41957</v>
      </c>
      <c r="AV940" s="51">
        <v>42004</v>
      </c>
      <c r="AW940" s="29">
        <v>2014</v>
      </c>
      <c r="AX940" s="743"/>
      <c r="AY940" s="135" t="s">
        <v>186</v>
      </c>
      <c r="AZ940" s="743"/>
      <c r="BA940" s="743">
        <v>2014</v>
      </c>
      <c r="BB940" s="755" t="s">
        <v>7451</v>
      </c>
      <c r="BC940" s="743" t="s">
        <v>7452</v>
      </c>
      <c r="BD940" s="743" t="s">
        <v>7453</v>
      </c>
      <c r="BE940" s="719">
        <v>42368</v>
      </c>
      <c r="BF940" s="755">
        <f>533.753353*1000</f>
        <v>533753.353</v>
      </c>
      <c r="BG940" s="755">
        <f>533.753353*1000</f>
        <v>533753.353</v>
      </c>
      <c r="BH940" s="34"/>
      <c r="BI940" s="34"/>
      <c r="BJ940" s="743" t="s">
        <v>186</v>
      </c>
      <c r="BK940" s="755"/>
    </row>
    <row r="941" spans="1:63" s="199" customFormat="1" ht="131.25">
      <c r="A941" s="38">
        <v>2</v>
      </c>
      <c r="B941" s="38" t="s">
        <v>7454</v>
      </c>
      <c r="C941" s="38" t="s">
        <v>83</v>
      </c>
      <c r="D941" s="41" t="s">
        <v>238</v>
      </c>
      <c r="E941" s="41" t="s">
        <v>5853</v>
      </c>
      <c r="F941" s="41" t="s">
        <v>4620</v>
      </c>
      <c r="G941" s="472">
        <v>31</v>
      </c>
      <c r="H941" s="715">
        <v>62142</v>
      </c>
      <c r="I941" s="72" t="s">
        <v>7455</v>
      </c>
      <c r="J941" s="472" t="s">
        <v>4282</v>
      </c>
      <c r="K941" s="472" t="s">
        <v>4917</v>
      </c>
      <c r="L941" s="472" t="s">
        <v>438</v>
      </c>
      <c r="M941" s="745" t="s">
        <v>4170</v>
      </c>
      <c r="N941" s="746" t="s">
        <v>4171</v>
      </c>
      <c r="O941" s="29" t="s">
        <v>167</v>
      </c>
      <c r="P941" s="456">
        <v>4287.8459999999995</v>
      </c>
      <c r="Q941" s="34">
        <f t="shared" si="129"/>
        <v>5059.6582799999996</v>
      </c>
      <c r="R941" s="34"/>
      <c r="S941" s="29"/>
      <c r="T941" s="29"/>
      <c r="U941" s="29"/>
      <c r="V941" s="29"/>
      <c r="W941" s="29"/>
      <c r="X941" s="29"/>
      <c r="Y941" s="34">
        <v>4287.8459999999995</v>
      </c>
      <c r="Z941" s="34">
        <f t="shared" si="130"/>
        <v>5059.6582799999996</v>
      </c>
      <c r="AA941" s="34">
        <v>4287.8459999999995</v>
      </c>
      <c r="AB941" s="34">
        <f t="shared" si="131"/>
        <v>5059.6582799999996</v>
      </c>
      <c r="AC941" s="34">
        <v>4287.8459999999995</v>
      </c>
      <c r="AD941" s="717">
        <f t="shared" si="132"/>
        <v>5059.6582799999996</v>
      </c>
      <c r="AE941" s="41" t="s">
        <v>173</v>
      </c>
      <c r="AF941" s="41" t="s">
        <v>83</v>
      </c>
      <c r="AG941" s="41" t="s">
        <v>83</v>
      </c>
      <c r="AH941" s="41" t="s">
        <v>90</v>
      </c>
      <c r="AI941" s="51">
        <v>41912</v>
      </c>
      <c r="AJ941" s="51">
        <v>41957</v>
      </c>
      <c r="AK941" s="756"/>
      <c r="AL941" s="471"/>
      <c r="AM941" s="29" t="s">
        <v>4159</v>
      </c>
      <c r="AN941" s="471" t="s">
        <v>7456</v>
      </c>
      <c r="AO941" s="11">
        <v>796</v>
      </c>
      <c r="AP941" s="29" t="s">
        <v>368</v>
      </c>
      <c r="AQ941" s="743">
        <v>1</v>
      </c>
      <c r="AR941" s="472">
        <v>45</v>
      </c>
      <c r="AS941" s="472" t="s">
        <v>7369</v>
      </c>
      <c r="AT941" s="51">
        <v>41957</v>
      </c>
      <c r="AU941" s="51">
        <v>41957</v>
      </c>
      <c r="AV941" s="51">
        <v>42004</v>
      </c>
      <c r="AW941" s="29">
        <v>2014</v>
      </c>
      <c r="AX941" s="471"/>
      <c r="AY941" s="135" t="s">
        <v>186</v>
      </c>
      <c r="AZ941" s="471"/>
      <c r="BA941" s="471">
        <v>2014</v>
      </c>
      <c r="BB941" s="471" t="s">
        <v>6838</v>
      </c>
      <c r="BC941" s="41" t="s">
        <v>1794</v>
      </c>
      <c r="BD941" s="471" t="s">
        <v>1818</v>
      </c>
      <c r="BE941" s="757">
        <v>42004</v>
      </c>
      <c r="BF941" s="758">
        <v>38083</v>
      </c>
      <c r="BG941" s="758">
        <v>38083</v>
      </c>
      <c r="BH941" s="34">
        <v>0</v>
      </c>
      <c r="BI941" s="34">
        <v>1.1000000000000001</v>
      </c>
      <c r="BJ941" s="471" t="s">
        <v>186</v>
      </c>
      <c r="BK941" s="471"/>
    </row>
    <row r="942" spans="1:63" s="199" customFormat="1" ht="262.5">
      <c r="A942" s="38">
        <v>2</v>
      </c>
      <c r="B942" s="38" t="s">
        <v>7457</v>
      </c>
      <c r="C942" s="38" t="s">
        <v>83</v>
      </c>
      <c r="D942" s="41" t="s">
        <v>238</v>
      </c>
      <c r="E942" s="41" t="s">
        <v>5853</v>
      </c>
      <c r="F942" s="41" t="s">
        <v>4620</v>
      </c>
      <c r="G942" s="472">
        <v>31</v>
      </c>
      <c r="H942" s="715">
        <v>62143</v>
      </c>
      <c r="I942" s="72" t="s">
        <v>7458</v>
      </c>
      <c r="J942" s="472" t="s">
        <v>4282</v>
      </c>
      <c r="K942" s="472" t="s">
        <v>4917</v>
      </c>
      <c r="L942" s="472" t="s">
        <v>438</v>
      </c>
      <c r="M942" s="745" t="s">
        <v>4170</v>
      </c>
      <c r="N942" s="746" t="s">
        <v>4171</v>
      </c>
      <c r="O942" s="29" t="s">
        <v>167</v>
      </c>
      <c r="P942" s="456">
        <v>101918</v>
      </c>
      <c r="Q942" s="34">
        <f t="shared" si="129"/>
        <v>120263.23999999999</v>
      </c>
      <c r="R942" s="34"/>
      <c r="S942" s="29"/>
      <c r="T942" s="29"/>
      <c r="U942" s="29"/>
      <c r="V942" s="29"/>
      <c r="W942" s="29"/>
      <c r="X942" s="29"/>
      <c r="Y942" s="34">
        <v>101918</v>
      </c>
      <c r="Z942" s="34">
        <f t="shared" si="130"/>
        <v>120263.23999999999</v>
      </c>
      <c r="AA942" s="34">
        <v>101918</v>
      </c>
      <c r="AB942" s="34">
        <f t="shared" si="131"/>
        <v>120263.23999999999</v>
      </c>
      <c r="AC942" s="34">
        <v>101918</v>
      </c>
      <c r="AD942" s="717">
        <f t="shared" si="132"/>
        <v>120263.23999999999</v>
      </c>
      <c r="AE942" s="471" t="s">
        <v>169</v>
      </c>
      <c r="AF942" s="41" t="s">
        <v>83</v>
      </c>
      <c r="AG942" s="41" t="s">
        <v>83</v>
      </c>
      <c r="AH942" s="41" t="s">
        <v>90</v>
      </c>
      <c r="AI942" s="51">
        <v>41912</v>
      </c>
      <c r="AJ942" s="51">
        <v>41957</v>
      </c>
      <c r="AK942" s="756"/>
      <c r="AL942" s="471"/>
      <c r="AM942" s="29" t="s">
        <v>4159</v>
      </c>
      <c r="AN942" s="471" t="s">
        <v>7456</v>
      </c>
      <c r="AO942" s="11">
        <v>796</v>
      </c>
      <c r="AP942" s="29" t="s">
        <v>368</v>
      </c>
      <c r="AQ942" s="743">
        <v>1</v>
      </c>
      <c r="AR942" s="472">
        <v>45</v>
      </c>
      <c r="AS942" s="472" t="s">
        <v>7369</v>
      </c>
      <c r="AT942" s="51">
        <v>41957</v>
      </c>
      <c r="AU942" s="51">
        <v>41957</v>
      </c>
      <c r="AV942" s="51">
        <v>42004</v>
      </c>
      <c r="AW942" s="29">
        <v>2014</v>
      </c>
      <c r="AX942" s="471"/>
      <c r="AY942" s="135" t="s">
        <v>186</v>
      </c>
      <c r="AZ942" s="471"/>
      <c r="BA942" s="471">
        <v>2014</v>
      </c>
      <c r="BB942" s="471" t="s">
        <v>1812</v>
      </c>
      <c r="BC942" s="41" t="s">
        <v>1813</v>
      </c>
      <c r="BD942" s="471" t="s">
        <v>1779</v>
      </c>
      <c r="BE942" s="757">
        <v>42368</v>
      </c>
      <c r="BF942" s="758">
        <v>278268.46139999997</v>
      </c>
      <c r="BG942" s="758">
        <v>208701.34604999999</v>
      </c>
      <c r="BH942" s="34">
        <v>250</v>
      </c>
      <c r="BI942" s="34">
        <v>0</v>
      </c>
      <c r="BJ942" s="471" t="s">
        <v>186</v>
      </c>
      <c r="BK942" s="471"/>
    </row>
    <row r="943" spans="1:63" s="603" customFormat="1">
      <c r="A943" s="91" t="s">
        <v>132</v>
      </c>
      <c r="B943" s="7" t="s">
        <v>132</v>
      </c>
      <c r="C943" s="7" t="s">
        <v>132</v>
      </c>
      <c r="D943" s="7" t="s">
        <v>132</v>
      </c>
      <c r="E943" s="7" t="s">
        <v>132</v>
      </c>
      <c r="F943" s="7" t="s">
        <v>132</v>
      </c>
      <c r="G943" s="7" t="s">
        <v>132</v>
      </c>
      <c r="H943" s="7" t="s">
        <v>132</v>
      </c>
      <c r="I943" s="7" t="s">
        <v>132</v>
      </c>
      <c r="J943" s="7" t="s">
        <v>132</v>
      </c>
      <c r="K943" s="7" t="s">
        <v>132</v>
      </c>
      <c r="L943" s="7" t="s">
        <v>132</v>
      </c>
      <c r="M943" s="7" t="s">
        <v>132</v>
      </c>
      <c r="N943" s="7" t="s">
        <v>132</v>
      </c>
      <c r="O943" s="7" t="s">
        <v>132</v>
      </c>
      <c r="P943" s="7" t="s">
        <v>132</v>
      </c>
      <c r="Q943" s="7" t="s">
        <v>132</v>
      </c>
      <c r="R943" s="7" t="s">
        <v>132</v>
      </c>
      <c r="S943" s="7" t="s">
        <v>132</v>
      </c>
      <c r="T943" s="7" t="s">
        <v>132</v>
      </c>
      <c r="U943" s="7" t="s">
        <v>132</v>
      </c>
      <c r="V943" s="7" t="s">
        <v>132</v>
      </c>
      <c r="W943" s="7" t="s">
        <v>132</v>
      </c>
      <c r="X943" s="7" t="s">
        <v>132</v>
      </c>
      <c r="Y943" s="7" t="s">
        <v>132</v>
      </c>
      <c r="Z943" s="7" t="s">
        <v>132</v>
      </c>
      <c r="AA943" s="7" t="s">
        <v>132</v>
      </c>
      <c r="AB943" s="7" t="s">
        <v>132</v>
      </c>
      <c r="AC943" s="7" t="s">
        <v>132</v>
      </c>
      <c r="AD943" s="7" t="s">
        <v>132</v>
      </c>
      <c r="AE943" s="7" t="s">
        <v>132</v>
      </c>
      <c r="AF943" s="7" t="s">
        <v>132</v>
      </c>
      <c r="AG943" s="7" t="s">
        <v>132</v>
      </c>
      <c r="AH943" s="7" t="s">
        <v>132</v>
      </c>
      <c r="AI943" s="7" t="s">
        <v>132</v>
      </c>
      <c r="AJ943" s="7" t="s">
        <v>132</v>
      </c>
      <c r="AK943" s="7" t="s">
        <v>132</v>
      </c>
      <c r="AL943" s="7" t="s">
        <v>132</v>
      </c>
      <c r="AM943" s="7" t="s">
        <v>132</v>
      </c>
      <c r="AN943" s="7" t="s">
        <v>132</v>
      </c>
      <c r="AO943" s="7" t="s">
        <v>132</v>
      </c>
      <c r="AP943" s="7" t="s">
        <v>132</v>
      </c>
      <c r="AQ943" s="7" t="s">
        <v>132</v>
      </c>
      <c r="AR943" s="7" t="s">
        <v>132</v>
      </c>
      <c r="AS943" s="7" t="s">
        <v>132</v>
      </c>
      <c r="AT943" s="7" t="s">
        <v>132</v>
      </c>
      <c r="AU943" s="7" t="s">
        <v>132</v>
      </c>
      <c r="AV943" s="7" t="s">
        <v>132</v>
      </c>
      <c r="AW943" s="7" t="s">
        <v>132</v>
      </c>
      <c r="AX943" s="7" t="s">
        <v>132</v>
      </c>
      <c r="AY943" s="7" t="s">
        <v>132</v>
      </c>
      <c r="AZ943" s="7" t="s">
        <v>132</v>
      </c>
      <c r="BA943" s="7" t="s">
        <v>132</v>
      </c>
      <c r="BB943" s="7" t="s">
        <v>132</v>
      </c>
      <c r="BC943" s="7" t="s">
        <v>132</v>
      </c>
      <c r="BD943" s="7" t="s">
        <v>132</v>
      </c>
      <c r="BE943" s="7" t="s">
        <v>132</v>
      </c>
      <c r="BF943" s="7" t="s">
        <v>132</v>
      </c>
      <c r="BG943" s="488" t="s">
        <v>132</v>
      </c>
      <c r="BH943" s="7" t="s">
        <v>132</v>
      </c>
      <c r="BI943" s="7" t="s">
        <v>132</v>
      </c>
      <c r="BJ943" s="7" t="s">
        <v>132</v>
      </c>
      <c r="BK943" s="7"/>
    </row>
    <row r="944" spans="1:63" s="603" customFormat="1" ht="36.75" customHeight="1">
      <c r="A944" s="91" t="s">
        <v>132</v>
      </c>
      <c r="B944" s="7" t="s">
        <v>132</v>
      </c>
      <c r="C944" s="7" t="s">
        <v>132</v>
      </c>
      <c r="D944" s="7" t="s">
        <v>132</v>
      </c>
      <c r="E944" s="7" t="s">
        <v>132</v>
      </c>
      <c r="F944" s="7" t="s">
        <v>132</v>
      </c>
      <c r="G944" s="7" t="s">
        <v>132</v>
      </c>
      <c r="H944" s="7" t="s">
        <v>132</v>
      </c>
      <c r="I944" s="8" t="s">
        <v>2998</v>
      </c>
      <c r="J944" s="7" t="s">
        <v>132</v>
      </c>
      <c r="K944" s="7" t="s">
        <v>132</v>
      </c>
      <c r="L944" s="7" t="s">
        <v>132</v>
      </c>
      <c r="M944" s="7" t="s">
        <v>132</v>
      </c>
      <c r="N944" s="7" t="s">
        <v>132</v>
      </c>
      <c r="O944" s="7" t="s">
        <v>132</v>
      </c>
      <c r="P944" s="102">
        <f>SUMIFS(Сумма_16,Филиал,"=ОАО*",ВД,"=2")</f>
        <v>19791893.616788115</v>
      </c>
      <c r="Q944" s="102">
        <f>SUMIFS(Сумма_17,Филиал,"=ОАО*",ВД,"=2")</f>
        <v>23354434.467809971</v>
      </c>
      <c r="R944" s="7" t="s">
        <v>132</v>
      </c>
      <c r="S944" s="7" t="s">
        <v>132</v>
      </c>
      <c r="T944" s="7" t="s">
        <v>132</v>
      </c>
      <c r="U944" s="7" t="s">
        <v>132</v>
      </c>
      <c r="V944" s="7" t="s">
        <v>132</v>
      </c>
      <c r="W944" s="7" t="s">
        <v>132</v>
      </c>
      <c r="X944" s="7" t="s">
        <v>132</v>
      </c>
      <c r="Y944" s="102">
        <f>SUMIFS(Сумма_25,Филиал,"=ОАО*",ВД,"=2")</f>
        <v>17920579.945893023</v>
      </c>
      <c r="Z944" s="102">
        <f>SUMIFS(Сумма_26,Филиал,"=ОАО*",ВД,"=2")</f>
        <v>21147408.318429112</v>
      </c>
      <c r="AA944" s="102">
        <f>SUMIFS(Сумма_27,Филиал,"=ОАО*",ВД,"=2")</f>
        <v>17687400.612098332</v>
      </c>
      <c r="AB944" s="102">
        <f>SUMIFS(Сумма_28,Филиал,"=ОАО*",ВД,"=2")</f>
        <v>20871132.722276032</v>
      </c>
      <c r="AC944" s="102">
        <f>SUMIFS(Сумма_29,Филиал,"=ОАО*",ВД,"=2")</f>
        <v>17290626.576118317</v>
      </c>
      <c r="AD944" s="102">
        <f>SUMIFS(Сумма,Филиал,"=ОАО*",ВД,"=2")</f>
        <v>20402939.35981961</v>
      </c>
      <c r="AE944" s="7" t="s">
        <v>132</v>
      </c>
      <c r="AF944" s="7" t="s">
        <v>132</v>
      </c>
      <c r="AG944" s="7" t="s">
        <v>132</v>
      </c>
      <c r="AH944" s="7" t="s">
        <v>132</v>
      </c>
      <c r="AI944" s="7" t="s">
        <v>132</v>
      </c>
      <c r="AJ944" s="7" t="s">
        <v>132</v>
      </c>
      <c r="AK944" s="7" t="s">
        <v>132</v>
      </c>
      <c r="AL944" s="7" t="s">
        <v>132</v>
      </c>
      <c r="AM944" s="7" t="s">
        <v>132</v>
      </c>
      <c r="AN944" s="7" t="s">
        <v>132</v>
      </c>
      <c r="AO944" s="7" t="s">
        <v>132</v>
      </c>
      <c r="AP944" s="7" t="s">
        <v>132</v>
      </c>
      <c r="AQ944" s="7" t="s">
        <v>132</v>
      </c>
      <c r="AR944" s="7" t="s">
        <v>132</v>
      </c>
      <c r="AS944" s="7" t="s">
        <v>132</v>
      </c>
      <c r="AT944" s="7" t="s">
        <v>132</v>
      </c>
      <c r="AU944" s="7" t="s">
        <v>132</v>
      </c>
      <c r="AV944" s="7" t="s">
        <v>132</v>
      </c>
      <c r="AW944" s="7" t="s">
        <v>132</v>
      </c>
      <c r="AX944" s="7" t="s">
        <v>132</v>
      </c>
      <c r="AY944" s="7" t="s">
        <v>132</v>
      </c>
      <c r="AZ944" s="7" t="s">
        <v>132</v>
      </c>
      <c r="BA944" s="7" t="s">
        <v>132</v>
      </c>
      <c r="BB944" s="7" t="s">
        <v>132</v>
      </c>
      <c r="BC944" s="7" t="s">
        <v>132</v>
      </c>
      <c r="BD944" s="7" t="s">
        <v>132</v>
      </c>
      <c r="BE944" s="7" t="s">
        <v>132</v>
      </c>
      <c r="BF944" s="7" t="s">
        <v>132</v>
      </c>
      <c r="BG944" s="488" t="s">
        <v>132</v>
      </c>
      <c r="BH944" s="7" t="s">
        <v>132</v>
      </c>
      <c r="BI944" s="7" t="s">
        <v>132</v>
      </c>
      <c r="BJ944" s="7" t="s">
        <v>132</v>
      </c>
      <c r="BK944" s="7"/>
    </row>
    <row r="945" spans="1:63" s="603" customFormat="1" ht="37.5">
      <c r="A945" s="91" t="s">
        <v>132</v>
      </c>
      <c r="B945" s="7" t="s">
        <v>132</v>
      </c>
      <c r="C945" s="7" t="s">
        <v>132</v>
      </c>
      <c r="D945" s="7" t="s">
        <v>132</v>
      </c>
      <c r="E945" s="7" t="s">
        <v>132</v>
      </c>
      <c r="F945" s="7" t="s">
        <v>132</v>
      </c>
      <c r="G945" s="7" t="s">
        <v>132</v>
      </c>
      <c r="H945" s="7" t="s">
        <v>132</v>
      </c>
      <c r="I945" s="8" t="s">
        <v>3035</v>
      </c>
      <c r="J945" s="7" t="s">
        <v>132</v>
      </c>
      <c r="K945" s="7" t="s">
        <v>132</v>
      </c>
      <c r="L945" s="7" t="s">
        <v>132</v>
      </c>
      <c r="M945" s="7" t="s">
        <v>132</v>
      </c>
      <c r="N945" s="7" t="s">
        <v>132</v>
      </c>
      <c r="O945" s="7" t="s">
        <v>132</v>
      </c>
      <c r="P945" s="7" t="s">
        <v>132</v>
      </c>
      <c r="Q945" s="7" t="s">
        <v>132</v>
      </c>
      <c r="R945" s="7" t="s">
        <v>132</v>
      </c>
      <c r="S945" s="7" t="s">
        <v>132</v>
      </c>
      <c r="T945" s="7" t="s">
        <v>132</v>
      </c>
      <c r="U945" s="7" t="s">
        <v>132</v>
      </c>
      <c r="V945" s="7" t="s">
        <v>132</v>
      </c>
      <c r="W945" s="7" t="s">
        <v>132</v>
      </c>
      <c r="X945" s="7" t="s">
        <v>132</v>
      </c>
      <c r="Y945" s="7" t="s">
        <v>132</v>
      </c>
      <c r="Z945" s="7" t="s">
        <v>132</v>
      </c>
      <c r="AA945" s="7" t="s">
        <v>132</v>
      </c>
      <c r="AB945" s="7" t="s">
        <v>132</v>
      </c>
      <c r="AC945" s="7" t="s">
        <v>132</v>
      </c>
      <c r="AD945" s="7" t="s">
        <v>132</v>
      </c>
      <c r="AE945" s="7" t="s">
        <v>132</v>
      </c>
      <c r="AF945" s="7" t="s">
        <v>132</v>
      </c>
      <c r="AG945" s="7" t="s">
        <v>132</v>
      </c>
      <c r="AH945" s="7" t="s">
        <v>132</v>
      </c>
      <c r="AI945" s="7" t="s">
        <v>132</v>
      </c>
      <c r="AJ945" s="7" t="s">
        <v>132</v>
      </c>
      <c r="AK945" s="7" t="s">
        <v>132</v>
      </c>
      <c r="AL945" s="7" t="s">
        <v>132</v>
      </c>
      <c r="AM945" s="7" t="s">
        <v>132</v>
      </c>
      <c r="AN945" s="7" t="s">
        <v>132</v>
      </c>
      <c r="AO945" s="7" t="s">
        <v>132</v>
      </c>
      <c r="AP945" s="7" t="s">
        <v>132</v>
      </c>
      <c r="AQ945" s="7" t="s">
        <v>132</v>
      </c>
      <c r="AR945" s="7" t="s">
        <v>132</v>
      </c>
      <c r="AS945" s="7" t="s">
        <v>132</v>
      </c>
      <c r="AT945" s="7" t="s">
        <v>132</v>
      </c>
      <c r="AU945" s="7" t="s">
        <v>132</v>
      </c>
      <c r="AV945" s="7" t="s">
        <v>132</v>
      </c>
      <c r="AW945" s="7" t="s">
        <v>132</v>
      </c>
      <c r="AX945" s="7" t="s">
        <v>132</v>
      </c>
      <c r="AY945" s="7" t="s">
        <v>132</v>
      </c>
      <c r="AZ945" s="7" t="s">
        <v>132</v>
      </c>
      <c r="BA945" s="7" t="s">
        <v>132</v>
      </c>
      <c r="BB945" s="7" t="s">
        <v>132</v>
      </c>
      <c r="BC945" s="7" t="s">
        <v>132</v>
      </c>
      <c r="BD945" s="7" t="s">
        <v>132</v>
      </c>
      <c r="BE945" s="7" t="s">
        <v>132</v>
      </c>
      <c r="BF945" s="7" t="s">
        <v>132</v>
      </c>
      <c r="BG945" s="7" t="s">
        <v>132</v>
      </c>
      <c r="BH945" s="7" t="s">
        <v>132</v>
      </c>
      <c r="BI945" s="7" t="s">
        <v>132</v>
      </c>
      <c r="BJ945" s="7" t="s">
        <v>132</v>
      </c>
      <c r="BK945" s="7"/>
    </row>
    <row r="946" spans="1:63" s="603" customFormat="1">
      <c r="A946" s="91" t="s">
        <v>132</v>
      </c>
      <c r="B946" s="7" t="s">
        <v>132</v>
      </c>
      <c r="C946" s="7" t="s">
        <v>132</v>
      </c>
      <c r="D946" s="7" t="s">
        <v>132</v>
      </c>
      <c r="E946" s="7" t="s">
        <v>132</v>
      </c>
      <c r="F946" s="7" t="s">
        <v>132</v>
      </c>
      <c r="G946" s="7" t="s">
        <v>132</v>
      </c>
      <c r="H946" s="7" t="s">
        <v>132</v>
      </c>
      <c r="I946" s="7" t="s">
        <v>132</v>
      </c>
      <c r="J946" s="7" t="s">
        <v>132</v>
      </c>
      <c r="K946" s="7" t="s">
        <v>132</v>
      </c>
      <c r="L946" s="7" t="s">
        <v>132</v>
      </c>
      <c r="M946" s="7" t="s">
        <v>132</v>
      </c>
      <c r="N946" s="7" t="s">
        <v>132</v>
      </c>
      <c r="O946" s="7" t="s">
        <v>132</v>
      </c>
      <c r="P946" s="7" t="s">
        <v>132</v>
      </c>
      <c r="Q946" s="7" t="s">
        <v>132</v>
      </c>
      <c r="R946" s="7" t="s">
        <v>132</v>
      </c>
      <c r="S946" s="7" t="s">
        <v>132</v>
      </c>
      <c r="T946" s="7" t="s">
        <v>132</v>
      </c>
      <c r="U946" s="7" t="s">
        <v>132</v>
      </c>
      <c r="V946" s="7" t="s">
        <v>132</v>
      </c>
      <c r="W946" s="7" t="s">
        <v>132</v>
      </c>
      <c r="X946" s="7" t="s">
        <v>132</v>
      </c>
      <c r="Y946" s="7" t="s">
        <v>132</v>
      </c>
      <c r="Z946" s="7" t="s">
        <v>132</v>
      </c>
      <c r="AA946" s="7" t="s">
        <v>132</v>
      </c>
      <c r="AB946" s="7" t="s">
        <v>132</v>
      </c>
      <c r="AC946" s="7" t="s">
        <v>132</v>
      </c>
      <c r="AD946" s="7" t="s">
        <v>132</v>
      </c>
      <c r="AE946" s="7" t="s">
        <v>132</v>
      </c>
      <c r="AF946" s="7" t="s">
        <v>132</v>
      </c>
      <c r="AG946" s="7" t="s">
        <v>132</v>
      </c>
      <c r="AH946" s="7" t="s">
        <v>132</v>
      </c>
      <c r="AI946" s="7" t="s">
        <v>132</v>
      </c>
      <c r="AJ946" s="7" t="s">
        <v>132</v>
      </c>
      <c r="AK946" s="7" t="s">
        <v>132</v>
      </c>
      <c r="AL946" s="7" t="s">
        <v>132</v>
      </c>
      <c r="AM946" s="7" t="s">
        <v>132</v>
      </c>
      <c r="AN946" s="7" t="s">
        <v>132</v>
      </c>
      <c r="AO946" s="7" t="s">
        <v>132</v>
      </c>
      <c r="AP946" s="7" t="s">
        <v>132</v>
      </c>
      <c r="AQ946" s="7" t="s">
        <v>132</v>
      </c>
      <c r="AR946" s="7" t="s">
        <v>132</v>
      </c>
      <c r="AS946" s="7" t="s">
        <v>132</v>
      </c>
      <c r="AT946" s="7" t="s">
        <v>132</v>
      </c>
      <c r="AU946" s="7" t="s">
        <v>132</v>
      </c>
      <c r="AV946" s="7" t="s">
        <v>132</v>
      </c>
      <c r="AW946" s="7" t="s">
        <v>132</v>
      </c>
      <c r="AX946" s="7" t="s">
        <v>132</v>
      </c>
      <c r="AY946" s="7" t="s">
        <v>132</v>
      </c>
      <c r="AZ946" s="7" t="s">
        <v>132</v>
      </c>
      <c r="BA946" s="7" t="s">
        <v>132</v>
      </c>
      <c r="BB946" s="7" t="s">
        <v>132</v>
      </c>
      <c r="BC946" s="7" t="s">
        <v>132</v>
      </c>
      <c r="BD946" s="7" t="s">
        <v>132</v>
      </c>
      <c r="BE946" s="7" t="s">
        <v>132</v>
      </c>
      <c r="BF946" s="7" t="s">
        <v>132</v>
      </c>
      <c r="BG946" s="7" t="s">
        <v>132</v>
      </c>
      <c r="BH946" s="7" t="s">
        <v>132</v>
      </c>
      <c r="BI946" s="7" t="s">
        <v>132</v>
      </c>
      <c r="BJ946" s="7" t="s">
        <v>132</v>
      </c>
      <c r="BK946" s="7"/>
    </row>
    <row r="947" spans="1:63" s="287" customFormat="1" ht="131.25">
      <c r="A947" s="38">
        <v>3</v>
      </c>
      <c r="B947" s="43" t="s">
        <v>955</v>
      </c>
      <c r="C947" s="38" t="s">
        <v>83</v>
      </c>
      <c r="D947" s="38" t="s">
        <v>956</v>
      </c>
      <c r="E947" s="38" t="s">
        <v>250</v>
      </c>
      <c r="F947" s="38" t="s">
        <v>957</v>
      </c>
      <c r="G947" s="38">
        <v>4000000</v>
      </c>
      <c r="H947" s="10">
        <v>813061</v>
      </c>
      <c r="I947" s="16" t="s">
        <v>4915</v>
      </c>
      <c r="J947" s="16" t="s">
        <v>773</v>
      </c>
      <c r="K947" s="16" t="s">
        <v>4717</v>
      </c>
      <c r="L947" s="16" t="s">
        <v>180</v>
      </c>
      <c r="M947" s="134" t="s">
        <v>1249</v>
      </c>
      <c r="N947" s="16" t="s">
        <v>959</v>
      </c>
      <c r="O947" s="16" t="s">
        <v>960</v>
      </c>
      <c r="P947" s="22">
        <v>5000</v>
      </c>
      <c r="Q947" s="23">
        <f t="shared" ref="Q947:Q960" si="133">P947*1.18</f>
        <v>5900</v>
      </c>
      <c r="R947" s="23"/>
      <c r="S947" s="29"/>
      <c r="T947" s="38"/>
      <c r="U947" s="38"/>
      <c r="V947" s="38"/>
      <c r="W947" s="38"/>
      <c r="X947" s="38"/>
      <c r="Y947" s="36">
        <v>5000</v>
      </c>
      <c r="Z947" s="34">
        <f t="shared" ref="Z947:Z983" si="134">Y947*1.18</f>
        <v>5900</v>
      </c>
      <c r="AA947" s="36" t="s">
        <v>132</v>
      </c>
      <c r="AB947" s="36" t="s">
        <v>132</v>
      </c>
      <c r="AC947" s="36">
        <v>5000</v>
      </c>
      <c r="AD947" s="34">
        <f t="shared" ref="AD947:AD1010" si="135">AC947*1.18</f>
        <v>5900</v>
      </c>
      <c r="AE947" s="38" t="s">
        <v>169</v>
      </c>
      <c r="AF947" s="38" t="s">
        <v>83</v>
      </c>
      <c r="AG947" s="38" t="s">
        <v>83</v>
      </c>
      <c r="AH947" s="38" t="s">
        <v>545</v>
      </c>
      <c r="AI947" s="51">
        <v>41565</v>
      </c>
      <c r="AJ947" s="51">
        <v>41632</v>
      </c>
      <c r="AK947" s="60"/>
      <c r="AL947" s="60"/>
      <c r="AM947" s="16" t="s">
        <v>958</v>
      </c>
      <c r="AN947" s="60" t="s">
        <v>353</v>
      </c>
      <c r="AO947" s="11">
        <v>796</v>
      </c>
      <c r="AP947" s="38" t="s">
        <v>419</v>
      </c>
      <c r="AQ947" s="38">
        <v>1</v>
      </c>
      <c r="AR947" s="38">
        <v>46434</v>
      </c>
      <c r="AS947" s="16" t="s">
        <v>961</v>
      </c>
      <c r="AT947" s="51">
        <v>41652</v>
      </c>
      <c r="AU947" s="51">
        <v>41652</v>
      </c>
      <c r="AV947" s="52">
        <v>42004</v>
      </c>
      <c r="AW947" s="38">
        <v>2014</v>
      </c>
      <c r="AX947" s="60"/>
      <c r="AY947" s="135"/>
      <c r="AZ947" s="60"/>
      <c r="BA947" s="38"/>
      <c r="BB947" s="38"/>
      <c r="BC947" s="60"/>
      <c r="BD947" s="60"/>
      <c r="BE947" s="304"/>
      <c r="BF947" s="304"/>
      <c r="BG947" s="304"/>
      <c r="BH947" s="304"/>
      <c r="BI947" s="304"/>
      <c r="BJ947" s="304"/>
      <c r="BK947" s="304"/>
    </row>
    <row r="948" spans="1:63" s="287" customFormat="1" ht="131.25">
      <c r="A948" s="38">
        <v>3</v>
      </c>
      <c r="B948" s="43" t="s">
        <v>962</v>
      </c>
      <c r="C948" s="38" t="s">
        <v>83</v>
      </c>
      <c r="D948" s="38" t="s">
        <v>956</v>
      </c>
      <c r="E948" s="38" t="s">
        <v>250</v>
      </c>
      <c r="F948" s="38" t="s">
        <v>957</v>
      </c>
      <c r="G948" s="38">
        <v>4000000</v>
      </c>
      <c r="H948" s="10">
        <v>813074</v>
      </c>
      <c r="I948" s="14" t="s">
        <v>963</v>
      </c>
      <c r="J948" s="16" t="s">
        <v>964</v>
      </c>
      <c r="K948" s="60" t="s">
        <v>4717</v>
      </c>
      <c r="L948" s="16" t="s">
        <v>180</v>
      </c>
      <c r="M948" s="134" t="s">
        <v>1249</v>
      </c>
      <c r="N948" s="16" t="s">
        <v>959</v>
      </c>
      <c r="O948" s="16" t="s">
        <v>960</v>
      </c>
      <c r="P948" s="22">
        <v>50000</v>
      </c>
      <c r="Q948" s="23">
        <f t="shared" si="133"/>
        <v>59000</v>
      </c>
      <c r="R948" s="23"/>
      <c r="S948" s="29"/>
      <c r="T948" s="38"/>
      <c r="U948" s="38"/>
      <c r="V948" s="38"/>
      <c r="W948" s="38"/>
      <c r="X948" s="38"/>
      <c r="Y948" s="36">
        <v>50000</v>
      </c>
      <c r="Z948" s="34">
        <f t="shared" si="134"/>
        <v>59000</v>
      </c>
      <c r="AA948" s="36" t="s">
        <v>132</v>
      </c>
      <c r="AB948" s="36" t="s">
        <v>132</v>
      </c>
      <c r="AC948" s="36">
        <v>50000</v>
      </c>
      <c r="AD948" s="34">
        <f t="shared" si="135"/>
        <v>59000</v>
      </c>
      <c r="AE948" s="38" t="s">
        <v>169</v>
      </c>
      <c r="AF948" s="38" t="s">
        <v>83</v>
      </c>
      <c r="AG948" s="38" t="s">
        <v>83</v>
      </c>
      <c r="AH948" s="38" t="s">
        <v>545</v>
      </c>
      <c r="AI948" s="51">
        <v>41625</v>
      </c>
      <c r="AJ948" s="51">
        <v>41685</v>
      </c>
      <c r="AK948" s="60"/>
      <c r="AL948" s="60"/>
      <c r="AM948" s="58" t="s">
        <v>963</v>
      </c>
      <c r="AN948" s="60" t="s">
        <v>353</v>
      </c>
      <c r="AO948" s="11">
        <v>796</v>
      </c>
      <c r="AP948" s="38" t="s">
        <v>419</v>
      </c>
      <c r="AQ948" s="38">
        <v>1</v>
      </c>
      <c r="AR948" s="38">
        <v>46434</v>
      </c>
      <c r="AS948" s="16" t="s">
        <v>961</v>
      </c>
      <c r="AT948" s="52">
        <v>41705</v>
      </c>
      <c r="AU948" s="52">
        <v>41705</v>
      </c>
      <c r="AV948" s="51">
        <v>42369</v>
      </c>
      <c r="AW948" s="38" t="s">
        <v>99</v>
      </c>
      <c r="AX948" s="60" t="s">
        <v>4792</v>
      </c>
      <c r="AY948" s="135"/>
      <c r="AZ948" s="60"/>
      <c r="BA948" s="38"/>
      <c r="BB948" s="38"/>
      <c r="BC948" s="60"/>
      <c r="BD948" s="60"/>
      <c r="BE948" s="304"/>
      <c r="BF948" s="304"/>
      <c r="BG948" s="304"/>
      <c r="BH948" s="304"/>
      <c r="BI948" s="304"/>
      <c r="BJ948" s="304"/>
      <c r="BK948" s="304"/>
    </row>
    <row r="949" spans="1:63" s="287" customFormat="1" ht="112.5">
      <c r="A949" s="38">
        <v>3</v>
      </c>
      <c r="B949" s="43" t="s">
        <v>968</v>
      </c>
      <c r="C949" s="38" t="s">
        <v>83</v>
      </c>
      <c r="D949" s="38" t="s">
        <v>956</v>
      </c>
      <c r="E949" s="38" t="s">
        <v>250</v>
      </c>
      <c r="F949" s="38" t="s">
        <v>957</v>
      </c>
      <c r="G949" s="38">
        <v>4000000</v>
      </c>
      <c r="H949" s="10">
        <v>813077</v>
      </c>
      <c r="I949" s="16" t="s">
        <v>969</v>
      </c>
      <c r="J949" s="16" t="s">
        <v>970</v>
      </c>
      <c r="K949" s="60" t="s">
        <v>4717</v>
      </c>
      <c r="L949" s="16" t="s">
        <v>180</v>
      </c>
      <c r="M949" s="134" t="s">
        <v>1249</v>
      </c>
      <c r="N949" s="16" t="s">
        <v>959</v>
      </c>
      <c r="O949" s="16" t="s">
        <v>960</v>
      </c>
      <c r="P949" s="22">
        <v>10000</v>
      </c>
      <c r="Q949" s="23">
        <f t="shared" si="133"/>
        <v>11800</v>
      </c>
      <c r="R949" s="23"/>
      <c r="S949" s="29"/>
      <c r="T949" s="38"/>
      <c r="U949" s="38"/>
      <c r="V949" s="38"/>
      <c r="W949" s="38"/>
      <c r="X949" s="38"/>
      <c r="Y949" s="36">
        <v>10000</v>
      </c>
      <c r="Z949" s="34">
        <f t="shared" si="134"/>
        <v>11800</v>
      </c>
      <c r="AA949" s="36" t="s">
        <v>132</v>
      </c>
      <c r="AB949" s="36" t="s">
        <v>132</v>
      </c>
      <c r="AC949" s="36">
        <v>10000</v>
      </c>
      <c r="AD949" s="34">
        <f t="shared" si="135"/>
        <v>11800</v>
      </c>
      <c r="AE949" s="38" t="s">
        <v>169</v>
      </c>
      <c r="AF949" s="38" t="s">
        <v>83</v>
      </c>
      <c r="AG949" s="38" t="s">
        <v>83</v>
      </c>
      <c r="AH949" s="38" t="s">
        <v>545</v>
      </c>
      <c r="AI949" s="51">
        <v>41565</v>
      </c>
      <c r="AJ949" s="51">
        <v>41632</v>
      </c>
      <c r="AK949" s="60"/>
      <c r="AL949" s="60"/>
      <c r="AM949" s="16" t="s">
        <v>969</v>
      </c>
      <c r="AN949" s="60" t="s">
        <v>353</v>
      </c>
      <c r="AO949" s="11">
        <v>796</v>
      </c>
      <c r="AP949" s="38" t="s">
        <v>419</v>
      </c>
      <c r="AQ949" s="38">
        <v>1</v>
      </c>
      <c r="AR949" s="38">
        <v>46434</v>
      </c>
      <c r="AS949" s="16" t="s">
        <v>961</v>
      </c>
      <c r="AT949" s="51">
        <v>41652</v>
      </c>
      <c r="AU949" s="51">
        <v>41652</v>
      </c>
      <c r="AV949" s="51">
        <v>42369</v>
      </c>
      <c r="AW949" s="38" t="s">
        <v>99</v>
      </c>
      <c r="AX949" s="60"/>
      <c r="AY949" s="135"/>
      <c r="AZ949" s="60"/>
      <c r="BA949" s="38"/>
      <c r="BB949" s="38"/>
      <c r="BC949" s="60"/>
      <c r="BD949" s="60"/>
      <c r="BE949" s="304"/>
      <c r="BF949" s="304"/>
      <c r="BG949" s="304"/>
      <c r="BH949" s="304"/>
      <c r="BI949" s="304"/>
      <c r="BJ949" s="304"/>
      <c r="BK949" s="304"/>
    </row>
    <row r="950" spans="1:63" s="287" customFormat="1" ht="75">
      <c r="A950" s="38">
        <v>3</v>
      </c>
      <c r="B950" s="43" t="s">
        <v>971</v>
      </c>
      <c r="C950" s="38" t="s">
        <v>83</v>
      </c>
      <c r="D950" s="38" t="s">
        <v>956</v>
      </c>
      <c r="E950" s="38" t="s">
        <v>250</v>
      </c>
      <c r="F950" s="38" t="s">
        <v>957</v>
      </c>
      <c r="G950" s="38">
        <v>4000000</v>
      </c>
      <c r="H950" s="10">
        <v>813064</v>
      </c>
      <c r="I950" s="15" t="s">
        <v>972</v>
      </c>
      <c r="J950" s="16" t="s">
        <v>973</v>
      </c>
      <c r="K950" s="16" t="s">
        <v>4717</v>
      </c>
      <c r="L950" s="16" t="s">
        <v>180</v>
      </c>
      <c r="M950" s="134" t="s">
        <v>3069</v>
      </c>
      <c r="N950" s="16" t="s">
        <v>959</v>
      </c>
      <c r="O950" s="16" t="s">
        <v>960</v>
      </c>
      <c r="P950" s="22">
        <v>22463.330139999998</v>
      </c>
      <c r="Q950" s="23">
        <f t="shared" si="133"/>
        <v>26506.729565199996</v>
      </c>
      <c r="R950" s="465">
        <v>21777.15</v>
      </c>
      <c r="S950" s="466" t="s">
        <v>974</v>
      </c>
      <c r="T950" s="467">
        <v>1.0840000000000001</v>
      </c>
      <c r="U950" s="467">
        <v>1.0509999999999999</v>
      </c>
      <c r="V950" s="467">
        <v>1.0669999999999999</v>
      </c>
      <c r="W950" s="467">
        <v>1.0529999999999999</v>
      </c>
      <c r="X950" s="467">
        <v>0.9</v>
      </c>
      <c r="Y950" s="36">
        <v>25088.134288353125</v>
      </c>
      <c r="Z950" s="34">
        <f t="shared" si="134"/>
        <v>29603.998460256687</v>
      </c>
      <c r="AA950" s="36" t="s">
        <v>132</v>
      </c>
      <c r="AB950" s="36" t="s">
        <v>132</v>
      </c>
      <c r="AC950" s="36">
        <v>22463.330139999998</v>
      </c>
      <c r="AD950" s="34">
        <f t="shared" si="135"/>
        <v>26506.729565199996</v>
      </c>
      <c r="AE950" s="38" t="s">
        <v>169</v>
      </c>
      <c r="AF950" s="38" t="s">
        <v>83</v>
      </c>
      <c r="AG950" s="38" t="s">
        <v>83</v>
      </c>
      <c r="AH950" s="38" t="s">
        <v>545</v>
      </c>
      <c r="AI950" s="51">
        <v>41554</v>
      </c>
      <c r="AJ950" s="51">
        <v>41609</v>
      </c>
      <c r="AK950" s="60"/>
      <c r="AL950" s="60"/>
      <c r="AM950" s="59" t="s">
        <v>972</v>
      </c>
      <c r="AN950" s="60" t="s">
        <v>353</v>
      </c>
      <c r="AO950" s="63" t="s">
        <v>975</v>
      </c>
      <c r="AP950" s="38" t="s">
        <v>976</v>
      </c>
      <c r="AQ950" s="38">
        <v>525.55999999999995</v>
      </c>
      <c r="AR950" s="38">
        <v>46434</v>
      </c>
      <c r="AS950" s="16" t="s">
        <v>961</v>
      </c>
      <c r="AT950" s="51">
        <v>41760</v>
      </c>
      <c r="AU950" s="51">
        <v>41760</v>
      </c>
      <c r="AV950" s="51">
        <v>41943</v>
      </c>
      <c r="AW950" s="38">
        <v>2014</v>
      </c>
      <c r="AX950" s="60"/>
      <c r="AY950" s="135"/>
      <c r="AZ950" s="60"/>
      <c r="BA950" s="38"/>
      <c r="BB950" s="38"/>
      <c r="BC950" s="60"/>
      <c r="BD950" s="60"/>
      <c r="BE950" s="304"/>
      <c r="BF950" s="304"/>
      <c r="BG950" s="304"/>
      <c r="BH950" s="304"/>
      <c r="BI950" s="304"/>
      <c r="BJ950" s="304"/>
      <c r="BK950" s="304"/>
    </row>
    <row r="951" spans="1:63" s="287" customFormat="1" ht="56.25">
      <c r="A951" s="38">
        <v>3</v>
      </c>
      <c r="B951" s="43" t="s">
        <v>977</v>
      </c>
      <c r="C951" s="38" t="s">
        <v>83</v>
      </c>
      <c r="D951" s="38" t="s">
        <v>956</v>
      </c>
      <c r="E951" s="38" t="s">
        <v>250</v>
      </c>
      <c r="F951" s="38" t="s">
        <v>957</v>
      </c>
      <c r="G951" s="38">
        <v>4000000</v>
      </c>
      <c r="H951" s="10">
        <v>813067</v>
      </c>
      <c r="I951" s="16" t="s">
        <v>978</v>
      </c>
      <c r="J951" s="16" t="s">
        <v>979</v>
      </c>
      <c r="K951" s="60" t="s">
        <v>4717</v>
      </c>
      <c r="L951" s="16" t="s">
        <v>180</v>
      </c>
      <c r="M951" s="134" t="s">
        <v>1249</v>
      </c>
      <c r="N951" s="16" t="s">
        <v>959</v>
      </c>
      <c r="O951" s="16" t="s">
        <v>960</v>
      </c>
      <c r="P951" s="22">
        <v>38201.805630000003</v>
      </c>
      <c r="Q951" s="23">
        <f t="shared" si="133"/>
        <v>45078.1306434</v>
      </c>
      <c r="R951" s="465">
        <v>37034.870000000003</v>
      </c>
      <c r="S951" s="466" t="s">
        <v>974</v>
      </c>
      <c r="T951" s="467">
        <v>1.0840000000000001</v>
      </c>
      <c r="U951" s="467">
        <v>1.0509999999999999</v>
      </c>
      <c r="V951" s="467">
        <v>1.0669999999999999</v>
      </c>
      <c r="W951" s="467">
        <v>1.0529999999999999</v>
      </c>
      <c r="X951" s="467">
        <v>0.9</v>
      </c>
      <c r="Y951" s="36">
        <v>42665.625431751083</v>
      </c>
      <c r="Z951" s="34">
        <f t="shared" si="134"/>
        <v>50345.438009466277</v>
      </c>
      <c r="AA951" s="36" t="s">
        <v>132</v>
      </c>
      <c r="AB951" s="36" t="s">
        <v>132</v>
      </c>
      <c r="AC951" s="36">
        <v>38201.805630000003</v>
      </c>
      <c r="AD951" s="34">
        <f t="shared" si="135"/>
        <v>45078.1306434</v>
      </c>
      <c r="AE951" s="38" t="s">
        <v>169</v>
      </c>
      <c r="AF951" s="38" t="s">
        <v>83</v>
      </c>
      <c r="AG951" s="38" t="s">
        <v>83</v>
      </c>
      <c r="AH951" s="38" t="s">
        <v>545</v>
      </c>
      <c r="AI951" s="51">
        <v>41554</v>
      </c>
      <c r="AJ951" s="51">
        <v>41609</v>
      </c>
      <c r="AK951" s="60"/>
      <c r="AL951" s="60"/>
      <c r="AM951" s="60" t="s">
        <v>978</v>
      </c>
      <c r="AN951" s="60" t="s">
        <v>353</v>
      </c>
      <c r="AO951" s="11">
        <v>796</v>
      </c>
      <c r="AP951" s="38" t="s">
        <v>419</v>
      </c>
      <c r="AQ951" s="38">
        <v>9</v>
      </c>
      <c r="AR951" s="38">
        <v>46434</v>
      </c>
      <c r="AS951" s="16" t="s">
        <v>961</v>
      </c>
      <c r="AT951" s="51">
        <v>41730</v>
      </c>
      <c r="AU951" s="51">
        <v>41730</v>
      </c>
      <c r="AV951" s="51">
        <v>41943</v>
      </c>
      <c r="AW951" s="38">
        <v>2014</v>
      </c>
      <c r="AX951" s="60"/>
      <c r="AY951" s="135"/>
      <c r="AZ951" s="60"/>
      <c r="BA951" s="38"/>
      <c r="BB951" s="38"/>
      <c r="BC951" s="60"/>
      <c r="BD951" s="60"/>
      <c r="BE951" s="304"/>
      <c r="BF951" s="304"/>
      <c r="BG951" s="304"/>
      <c r="BH951" s="304"/>
      <c r="BI951" s="304"/>
      <c r="BJ951" s="304"/>
      <c r="BK951" s="304"/>
    </row>
    <row r="952" spans="1:63" s="287" customFormat="1" ht="56.25">
      <c r="A952" s="38">
        <v>3</v>
      </c>
      <c r="B952" s="43" t="s">
        <v>982</v>
      </c>
      <c r="C952" s="38" t="s">
        <v>83</v>
      </c>
      <c r="D952" s="38" t="s">
        <v>956</v>
      </c>
      <c r="E952" s="38" t="s">
        <v>250</v>
      </c>
      <c r="F952" s="38" t="s">
        <v>957</v>
      </c>
      <c r="G952" s="38">
        <v>4000000</v>
      </c>
      <c r="H952" s="10">
        <v>813072</v>
      </c>
      <c r="I952" s="15" t="s">
        <v>4718</v>
      </c>
      <c r="J952" s="16" t="s">
        <v>984</v>
      </c>
      <c r="K952" s="16" t="s">
        <v>4717</v>
      </c>
      <c r="L952" s="16" t="s">
        <v>180</v>
      </c>
      <c r="M952" s="134" t="s">
        <v>1249</v>
      </c>
      <c r="N952" s="16" t="s">
        <v>959</v>
      </c>
      <c r="O952" s="16" t="s">
        <v>960</v>
      </c>
      <c r="P952" s="22">
        <v>3395.3515900000002</v>
      </c>
      <c r="Q952" s="23">
        <f t="shared" si="133"/>
        <v>4006.5148761999999</v>
      </c>
      <c r="R952" s="465">
        <v>3291.64</v>
      </c>
      <c r="S952" s="466" t="s">
        <v>974</v>
      </c>
      <c r="T952" s="467">
        <v>1.0840000000000001</v>
      </c>
      <c r="U952" s="467">
        <v>1.0509999999999999</v>
      </c>
      <c r="V952" s="467">
        <v>1.0669999999999999</v>
      </c>
      <c r="W952" s="467">
        <v>1.0529999999999999</v>
      </c>
      <c r="X952" s="467">
        <v>0.9</v>
      </c>
      <c r="Y952" s="36">
        <v>3792.0929851095229</v>
      </c>
      <c r="Z952" s="34">
        <f t="shared" si="134"/>
        <v>4474.6697224292366</v>
      </c>
      <c r="AA952" s="36" t="s">
        <v>132</v>
      </c>
      <c r="AB952" s="36" t="s">
        <v>132</v>
      </c>
      <c r="AC952" s="36">
        <v>3395.3515900000002</v>
      </c>
      <c r="AD952" s="34">
        <f t="shared" si="135"/>
        <v>4006.5148761999999</v>
      </c>
      <c r="AE952" s="38" t="s">
        <v>173</v>
      </c>
      <c r="AF952" s="38" t="s">
        <v>83</v>
      </c>
      <c r="AG952" s="38" t="s">
        <v>83</v>
      </c>
      <c r="AH952" s="38" t="s">
        <v>545</v>
      </c>
      <c r="AI952" s="51">
        <v>41554</v>
      </c>
      <c r="AJ952" s="51">
        <v>41609</v>
      </c>
      <c r="AK952" s="60"/>
      <c r="AL952" s="60"/>
      <c r="AM952" s="59" t="s">
        <v>983</v>
      </c>
      <c r="AN952" s="60" t="s">
        <v>353</v>
      </c>
      <c r="AO952" s="11">
        <v>796</v>
      </c>
      <c r="AP952" s="38" t="s">
        <v>419</v>
      </c>
      <c r="AQ952" s="38">
        <v>10</v>
      </c>
      <c r="AR952" s="38">
        <v>46434</v>
      </c>
      <c r="AS952" s="16" t="s">
        <v>961</v>
      </c>
      <c r="AT952" s="51">
        <v>41821</v>
      </c>
      <c r="AU952" s="51">
        <v>41821</v>
      </c>
      <c r="AV952" s="224">
        <v>41912</v>
      </c>
      <c r="AW952" s="38">
        <v>2014</v>
      </c>
      <c r="AX952" s="60"/>
      <c r="AY952" s="135"/>
      <c r="AZ952" s="60"/>
      <c r="BA952" s="38"/>
      <c r="BB952" s="38"/>
      <c r="BC952" s="60"/>
      <c r="BD952" s="60"/>
      <c r="BE952" s="304"/>
      <c r="BF952" s="304"/>
      <c r="BG952" s="304"/>
      <c r="BH952" s="304"/>
      <c r="BI952" s="304"/>
      <c r="BJ952" s="304"/>
      <c r="BK952" s="304"/>
    </row>
    <row r="953" spans="1:63" s="287" customFormat="1" ht="56.25">
      <c r="A953" s="127">
        <v>3</v>
      </c>
      <c r="B953" s="125" t="s">
        <v>4177</v>
      </c>
      <c r="C953" s="127" t="s">
        <v>83</v>
      </c>
      <c r="D953" s="127" t="s">
        <v>160</v>
      </c>
      <c r="E953" s="127" t="s">
        <v>250</v>
      </c>
      <c r="F953" s="127" t="s">
        <v>957</v>
      </c>
      <c r="G953" s="127">
        <v>4000000</v>
      </c>
      <c r="H953" s="126">
        <v>813072</v>
      </c>
      <c r="I953" s="130" t="s">
        <v>4178</v>
      </c>
      <c r="J953" s="366" t="s">
        <v>813</v>
      </c>
      <c r="K953" s="366" t="s">
        <v>4717</v>
      </c>
      <c r="L953" s="137" t="s">
        <v>180</v>
      </c>
      <c r="M953" s="370" t="s">
        <v>1249</v>
      </c>
      <c r="N953" s="137" t="s">
        <v>959</v>
      </c>
      <c r="O953" s="137" t="s">
        <v>960</v>
      </c>
      <c r="P953" s="156">
        <v>179755.87</v>
      </c>
      <c r="Q953" s="156">
        <f t="shared" si="133"/>
        <v>212111.92659999998</v>
      </c>
      <c r="R953" s="227">
        <v>169897.24</v>
      </c>
      <c r="S953" s="230" t="s">
        <v>974</v>
      </c>
      <c r="T953" s="172">
        <v>1.0840000000000001</v>
      </c>
      <c r="U953" s="172">
        <v>1.0509999999999999</v>
      </c>
      <c r="V953" s="172">
        <v>1.0669999999999999</v>
      </c>
      <c r="W953" s="172">
        <v>1.0529999999999999</v>
      </c>
      <c r="X953" s="172">
        <v>0.9</v>
      </c>
      <c r="Y953" s="156">
        <v>195728.29909558356</v>
      </c>
      <c r="Z953" s="228">
        <f t="shared" si="134"/>
        <v>230959.39293278859</v>
      </c>
      <c r="AA953" s="225" t="s">
        <v>132</v>
      </c>
      <c r="AB953" s="225" t="s">
        <v>132</v>
      </c>
      <c r="AC953" s="156">
        <v>179755.87</v>
      </c>
      <c r="AD953" s="228">
        <f t="shared" si="135"/>
        <v>212111.92659999998</v>
      </c>
      <c r="AE953" s="155" t="s">
        <v>169</v>
      </c>
      <c r="AF953" s="127" t="s">
        <v>83</v>
      </c>
      <c r="AG953" s="127" t="s">
        <v>83</v>
      </c>
      <c r="AH953" s="127" t="s">
        <v>545</v>
      </c>
      <c r="AI953" s="128">
        <v>41654</v>
      </c>
      <c r="AJ953" s="128">
        <v>42004</v>
      </c>
      <c r="AK953" s="366"/>
      <c r="AL953" s="366"/>
      <c r="AM953" s="131" t="s">
        <v>3749</v>
      </c>
      <c r="AN953" s="366" t="s">
        <v>171</v>
      </c>
      <c r="AO953" s="133">
        <v>8</v>
      </c>
      <c r="AP953" s="127" t="s">
        <v>82</v>
      </c>
      <c r="AQ953" s="127">
        <v>33.799999999999997</v>
      </c>
      <c r="AR953" s="127">
        <v>46434</v>
      </c>
      <c r="AS953" s="366" t="s">
        <v>3383</v>
      </c>
      <c r="AT953" s="128">
        <v>41650</v>
      </c>
      <c r="AU953" s="128">
        <v>41650</v>
      </c>
      <c r="AV953" s="49">
        <v>42004</v>
      </c>
      <c r="AW953" s="127">
        <v>2014</v>
      </c>
      <c r="AX953" s="366"/>
      <c r="AY953" s="129"/>
      <c r="AZ953" s="366"/>
      <c r="BA953" s="127"/>
      <c r="BB953" s="127"/>
      <c r="BC953" s="366"/>
      <c r="BD953" s="366"/>
      <c r="BE953" s="367"/>
      <c r="BF953" s="367"/>
      <c r="BG953" s="367"/>
      <c r="BH953" s="367"/>
      <c r="BI953" s="367"/>
      <c r="BJ953" s="367"/>
      <c r="BK953" s="367"/>
    </row>
    <row r="954" spans="1:63" s="287" customFormat="1" ht="75">
      <c r="A954" s="42">
        <v>3</v>
      </c>
      <c r="B954" s="111" t="s">
        <v>985</v>
      </c>
      <c r="C954" s="42" t="s">
        <v>4268</v>
      </c>
      <c r="D954" s="42" t="s">
        <v>956</v>
      </c>
      <c r="E954" s="42" t="s">
        <v>250</v>
      </c>
      <c r="F954" s="42" t="s">
        <v>957</v>
      </c>
      <c r="G954" s="42">
        <v>4000000</v>
      </c>
      <c r="H954" s="112">
        <v>813071</v>
      </c>
      <c r="I954" s="113" t="s">
        <v>986</v>
      </c>
      <c r="J954" s="13" t="s">
        <v>967</v>
      </c>
      <c r="K954" s="57" t="s">
        <v>4717</v>
      </c>
      <c r="L954" s="13" t="s">
        <v>180</v>
      </c>
      <c r="M954" s="182" t="s">
        <v>1249</v>
      </c>
      <c r="N954" s="13" t="s">
        <v>959</v>
      </c>
      <c r="O954" s="13" t="s">
        <v>960</v>
      </c>
      <c r="P954" s="114">
        <v>67267.72</v>
      </c>
      <c r="Q954" s="21">
        <f t="shared" si="133"/>
        <v>79375.909599999999</v>
      </c>
      <c r="R954" s="21">
        <v>65212.92</v>
      </c>
      <c r="S954" s="201" t="s">
        <v>974</v>
      </c>
      <c r="T954" s="42">
        <v>1.0840000000000001</v>
      </c>
      <c r="U954" s="42">
        <v>1.0509999999999999</v>
      </c>
      <c r="V954" s="42">
        <v>1.0669999999999999</v>
      </c>
      <c r="W954" s="42">
        <v>1.0529999999999999</v>
      </c>
      <c r="X954" s="69">
        <v>0.9</v>
      </c>
      <c r="Y954" s="114">
        <v>75127.847342642897</v>
      </c>
      <c r="Z954" s="35">
        <f t="shared" si="134"/>
        <v>88650.859864318612</v>
      </c>
      <c r="AA954" s="225" t="s">
        <v>132</v>
      </c>
      <c r="AB954" s="225" t="s">
        <v>132</v>
      </c>
      <c r="AC954" s="114">
        <v>67267.72</v>
      </c>
      <c r="AD954" s="35">
        <f t="shared" si="135"/>
        <v>79375.909599999999</v>
      </c>
      <c r="AE954" s="42" t="s">
        <v>169</v>
      </c>
      <c r="AF954" s="42" t="s">
        <v>83</v>
      </c>
      <c r="AG954" s="42" t="s">
        <v>83</v>
      </c>
      <c r="AH954" s="42" t="s">
        <v>545</v>
      </c>
      <c r="AI954" s="115">
        <v>41621</v>
      </c>
      <c r="AJ954" s="115">
        <v>41681</v>
      </c>
      <c r="AK954" s="57"/>
      <c r="AL954" s="57"/>
      <c r="AM954" s="116" t="s">
        <v>986</v>
      </c>
      <c r="AN954" s="57" t="s">
        <v>353</v>
      </c>
      <c r="AO954" s="9" t="s">
        <v>987</v>
      </c>
      <c r="AP954" s="42" t="s">
        <v>82</v>
      </c>
      <c r="AQ954" s="42">
        <v>17.815000000000001</v>
      </c>
      <c r="AR954" s="42">
        <v>46434</v>
      </c>
      <c r="AS954" s="13" t="s">
        <v>961</v>
      </c>
      <c r="AT954" s="115">
        <v>41699</v>
      </c>
      <c r="AU954" s="115">
        <v>41699</v>
      </c>
      <c r="AV954" s="49">
        <v>42004</v>
      </c>
      <c r="AW954" s="42">
        <v>2014</v>
      </c>
      <c r="AX954" s="201" t="s">
        <v>132</v>
      </c>
      <c r="AY954" s="117"/>
      <c r="AZ954" s="201" t="s">
        <v>132</v>
      </c>
      <c r="BA954" s="42" t="s">
        <v>132</v>
      </c>
      <c r="BB954" s="42" t="s">
        <v>132</v>
      </c>
      <c r="BC954" s="57"/>
      <c r="BD954" s="57"/>
      <c r="BE954" s="368"/>
      <c r="BF954" s="368"/>
      <c r="BG954" s="368"/>
      <c r="BH954" s="368"/>
      <c r="BI954" s="368"/>
      <c r="BJ954" s="368"/>
      <c r="BK954" s="368"/>
    </row>
    <row r="955" spans="1:63" s="268" customFormat="1" ht="73.5" customHeight="1">
      <c r="A955" s="119">
        <v>3</v>
      </c>
      <c r="B955" s="9" t="s">
        <v>3748</v>
      </c>
      <c r="C955" s="42" t="s">
        <v>4268</v>
      </c>
      <c r="D955" s="42" t="s">
        <v>3704</v>
      </c>
      <c r="E955" s="42" t="s">
        <v>250</v>
      </c>
      <c r="F955" s="42" t="s">
        <v>3615</v>
      </c>
      <c r="G955" s="42">
        <v>7422000</v>
      </c>
      <c r="H955" s="9">
        <v>833968</v>
      </c>
      <c r="I955" s="13" t="s">
        <v>3749</v>
      </c>
      <c r="J955" s="13" t="s">
        <v>3750</v>
      </c>
      <c r="K955" s="57" t="s">
        <v>4717</v>
      </c>
      <c r="L955" s="13" t="s">
        <v>180</v>
      </c>
      <c r="M955" s="182" t="s">
        <v>1249</v>
      </c>
      <c r="N955" s="57" t="s">
        <v>959</v>
      </c>
      <c r="O955" s="13" t="s">
        <v>3660</v>
      </c>
      <c r="P955" s="21">
        <v>18363.285179999999</v>
      </c>
      <c r="Q955" s="21">
        <f t="shared" si="133"/>
        <v>21668.676512399998</v>
      </c>
      <c r="R955" s="21">
        <v>15991.03</v>
      </c>
      <c r="S955" s="35"/>
      <c r="T955" s="69">
        <v>1.0840000000000001</v>
      </c>
      <c r="U955" s="69">
        <v>1.0509999999999999</v>
      </c>
      <c r="V955" s="69">
        <v>1.0669999999999999</v>
      </c>
      <c r="W955" s="69">
        <v>1.0529999999999999</v>
      </c>
      <c r="X955" s="69">
        <v>0.9</v>
      </c>
      <c r="Y955" s="114">
        <v>18422.29516316127</v>
      </c>
      <c r="Z955" s="35">
        <f t="shared" si="134"/>
        <v>21738.308292530299</v>
      </c>
      <c r="AA955" s="225" t="s">
        <v>132</v>
      </c>
      <c r="AB955" s="225" t="s">
        <v>132</v>
      </c>
      <c r="AC955" s="21">
        <v>18363.285179999999</v>
      </c>
      <c r="AD955" s="21">
        <f t="shared" si="135"/>
        <v>21668.676512399998</v>
      </c>
      <c r="AE955" s="42" t="s">
        <v>169</v>
      </c>
      <c r="AF955" s="42" t="s">
        <v>83</v>
      </c>
      <c r="AG955" s="42" t="s">
        <v>83</v>
      </c>
      <c r="AH955" s="42" t="s">
        <v>545</v>
      </c>
      <c r="AI955" s="50">
        <v>41654</v>
      </c>
      <c r="AJ955" s="50">
        <v>41679</v>
      </c>
      <c r="AK955" s="57"/>
      <c r="AL955" s="57"/>
      <c r="AM955" s="57" t="s">
        <v>3749</v>
      </c>
      <c r="AN955" s="57" t="s">
        <v>353</v>
      </c>
      <c r="AO955" s="9">
        <v>6.19</v>
      </c>
      <c r="AP955" s="42" t="s">
        <v>82</v>
      </c>
      <c r="AQ955" s="42">
        <v>6</v>
      </c>
      <c r="AR955" s="42">
        <v>46209</v>
      </c>
      <c r="AS955" s="13" t="s">
        <v>3383</v>
      </c>
      <c r="AT955" s="50">
        <v>41699</v>
      </c>
      <c r="AU955" s="115">
        <v>41699</v>
      </c>
      <c r="AV955" s="49">
        <v>42004</v>
      </c>
      <c r="AW955" s="42">
        <v>2014</v>
      </c>
      <c r="AX955" s="201" t="s">
        <v>132</v>
      </c>
      <c r="AY955" s="117"/>
      <c r="AZ955" s="201" t="s">
        <v>132</v>
      </c>
      <c r="BA955" s="42" t="s">
        <v>132</v>
      </c>
      <c r="BB955" s="42" t="s">
        <v>132</v>
      </c>
      <c r="BC955" s="57"/>
      <c r="BD955" s="57"/>
      <c r="BE955" s="371"/>
      <c r="BF955" s="371"/>
      <c r="BG955" s="371"/>
      <c r="BH955" s="371"/>
      <c r="BI955" s="371"/>
      <c r="BJ955" s="368"/>
      <c r="BK955" s="368"/>
    </row>
    <row r="956" spans="1:63" s="268" customFormat="1" ht="112.5">
      <c r="A956" s="119">
        <v>3</v>
      </c>
      <c r="B956" s="42" t="s">
        <v>3485</v>
      </c>
      <c r="C956" s="42" t="s">
        <v>4268</v>
      </c>
      <c r="D956" s="42" t="s">
        <v>3423</v>
      </c>
      <c r="E956" s="42" t="s">
        <v>250</v>
      </c>
      <c r="F956" s="42" t="s">
        <v>3486</v>
      </c>
      <c r="G956" s="42">
        <v>2911160</v>
      </c>
      <c r="H956" s="143">
        <v>825118</v>
      </c>
      <c r="I956" s="13" t="s">
        <v>3487</v>
      </c>
      <c r="J956" s="13" t="s">
        <v>813</v>
      </c>
      <c r="K956" s="57" t="s">
        <v>4717</v>
      </c>
      <c r="L956" s="13" t="s">
        <v>180</v>
      </c>
      <c r="M956" s="182" t="s">
        <v>1249</v>
      </c>
      <c r="N956" s="57" t="s">
        <v>959</v>
      </c>
      <c r="O956" s="13" t="s">
        <v>271</v>
      </c>
      <c r="P956" s="21">
        <v>52591.504000000001</v>
      </c>
      <c r="Q956" s="21">
        <f t="shared" si="133"/>
        <v>62057.974719999998</v>
      </c>
      <c r="R956" s="21">
        <v>51539.67</v>
      </c>
      <c r="S956" s="372" t="s">
        <v>255</v>
      </c>
      <c r="T956" s="69">
        <v>1.0840000000000001</v>
      </c>
      <c r="U956" s="69">
        <v>1.0509999999999999</v>
      </c>
      <c r="V956" s="69">
        <v>1.0669999999999999</v>
      </c>
      <c r="W956" s="69">
        <v>1.0529999999999999</v>
      </c>
      <c r="X956" s="69">
        <v>0.9</v>
      </c>
      <c r="Y956" s="21">
        <v>59375.725850800605</v>
      </c>
      <c r="Z956" s="21">
        <f t="shared" si="134"/>
        <v>70063.356503944713</v>
      </c>
      <c r="AA956" s="225" t="s">
        <v>132</v>
      </c>
      <c r="AB956" s="225" t="s">
        <v>132</v>
      </c>
      <c r="AC956" s="21">
        <v>52591.504000000001</v>
      </c>
      <c r="AD956" s="21">
        <f t="shared" si="135"/>
        <v>62057.974719999998</v>
      </c>
      <c r="AE956" s="42" t="s">
        <v>169</v>
      </c>
      <c r="AF956" s="42" t="s">
        <v>83</v>
      </c>
      <c r="AG956" s="42" t="s">
        <v>83</v>
      </c>
      <c r="AH956" s="118" t="s">
        <v>90</v>
      </c>
      <c r="AI956" s="50">
        <v>41685</v>
      </c>
      <c r="AJ956" s="50">
        <v>41699</v>
      </c>
      <c r="AK956" s="57"/>
      <c r="AL956" s="57"/>
      <c r="AM956" s="57" t="s">
        <v>3487</v>
      </c>
      <c r="AN956" s="57" t="s">
        <v>171</v>
      </c>
      <c r="AO956" s="9">
        <v>8</v>
      </c>
      <c r="AP956" s="42" t="s">
        <v>82</v>
      </c>
      <c r="AQ956" s="42" t="s">
        <v>3488</v>
      </c>
      <c r="AR956" s="42">
        <v>46460</v>
      </c>
      <c r="AS956" s="13" t="s">
        <v>258</v>
      </c>
      <c r="AT956" s="50">
        <v>41730</v>
      </c>
      <c r="AU956" s="115">
        <v>41730</v>
      </c>
      <c r="AV956" s="49">
        <v>42004</v>
      </c>
      <c r="AW956" s="42">
        <v>2014</v>
      </c>
      <c r="AX956" s="201" t="s">
        <v>132</v>
      </c>
      <c r="AY956" s="117"/>
      <c r="AZ956" s="201" t="s">
        <v>132</v>
      </c>
      <c r="BA956" s="42" t="s">
        <v>132</v>
      </c>
      <c r="BB956" s="42" t="s">
        <v>132</v>
      </c>
      <c r="BC956" s="57"/>
      <c r="BD956" s="57"/>
      <c r="BE956" s="371"/>
      <c r="BF956" s="371"/>
      <c r="BG956" s="371"/>
      <c r="BH956" s="371"/>
      <c r="BI956" s="371"/>
      <c r="BJ956" s="368"/>
      <c r="BK956" s="368"/>
    </row>
    <row r="957" spans="1:63" s="268" customFormat="1" ht="69.95" customHeight="1">
      <c r="A957" s="69">
        <v>3</v>
      </c>
      <c r="B957" s="42" t="s">
        <v>3096</v>
      </c>
      <c r="C957" s="42" t="s">
        <v>4268</v>
      </c>
      <c r="D957" s="42" t="s">
        <v>3061</v>
      </c>
      <c r="E957" s="42" t="s">
        <v>250</v>
      </c>
      <c r="F957" s="42" t="s">
        <v>1378</v>
      </c>
      <c r="G957" s="42">
        <v>4010412</v>
      </c>
      <c r="H957" s="143">
        <v>842576</v>
      </c>
      <c r="I957" s="13" t="s">
        <v>3097</v>
      </c>
      <c r="J957" s="120" t="s">
        <v>813</v>
      </c>
      <c r="K957" s="57" t="s">
        <v>4717</v>
      </c>
      <c r="L957" s="13" t="s">
        <v>180</v>
      </c>
      <c r="M957" s="196" t="s">
        <v>1249</v>
      </c>
      <c r="N957" s="197" t="s">
        <v>959</v>
      </c>
      <c r="O957" s="13" t="s">
        <v>4134</v>
      </c>
      <c r="P957" s="103">
        <v>41553</v>
      </c>
      <c r="Q957" s="373">
        <f t="shared" si="133"/>
        <v>49032.54</v>
      </c>
      <c r="R957" s="21">
        <v>37153.620000000003</v>
      </c>
      <c r="S957" s="201" t="s">
        <v>1373</v>
      </c>
      <c r="T957" s="69">
        <v>1.0840000000000001</v>
      </c>
      <c r="U957" s="69">
        <v>1.0509999999999999</v>
      </c>
      <c r="V957" s="69">
        <v>1.0669999999999999</v>
      </c>
      <c r="W957" s="69">
        <v>1.0529999999999999</v>
      </c>
      <c r="X957" s="69">
        <v>0.9</v>
      </c>
      <c r="Y957" s="114">
        <v>42802.430738978779</v>
      </c>
      <c r="Z957" s="35">
        <f t="shared" si="134"/>
        <v>50506.868271994957</v>
      </c>
      <c r="AA957" s="225" t="s">
        <v>132</v>
      </c>
      <c r="AB957" s="225" t="s">
        <v>132</v>
      </c>
      <c r="AC957" s="103">
        <v>41553</v>
      </c>
      <c r="AD957" s="374">
        <f t="shared" si="135"/>
        <v>49032.54</v>
      </c>
      <c r="AE957" s="42" t="s">
        <v>169</v>
      </c>
      <c r="AF957" s="42" t="s">
        <v>83</v>
      </c>
      <c r="AG957" s="140" t="s">
        <v>83</v>
      </c>
      <c r="AH957" s="122" t="s">
        <v>90</v>
      </c>
      <c r="AI957" s="50">
        <f>AJ957-60</f>
        <v>41550</v>
      </c>
      <c r="AJ957" s="50">
        <v>41610</v>
      </c>
      <c r="AK957" s="57"/>
      <c r="AL957" s="57"/>
      <c r="AM957" s="123" t="s">
        <v>3098</v>
      </c>
      <c r="AN957" s="123" t="s">
        <v>3052</v>
      </c>
      <c r="AO957" s="70">
        <v>8</v>
      </c>
      <c r="AP957" s="42" t="s">
        <v>82</v>
      </c>
      <c r="AQ957" s="124">
        <v>10</v>
      </c>
      <c r="AR957" s="42" t="s">
        <v>3053</v>
      </c>
      <c r="AS957" s="13" t="s">
        <v>3054</v>
      </c>
      <c r="AT957" s="50">
        <v>41640</v>
      </c>
      <c r="AU957" s="115">
        <v>41699</v>
      </c>
      <c r="AV957" s="49">
        <v>42004</v>
      </c>
      <c r="AW957" s="42">
        <v>2014</v>
      </c>
      <c r="AX957" s="201" t="s">
        <v>132</v>
      </c>
      <c r="AY957" s="117"/>
      <c r="AZ957" s="201" t="s">
        <v>132</v>
      </c>
      <c r="BA957" s="42" t="s">
        <v>132</v>
      </c>
      <c r="BB957" s="42" t="s">
        <v>132</v>
      </c>
      <c r="BC957" s="57" t="s">
        <v>132</v>
      </c>
      <c r="BD957" s="57" t="s">
        <v>132</v>
      </c>
      <c r="BE957" s="375" t="s">
        <v>132</v>
      </c>
      <c r="BF957" s="375" t="s">
        <v>132</v>
      </c>
      <c r="BG957" s="375" t="s">
        <v>132</v>
      </c>
      <c r="BH957" s="375" t="s">
        <v>132</v>
      </c>
      <c r="BI957" s="375" t="s">
        <v>132</v>
      </c>
      <c r="BJ957" s="375" t="s">
        <v>132</v>
      </c>
      <c r="BK957" s="368"/>
    </row>
    <row r="958" spans="1:63" s="287" customFormat="1" ht="56.25">
      <c r="A958" s="38">
        <v>3</v>
      </c>
      <c r="B958" s="43" t="s">
        <v>988</v>
      </c>
      <c r="C958" s="38" t="s">
        <v>83</v>
      </c>
      <c r="D958" s="38" t="s">
        <v>956</v>
      </c>
      <c r="E958" s="38" t="s">
        <v>250</v>
      </c>
      <c r="F958" s="38" t="s">
        <v>957</v>
      </c>
      <c r="G958" s="38">
        <v>4000000</v>
      </c>
      <c r="H958" s="10">
        <v>813073</v>
      </c>
      <c r="I958" s="15" t="s">
        <v>989</v>
      </c>
      <c r="J958" s="16" t="s">
        <v>973</v>
      </c>
      <c r="K958" s="16" t="s">
        <v>4717</v>
      </c>
      <c r="L958" s="16" t="s">
        <v>180</v>
      </c>
      <c r="M958" s="134" t="s">
        <v>3069</v>
      </c>
      <c r="N958" s="16" t="s">
        <v>959</v>
      </c>
      <c r="O958" s="16" t="s">
        <v>960</v>
      </c>
      <c r="P958" s="22">
        <v>4891.3652099999999</v>
      </c>
      <c r="Q958" s="23">
        <f t="shared" si="133"/>
        <v>5771.8109477999997</v>
      </c>
      <c r="R958" s="23">
        <v>4741.95</v>
      </c>
      <c r="S958" s="29" t="s">
        <v>974</v>
      </c>
      <c r="T958" s="38">
        <v>1.0840000000000001</v>
      </c>
      <c r="U958" s="38">
        <v>1.0509999999999999</v>
      </c>
      <c r="V958" s="38">
        <v>1.0669999999999999</v>
      </c>
      <c r="W958" s="38">
        <v>1.0529999999999999</v>
      </c>
      <c r="X958" s="38">
        <v>0.9</v>
      </c>
      <c r="Y958" s="36">
        <v>5462.9134005087726</v>
      </c>
      <c r="Z958" s="34">
        <f t="shared" si="134"/>
        <v>6446.2378126003514</v>
      </c>
      <c r="AA958" s="36" t="s">
        <v>132</v>
      </c>
      <c r="AB958" s="36" t="s">
        <v>132</v>
      </c>
      <c r="AC958" s="36">
        <v>4891.3652099999999</v>
      </c>
      <c r="AD958" s="34">
        <f t="shared" si="135"/>
        <v>5771.8109477999997</v>
      </c>
      <c r="AE958" s="38" t="s">
        <v>173</v>
      </c>
      <c r="AF958" s="38" t="s">
        <v>83</v>
      </c>
      <c r="AG958" s="38" t="s">
        <v>83</v>
      </c>
      <c r="AH958" s="38" t="s">
        <v>545</v>
      </c>
      <c r="AI958" s="51">
        <v>41554</v>
      </c>
      <c r="AJ958" s="51">
        <v>41609</v>
      </c>
      <c r="AK958" s="60"/>
      <c r="AL958" s="60"/>
      <c r="AM958" s="59" t="s">
        <v>989</v>
      </c>
      <c r="AN958" s="60" t="s">
        <v>353</v>
      </c>
      <c r="AO958" s="63" t="s">
        <v>975</v>
      </c>
      <c r="AP958" s="38" t="s">
        <v>990</v>
      </c>
      <c r="AQ958" s="38">
        <v>97.58</v>
      </c>
      <c r="AR958" s="38">
        <v>46434</v>
      </c>
      <c r="AS958" s="16" t="s">
        <v>961</v>
      </c>
      <c r="AT958" s="51">
        <v>41760</v>
      </c>
      <c r="AU958" s="51">
        <v>41760</v>
      </c>
      <c r="AV958" s="52">
        <v>42004</v>
      </c>
      <c r="AW958" s="38">
        <v>2014</v>
      </c>
      <c r="AX958" s="60"/>
      <c r="AY958" s="135"/>
      <c r="AZ958" s="60"/>
      <c r="BA958" s="38"/>
      <c r="BB958" s="38"/>
      <c r="BC958" s="60"/>
      <c r="BD958" s="60"/>
      <c r="BE958" s="304"/>
      <c r="BF958" s="304"/>
      <c r="BG958" s="304"/>
      <c r="BH958" s="304"/>
      <c r="BI958" s="304"/>
      <c r="BJ958" s="304"/>
      <c r="BK958" s="304"/>
    </row>
    <row r="959" spans="1:63" s="287" customFormat="1" ht="56.25">
      <c r="A959" s="38">
        <v>3</v>
      </c>
      <c r="B959" s="43" t="s">
        <v>993</v>
      </c>
      <c r="C959" s="38" t="s">
        <v>83</v>
      </c>
      <c r="D959" s="38" t="s">
        <v>956</v>
      </c>
      <c r="E959" s="38" t="s">
        <v>250</v>
      </c>
      <c r="F959" s="38" t="s">
        <v>957</v>
      </c>
      <c r="G959" s="38">
        <v>4000000</v>
      </c>
      <c r="H959" s="10">
        <v>813081</v>
      </c>
      <c r="I959" s="15" t="s">
        <v>994</v>
      </c>
      <c r="J959" s="16" t="s">
        <v>970</v>
      </c>
      <c r="K959" s="60" t="s">
        <v>4717</v>
      </c>
      <c r="L959" s="16" t="s">
        <v>180</v>
      </c>
      <c r="M959" s="134" t="s">
        <v>1249</v>
      </c>
      <c r="N959" s="16" t="s">
        <v>959</v>
      </c>
      <c r="O959" s="16" t="s">
        <v>960</v>
      </c>
      <c r="P959" s="22">
        <v>37732.46</v>
      </c>
      <c r="Q959" s="23">
        <f t="shared" si="133"/>
        <v>44524.302799999998</v>
      </c>
      <c r="R959" s="23">
        <v>36579.86</v>
      </c>
      <c r="S959" s="29" t="s">
        <v>974</v>
      </c>
      <c r="T959" s="38">
        <v>1.0840000000000001</v>
      </c>
      <c r="U959" s="38">
        <v>1.0509999999999999</v>
      </c>
      <c r="V959" s="38">
        <v>1.0669999999999999</v>
      </c>
      <c r="W959" s="38">
        <v>1.0529999999999999</v>
      </c>
      <c r="X959" s="38">
        <v>0.9</v>
      </c>
      <c r="Y959" s="36">
        <v>42141.440000000002</v>
      </c>
      <c r="Z959" s="34">
        <f t="shared" si="134"/>
        <v>49726.8992</v>
      </c>
      <c r="AA959" s="36" t="s">
        <v>132</v>
      </c>
      <c r="AB959" s="36" t="s">
        <v>132</v>
      </c>
      <c r="AC959" s="36">
        <v>37732.46</v>
      </c>
      <c r="AD959" s="34">
        <f t="shared" si="135"/>
        <v>44524.302799999998</v>
      </c>
      <c r="AE959" s="38" t="s">
        <v>169</v>
      </c>
      <c r="AF959" s="38" t="s">
        <v>83</v>
      </c>
      <c r="AG959" s="38" t="s">
        <v>83</v>
      </c>
      <c r="AH959" s="38" t="s">
        <v>545</v>
      </c>
      <c r="AI959" s="51">
        <v>41650</v>
      </c>
      <c r="AJ959" s="51">
        <v>41710</v>
      </c>
      <c r="AK959" s="60"/>
      <c r="AL959" s="60"/>
      <c r="AM959" s="59" t="s">
        <v>994</v>
      </c>
      <c r="AN959" s="60" t="s">
        <v>353</v>
      </c>
      <c r="AO959" s="11">
        <v>796</v>
      </c>
      <c r="AP959" s="38" t="s">
        <v>419</v>
      </c>
      <c r="AQ959" s="38">
        <v>16</v>
      </c>
      <c r="AR959" s="38">
        <v>46434</v>
      </c>
      <c r="AS959" s="16" t="s">
        <v>961</v>
      </c>
      <c r="AT959" s="51">
        <v>41730</v>
      </c>
      <c r="AU959" s="51">
        <v>41730</v>
      </c>
      <c r="AV959" s="52">
        <v>42004</v>
      </c>
      <c r="AW959" s="38">
        <v>2014</v>
      </c>
      <c r="AX959" s="60"/>
      <c r="AY959" s="135"/>
      <c r="AZ959" s="60"/>
      <c r="BA959" s="38"/>
      <c r="BB959" s="38"/>
      <c r="BC959" s="60"/>
      <c r="BD959" s="60"/>
      <c r="BE959" s="304"/>
      <c r="BF959" s="304"/>
      <c r="BG959" s="304"/>
      <c r="BH959" s="304"/>
      <c r="BI959" s="304"/>
      <c r="BJ959" s="304"/>
      <c r="BK959" s="304"/>
    </row>
    <row r="960" spans="1:63" s="287" customFormat="1" ht="56.25">
      <c r="A960" s="38">
        <v>3</v>
      </c>
      <c r="B960" s="43" t="s">
        <v>995</v>
      </c>
      <c r="C960" s="38" t="s">
        <v>83</v>
      </c>
      <c r="D960" s="38" t="s">
        <v>956</v>
      </c>
      <c r="E960" s="38" t="s">
        <v>250</v>
      </c>
      <c r="F960" s="38" t="s">
        <v>957</v>
      </c>
      <c r="G960" s="38">
        <v>4000000</v>
      </c>
      <c r="H960" s="10">
        <v>813083</v>
      </c>
      <c r="I960" s="14" t="s">
        <v>996</v>
      </c>
      <c r="J960" s="16" t="s">
        <v>773</v>
      </c>
      <c r="K960" s="60" t="s">
        <v>4717</v>
      </c>
      <c r="L960" s="16" t="s">
        <v>180</v>
      </c>
      <c r="M960" s="134" t="s">
        <v>1249</v>
      </c>
      <c r="N960" s="16" t="s">
        <v>959</v>
      </c>
      <c r="O960" s="16" t="s">
        <v>960</v>
      </c>
      <c r="P960" s="22">
        <v>1999.1856299999999</v>
      </c>
      <c r="Q960" s="23">
        <f t="shared" si="133"/>
        <v>2359.0390433999996</v>
      </c>
      <c r="R960" s="23">
        <v>1938.12</v>
      </c>
      <c r="S960" s="29" t="s">
        <v>974</v>
      </c>
      <c r="T960" s="38">
        <v>1.0840000000000001</v>
      </c>
      <c r="U960" s="38">
        <v>1.0509999999999999</v>
      </c>
      <c r="V960" s="38">
        <v>1.0669999999999999</v>
      </c>
      <c r="W960" s="38">
        <v>1.0529999999999999</v>
      </c>
      <c r="X960" s="38">
        <v>0.9</v>
      </c>
      <c r="Y960" s="36">
        <v>2232.7872688597649</v>
      </c>
      <c r="Z960" s="34">
        <f t="shared" si="134"/>
        <v>2634.6889772545223</v>
      </c>
      <c r="AA960" s="36" t="s">
        <v>132</v>
      </c>
      <c r="AB960" s="36" t="s">
        <v>132</v>
      </c>
      <c r="AC960" s="36">
        <v>1999.1856299999999</v>
      </c>
      <c r="AD960" s="34">
        <f t="shared" si="135"/>
        <v>2359.0390433999996</v>
      </c>
      <c r="AE960" s="38" t="s">
        <v>173</v>
      </c>
      <c r="AF960" s="38" t="s">
        <v>83</v>
      </c>
      <c r="AG960" s="38" t="s">
        <v>83</v>
      </c>
      <c r="AH960" s="38" t="s">
        <v>545</v>
      </c>
      <c r="AI960" s="51">
        <v>41625</v>
      </c>
      <c r="AJ960" s="51">
        <v>41670</v>
      </c>
      <c r="AK960" s="60"/>
      <c r="AL960" s="60"/>
      <c r="AM960" s="157" t="s">
        <v>996</v>
      </c>
      <c r="AN960" s="60" t="s">
        <v>353</v>
      </c>
      <c r="AO960" s="11" t="s">
        <v>987</v>
      </c>
      <c r="AP960" s="38" t="s">
        <v>82</v>
      </c>
      <c r="AQ960" s="38">
        <v>0.41699999999999998</v>
      </c>
      <c r="AR960" s="38">
        <v>46434</v>
      </c>
      <c r="AS960" s="16" t="s">
        <v>961</v>
      </c>
      <c r="AT960" s="52">
        <v>41690</v>
      </c>
      <c r="AU960" s="52">
        <v>41690</v>
      </c>
      <c r="AV960" s="51">
        <v>41943</v>
      </c>
      <c r="AW960" s="38">
        <v>2014</v>
      </c>
      <c r="AX960" s="60"/>
      <c r="AY960" s="135"/>
      <c r="AZ960" s="60"/>
      <c r="BA960" s="38"/>
      <c r="BB960" s="38"/>
      <c r="BC960" s="60"/>
      <c r="BD960" s="60"/>
      <c r="BE960" s="304"/>
      <c r="BF960" s="304"/>
      <c r="BG960" s="304"/>
      <c r="BH960" s="304"/>
      <c r="BI960" s="304"/>
      <c r="BJ960" s="304"/>
      <c r="BK960" s="304"/>
    </row>
    <row r="961" spans="1:63" s="287" customFormat="1" ht="112.5">
      <c r="A961" s="38">
        <v>3</v>
      </c>
      <c r="B961" s="43" t="s">
        <v>4575</v>
      </c>
      <c r="C961" s="38" t="s">
        <v>83</v>
      </c>
      <c r="D961" s="38" t="s">
        <v>956</v>
      </c>
      <c r="E961" s="38" t="s">
        <v>250</v>
      </c>
      <c r="F961" s="38" t="s">
        <v>957</v>
      </c>
      <c r="G961" s="38">
        <v>4000000</v>
      </c>
      <c r="H961" s="10">
        <v>813085</v>
      </c>
      <c r="I961" s="14" t="s">
        <v>4576</v>
      </c>
      <c r="J961" s="16" t="s">
        <v>773</v>
      </c>
      <c r="K961" s="60" t="s">
        <v>4717</v>
      </c>
      <c r="L961" s="16" t="s">
        <v>180</v>
      </c>
      <c r="M961" s="134" t="s">
        <v>1249</v>
      </c>
      <c r="N961" s="16" t="s">
        <v>959</v>
      </c>
      <c r="O961" s="16" t="s">
        <v>960</v>
      </c>
      <c r="P961" s="22">
        <v>32053.611349999999</v>
      </c>
      <c r="Q961" s="23">
        <v>37823.261393000001</v>
      </c>
      <c r="R961" s="23">
        <v>31074.47</v>
      </c>
      <c r="S961" s="29" t="s">
        <v>974</v>
      </c>
      <c r="T961" s="38">
        <v>1.0840000000000001</v>
      </c>
      <c r="U961" s="38">
        <v>1.0509999999999999</v>
      </c>
      <c r="V961" s="38">
        <v>1.0669999999999999</v>
      </c>
      <c r="W961" s="38">
        <v>1.0529999999999999</v>
      </c>
      <c r="X961" s="38">
        <v>0.9</v>
      </c>
      <c r="Y961" s="36">
        <v>35799.019999999997</v>
      </c>
      <c r="Z961" s="34">
        <f t="shared" si="134"/>
        <v>42242.843599999993</v>
      </c>
      <c r="AA961" s="36" t="s">
        <v>132</v>
      </c>
      <c r="AB961" s="36" t="s">
        <v>132</v>
      </c>
      <c r="AC961" s="22">
        <v>32053.611349999999</v>
      </c>
      <c r="AD961" s="23">
        <f t="shared" si="135"/>
        <v>37823.261393000001</v>
      </c>
      <c r="AE961" s="301" t="s">
        <v>169</v>
      </c>
      <c r="AF961" s="38" t="s">
        <v>83</v>
      </c>
      <c r="AG961" s="38" t="s">
        <v>83</v>
      </c>
      <c r="AH961" s="38" t="s">
        <v>545</v>
      </c>
      <c r="AI961" s="51">
        <v>41554</v>
      </c>
      <c r="AJ961" s="51">
        <v>41609</v>
      </c>
      <c r="AK961" s="60"/>
      <c r="AL961" s="60"/>
      <c r="AM961" s="157" t="s">
        <v>4576</v>
      </c>
      <c r="AN961" s="60" t="s">
        <v>353</v>
      </c>
      <c r="AO961" s="11">
        <v>796</v>
      </c>
      <c r="AP961" s="38" t="s">
        <v>419</v>
      </c>
      <c r="AQ961" s="38">
        <v>1</v>
      </c>
      <c r="AR961" s="38">
        <v>46434</v>
      </c>
      <c r="AS961" s="16" t="s">
        <v>961</v>
      </c>
      <c r="AT961" s="51">
        <v>41791</v>
      </c>
      <c r="AU961" s="51">
        <v>41791</v>
      </c>
      <c r="AV961" s="52">
        <v>42185</v>
      </c>
      <c r="AW961" s="38" t="s">
        <v>99</v>
      </c>
      <c r="AX961" s="60" t="s">
        <v>4793</v>
      </c>
      <c r="AY961" s="135"/>
      <c r="AZ961" s="60"/>
      <c r="BA961" s="38"/>
      <c r="BB961" s="38"/>
      <c r="BC961" s="60"/>
      <c r="BD961" s="60"/>
      <c r="BE961" s="304"/>
      <c r="BF961" s="304"/>
      <c r="BG961" s="304"/>
      <c r="BH961" s="304"/>
      <c r="BI961" s="304"/>
      <c r="BJ961" s="304"/>
      <c r="BK961" s="304"/>
    </row>
    <row r="962" spans="1:63" s="287" customFormat="1" ht="190.5" customHeight="1">
      <c r="A962" s="38">
        <v>3</v>
      </c>
      <c r="B962" s="43" t="s">
        <v>997</v>
      </c>
      <c r="C962" s="38" t="s">
        <v>83</v>
      </c>
      <c r="D962" s="38" t="s">
        <v>956</v>
      </c>
      <c r="E962" s="38" t="s">
        <v>250</v>
      </c>
      <c r="F962" s="38" t="s">
        <v>957</v>
      </c>
      <c r="G962" s="38">
        <v>4000000</v>
      </c>
      <c r="H962" s="10">
        <v>813087</v>
      </c>
      <c r="I962" s="14" t="s">
        <v>998</v>
      </c>
      <c r="J962" s="16" t="s">
        <v>773</v>
      </c>
      <c r="K962" s="60" t="s">
        <v>4717</v>
      </c>
      <c r="L962" s="16" t="s">
        <v>180</v>
      </c>
      <c r="M962" s="134" t="s">
        <v>1249</v>
      </c>
      <c r="N962" s="16" t="s">
        <v>959</v>
      </c>
      <c r="O962" s="16" t="s">
        <v>960</v>
      </c>
      <c r="P962" s="22">
        <v>28469.581920000001</v>
      </c>
      <c r="Q962" s="23">
        <f t="shared" ref="Q962:Q982" si="136">P962*1.18</f>
        <v>33594.106665599997</v>
      </c>
      <c r="R962" s="23">
        <v>27599.93</v>
      </c>
      <c r="S962" s="29" t="s">
        <v>974</v>
      </c>
      <c r="T962" s="38">
        <v>1.0840000000000001</v>
      </c>
      <c r="U962" s="38">
        <v>1.0509999999999999</v>
      </c>
      <c r="V962" s="38">
        <v>1.0669999999999999</v>
      </c>
      <c r="W962" s="38">
        <v>1.0529999999999999</v>
      </c>
      <c r="X962" s="38">
        <v>0.9</v>
      </c>
      <c r="Y962" s="36">
        <v>31796.21</v>
      </c>
      <c r="Z962" s="34">
        <f t="shared" si="134"/>
        <v>37519.527799999996</v>
      </c>
      <c r="AA962" s="36" t="s">
        <v>132</v>
      </c>
      <c r="AB962" s="36" t="s">
        <v>132</v>
      </c>
      <c r="AC962" s="22">
        <v>28469.581920000001</v>
      </c>
      <c r="AD962" s="23">
        <f t="shared" si="135"/>
        <v>33594.106665599997</v>
      </c>
      <c r="AE962" s="38" t="s">
        <v>169</v>
      </c>
      <c r="AF962" s="38" t="s">
        <v>83</v>
      </c>
      <c r="AG962" s="38" t="s">
        <v>83</v>
      </c>
      <c r="AH962" s="38" t="s">
        <v>545</v>
      </c>
      <c r="AI962" s="51">
        <v>41554</v>
      </c>
      <c r="AJ962" s="51">
        <v>41609</v>
      </c>
      <c r="AK962" s="60"/>
      <c r="AL962" s="60"/>
      <c r="AM962" s="14" t="s">
        <v>998</v>
      </c>
      <c r="AN962" s="60" t="s">
        <v>353</v>
      </c>
      <c r="AO962" s="11">
        <v>796</v>
      </c>
      <c r="AP962" s="38" t="s">
        <v>419</v>
      </c>
      <c r="AQ962" s="38">
        <v>1</v>
      </c>
      <c r="AR962" s="38">
        <v>46434</v>
      </c>
      <c r="AS962" s="16" t="s">
        <v>961</v>
      </c>
      <c r="AT962" s="51">
        <v>41791</v>
      </c>
      <c r="AU962" s="51">
        <v>41791</v>
      </c>
      <c r="AV962" s="52">
        <v>42004</v>
      </c>
      <c r="AW962" s="38">
        <v>2014</v>
      </c>
      <c r="AX962" s="60"/>
      <c r="AY962" s="135"/>
      <c r="AZ962" s="60"/>
      <c r="BA962" s="38"/>
      <c r="BB962" s="38"/>
      <c r="BC962" s="60"/>
      <c r="BD962" s="60"/>
      <c r="BE962" s="304"/>
      <c r="BF962" s="304"/>
      <c r="BG962" s="304"/>
      <c r="BH962" s="304"/>
      <c r="BI962" s="304"/>
      <c r="BJ962" s="304"/>
      <c r="BK962" s="304"/>
    </row>
    <row r="963" spans="1:63" s="287" customFormat="1" ht="190.5" customHeight="1">
      <c r="A963" s="38">
        <v>3</v>
      </c>
      <c r="B963" s="43" t="s">
        <v>4549</v>
      </c>
      <c r="C963" s="38" t="s">
        <v>83</v>
      </c>
      <c r="D963" s="38" t="s">
        <v>956</v>
      </c>
      <c r="E963" s="38" t="s">
        <v>250</v>
      </c>
      <c r="F963" s="38" t="s">
        <v>957</v>
      </c>
      <c r="G963" s="38">
        <v>4000000</v>
      </c>
      <c r="H963" s="10">
        <v>813874</v>
      </c>
      <c r="I963" s="14" t="s">
        <v>4550</v>
      </c>
      <c r="J963" s="16" t="s">
        <v>773</v>
      </c>
      <c r="K963" s="60" t="s">
        <v>4717</v>
      </c>
      <c r="L963" s="16" t="s">
        <v>180</v>
      </c>
      <c r="M963" s="134" t="s">
        <v>1249</v>
      </c>
      <c r="N963" s="16" t="s">
        <v>959</v>
      </c>
      <c r="O963" s="16" t="s">
        <v>960</v>
      </c>
      <c r="P963" s="22">
        <v>31966.899000000001</v>
      </c>
      <c r="Q963" s="23">
        <f t="shared" si="136"/>
        <v>37720.940819999996</v>
      </c>
      <c r="R963" s="23">
        <v>30990.41</v>
      </c>
      <c r="S963" s="29" t="s">
        <v>974</v>
      </c>
      <c r="T963" s="38">
        <v>1.0840000000000001</v>
      </c>
      <c r="U963" s="38">
        <v>1.0509999999999999</v>
      </c>
      <c r="V963" s="38">
        <v>1.0669999999999999</v>
      </c>
      <c r="W963" s="38">
        <v>1.0529999999999999</v>
      </c>
      <c r="X963" s="38">
        <v>0.9</v>
      </c>
      <c r="Y963" s="36">
        <v>35702.18</v>
      </c>
      <c r="Z963" s="34">
        <f t="shared" si="134"/>
        <v>42128.572399999997</v>
      </c>
      <c r="AA963" s="36" t="s">
        <v>132</v>
      </c>
      <c r="AB963" s="36" t="s">
        <v>132</v>
      </c>
      <c r="AC963" s="22">
        <v>31966.899000000001</v>
      </c>
      <c r="AD963" s="23">
        <f t="shared" si="135"/>
        <v>37720.940819999996</v>
      </c>
      <c r="AE963" s="38" t="s">
        <v>169</v>
      </c>
      <c r="AF963" s="38" t="s">
        <v>83</v>
      </c>
      <c r="AG963" s="38" t="s">
        <v>83</v>
      </c>
      <c r="AH963" s="38" t="s">
        <v>545</v>
      </c>
      <c r="AI963" s="51">
        <v>41554</v>
      </c>
      <c r="AJ963" s="51">
        <v>41609</v>
      </c>
      <c r="AK963" s="60"/>
      <c r="AL963" s="60"/>
      <c r="AM963" s="14"/>
      <c r="AN963" s="60" t="s">
        <v>353</v>
      </c>
      <c r="AO963" s="11">
        <v>796</v>
      </c>
      <c r="AP963" s="38" t="s">
        <v>419</v>
      </c>
      <c r="AQ963" s="38">
        <v>1</v>
      </c>
      <c r="AR963" s="38">
        <v>46434</v>
      </c>
      <c r="AS963" s="16"/>
      <c r="AT963" s="51">
        <v>41791</v>
      </c>
      <c r="AU963" s="51">
        <v>41791</v>
      </c>
      <c r="AV963" s="52">
        <v>42004</v>
      </c>
      <c r="AW963" s="38">
        <v>2014</v>
      </c>
      <c r="AX963" s="60"/>
      <c r="AY963" s="135"/>
      <c r="AZ963" s="60"/>
      <c r="BA963" s="38"/>
      <c r="BB963" s="38"/>
      <c r="BC963" s="60"/>
      <c r="BD963" s="60"/>
      <c r="BE963" s="304"/>
      <c r="BF963" s="304"/>
      <c r="BG963" s="304"/>
      <c r="BH963" s="304"/>
      <c r="BI963" s="304"/>
      <c r="BJ963" s="304"/>
      <c r="BK963" s="304"/>
    </row>
    <row r="964" spans="1:63" s="287" customFormat="1" ht="75">
      <c r="A964" s="38">
        <v>3</v>
      </c>
      <c r="B964" s="43" t="s">
        <v>999</v>
      </c>
      <c r="C964" s="38" t="s">
        <v>83</v>
      </c>
      <c r="D964" s="38" t="s">
        <v>956</v>
      </c>
      <c r="E964" s="38" t="s">
        <v>250</v>
      </c>
      <c r="F964" s="38" t="s">
        <v>957</v>
      </c>
      <c r="G964" s="38">
        <v>4000000</v>
      </c>
      <c r="H964" s="10">
        <v>813093</v>
      </c>
      <c r="I964" s="14" t="s">
        <v>1000</v>
      </c>
      <c r="J964" s="16" t="s">
        <v>773</v>
      </c>
      <c r="K964" s="60" t="s">
        <v>4717</v>
      </c>
      <c r="L964" s="16" t="s">
        <v>180</v>
      </c>
      <c r="M964" s="134" t="s">
        <v>1249</v>
      </c>
      <c r="N964" s="16" t="s">
        <v>959</v>
      </c>
      <c r="O964" s="16" t="s">
        <v>960</v>
      </c>
      <c r="P964" s="22">
        <v>10627.13</v>
      </c>
      <c r="Q964" s="23">
        <f t="shared" si="136"/>
        <v>12540.013399999998</v>
      </c>
      <c r="R964" s="23">
        <v>10302.5</v>
      </c>
      <c r="S964" s="29" t="s">
        <v>974</v>
      </c>
      <c r="T964" s="38">
        <v>1.0840000000000001</v>
      </c>
      <c r="U964" s="38">
        <v>1.0509999999999999</v>
      </c>
      <c r="V964" s="38">
        <v>1.0669999999999999</v>
      </c>
      <c r="W964" s="38">
        <v>1.0529999999999999</v>
      </c>
      <c r="X964" s="38">
        <v>0.9</v>
      </c>
      <c r="Y964" s="22">
        <v>11868.89</v>
      </c>
      <c r="Z964" s="23">
        <f t="shared" si="134"/>
        <v>14005.290199999999</v>
      </c>
      <c r="AA964" s="36" t="s">
        <v>132</v>
      </c>
      <c r="AB964" s="36" t="s">
        <v>132</v>
      </c>
      <c r="AC964" s="36">
        <v>10627.126</v>
      </c>
      <c r="AD964" s="34">
        <f t="shared" si="135"/>
        <v>12540.008679999999</v>
      </c>
      <c r="AE964" s="38" t="s">
        <v>169</v>
      </c>
      <c r="AF964" s="38" t="s">
        <v>83</v>
      </c>
      <c r="AG964" s="38" t="s">
        <v>83</v>
      </c>
      <c r="AH964" s="38" t="s">
        <v>545</v>
      </c>
      <c r="AI964" s="51">
        <v>41554</v>
      </c>
      <c r="AJ964" s="51">
        <v>41609</v>
      </c>
      <c r="AK964" s="60"/>
      <c r="AL964" s="60"/>
      <c r="AM964" s="157" t="s">
        <v>1000</v>
      </c>
      <c r="AN964" s="60" t="s">
        <v>353</v>
      </c>
      <c r="AO964" s="11">
        <v>796</v>
      </c>
      <c r="AP964" s="38" t="s">
        <v>419</v>
      </c>
      <c r="AQ964" s="38">
        <v>1</v>
      </c>
      <c r="AR964" s="38">
        <v>46434</v>
      </c>
      <c r="AS964" s="16" t="s">
        <v>961</v>
      </c>
      <c r="AT964" s="51">
        <v>41791</v>
      </c>
      <c r="AU964" s="51">
        <v>41791</v>
      </c>
      <c r="AV964" s="52">
        <v>42004</v>
      </c>
      <c r="AW964" s="38">
        <v>2014</v>
      </c>
      <c r="AX964" s="60"/>
      <c r="AY964" s="135"/>
      <c r="AZ964" s="60"/>
      <c r="BA964" s="38"/>
      <c r="BB964" s="38"/>
      <c r="BC964" s="60"/>
      <c r="BD964" s="60"/>
      <c r="BE964" s="304"/>
      <c r="BF964" s="304"/>
      <c r="BG964" s="304"/>
      <c r="BH964" s="304"/>
      <c r="BI964" s="304"/>
      <c r="BJ964" s="304"/>
      <c r="BK964" s="304"/>
    </row>
    <row r="965" spans="1:63" s="287" customFormat="1" ht="56.25">
      <c r="A965" s="38">
        <v>3</v>
      </c>
      <c r="B965" s="43" t="s">
        <v>4502</v>
      </c>
      <c r="C965" s="38" t="s">
        <v>83</v>
      </c>
      <c r="D965" s="38" t="s">
        <v>956</v>
      </c>
      <c r="E965" s="38" t="s">
        <v>250</v>
      </c>
      <c r="F965" s="38" t="s">
        <v>957</v>
      </c>
      <c r="G965" s="38">
        <v>4000000</v>
      </c>
      <c r="H965" s="10">
        <v>813096</v>
      </c>
      <c r="I965" s="14" t="s">
        <v>1001</v>
      </c>
      <c r="J965" s="16" t="s">
        <v>773</v>
      </c>
      <c r="K965" s="60" t="s">
        <v>4717</v>
      </c>
      <c r="L965" s="16" t="s">
        <v>180</v>
      </c>
      <c r="M965" s="134" t="s">
        <v>1249</v>
      </c>
      <c r="N965" s="16" t="s">
        <v>959</v>
      </c>
      <c r="O965" s="16" t="s">
        <v>960</v>
      </c>
      <c r="P965" s="22">
        <v>11323.72</v>
      </c>
      <c r="Q965" s="23">
        <f t="shared" si="136"/>
        <v>13361.989599999999</v>
      </c>
      <c r="R965" s="23">
        <v>10977.819847920409</v>
      </c>
      <c r="S965" s="29" t="s">
        <v>974</v>
      </c>
      <c r="T965" s="38">
        <v>1.0840000000000001</v>
      </c>
      <c r="U965" s="38">
        <v>1.0509999999999999</v>
      </c>
      <c r="V965" s="38">
        <v>1.0669999999999999</v>
      </c>
      <c r="W965" s="38">
        <v>1.0529999999999999</v>
      </c>
      <c r="X965" s="38">
        <v>0.9</v>
      </c>
      <c r="Y965" s="302">
        <v>12646.88</v>
      </c>
      <c r="Z965" s="23">
        <f t="shared" si="134"/>
        <v>14923.318399999998</v>
      </c>
      <c r="AA965" s="36" t="s">
        <v>132</v>
      </c>
      <c r="AB965" s="36" t="s">
        <v>132</v>
      </c>
      <c r="AC965" s="36">
        <v>11323.724</v>
      </c>
      <c r="AD965" s="34">
        <f t="shared" si="135"/>
        <v>13361.99432</v>
      </c>
      <c r="AE965" s="38" t="s">
        <v>169</v>
      </c>
      <c r="AF965" s="38" t="s">
        <v>83</v>
      </c>
      <c r="AG965" s="38" t="s">
        <v>83</v>
      </c>
      <c r="AH965" s="38" t="s">
        <v>545</v>
      </c>
      <c r="AI965" s="51">
        <v>41554</v>
      </c>
      <c r="AJ965" s="51">
        <v>41609</v>
      </c>
      <c r="AK965" s="60"/>
      <c r="AL965" s="60"/>
      <c r="AM965" s="157" t="s">
        <v>1001</v>
      </c>
      <c r="AN965" s="60" t="s">
        <v>353</v>
      </c>
      <c r="AO965" s="11">
        <v>796</v>
      </c>
      <c r="AP965" s="38" t="s">
        <v>419</v>
      </c>
      <c r="AQ965" s="38">
        <v>1</v>
      </c>
      <c r="AR965" s="38">
        <v>46434</v>
      </c>
      <c r="AS965" s="16" t="s">
        <v>961</v>
      </c>
      <c r="AT965" s="51">
        <v>41791</v>
      </c>
      <c r="AU965" s="51">
        <v>41791</v>
      </c>
      <c r="AV965" s="52">
        <v>42004</v>
      </c>
      <c r="AW965" s="38">
        <v>2014</v>
      </c>
      <c r="AX965" s="60"/>
      <c r="AY965" s="135"/>
      <c r="AZ965" s="60"/>
      <c r="BA965" s="38"/>
      <c r="BB965" s="38"/>
      <c r="BC965" s="60"/>
      <c r="BD965" s="60"/>
      <c r="BE965" s="304"/>
      <c r="BF965" s="304"/>
      <c r="BG965" s="304"/>
      <c r="BH965" s="304"/>
      <c r="BI965" s="304"/>
      <c r="BJ965" s="304"/>
      <c r="BK965" s="304"/>
    </row>
    <row r="966" spans="1:63" s="287" customFormat="1" ht="60.75" customHeight="1">
      <c r="A966" s="38">
        <v>3</v>
      </c>
      <c r="B966" s="43" t="s">
        <v>1002</v>
      </c>
      <c r="C966" s="38" t="s">
        <v>83</v>
      </c>
      <c r="D966" s="38" t="s">
        <v>956</v>
      </c>
      <c r="E966" s="38" t="s">
        <v>250</v>
      </c>
      <c r="F966" s="38" t="s">
        <v>957</v>
      </c>
      <c r="G966" s="38">
        <v>4000000</v>
      </c>
      <c r="H966" s="10">
        <v>813097</v>
      </c>
      <c r="I966" s="15" t="s">
        <v>1003</v>
      </c>
      <c r="J966" s="16" t="s">
        <v>1004</v>
      </c>
      <c r="K966" s="60" t="s">
        <v>4717</v>
      </c>
      <c r="L966" s="16" t="s">
        <v>180</v>
      </c>
      <c r="M966" s="134" t="s">
        <v>1249</v>
      </c>
      <c r="N966" s="16" t="s">
        <v>959</v>
      </c>
      <c r="O966" s="16" t="s">
        <v>960</v>
      </c>
      <c r="P966" s="22">
        <v>5048.6841700000004</v>
      </c>
      <c r="Q966" s="23">
        <f t="shared" si="136"/>
        <v>5957.4473206000002</v>
      </c>
      <c r="R966" s="23">
        <v>4894.46</v>
      </c>
      <c r="S966" s="29" t="s">
        <v>974</v>
      </c>
      <c r="T966" s="38">
        <v>1.0840000000000001</v>
      </c>
      <c r="U966" s="38">
        <v>1.0509999999999999</v>
      </c>
      <c r="V966" s="38">
        <v>1.0669999999999999</v>
      </c>
      <c r="W966" s="38">
        <v>1.0529999999999999</v>
      </c>
      <c r="X966" s="38">
        <v>0.9</v>
      </c>
      <c r="Y966" s="36">
        <v>5638.6148290140673</v>
      </c>
      <c r="Z966" s="34">
        <f t="shared" si="134"/>
        <v>6653.5654982365986</v>
      </c>
      <c r="AA966" s="36" t="s">
        <v>132</v>
      </c>
      <c r="AB966" s="36" t="s">
        <v>132</v>
      </c>
      <c r="AC966" s="36">
        <v>5048.6841700000004</v>
      </c>
      <c r="AD966" s="34">
        <f t="shared" si="135"/>
        <v>5957.4473206000002</v>
      </c>
      <c r="AE966" s="38" t="s">
        <v>173</v>
      </c>
      <c r="AF966" s="38" t="s">
        <v>83</v>
      </c>
      <c r="AG966" s="38" t="s">
        <v>83</v>
      </c>
      <c r="AH966" s="38" t="s">
        <v>545</v>
      </c>
      <c r="AI966" s="51">
        <v>41554</v>
      </c>
      <c r="AJ966" s="51">
        <v>41609</v>
      </c>
      <c r="AK966" s="60"/>
      <c r="AL966" s="60"/>
      <c r="AM966" s="59" t="s">
        <v>1003</v>
      </c>
      <c r="AN966" s="60" t="s">
        <v>353</v>
      </c>
      <c r="AO966" s="11">
        <v>796</v>
      </c>
      <c r="AP966" s="38" t="s">
        <v>419</v>
      </c>
      <c r="AQ966" s="38">
        <v>3</v>
      </c>
      <c r="AR966" s="38">
        <v>46434</v>
      </c>
      <c r="AS966" s="16" t="s">
        <v>961</v>
      </c>
      <c r="AT966" s="51">
        <v>41760</v>
      </c>
      <c r="AU966" s="51">
        <v>41760</v>
      </c>
      <c r="AV966" s="52">
        <v>41973</v>
      </c>
      <c r="AW966" s="38">
        <v>2014</v>
      </c>
      <c r="AX966" s="60"/>
      <c r="AY966" s="135"/>
      <c r="AZ966" s="60"/>
      <c r="BA966" s="38"/>
      <c r="BB966" s="38"/>
      <c r="BC966" s="60"/>
      <c r="BD966" s="60"/>
      <c r="BE966" s="304"/>
      <c r="BF966" s="304"/>
      <c r="BG966" s="304"/>
      <c r="BH966" s="304"/>
      <c r="BI966" s="304"/>
      <c r="BJ966" s="304"/>
      <c r="BK966" s="304"/>
    </row>
    <row r="967" spans="1:63" s="287" customFormat="1" ht="60">
      <c r="A967" s="38">
        <v>3</v>
      </c>
      <c r="B967" s="43" t="s">
        <v>1005</v>
      </c>
      <c r="C967" s="38" t="s">
        <v>83</v>
      </c>
      <c r="D967" s="38" t="s">
        <v>956</v>
      </c>
      <c r="E967" s="38" t="s">
        <v>250</v>
      </c>
      <c r="F967" s="38" t="s">
        <v>957</v>
      </c>
      <c r="G967" s="38">
        <v>4000000</v>
      </c>
      <c r="H967" s="10">
        <v>813103</v>
      </c>
      <c r="I967" s="15" t="s">
        <v>4297</v>
      </c>
      <c r="J967" s="16" t="s">
        <v>1006</v>
      </c>
      <c r="K967" s="60" t="s">
        <v>4717</v>
      </c>
      <c r="L967" s="16" t="s">
        <v>180</v>
      </c>
      <c r="M967" s="134" t="s">
        <v>1249</v>
      </c>
      <c r="N967" s="16" t="s">
        <v>959</v>
      </c>
      <c r="O967" s="16" t="s">
        <v>960</v>
      </c>
      <c r="P967" s="22">
        <v>4252.607</v>
      </c>
      <c r="Q967" s="23">
        <f t="shared" si="136"/>
        <v>5018.0762599999998</v>
      </c>
      <c r="R967" s="23">
        <v>4122.7</v>
      </c>
      <c r="S967" s="29" t="s">
        <v>974</v>
      </c>
      <c r="T967" s="38">
        <v>1.0840000000000001</v>
      </c>
      <c r="U967" s="38">
        <v>1.0509999999999999</v>
      </c>
      <c r="V967" s="38">
        <v>1.0669999999999999</v>
      </c>
      <c r="W967" s="38">
        <v>1.0529999999999999</v>
      </c>
      <c r="X967" s="38">
        <v>0.9</v>
      </c>
      <c r="Y967" s="36">
        <v>4749.5200000000004</v>
      </c>
      <c r="Z967" s="34">
        <f t="shared" si="134"/>
        <v>5604.4336000000003</v>
      </c>
      <c r="AA967" s="36" t="s">
        <v>132</v>
      </c>
      <c r="AB967" s="36" t="s">
        <v>132</v>
      </c>
      <c r="AC967" s="36">
        <v>4252.607</v>
      </c>
      <c r="AD967" s="34">
        <f t="shared" si="135"/>
        <v>5018.0762599999998</v>
      </c>
      <c r="AE967" s="38" t="s">
        <v>173</v>
      </c>
      <c r="AF967" s="38" t="s">
        <v>83</v>
      </c>
      <c r="AG967" s="38" t="s">
        <v>83</v>
      </c>
      <c r="AH967" s="38" t="s">
        <v>545</v>
      </c>
      <c r="AI967" s="51">
        <v>41695</v>
      </c>
      <c r="AJ967" s="51">
        <v>41740</v>
      </c>
      <c r="AK967" s="60"/>
      <c r="AL967" s="60"/>
      <c r="AM967" s="303" t="s">
        <v>4298</v>
      </c>
      <c r="AN967" s="60" t="s">
        <v>353</v>
      </c>
      <c r="AO967" s="11">
        <v>796</v>
      </c>
      <c r="AP967" s="38" t="s">
        <v>419</v>
      </c>
      <c r="AQ967" s="38">
        <v>1</v>
      </c>
      <c r="AR967" s="38">
        <v>46434</v>
      </c>
      <c r="AS967" s="16" t="s">
        <v>961</v>
      </c>
      <c r="AT967" s="51">
        <v>41760</v>
      </c>
      <c r="AU967" s="51">
        <v>41760</v>
      </c>
      <c r="AV967" s="52">
        <v>42004</v>
      </c>
      <c r="AW967" s="38">
        <v>2014</v>
      </c>
      <c r="AX967" s="60" t="s">
        <v>4296</v>
      </c>
      <c r="AY967" s="135"/>
      <c r="AZ967" s="60"/>
      <c r="BA967" s="38"/>
      <c r="BB967" s="38"/>
      <c r="BC967" s="60"/>
      <c r="BD967" s="60"/>
      <c r="BE967" s="304"/>
      <c r="BF967" s="304"/>
      <c r="BG967" s="304"/>
      <c r="BH967" s="304"/>
      <c r="BI967" s="304"/>
      <c r="BJ967" s="304"/>
      <c r="BK967" s="304"/>
    </row>
    <row r="968" spans="1:63" s="287" customFormat="1" ht="75">
      <c r="A968" s="38">
        <v>3</v>
      </c>
      <c r="B968" s="43" t="s">
        <v>1007</v>
      </c>
      <c r="C968" s="38" t="s">
        <v>83</v>
      </c>
      <c r="D968" s="38" t="s">
        <v>956</v>
      </c>
      <c r="E968" s="38" t="s">
        <v>250</v>
      </c>
      <c r="F968" s="38" t="s">
        <v>957</v>
      </c>
      <c r="G968" s="38">
        <v>4000000</v>
      </c>
      <c r="H968" s="10">
        <v>813108</v>
      </c>
      <c r="I968" s="15" t="s">
        <v>1008</v>
      </c>
      <c r="J968" s="16" t="s">
        <v>1009</v>
      </c>
      <c r="K968" s="60" t="s">
        <v>4717</v>
      </c>
      <c r="L968" s="16" t="s">
        <v>180</v>
      </c>
      <c r="M968" s="134" t="s">
        <v>1249</v>
      </c>
      <c r="N968" s="16" t="s">
        <v>959</v>
      </c>
      <c r="O968" s="16" t="s">
        <v>1010</v>
      </c>
      <c r="P968" s="22">
        <v>1424</v>
      </c>
      <c r="Q968" s="23">
        <f t="shared" si="136"/>
        <v>1680.32</v>
      </c>
      <c r="R968" s="23">
        <f>Y968/X968/0.9</f>
        <v>1963.4470607941068</v>
      </c>
      <c r="S968" s="29" t="s">
        <v>974</v>
      </c>
      <c r="T968" s="38">
        <v>1.0840000000000001</v>
      </c>
      <c r="U968" s="38">
        <v>1.0509999999999999</v>
      </c>
      <c r="V968" s="38">
        <v>1.0669999999999999</v>
      </c>
      <c r="W968" s="38">
        <v>1.0529999999999999</v>
      </c>
      <c r="X968" s="38">
        <v>0.9</v>
      </c>
      <c r="Y968" s="36">
        <v>1590.3921192432267</v>
      </c>
      <c r="Z968" s="34">
        <f t="shared" si="134"/>
        <v>1876.6627007070074</v>
      </c>
      <c r="AA968" s="36" t="s">
        <v>132</v>
      </c>
      <c r="AB968" s="36" t="s">
        <v>132</v>
      </c>
      <c r="AC968" s="36">
        <v>1424</v>
      </c>
      <c r="AD968" s="34">
        <f t="shared" si="135"/>
        <v>1680.32</v>
      </c>
      <c r="AE968" s="38" t="s">
        <v>173</v>
      </c>
      <c r="AF968" s="38" t="s">
        <v>83</v>
      </c>
      <c r="AG968" s="38" t="s">
        <v>83</v>
      </c>
      <c r="AH968" s="38" t="s">
        <v>545</v>
      </c>
      <c r="AI968" s="51">
        <v>41587</v>
      </c>
      <c r="AJ968" s="51">
        <v>41632</v>
      </c>
      <c r="AK968" s="60"/>
      <c r="AL968" s="60"/>
      <c r="AM968" s="59" t="s">
        <v>1008</v>
      </c>
      <c r="AN968" s="60" t="s">
        <v>353</v>
      </c>
      <c r="AO968" s="11">
        <v>796</v>
      </c>
      <c r="AP968" s="38" t="s">
        <v>419</v>
      </c>
      <c r="AQ968" s="38">
        <v>1</v>
      </c>
      <c r="AR968" s="38">
        <v>46434</v>
      </c>
      <c r="AS968" s="16" t="s">
        <v>961</v>
      </c>
      <c r="AT968" s="51">
        <v>41652</v>
      </c>
      <c r="AU968" s="51">
        <v>41652</v>
      </c>
      <c r="AV968" s="52">
        <v>42004</v>
      </c>
      <c r="AW968" s="38">
        <v>2014</v>
      </c>
      <c r="AX968" s="60"/>
      <c r="AY968" s="135"/>
      <c r="AZ968" s="60"/>
      <c r="BA968" s="38"/>
      <c r="BB968" s="38"/>
      <c r="BC968" s="60"/>
      <c r="BD968" s="60"/>
      <c r="BE968" s="304"/>
      <c r="BF968" s="304"/>
      <c r="BG968" s="304"/>
      <c r="BH968" s="304"/>
      <c r="BI968" s="304"/>
      <c r="BJ968" s="304"/>
      <c r="BK968" s="304"/>
    </row>
    <row r="969" spans="1:63" s="287" customFormat="1" ht="93.75">
      <c r="A969" s="38">
        <v>3</v>
      </c>
      <c r="B969" s="38" t="s">
        <v>1012</v>
      </c>
      <c r="C969" s="38" t="s">
        <v>83</v>
      </c>
      <c r="D969" s="38" t="s">
        <v>956</v>
      </c>
      <c r="E969" s="38" t="s">
        <v>250</v>
      </c>
      <c r="F969" s="38" t="s">
        <v>957</v>
      </c>
      <c r="G969" s="38">
        <v>4000000</v>
      </c>
      <c r="H969" s="11">
        <v>813111</v>
      </c>
      <c r="I969" s="16" t="s">
        <v>1013</v>
      </c>
      <c r="J969" s="16" t="s">
        <v>1014</v>
      </c>
      <c r="K969" s="16" t="s">
        <v>4724</v>
      </c>
      <c r="L969" s="16" t="s">
        <v>180</v>
      </c>
      <c r="M969" s="134" t="s">
        <v>1175</v>
      </c>
      <c r="N969" s="16" t="s">
        <v>5931</v>
      </c>
      <c r="O969" s="16" t="s">
        <v>960</v>
      </c>
      <c r="P969" s="23">
        <v>4555.1433200000001</v>
      </c>
      <c r="Q969" s="23">
        <f t="shared" si="136"/>
        <v>5375.0691176</v>
      </c>
      <c r="R969" s="23">
        <f>Y969/X969/0.9</f>
        <v>6280.7463224367357</v>
      </c>
      <c r="S969" s="29" t="s">
        <v>974</v>
      </c>
      <c r="T969" s="38">
        <v>1.0840000000000001</v>
      </c>
      <c r="U969" s="38">
        <v>1.0509999999999999</v>
      </c>
      <c r="V969" s="38">
        <v>1.0669999999999999</v>
      </c>
      <c r="W969" s="38">
        <v>1.0529999999999999</v>
      </c>
      <c r="X969" s="38">
        <v>0.9</v>
      </c>
      <c r="Y969" s="36">
        <v>5087.4045211737557</v>
      </c>
      <c r="Z969" s="34">
        <f t="shared" si="134"/>
        <v>6003.137334985031</v>
      </c>
      <c r="AA969" s="36" t="s">
        <v>132</v>
      </c>
      <c r="AB969" s="36" t="s">
        <v>132</v>
      </c>
      <c r="AC969" s="34">
        <v>4555.1433200000001</v>
      </c>
      <c r="AD969" s="34">
        <f t="shared" si="135"/>
        <v>5375.0691176</v>
      </c>
      <c r="AE969" s="38" t="s">
        <v>173</v>
      </c>
      <c r="AF969" s="38" t="s">
        <v>83</v>
      </c>
      <c r="AG969" s="38" t="s">
        <v>83</v>
      </c>
      <c r="AH969" s="38" t="s">
        <v>545</v>
      </c>
      <c r="AI969" s="51">
        <v>41587</v>
      </c>
      <c r="AJ969" s="51">
        <v>41632</v>
      </c>
      <c r="AK969" s="60"/>
      <c r="AL969" s="60"/>
      <c r="AM969" s="60" t="s">
        <v>1013</v>
      </c>
      <c r="AN969" s="60" t="s">
        <v>353</v>
      </c>
      <c r="AO969" s="11">
        <v>796</v>
      </c>
      <c r="AP969" s="38" t="s">
        <v>419</v>
      </c>
      <c r="AQ969" s="38">
        <v>91</v>
      </c>
      <c r="AR969" s="38">
        <v>46434</v>
      </c>
      <c r="AS969" s="16" t="s">
        <v>961</v>
      </c>
      <c r="AT969" s="51">
        <v>41652</v>
      </c>
      <c r="AU969" s="51">
        <v>41652</v>
      </c>
      <c r="AV969" s="52">
        <v>42004</v>
      </c>
      <c r="AW969" s="38">
        <v>2014</v>
      </c>
      <c r="AX969" s="60"/>
      <c r="AY969" s="135"/>
      <c r="AZ969" s="60"/>
      <c r="BA969" s="38"/>
      <c r="BB969" s="38"/>
      <c r="BC969" s="60"/>
      <c r="BD969" s="60"/>
      <c r="BE969" s="304"/>
      <c r="BF969" s="304"/>
      <c r="BG969" s="304"/>
      <c r="BH969" s="304"/>
      <c r="BI969" s="304"/>
      <c r="BJ969" s="304"/>
      <c r="BK969" s="304"/>
    </row>
    <row r="970" spans="1:63" s="287" customFormat="1" ht="75">
      <c r="A970" s="38">
        <v>3</v>
      </c>
      <c r="B970" s="38" t="s">
        <v>1015</v>
      </c>
      <c r="C970" s="38" t="s">
        <v>83</v>
      </c>
      <c r="D970" s="38" t="s">
        <v>956</v>
      </c>
      <c r="E970" s="38" t="s">
        <v>250</v>
      </c>
      <c r="F970" s="38" t="s">
        <v>957</v>
      </c>
      <c r="G970" s="38">
        <v>4000000</v>
      </c>
      <c r="H970" s="11">
        <v>813113</v>
      </c>
      <c r="I970" s="16" t="s">
        <v>1016</v>
      </c>
      <c r="J970" s="16" t="s">
        <v>1017</v>
      </c>
      <c r="K970" s="60" t="s">
        <v>4724</v>
      </c>
      <c r="L970" s="16" t="s">
        <v>180</v>
      </c>
      <c r="M970" s="134" t="s">
        <v>1175</v>
      </c>
      <c r="N970" s="16" t="s">
        <v>5918</v>
      </c>
      <c r="O970" s="16" t="s">
        <v>960</v>
      </c>
      <c r="P970" s="23">
        <v>1724.74</v>
      </c>
      <c r="Q970" s="23">
        <f t="shared" si="136"/>
        <v>2035.1931999999999</v>
      </c>
      <c r="R970" s="23">
        <v>1674.9602063864115</v>
      </c>
      <c r="S970" s="29" t="s">
        <v>974</v>
      </c>
      <c r="T970" s="38">
        <v>1.0840000000000001</v>
      </c>
      <c r="U970" s="38">
        <v>1.0509999999999999</v>
      </c>
      <c r="V970" s="38">
        <v>1.0669999999999999</v>
      </c>
      <c r="W970" s="38">
        <v>1.0529999999999999</v>
      </c>
      <c r="X970" s="38">
        <v>0.9</v>
      </c>
      <c r="Y970" s="36">
        <v>1929.62</v>
      </c>
      <c r="Z970" s="34">
        <f t="shared" si="134"/>
        <v>2276.9515999999999</v>
      </c>
      <c r="AA970" s="36" t="s">
        <v>132</v>
      </c>
      <c r="AB970" s="36" t="s">
        <v>132</v>
      </c>
      <c r="AC970" s="34">
        <v>1727.7380000000001</v>
      </c>
      <c r="AD970" s="34">
        <f t="shared" si="135"/>
        <v>2038.7308399999999</v>
      </c>
      <c r="AE970" s="38" t="s">
        <v>173</v>
      </c>
      <c r="AF970" s="38" t="s">
        <v>83</v>
      </c>
      <c r="AG970" s="38" t="s">
        <v>83</v>
      </c>
      <c r="AH970" s="38" t="s">
        <v>545</v>
      </c>
      <c r="AI970" s="51">
        <v>41695</v>
      </c>
      <c r="AJ970" s="51">
        <v>41740</v>
      </c>
      <c r="AK970" s="60"/>
      <c r="AL970" s="60"/>
      <c r="AM970" s="60" t="s">
        <v>1016</v>
      </c>
      <c r="AN970" s="60" t="s">
        <v>353</v>
      </c>
      <c r="AO970" s="11">
        <v>796</v>
      </c>
      <c r="AP970" s="38" t="s">
        <v>419</v>
      </c>
      <c r="AQ970" s="38">
        <v>13</v>
      </c>
      <c r="AR970" s="38">
        <v>46434</v>
      </c>
      <c r="AS970" s="16" t="s">
        <v>961</v>
      </c>
      <c r="AT970" s="52">
        <v>41760</v>
      </c>
      <c r="AU970" s="52">
        <v>41760</v>
      </c>
      <c r="AV970" s="224">
        <v>41912</v>
      </c>
      <c r="AW970" s="38">
        <v>2014</v>
      </c>
      <c r="AX970" s="60"/>
      <c r="AY970" s="135"/>
      <c r="AZ970" s="60"/>
      <c r="BA970" s="38"/>
      <c r="BB970" s="38"/>
      <c r="BC970" s="60"/>
      <c r="BD970" s="60"/>
      <c r="BE970" s="304"/>
      <c r="BF970" s="304"/>
      <c r="BG970" s="304"/>
      <c r="BH970" s="304"/>
      <c r="BI970" s="304"/>
      <c r="BJ970" s="304"/>
      <c r="BK970" s="304"/>
    </row>
    <row r="971" spans="1:63" s="287" customFormat="1" ht="75">
      <c r="A971" s="38">
        <v>3</v>
      </c>
      <c r="B971" s="38" t="s">
        <v>1018</v>
      </c>
      <c r="C971" s="38" t="s">
        <v>83</v>
      </c>
      <c r="D971" s="38" t="s">
        <v>956</v>
      </c>
      <c r="E971" s="38" t="s">
        <v>250</v>
      </c>
      <c r="F971" s="38" t="s">
        <v>957</v>
      </c>
      <c r="G971" s="38">
        <v>4000000</v>
      </c>
      <c r="H971" s="11">
        <v>813114</v>
      </c>
      <c r="I971" s="16" t="s">
        <v>4681</v>
      </c>
      <c r="J971" s="16" t="s">
        <v>1020</v>
      </c>
      <c r="K971" s="60" t="s">
        <v>4724</v>
      </c>
      <c r="L971" s="16" t="s">
        <v>180</v>
      </c>
      <c r="M971" s="134" t="s">
        <v>1175</v>
      </c>
      <c r="N971" s="60" t="s">
        <v>5918</v>
      </c>
      <c r="O971" s="16" t="s">
        <v>960</v>
      </c>
      <c r="P971" s="23">
        <v>2049.73</v>
      </c>
      <c r="Q971" s="23">
        <f t="shared" si="136"/>
        <v>2418.6813999999999</v>
      </c>
      <c r="R971" s="23">
        <v>1987.1196934463931</v>
      </c>
      <c r="S971" s="29" t="s">
        <v>974</v>
      </c>
      <c r="T971" s="38">
        <v>1.0840000000000001</v>
      </c>
      <c r="U971" s="38">
        <v>1.0509999999999999</v>
      </c>
      <c r="V971" s="38">
        <v>1.0669999999999999</v>
      </c>
      <c r="W971" s="38">
        <v>1.0529999999999999</v>
      </c>
      <c r="X971" s="38">
        <v>0.9</v>
      </c>
      <c r="Y971" s="36">
        <v>2289.2399999999998</v>
      </c>
      <c r="Z971" s="34">
        <f t="shared" si="134"/>
        <v>2701.3031999999994</v>
      </c>
      <c r="AA971" s="36" t="s">
        <v>132</v>
      </c>
      <c r="AB971" s="36" t="s">
        <v>132</v>
      </c>
      <c r="AC971" s="34">
        <v>2049.73</v>
      </c>
      <c r="AD971" s="34">
        <f t="shared" si="135"/>
        <v>2418.6813999999999</v>
      </c>
      <c r="AE971" s="38" t="s">
        <v>173</v>
      </c>
      <c r="AF971" s="38" t="s">
        <v>83</v>
      </c>
      <c r="AG971" s="38" t="s">
        <v>83</v>
      </c>
      <c r="AH971" s="38" t="s">
        <v>545</v>
      </c>
      <c r="AI971" s="51">
        <v>41727</v>
      </c>
      <c r="AJ971" s="52">
        <v>41772</v>
      </c>
      <c r="AK971" s="60"/>
      <c r="AL971" s="60"/>
      <c r="AM971" s="60" t="s">
        <v>1019</v>
      </c>
      <c r="AN971" s="60" t="s">
        <v>353</v>
      </c>
      <c r="AO971" s="11">
        <v>796</v>
      </c>
      <c r="AP971" s="38" t="s">
        <v>419</v>
      </c>
      <c r="AQ971" s="38">
        <v>13</v>
      </c>
      <c r="AR971" s="38">
        <v>46434</v>
      </c>
      <c r="AS971" s="16" t="s">
        <v>961</v>
      </c>
      <c r="AT971" s="52">
        <v>41792</v>
      </c>
      <c r="AU971" s="52">
        <v>41792</v>
      </c>
      <c r="AV971" s="51">
        <v>41882</v>
      </c>
      <c r="AW971" s="38">
        <v>2014</v>
      </c>
      <c r="AX971" s="60"/>
      <c r="AY971" s="135"/>
      <c r="AZ971" s="60"/>
      <c r="BA971" s="38"/>
      <c r="BB971" s="38"/>
      <c r="BC971" s="60"/>
      <c r="BD971" s="60"/>
      <c r="BE971" s="304"/>
      <c r="BF971" s="304"/>
      <c r="BG971" s="304"/>
      <c r="BH971" s="304"/>
      <c r="BI971" s="304"/>
      <c r="BJ971" s="304"/>
      <c r="BK971" s="454"/>
    </row>
    <row r="972" spans="1:63" s="287" customFormat="1" ht="67.5" customHeight="1">
      <c r="A972" s="38">
        <v>3</v>
      </c>
      <c r="B972" s="38" t="s">
        <v>1021</v>
      </c>
      <c r="C972" s="38" t="s">
        <v>83</v>
      </c>
      <c r="D972" s="38" t="s">
        <v>956</v>
      </c>
      <c r="E972" s="38" t="s">
        <v>250</v>
      </c>
      <c r="F972" s="38" t="s">
        <v>957</v>
      </c>
      <c r="G972" s="38">
        <v>4000000</v>
      </c>
      <c r="H972" s="11">
        <v>813115</v>
      </c>
      <c r="I972" s="16" t="s">
        <v>1022</v>
      </c>
      <c r="J972" s="16" t="s">
        <v>1023</v>
      </c>
      <c r="K972" s="60" t="s">
        <v>4724</v>
      </c>
      <c r="L972" s="16" t="s">
        <v>180</v>
      </c>
      <c r="M972" s="134" t="s">
        <v>1175</v>
      </c>
      <c r="N972" s="16" t="s">
        <v>5931</v>
      </c>
      <c r="O972" s="16" t="s">
        <v>960</v>
      </c>
      <c r="P972" s="23">
        <v>5502.37</v>
      </c>
      <c r="Q972" s="23">
        <f t="shared" si="136"/>
        <v>6492.7965999999997</v>
      </c>
      <c r="R972" s="23">
        <v>5334.2884640024877</v>
      </c>
      <c r="S972" s="29" t="s">
        <v>974</v>
      </c>
      <c r="T972" s="38">
        <v>1.0840000000000001</v>
      </c>
      <c r="U972" s="38">
        <v>1.0509999999999999</v>
      </c>
      <c r="V972" s="38">
        <v>1.0669999999999999</v>
      </c>
      <c r="W972" s="38">
        <v>1.0529999999999999</v>
      </c>
      <c r="X972" s="38">
        <v>0.9</v>
      </c>
      <c r="Y972" s="36">
        <v>6145.31</v>
      </c>
      <c r="Z972" s="34">
        <f t="shared" si="134"/>
        <v>7251.4657999999999</v>
      </c>
      <c r="AA972" s="36" t="s">
        <v>132</v>
      </c>
      <c r="AB972" s="36" t="s">
        <v>132</v>
      </c>
      <c r="AC972" s="34">
        <v>5502.36</v>
      </c>
      <c r="AD972" s="34">
        <f t="shared" si="135"/>
        <v>6492.7847999999994</v>
      </c>
      <c r="AE972" s="38" t="s">
        <v>173</v>
      </c>
      <c r="AF972" s="38" t="s">
        <v>83</v>
      </c>
      <c r="AG972" s="38" t="s">
        <v>83</v>
      </c>
      <c r="AH972" s="38" t="s">
        <v>545</v>
      </c>
      <c r="AI972" s="51">
        <v>41625</v>
      </c>
      <c r="AJ972" s="51">
        <v>41670</v>
      </c>
      <c r="AK972" s="60"/>
      <c r="AL972" s="60"/>
      <c r="AM972" s="60" t="s">
        <v>1022</v>
      </c>
      <c r="AN972" s="60" t="s">
        <v>353</v>
      </c>
      <c r="AO972" s="11">
        <v>796</v>
      </c>
      <c r="AP972" s="38" t="s">
        <v>419</v>
      </c>
      <c r="AQ972" s="38">
        <v>287</v>
      </c>
      <c r="AR972" s="38">
        <v>46434</v>
      </c>
      <c r="AS972" s="16" t="s">
        <v>961</v>
      </c>
      <c r="AT972" s="52">
        <v>41690</v>
      </c>
      <c r="AU972" s="52">
        <v>41690</v>
      </c>
      <c r="AV972" s="52">
        <v>42004</v>
      </c>
      <c r="AW972" s="38">
        <v>2014</v>
      </c>
      <c r="AX972" s="60"/>
      <c r="AY972" s="135"/>
      <c r="AZ972" s="60"/>
      <c r="BA972" s="38"/>
      <c r="BB972" s="38"/>
      <c r="BC972" s="60"/>
      <c r="BD972" s="60"/>
      <c r="BE972" s="304"/>
      <c r="BF972" s="304"/>
      <c r="BG972" s="304"/>
      <c r="BH972" s="304"/>
      <c r="BI972" s="304"/>
      <c r="BJ972" s="304"/>
      <c r="BK972" s="304"/>
    </row>
    <row r="973" spans="1:63" s="287" customFormat="1" ht="93.75">
      <c r="A973" s="38">
        <v>3</v>
      </c>
      <c r="B973" s="38" t="s">
        <v>1024</v>
      </c>
      <c r="C973" s="38" t="s">
        <v>83</v>
      </c>
      <c r="D973" s="38" t="s">
        <v>956</v>
      </c>
      <c r="E973" s="38" t="s">
        <v>250</v>
      </c>
      <c r="F973" s="38" t="s">
        <v>957</v>
      </c>
      <c r="G973" s="38">
        <v>4000000</v>
      </c>
      <c r="H973" s="11">
        <v>813116</v>
      </c>
      <c r="I973" s="16" t="s">
        <v>4577</v>
      </c>
      <c r="J973" s="16" t="s">
        <v>1025</v>
      </c>
      <c r="K973" s="60" t="s">
        <v>4724</v>
      </c>
      <c r="L973" s="16" t="s">
        <v>180</v>
      </c>
      <c r="M973" s="134" t="s">
        <v>1175</v>
      </c>
      <c r="N973" s="16" t="s">
        <v>825</v>
      </c>
      <c r="O973" s="16" t="s">
        <v>960</v>
      </c>
      <c r="P973" s="23">
        <v>6055.95</v>
      </c>
      <c r="Q973" s="23">
        <f t="shared" si="136"/>
        <v>7146.0209999999997</v>
      </c>
      <c r="R973" s="23">
        <v>5870.9628593769794</v>
      </c>
      <c r="S973" s="29" t="s">
        <v>974</v>
      </c>
      <c r="T973" s="38">
        <v>1.0840000000000001</v>
      </c>
      <c r="U973" s="38">
        <v>1.0509999999999999</v>
      </c>
      <c r="V973" s="38">
        <v>1.0669999999999999</v>
      </c>
      <c r="W973" s="38">
        <v>1.0529999999999999</v>
      </c>
      <c r="X973" s="38">
        <v>0.9</v>
      </c>
      <c r="Y973" s="36">
        <v>6763.58</v>
      </c>
      <c r="Z973" s="34">
        <f t="shared" si="134"/>
        <v>7981.0243999999993</v>
      </c>
      <c r="AA973" s="36" t="s">
        <v>132</v>
      </c>
      <c r="AB973" s="36" t="s">
        <v>132</v>
      </c>
      <c r="AC973" s="34">
        <v>6055.95</v>
      </c>
      <c r="AD973" s="34">
        <f t="shared" si="135"/>
        <v>7146.0209999999997</v>
      </c>
      <c r="AE973" s="38" t="s">
        <v>173</v>
      </c>
      <c r="AF973" s="38" t="s">
        <v>83</v>
      </c>
      <c r="AG973" s="38" t="s">
        <v>83</v>
      </c>
      <c r="AH973" s="38" t="s">
        <v>545</v>
      </c>
      <c r="AI973" s="51">
        <v>41695</v>
      </c>
      <c r="AJ973" s="51">
        <v>41740</v>
      </c>
      <c r="AK973" s="60"/>
      <c r="AL973" s="60"/>
      <c r="AM973" s="60" t="s">
        <v>4578</v>
      </c>
      <c r="AN973" s="60" t="s">
        <v>353</v>
      </c>
      <c r="AO973" s="11">
        <v>796</v>
      </c>
      <c r="AP973" s="38" t="s">
        <v>4579</v>
      </c>
      <c r="AQ973" s="38" t="s">
        <v>4580</v>
      </c>
      <c r="AR973" s="38">
        <v>46434</v>
      </c>
      <c r="AS973" s="16" t="s">
        <v>961</v>
      </c>
      <c r="AT973" s="52">
        <v>41760</v>
      </c>
      <c r="AU973" s="52">
        <v>41760</v>
      </c>
      <c r="AV973" s="51">
        <v>41943</v>
      </c>
      <c r="AW973" s="38">
        <v>2014</v>
      </c>
      <c r="AX973" s="60"/>
      <c r="AY973" s="135"/>
      <c r="AZ973" s="60"/>
      <c r="BA973" s="38"/>
      <c r="BB973" s="38"/>
      <c r="BC973" s="60"/>
      <c r="BD973" s="60"/>
      <c r="BE973" s="304"/>
      <c r="BF973" s="304"/>
      <c r="BG973" s="304"/>
      <c r="BH973" s="304"/>
      <c r="BI973" s="304"/>
      <c r="BJ973" s="304"/>
      <c r="BK973" s="304"/>
    </row>
    <row r="974" spans="1:63" s="287" customFormat="1" ht="56.25">
      <c r="A974" s="38">
        <v>3</v>
      </c>
      <c r="B974" s="38" t="s">
        <v>1027</v>
      </c>
      <c r="C974" s="38" t="s">
        <v>83</v>
      </c>
      <c r="D974" s="38" t="s">
        <v>956</v>
      </c>
      <c r="E974" s="38" t="s">
        <v>250</v>
      </c>
      <c r="F974" s="38" t="s">
        <v>957</v>
      </c>
      <c r="G974" s="38">
        <v>4000000</v>
      </c>
      <c r="H974" s="11">
        <v>813118</v>
      </c>
      <c r="I974" s="15" t="s">
        <v>1028</v>
      </c>
      <c r="J974" s="16" t="s">
        <v>1029</v>
      </c>
      <c r="K974" s="60" t="s">
        <v>4724</v>
      </c>
      <c r="L974" s="16" t="s">
        <v>180</v>
      </c>
      <c r="M974" s="134" t="s">
        <v>1175</v>
      </c>
      <c r="N974" s="60" t="s">
        <v>5918</v>
      </c>
      <c r="O974" s="16" t="s">
        <v>960</v>
      </c>
      <c r="P974" s="23">
        <v>2391.2213999999999</v>
      </c>
      <c r="Q974" s="23">
        <f t="shared" si="136"/>
        <v>2821.6412519999999</v>
      </c>
      <c r="R974" s="23">
        <f>Y974/X974/0.9</f>
        <v>3297.0762847878991</v>
      </c>
      <c r="S974" s="29" t="s">
        <v>974</v>
      </c>
      <c r="T974" s="38">
        <v>1.0840000000000001</v>
      </c>
      <c r="U974" s="38">
        <v>1.0509999999999999</v>
      </c>
      <c r="V974" s="38">
        <v>1.0669999999999999</v>
      </c>
      <c r="W974" s="38">
        <v>1.0529999999999999</v>
      </c>
      <c r="X974" s="38">
        <v>0.9</v>
      </c>
      <c r="Y974" s="36">
        <v>2670.6317906781983</v>
      </c>
      <c r="Z974" s="34">
        <f t="shared" si="134"/>
        <v>3151.345513000274</v>
      </c>
      <c r="AA974" s="36" t="s">
        <v>132</v>
      </c>
      <c r="AB974" s="36" t="s">
        <v>132</v>
      </c>
      <c r="AC974" s="34">
        <v>2391.2213999999999</v>
      </c>
      <c r="AD974" s="34">
        <f t="shared" si="135"/>
        <v>2821.6412519999999</v>
      </c>
      <c r="AE974" s="38" t="s">
        <v>173</v>
      </c>
      <c r="AF974" s="38" t="s">
        <v>83</v>
      </c>
      <c r="AG974" s="38" t="s">
        <v>83</v>
      </c>
      <c r="AH974" s="38" t="s">
        <v>545</v>
      </c>
      <c r="AI974" s="51">
        <v>41727</v>
      </c>
      <c r="AJ974" s="52">
        <v>41772</v>
      </c>
      <c r="AK974" s="60"/>
      <c r="AL974" s="60"/>
      <c r="AM974" s="59" t="s">
        <v>1028</v>
      </c>
      <c r="AN974" s="60" t="s">
        <v>353</v>
      </c>
      <c r="AO974" s="11">
        <v>796</v>
      </c>
      <c r="AP974" s="38" t="s">
        <v>419</v>
      </c>
      <c r="AQ974" s="38">
        <v>11</v>
      </c>
      <c r="AR974" s="38">
        <v>46434</v>
      </c>
      <c r="AS974" s="16" t="s">
        <v>961</v>
      </c>
      <c r="AT974" s="51">
        <v>41791</v>
      </c>
      <c r="AU974" s="51">
        <v>41791</v>
      </c>
      <c r="AV974" s="224">
        <v>41912</v>
      </c>
      <c r="AW974" s="38">
        <v>2014</v>
      </c>
      <c r="AX974" s="60"/>
      <c r="AY974" s="135"/>
      <c r="AZ974" s="60"/>
      <c r="BA974" s="38"/>
      <c r="BB974" s="38"/>
      <c r="BC974" s="60"/>
      <c r="BD974" s="60"/>
      <c r="BE974" s="304"/>
      <c r="BF974" s="304"/>
      <c r="BG974" s="304"/>
      <c r="BH974" s="304"/>
      <c r="BI974" s="304"/>
      <c r="BJ974" s="304"/>
      <c r="BK974" s="304"/>
    </row>
    <row r="975" spans="1:63" s="287" customFormat="1" ht="75">
      <c r="A975" s="38">
        <v>3</v>
      </c>
      <c r="B975" s="38" t="s">
        <v>1030</v>
      </c>
      <c r="C975" s="38" t="s">
        <v>83</v>
      </c>
      <c r="D975" s="38" t="s">
        <v>956</v>
      </c>
      <c r="E975" s="38" t="s">
        <v>250</v>
      </c>
      <c r="F975" s="38" t="s">
        <v>957</v>
      </c>
      <c r="G975" s="38">
        <v>4000000</v>
      </c>
      <c r="H975" s="11">
        <v>813121</v>
      </c>
      <c r="I975" s="16" t="s">
        <v>1031</v>
      </c>
      <c r="J975" s="16" t="s">
        <v>1032</v>
      </c>
      <c r="K975" s="60" t="s">
        <v>4724</v>
      </c>
      <c r="L975" s="16" t="s">
        <v>180</v>
      </c>
      <c r="M975" s="134" t="s">
        <v>1175</v>
      </c>
      <c r="N975" s="16" t="s">
        <v>825</v>
      </c>
      <c r="O975" s="16" t="s">
        <v>960</v>
      </c>
      <c r="P975" s="23">
        <v>2306.6</v>
      </c>
      <c r="Q975" s="23">
        <f t="shared" si="136"/>
        <v>2721.7879999999996</v>
      </c>
      <c r="R975" s="23">
        <f>Y975/X975/0.9</f>
        <v>3180.3950617283949</v>
      </c>
      <c r="S975" s="29" t="s">
        <v>974</v>
      </c>
      <c r="T975" s="38">
        <v>1.0840000000000001</v>
      </c>
      <c r="U975" s="38">
        <v>1.0509999999999999</v>
      </c>
      <c r="V975" s="38">
        <v>1.0669999999999999</v>
      </c>
      <c r="W975" s="38">
        <v>1.0529999999999999</v>
      </c>
      <c r="X975" s="38">
        <v>0.9</v>
      </c>
      <c r="Y975" s="36">
        <v>2576.12</v>
      </c>
      <c r="Z975" s="34">
        <f t="shared" si="134"/>
        <v>3039.8215999999998</v>
      </c>
      <c r="AA975" s="36" t="s">
        <v>132</v>
      </c>
      <c r="AB975" s="36" t="s">
        <v>132</v>
      </c>
      <c r="AC975" s="34">
        <v>2306.6</v>
      </c>
      <c r="AD975" s="34">
        <f t="shared" si="135"/>
        <v>2721.7879999999996</v>
      </c>
      <c r="AE975" s="38" t="s">
        <v>173</v>
      </c>
      <c r="AF975" s="38" t="s">
        <v>83</v>
      </c>
      <c r="AG975" s="38" t="s">
        <v>83</v>
      </c>
      <c r="AH975" s="38" t="s">
        <v>545</v>
      </c>
      <c r="AI975" s="51">
        <v>41665</v>
      </c>
      <c r="AJ975" s="51">
        <v>41710</v>
      </c>
      <c r="AK975" s="60"/>
      <c r="AL975" s="60"/>
      <c r="AM975" s="60" t="s">
        <v>1031</v>
      </c>
      <c r="AN975" s="60" t="s">
        <v>353</v>
      </c>
      <c r="AO975" s="11" t="s">
        <v>140</v>
      </c>
      <c r="AP975" s="38" t="s">
        <v>737</v>
      </c>
      <c r="AQ975" s="38">
        <v>5300</v>
      </c>
      <c r="AR975" s="38">
        <v>46434</v>
      </c>
      <c r="AS975" s="16" t="s">
        <v>961</v>
      </c>
      <c r="AT975" s="51">
        <v>41730</v>
      </c>
      <c r="AU975" s="51">
        <v>41730</v>
      </c>
      <c r="AV975" s="224">
        <v>41912</v>
      </c>
      <c r="AW975" s="38">
        <v>2014</v>
      </c>
      <c r="AX975" s="60"/>
      <c r="AY975" s="135"/>
      <c r="AZ975" s="60"/>
      <c r="BA975" s="38"/>
      <c r="BB975" s="38"/>
      <c r="BC975" s="60"/>
      <c r="BD975" s="60"/>
      <c r="BE975" s="304"/>
      <c r="BF975" s="304"/>
      <c r="BG975" s="304"/>
      <c r="BH975" s="304"/>
      <c r="BI975" s="304"/>
      <c r="BJ975" s="304"/>
      <c r="BK975" s="304"/>
    </row>
    <row r="976" spans="1:63" s="287" customFormat="1" ht="75">
      <c r="A976" s="38">
        <v>3</v>
      </c>
      <c r="B976" s="38" t="s">
        <v>1033</v>
      </c>
      <c r="C976" s="38" t="s">
        <v>83</v>
      </c>
      <c r="D976" s="38" t="s">
        <v>956</v>
      </c>
      <c r="E976" s="38" t="s">
        <v>250</v>
      </c>
      <c r="F976" s="38" t="s">
        <v>957</v>
      </c>
      <c r="G976" s="38">
        <v>4000000</v>
      </c>
      <c r="H976" s="11">
        <v>813122</v>
      </c>
      <c r="I976" s="16" t="s">
        <v>1034</v>
      </c>
      <c r="J976" s="16" t="s">
        <v>275</v>
      </c>
      <c r="K976" s="60" t="s">
        <v>4724</v>
      </c>
      <c r="L976" s="16" t="s">
        <v>180</v>
      </c>
      <c r="M976" s="134" t="s">
        <v>743</v>
      </c>
      <c r="N976" s="16" t="s">
        <v>220</v>
      </c>
      <c r="O976" s="16" t="s">
        <v>960</v>
      </c>
      <c r="P976" s="23">
        <v>1833.4666999999999</v>
      </c>
      <c r="Q976" s="23">
        <f t="shared" si="136"/>
        <v>2163.490706</v>
      </c>
      <c r="R976" s="23"/>
      <c r="S976" s="29"/>
      <c r="T976" s="38"/>
      <c r="U976" s="38"/>
      <c r="V976" s="38"/>
      <c r="W976" s="38"/>
      <c r="X976" s="38"/>
      <c r="Y976" s="34">
        <v>1833.4666999999999</v>
      </c>
      <c r="Z976" s="34">
        <f t="shared" si="134"/>
        <v>2163.490706</v>
      </c>
      <c r="AA976" s="36" t="s">
        <v>132</v>
      </c>
      <c r="AB976" s="36" t="s">
        <v>132</v>
      </c>
      <c r="AC976" s="34">
        <v>1833.4666999999999</v>
      </c>
      <c r="AD976" s="34">
        <f t="shared" si="135"/>
        <v>2163.490706</v>
      </c>
      <c r="AE976" s="38" t="s">
        <v>173</v>
      </c>
      <c r="AF976" s="38" t="s">
        <v>83</v>
      </c>
      <c r="AG976" s="38" t="s">
        <v>83</v>
      </c>
      <c r="AH976" s="38" t="s">
        <v>545</v>
      </c>
      <c r="AI976" s="51">
        <v>41695</v>
      </c>
      <c r="AJ976" s="51">
        <v>41740</v>
      </c>
      <c r="AK976" s="60"/>
      <c r="AL976" s="60"/>
      <c r="AM976" s="60" t="s">
        <v>1034</v>
      </c>
      <c r="AN976" s="60" t="s">
        <v>353</v>
      </c>
      <c r="AO976" s="11">
        <v>796</v>
      </c>
      <c r="AP976" s="38" t="s">
        <v>419</v>
      </c>
      <c r="AQ976" s="38">
        <v>299</v>
      </c>
      <c r="AR976" s="38">
        <v>46434</v>
      </c>
      <c r="AS976" s="16" t="s">
        <v>961</v>
      </c>
      <c r="AT976" s="51">
        <v>41760</v>
      </c>
      <c r="AU976" s="51">
        <v>41760</v>
      </c>
      <c r="AV976" s="51">
        <v>42124</v>
      </c>
      <c r="AW976" s="38" t="s">
        <v>99</v>
      </c>
      <c r="AX976" s="60"/>
      <c r="AY976" s="135"/>
      <c r="AZ976" s="60"/>
      <c r="BA976" s="38"/>
      <c r="BB976" s="38"/>
      <c r="BC976" s="60"/>
      <c r="BD976" s="60"/>
      <c r="BE976" s="304"/>
      <c r="BF976" s="304"/>
      <c r="BG976" s="304"/>
      <c r="BH976" s="304"/>
      <c r="BI976" s="304"/>
      <c r="BJ976" s="304"/>
      <c r="BK976" s="304"/>
    </row>
    <row r="977" spans="1:63" s="287" customFormat="1" ht="75">
      <c r="A977" s="38">
        <v>3</v>
      </c>
      <c r="B977" s="38" t="s">
        <v>1035</v>
      </c>
      <c r="C977" s="38" t="s">
        <v>83</v>
      </c>
      <c r="D977" s="38" t="s">
        <v>956</v>
      </c>
      <c r="E977" s="38" t="s">
        <v>250</v>
      </c>
      <c r="F977" s="38" t="s">
        <v>957</v>
      </c>
      <c r="G977" s="38">
        <v>4000000</v>
      </c>
      <c r="H977" s="11">
        <v>813123</v>
      </c>
      <c r="I977" s="16" t="s">
        <v>1036</v>
      </c>
      <c r="J977" s="16" t="s">
        <v>1037</v>
      </c>
      <c r="K977" s="60" t="s">
        <v>4724</v>
      </c>
      <c r="L977" s="16" t="s">
        <v>180</v>
      </c>
      <c r="M977" s="134" t="s">
        <v>1175</v>
      </c>
      <c r="N977" s="60" t="s">
        <v>5918</v>
      </c>
      <c r="O977" s="16" t="s">
        <v>960</v>
      </c>
      <c r="P977" s="23">
        <v>868.62459999999999</v>
      </c>
      <c r="Q977" s="23">
        <f t="shared" si="136"/>
        <v>1024.977028</v>
      </c>
      <c r="R977" s="23">
        <f>Y977/X977/0.9</f>
        <v>1197.6814731765851</v>
      </c>
      <c r="S977" s="29" t="s">
        <v>974</v>
      </c>
      <c r="T977" s="38">
        <v>1.0840000000000001</v>
      </c>
      <c r="U977" s="38">
        <v>1.0509999999999999</v>
      </c>
      <c r="V977" s="38">
        <v>1.0669999999999999</v>
      </c>
      <c r="W977" s="38">
        <v>1.0529999999999999</v>
      </c>
      <c r="X977" s="38">
        <v>0.9</v>
      </c>
      <c r="Y977" s="36">
        <v>970.12199327303392</v>
      </c>
      <c r="Z977" s="34">
        <f t="shared" si="134"/>
        <v>1144.7439520621799</v>
      </c>
      <c r="AA977" s="36" t="s">
        <v>132</v>
      </c>
      <c r="AB977" s="36" t="s">
        <v>132</v>
      </c>
      <c r="AC977" s="34">
        <v>868.62459999999999</v>
      </c>
      <c r="AD977" s="34">
        <f t="shared" si="135"/>
        <v>1024.977028</v>
      </c>
      <c r="AE977" s="38" t="s">
        <v>173</v>
      </c>
      <c r="AF977" s="38" t="s">
        <v>83</v>
      </c>
      <c r="AG977" s="38" t="s">
        <v>83</v>
      </c>
      <c r="AH977" s="38" t="s">
        <v>545</v>
      </c>
      <c r="AI977" s="51">
        <v>41756</v>
      </c>
      <c r="AJ977" s="51">
        <v>41801</v>
      </c>
      <c r="AK977" s="60"/>
      <c r="AL977" s="60"/>
      <c r="AM977" s="60" t="s">
        <v>1036</v>
      </c>
      <c r="AN977" s="60" t="s">
        <v>353</v>
      </c>
      <c r="AO977" s="11">
        <v>796</v>
      </c>
      <c r="AP977" s="38" t="s">
        <v>419</v>
      </c>
      <c r="AQ977" s="38">
        <v>92</v>
      </c>
      <c r="AR977" s="38">
        <v>46434</v>
      </c>
      <c r="AS977" s="16" t="s">
        <v>961</v>
      </c>
      <c r="AT977" s="52">
        <v>41821</v>
      </c>
      <c r="AU977" s="52">
        <v>41821</v>
      </c>
      <c r="AV977" s="224">
        <v>41912</v>
      </c>
      <c r="AW977" s="38">
        <v>2014</v>
      </c>
      <c r="AX977" s="60"/>
      <c r="AY977" s="135"/>
      <c r="AZ977" s="60"/>
      <c r="BA977" s="38"/>
      <c r="BB977" s="38"/>
      <c r="BC977" s="60"/>
      <c r="BD977" s="60"/>
      <c r="BE977" s="304"/>
      <c r="BF977" s="304"/>
      <c r="BG977" s="304"/>
      <c r="BH977" s="304"/>
      <c r="BI977" s="304"/>
      <c r="BJ977" s="304"/>
      <c r="BK977" s="304"/>
    </row>
    <row r="978" spans="1:63" s="287" customFormat="1" ht="75">
      <c r="A978" s="38">
        <v>3</v>
      </c>
      <c r="B978" s="38" t="s">
        <v>1040</v>
      </c>
      <c r="C978" s="38" t="s">
        <v>83</v>
      </c>
      <c r="D978" s="38" t="s">
        <v>956</v>
      </c>
      <c r="E978" s="38" t="s">
        <v>250</v>
      </c>
      <c r="F978" s="38" t="s">
        <v>957</v>
      </c>
      <c r="G978" s="38">
        <v>4000000</v>
      </c>
      <c r="H978" s="11">
        <v>813125</v>
      </c>
      <c r="I978" s="16" t="s">
        <v>1041</v>
      </c>
      <c r="J978" s="16" t="s">
        <v>1042</v>
      </c>
      <c r="K978" s="60" t="s">
        <v>4724</v>
      </c>
      <c r="L978" s="16" t="s">
        <v>180</v>
      </c>
      <c r="M978" s="134" t="s">
        <v>1325</v>
      </c>
      <c r="N978" s="16" t="s">
        <v>5921</v>
      </c>
      <c r="O978" s="16" t="s">
        <v>960</v>
      </c>
      <c r="P978" s="23">
        <v>18525.84</v>
      </c>
      <c r="Q978" s="23">
        <f t="shared" si="136"/>
        <v>21860.4912</v>
      </c>
      <c r="R978" s="23">
        <v>17959.934027553802</v>
      </c>
      <c r="S978" s="29" t="s">
        <v>974</v>
      </c>
      <c r="T978" s="38">
        <v>1.0840000000000001</v>
      </c>
      <c r="U978" s="38">
        <v>1.0509999999999999</v>
      </c>
      <c r="V978" s="38">
        <v>1.0669999999999999</v>
      </c>
      <c r="W978" s="38">
        <v>1.0529999999999999</v>
      </c>
      <c r="X978" s="38">
        <v>0.9</v>
      </c>
      <c r="Y978" s="36">
        <v>20690.55</v>
      </c>
      <c r="Z978" s="34">
        <f t="shared" si="134"/>
        <v>24414.848999999998</v>
      </c>
      <c r="AA978" s="36" t="s">
        <v>132</v>
      </c>
      <c r="AB978" s="36" t="s">
        <v>132</v>
      </c>
      <c r="AC978" s="34">
        <v>18525.839</v>
      </c>
      <c r="AD978" s="34">
        <f t="shared" si="135"/>
        <v>21860.490019999997</v>
      </c>
      <c r="AE978" s="38" t="s">
        <v>169</v>
      </c>
      <c r="AF978" s="38" t="s">
        <v>83</v>
      </c>
      <c r="AG978" s="38" t="s">
        <v>83</v>
      </c>
      <c r="AH978" s="38" t="s">
        <v>545</v>
      </c>
      <c r="AI978" s="51">
        <v>41621</v>
      </c>
      <c r="AJ978" s="51">
        <v>41681</v>
      </c>
      <c r="AK978" s="60"/>
      <c r="AL978" s="60"/>
      <c r="AM978" s="60" t="s">
        <v>1041</v>
      </c>
      <c r="AN978" s="60" t="s">
        <v>353</v>
      </c>
      <c r="AO978" s="11">
        <v>796</v>
      </c>
      <c r="AP978" s="38" t="s">
        <v>419</v>
      </c>
      <c r="AQ978" s="38">
        <v>4369</v>
      </c>
      <c r="AR978" s="38">
        <v>46434</v>
      </c>
      <c r="AS978" s="16" t="s">
        <v>961</v>
      </c>
      <c r="AT978" s="51">
        <v>41699</v>
      </c>
      <c r="AU978" s="51">
        <v>41699</v>
      </c>
      <c r="AV978" s="51">
        <v>41943</v>
      </c>
      <c r="AW978" s="38">
        <v>2014</v>
      </c>
      <c r="AX978" s="60"/>
      <c r="AY978" s="135"/>
      <c r="AZ978" s="60"/>
      <c r="BA978" s="38"/>
      <c r="BB978" s="38"/>
      <c r="BC978" s="60"/>
      <c r="BD978" s="60"/>
      <c r="BE978" s="304"/>
      <c r="BF978" s="304"/>
      <c r="BG978" s="304"/>
      <c r="BH978" s="304"/>
      <c r="BI978" s="304"/>
      <c r="BJ978" s="304"/>
      <c r="BK978" s="304"/>
    </row>
    <row r="979" spans="1:63" s="287" customFormat="1" ht="75">
      <c r="A979" s="38">
        <v>3</v>
      </c>
      <c r="B979" s="38" t="s">
        <v>3384</v>
      </c>
      <c r="C979" s="38" t="s">
        <v>83</v>
      </c>
      <c r="D979" s="38" t="s">
        <v>4309</v>
      </c>
      <c r="E979" s="38" t="s">
        <v>250</v>
      </c>
      <c r="F979" s="38" t="s">
        <v>957</v>
      </c>
      <c r="G979" s="38">
        <v>4000000</v>
      </c>
      <c r="H979" s="11">
        <v>860003</v>
      </c>
      <c r="I979" s="16" t="s">
        <v>1041</v>
      </c>
      <c r="J979" s="16" t="s">
        <v>1042</v>
      </c>
      <c r="K979" s="16" t="s">
        <v>4724</v>
      </c>
      <c r="L979" s="16" t="s">
        <v>180</v>
      </c>
      <c r="M979" s="134" t="s">
        <v>1325</v>
      </c>
      <c r="N979" s="16" t="s">
        <v>5921</v>
      </c>
      <c r="O979" s="16" t="s">
        <v>960</v>
      </c>
      <c r="P979" s="23">
        <v>659.29399999999998</v>
      </c>
      <c r="Q979" s="23">
        <f t="shared" si="136"/>
        <v>777.96691999999996</v>
      </c>
      <c r="R979" s="23">
        <v>638.85</v>
      </c>
      <c r="S979" s="29" t="s">
        <v>974</v>
      </c>
      <c r="T979" s="38">
        <v>1.0840000000000001</v>
      </c>
      <c r="U979" s="38">
        <v>1.0509999999999999</v>
      </c>
      <c r="V979" s="38">
        <v>1.0669999999999999</v>
      </c>
      <c r="W979" s="38">
        <v>1.0529999999999999</v>
      </c>
      <c r="X979" s="38">
        <v>0.9</v>
      </c>
      <c r="Y979" s="36">
        <v>817.75</v>
      </c>
      <c r="Z979" s="34">
        <f t="shared" si="134"/>
        <v>964.94499999999994</v>
      </c>
      <c r="AA979" s="36" t="s">
        <v>132</v>
      </c>
      <c r="AB979" s="36" t="s">
        <v>132</v>
      </c>
      <c r="AC979" s="23">
        <v>659.29</v>
      </c>
      <c r="AD979" s="34">
        <f t="shared" si="135"/>
        <v>777.96219999999994</v>
      </c>
      <c r="AE979" s="38" t="s">
        <v>173</v>
      </c>
      <c r="AF979" s="38" t="s">
        <v>83</v>
      </c>
      <c r="AG979" s="38" t="s">
        <v>83</v>
      </c>
      <c r="AH979" s="38" t="s">
        <v>545</v>
      </c>
      <c r="AI979" s="51">
        <v>41621</v>
      </c>
      <c r="AJ979" s="51">
        <v>41650</v>
      </c>
      <c r="AK979" s="60"/>
      <c r="AL979" s="60"/>
      <c r="AM979" s="60" t="s">
        <v>1041</v>
      </c>
      <c r="AN979" s="60" t="s">
        <v>353</v>
      </c>
      <c r="AO979" s="11">
        <v>796</v>
      </c>
      <c r="AP979" s="38" t="s">
        <v>419</v>
      </c>
      <c r="AQ979" s="38">
        <v>312</v>
      </c>
      <c r="AR979" s="38">
        <v>46434</v>
      </c>
      <c r="AS979" s="16" t="s">
        <v>1553</v>
      </c>
      <c r="AT979" s="51">
        <v>41699</v>
      </c>
      <c r="AU979" s="51">
        <v>41699</v>
      </c>
      <c r="AV979" s="52">
        <v>42004</v>
      </c>
      <c r="AW979" s="38">
        <v>2014</v>
      </c>
      <c r="AX979" s="60"/>
      <c r="AY979" s="135"/>
      <c r="AZ979" s="60"/>
      <c r="BA979" s="38"/>
      <c r="BB979" s="38"/>
      <c r="BC979" s="60"/>
      <c r="BD979" s="60"/>
      <c r="BE979" s="304"/>
      <c r="BF979" s="304"/>
      <c r="BG979" s="304"/>
      <c r="BH979" s="304"/>
      <c r="BI979" s="304"/>
      <c r="BJ979" s="304"/>
      <c r="BK979" s="304"/>
    </row>
    <row r="980" spans="1:63" s="287" customFormat="1" ht="56.25">
      <c r="A980" s="38">
        <v>3</v>
      </c>
      <c r="B980" s="38" t="s">
        <v>1043</v>
      </c>
      <c r="C980" s="38" t="s">
        <v>83</v>
      </c>
      <c r="D980" s="38" t="s">
        <v>956</v>
      </c>
      <c r="E980" s="38" t="s">
        <v>250</v>
      </c>
      <c r="F980" s="38" t="s">
        <v>957</v>
      </c>
      <c r="G980" s="38">
        <v>4000000</v>
      </c>
      <c r="H980" s="11">
        <v>813126</v>
      </c>
      <c r="I980" s="16" t="s">
        <v>4680</v>
      </c>
      <c r="J980" s="16" t="s">
        <v>1045</v>
      </c>
      <c r="K980" s="60" t="s">
        <v>4724</v>
      </c>
      <c r="L980" s="16" t="s">
        <v>180</v>
      </c>
      <c r="M980" s="134" t="s">
        <v>1325</v>
      </c>
      <c r="N980" s="16" t="s">
        <v>5921</v>
      </c>
      <c r="O980" s="16" t="s">
        <v>960</v>
      </c>
      <c r="P980" s="23">
        <v>2555</v>
      </c>
      <c r="Q980" s="23">
        <f t="shared" si="136"/>
        <v>3014.8999999999996</v>
      </c>
      <c r="R980" s="23">
        <v>2476.96</v>
      </c>
      <c r="S980" s="29" t="s">
        <v>974</v>
      </c>
      <c r="T980" s="38">
        <v>1.0840000000000001</v>
      </c>
      <c r="U980" s="38">
        <v>1.0509999999999999</v>
      </c>
      <c r="V980" s="38">
        <v>1.0669999999999999</v>
      </c>
      <c r="W980" s="38">
        <v>1.0529999999999999</v>
      </c>
      <c r="X980" s="38">
        <v>0.9</v>
      </c>
      <c r="Y980" s="36">
        <v>2853.55</v>
      </c>
      <c r="Z980" s="34">
        <f t="shared" si="134"/>
        <v>3367.1889999999999</v>
      </c>
      <c r="AA980" s="36" t="s">
        <v>132</v>
      </c>
      <c r="AB980" s="36" t="s">
        <v>132</v>
      </c>
      <c r="AC980" s="34">
        <v>2555</v>
      </c>
      <c r="AD980" s="34">
        <f t="shared" si="135"/>
        <v>3014.8999999999996</v>
      </c>
      <c r="AE980" s="38" t="s">
        <v>173</v>
      </c>
      <c r="AF980" s="38" t="s">
        <v>83</v>
      </c>
      <c r="AG980" s="38" t="s">
        <v>83</v>
      </c>
      <c r="AH980" s="38" t="s">
        <v>545</v>
      </c>
      <c r="AI980" s="51">
        <v>41727</v>
      </c>
      <c r="AJ980" s="52">
        <v>41772</v>
      </c>
      <c r="AK980" s="60"/>
      <c r="AL980" s="60"/>
      <c r="AM980" s="60" t="s">
        <v>1044</v>
      </c>
      <c r="AN980" s="60" t="s">
        <v>353</v>
      </c>
      <c r="AO980" s="11">
        <v>796</v>
      </c>
      <c r="AP980" s="38" t="s">
        <v>419</v>
      </c>
      <c r="AQ980" s="38">
        <v>496</v>
      </c>
      <c r="AR980" s="38">
        <v>46434</v>
      </c>
      <c r="AS980" s="16" t="s">
        <v>961</v>
      </c>
      <c r="AT980" s="52">
        <v>41792</v>
      </c>
      <c r="AU980" s="52">
        <v>41792</v>
      </c>
      <c r="AV980" s="52">
        <v>41973</v>
      </c>
      <c r="AW980" s="38">
        <v>2014</v>
      </c>
      <c r="AX980" s="60"/>
      <c r="AY980" s="135"/>
      <c r="AZ980" s="60"/>
      <c r="BA980" s="38"/>
      <c r="BB980" s="38"/>
      <c r="BC980" s="60"/>
      <c r="BD980" s="60"/>
      <c r="BE980" s="304"/>
      <c r="BF980" s="304"/>
      <c r="BG980" s="304"/>
      <c r="BH980" s="304"/>
      <c r="BI980" s="304"/>
      <c r="BJ980" s="304"/>
      <c r="BK980" s="304"/>
    </row>
    <row r="981" spans="1:63" s="287" customFormat="1" ht="57" customHeight="1">
      <c r="A981" s="38">
        <v>3</v>
      </c>
      <c r="B981" s="38" t="s">
        <v>1046</v>
      </c>
      <c r="C981" s="38" t="s">
        <v>83</v>
      </c>
      <c r="D981" s="38" t="s">
        <v>956</v>
      </c>
      <c r="E981" s="38" t="s">
        <v>250</v>
      </c>
      <c r="F981" s="38" t="s">
        <v>957</v>
      </c>
      <c r="G981" s="38">
        <v>4000000</v>
      </c>
      <c r="H981" s="11">
        <v>813127</v>
      </c>
      <c r="I981" s="16" t="s">
        <v>1047</v>
      </c>
      <c r="J981" s="16" t="s">
        <v>1048</v>
      </c>
      <c r="K981" s="60" t="s">
        <v>4724</v>
      </c>
      <c r="L981" s="16" t="s">
        <v>180</v>
      </c>
      <c r="M981" s="134" t="s">
        <v>1184</v>
      </c>
      <c r="N981" s="16" t="s">
        <v>5900</v>
      </c>
      <c r="O981" s="16" t="s">
        <v>960</v>
      </c>
      <c r="P981" s="23">
        <v>2199.2189800000001</v>
      </c>
      <c r="Q981" s="23">
        <f t="shared" si="136"/>
        <v>2595.0783964000002</v>
      </c>
      <c r="R981" s="23">
        <v>2132.0366234410094</v>
      </c>
      <c r="S981" s="29" t="s">
        <v>974</v>
      </c>
      <c r="T981" s="38">
        <v>1.0840000000000001</v>
      </c>
      <c r="U981" s="38">
        <v>1.0509999999999999</v>
      </c>
      <c r="V981" s="38">
        <v>1.0669999999999999</v>
      </c>
      <c r="W981" s="38">
        <v>1.0529999999999999</v>
      </c>
      <c r="X981" s="38">
        <v>0.9</v>
      </c>
      <c r="Y981" s="34">
        <v>2456.19</v>
      </c>
      <c r="Z981" s="34">
        <f t="shared" si="134"/>
        <v>2898.3042</v>
      </c>
      <c r="AA981" s="36" t="s">
        <v>132</v>
      </c>
      <c r="AB981" s="36" t="s">
        <v>132</v>
      </c>
      <c r="AC981" s="34">
        <v>2199.2189800000001</v>
      </c>
      <c r="AD981" s="34">
        <f t="shared" si="135"/>
        <v>2595.0783964000002</v>
      </c>
      <c r="AE981" s="38" t="s">
        <v>173</v>
      </c>
      <c r="AF981" s="38" t="s">
        <v>83</v>
      </c>
      <c r="AG981" s="38" t="s">
        <v>83</v>
      </c>
      <c r="AH981" s="38" t="s">
        <v>545</v>
      </c>
      <c r="AI981" s="51">
        <v>41786</v>
      </c>
      <c r="AJ981" s="51">
        <v>41831</v>
      </c>
      <c r="AK981" s="60"/>
      <c r="AL981" s="60"/>
      <c r="AM981" s="60" t="s">
        <v>1047</v>
      </c>
      <c r="AN981" s="60" t="s">
        <v>353</v>
      </c>
      <c r="AO981" s="11">
        <v>796</v>
      </c>
      <c r="AP981" s="38" t="s">
        <v>419</v>
      </c>
      <c r="AQ981" s="38">
        <v>35</v>
      </c>
      <c r="AR981" s="38">
        <v>46434</v>
      </c>
      <c r="AS981" s="16" t="s">
        <v>961</v>
      </c>
      <c r="AT981" s="51">
        <v>41852</v>
      </c>
      <c r="AU981" s="51">
        <v>41852</v>
      </c>
      <c r="AV981" s="52">
        <v>42216</v>
      </c>
      <c r="AW981" s="38" t="s">
        <v>99</v>
      </c>
      <c r="AX981" s="60"/>
      <c r="AY981" s="135"/>
      <c r="AZ981" s="60"/>
      <c r="BA981" s="38"/>
      <c r="BB981" s="38"/>
      <c r="BC981" s="60"/>
      <c r="BD981" s="60"/>
      <c r="BE981" s="304"/>
      <c r="BF981" s="304"/>
      <c r="BG981" s="304"/>
      <c r="BH981" s="304"/>
      <c r="BI981" s="304"/>
      <c r="BJ981" s="304"/>
      <c r="BK981" s="304"/>
    </row>
    <row r="982" spans="1:63" s="287" customFormat="1" ht="75">
      <c r="A982" s="38">
        <v>3</v>
      </c>
      <c r="B982" s="38" t="s">
        <v>1049</v>
      </c>
      <c r="C982" s="38" t="s">
        <v>83</v>
      </c>
      <c r="D982" s="38" t="s">
        <v>956</v>
      </c>
      <c r="E982" s="38" t="s">
        <v>250</v>
      </c>
      <c r="F982" s="38" t="s">
        <v>957</v>
      </c>
      <c r="G982" s="38">
        <v>4000000</v>
      </c>
      <c r="H982" s="11">
        <v>813129</v>
      </c>
      <c r="I982" s="16" t="s">
        <v>1050</v>
      </c>
      <c r="J982" s="16" t="s">
        <v>837</v>
      </c>
      <c r="K982" s="60" t="s">
        <v>4724</v>
      </c>
      <c r="L982" s="16" t="s">
        <v>180</v>
      </c>
      <c r="M982" s="134" t="s">
        <v>1175</v>
      </c>
      <c r="N982" s="16" t="s">
        <v>5900</v>
      </c>
      <c r="O982" s="16" t="s">
        <v>1010</v>
      </c>
      <c r="P982" s="23">
        <v>1252.4000000000001</v>
      </c>
      <c r="Q982" s="23">
        <f t="shared" si="136"/>
        <v>1477.8320000000001</v>
      </c>
      <c r="R982" s="23">
        <v>1214.1425975481852</v>
      </c>
      <c r="S982" s="29" t="s">
        <v>974</v>
      </c>
      <c r="T982" s="38">
        <v>1.0840000000000001</v>
      </c>
      <c r="U982" s="38">
        <v>1.0509999999999999</v>
      </c>
      <c r="V982" s="38">
        <v>1.0669999999999999</v>
      </c>
      <c r="W982" s="38">
        <v>1.0529999999999999</v>
      </c>
      <c r="X982" s="38">
        <v>0.9</v>
      </c>
      <c r="Y982" s="23">
        <v>1398.74</v>
      </c>
      <c r="Z982" s="23">
        <f t="shared" si="134"/>
        <v>1650.5131999999999</v>
      </c>
      <c r="AA982" s="36" t="s">
        <v>132</v>
      </c>
      <c r="AB982" s="36" t="s">
        <v>132</v>
      </c>
      <c r="AC982" s="34">
        <v>1252.4000000000001</v>
      </c>
      <c r="AD982" s="34">
        <f t="shared" si="135"/>
        <v>1477.8320000000001</v>
      </c>
      <c r="AE982" s="38" t="s">
        <v>173</v>
      </c>
      <c r="AF982" s="38" t="s">
        <v>83</v>
      </c>
      <c r="AG982" s="38" t="s">
        <v>83</v>
      </c>
      <c r="AH982" s="38" t="s">
        <v>545</v>
      </c>
      <c r="AI982" s="51">
        <v>41625</v>
      </c>
      <c r="AJ982" s="51">
        <v>41670</v>
      </c>
      <c r="AK982" s="60"/>
      <c r="AL982" s="60"/>
      <c r="AM982" s="60" t="s">
        <v>1050</v>
      </c>
      <c r="AN982" s="60" t="s">
        <v>353</v>
      </c>
      <c r="AO982" s="11">
        <v>796</v>
      </c>
      <c r="AP982" s="38" t="s">
        <v>419</v>
      </c>
      <c r="AQ982" s="38">
        <v>58</v>
      </c>
      <c r="AR982" s="38">
        <v>46434</v>
      </c>
      <c r="AS982" s="16" t="s">
        <v>961</v>
      </c>
      <c r="AT982" s="52">
        <v>41690</v>
      </c>
      <c r="AU982" s="52">
        <v>41690</v>
      </c>
      <c r="AV982" s="52">
        <v>42004</v>
      </c>
      <c r="AW982" s="38">
        <v>2014</v>
      </c>
      <c r="AX982" s="60"/>
      <c r="AY982" s="135"/>
      <c r="AZ982" s="60"/>
      <c r="BA982" s="38"/>
      <c r="BB982" s="38"/>
      <c r="BC982" s="60"/>
      <c r="BD982" s="60"/>
      <c r="BE982" s="304"/>
      <c r="BF982" s="304"/>
      <c r="BG982" s="304"/>
      <c r="BH982" s="304"/>
      <c r="BI982" s="304"/>
      <c r="BJ982" s="304"/>
      <c r="BK982" s="304"/>
    </row>
    <row r="983" spans="1:63" s="287" customFormat="1" ht="93.75">
      <c r="A983" s="38">
        <v>3</v>
      </c>
      <c r="B983" s="38" t="s">
        <v>1051</v>
      </c>
      <c r="C983" s="38" t="s">
        <v>83</v>
      </c>
      <c r="D983" s="38" t="s">
        <v>956</v>
      </c>
      <c r="E983" s="38" t="s">
        <v>250</v>
      </c>
      <c r="F983" s="38" t="s">
        <v>957</v>
      </c>
      <c r="G983" s="38">
        <v>4000000</v>
      </c>
      <c r="H983" s="11">
        <v>813130</v>
      </c>
      <c r="I983" s="16" t="s">
        <v>1052</v>
      </c>
      <c r="J983" s="16" t="s">
        <v>1053</v>
      </c>
      <c r="K983" s="60" t="s">
        <v>4724</v>
      </c>
      <c r="L983" s="16" t="s">
        <v>180</v>
      </c>
      <c r="M983" s="134" t="s">
        <v>1175</v>
      </c>
      <c r="N983" s="16" t="s">
        <v>5917</v>
      </c>
      <c r="O983" s="16" t="s">
        <v>960</v>
      </c>
      <c r="P983" s="23">
        <v>1213.42301</v>
      </c>
      <c r="Q983" s="23">
        <v>1431.8391517999999</v>
      </c>
      <c r="R983" s="23">
        <v>1176.3574285594723</v>
      </c>
      <c r="S983" s="29" t="s">
        <v>974</v>
      </c>
      <c r="T983" s="38">
        <v>1.0840000000000001</v>
      </c>
      <c r="U983" s="38">
        <v>1.0509999999999999</v>
      </c>
      <c r="V983" s="38">
        <v>1.0669999999999999</v>
      </c>
      <c r="W983" s="38">
        <v>1.0529999999999999</v>
      </c>
      <c r="X983" s="38">
        <v>0.9</v>
      </c>
      <c r="Y983" s="36">
        <v>1355.21</v>
      </c>
      <c r="Z983" s="34">
        <f t="shared" si="134"/>
        <v>1599.1478</v>
      </c>
      <c r="AA983" s="36" t="s">
        <v>132</v>
      </c>
      <c r="AB983" s="36" t="s">
        <v>132</v>
      </c>
      <c r="AC983" s="34">
        <v>1213.42</v>
      </c>
      <c r="AD983" s="34">
        <f t="shared" si="135"/>
        <v>1431.8356000000001</v>
      </c>
      <c r="AE983" s="38" t="s">
        <v>173</v>
      </c>
      <c r="AF983" s="38" t="s">
        <v>83</v>
      </c>
      <c r="AG983" s="38" t="s">
        <v>83</v>
      </c>
      <c r="AH983" s="38" t="s">
        <v>545</v>
      </c>
      <c r="AI983" s="51">
        <v>41625</v>
      </c>
      <c r="AJ983" s="51">
        <v>41670</v>
      </c>
      <c r="AK983" s="60"/>
      <c r="AL983" s="60"/>
      <c r="AM983" s="60" t="s">
        <v>1052</v>
      </c>
      <c r="AN983" s="60" t="s">
        <v>353</v>
      </c>
      <c r="AO983" s="11">
        <v>796</v>
      </c>
      <c r="AP983" s="38" t="s">
        <v>419</v>
      </c>
      <c r="AQ983" s="38">
        <v>564</v>
      </c>
      <c r="AR983" s="38">
        <v>46434</v>
      </c>
      <c r="AS983" s="16" t="s">
        <v>961</v>
      </c>
      <c r="AT983" s="52">
        <v>41690</v>
      </c>
      <c r="AU983" s="52">
        <v>41690</v>
      </c>
      <c r="AV983" s="52">
        <v>42004</v>
      </c>
      <c r="AW983" s="38">
        <v>2014</v>
      </c>
      <c r="AX983" s="60"/>
      <c r="AY983" s="135"/>
      <c r="AZ983" s="60"/>
      <c r="BA983" s="38"/>
      <c r="BB983" s="38"/>
      <c r="BC983" s="60"/>
      <c r="BD983" s="60"/>
      <c r="BE983" s="304"/>
      <c r="BF983" s="304"/>
      <c r="BG983" s="304"/>
      <c r="BH983" s="304"/>
      <c r="BI983" s="304"/>
      <c r="BJ983" s="304"/>
      <c r="BK983" s="304"/>
    </row>
    <row r="984" spans="1:63" s="287" customFormat="1" ht="75">
      <c r="A984" s="38">
        <v>3</v>
      </c>
      <c r="B984" s="38" t="s">
        <v>1054</v>
      </c>
      <c r="C984" s="38" t="s">
        <v>83</v>
      </c>
      <c r="D984" s="38" t="s">
        <v>956</v>
      </c>
      <c r="E984" s="38" t="s">
        <v>250</v>
      </c>
      <c r="F984" s="38" t="s">
        <v>957</v>
      </c>
      <c r="G984" s="38">
        <v>4000000</v>
      </c>
      <c r="H984" s="11">
        <v>813131</v>
      </c>
      <c r="I984" s="16" t="s">
        <v>1055</v>
      </c>
      <c r="J984" s="376" t="s">
        <v>1056</v>
      </c>
      <c r="K984" s="369" t="s">
        <v>4724</v>
      </c>
      <c r="L984" s="16" t="s">
        <v>180</v>
      </c>
      <c r="M984" s="134" t="s">
        <v>1175</v>
      </c>
      <c r="N984" s="16" t="s">
        <v>825</v>
      </c>
      <c r="O984" s="16" t="s">
        <v>960</v>
      </c>
      <c r="P984" s="23">
        <v>1641.18012</v>
      </c>
      <c r="Q984" s="23">
        <v>1936.5925415999998</v>
      </c>
      <c r="R984" s="23">
        <v>1591.0481391652104</v>
      </c>
      <c r="S984" s="29" t="s">
        <v>974</v>
      </c>
      <c r="T984" s="38">
        <v>1.0840000000000001</v>
      </c>
      <c r="U984" s="38">
        <v>1.0509999999999999</v>
      </c>
      <c r="V984" s="38">
        <v>1.0669999999999999</v>
      </c>
      <c r="W984" s="38">
        <v>1.0529999999999999</v>
      </c>
      <c r="X984" s="38">
        <v>0.9</v>
      </c>
      <c r="Y984" s="23">
        <v>1832.95</v>
      </c>
      <c r="Z984" s="23">
        <v>2162.8809999999999</v>
      </c>
      <c r="AA984" s="36" t="s">
        <v>132</v>
      </c>
      <c r="AB984" s="36" t="s">
        <v>132</v>
      </c>
      <c r="AC984" s="34">
        <v>1641.18012</v>
      </c>
      <c r="AD984" s="34">
        <f t="shared" si="135"/>
        <v>1936.5925415999998</v>
      </c>
      <c r="AE984" s="38" t="s">
        <v>173</v>
      </c>
      <c r="AF984" s="38" t="s">
        <v>83</v>
      </c>
      <c r="AG984" s="38" t="s">
        <v>83</v>
      </c>
      <c r="AH984" s="38" t="s">
        <v>545</v>
      </c>
      <c r="AI984" s="51">
        <v>41625</v>
      </c>
      <c r="AJ984" s="51">
        <v>41670</v>
      </c>
      <c r="AK984" s="60"/>
      <c r="AL984" s="60"/>
      <c r="AM984" s="60" t="s">
        <v>1055</v>
      </c>
      <c r="AN984" s="60" t="s">
        <v>353</v>
      </c>
      <c r="AO984" s="11">
        <v>796</v>
      </c>
      <c r="AP984" s="38" t="s">
        <v>419</v>
      </c>
      <c r="AQ984" s="38">
        <v>800</v>
      </c>
      <c r="AR984" s="38">
        <v>46434</v>
      </c>
      <c r="AS984" s="16" t="s">
        <v>961</v>
      </c>
      <c r="AT984" s="52">
        <v>41690</v>
      </c>
      <c r="AU984" s="52">
        <v>41690</v>
      </c>
      <c r="AV984" s="52">
        <v>42004</v>
      </c>
      <c r="AW984" s="38">
        <v>2014</v>
      </c>
      <c r="AX984" s="60"/>
      <c r="AY984" s="135"/>
      <c r="AZ984" s="60"/>
      <c r="BA984" s="38"/>
      <c r="BB984" s="38"/>
      <c r="BC984" s="60"/>
      <c r="BD984" s="60"/>
      <c r="BE984" s="304"/>
      <c r="BF984" s="304"/>
      <c r="BG984" s="304"/>
      <c r="BH984" s="304"/>
      <c r="BI984" s="304"/>
      <c r="BJ984" s="304"/>
      <c r="BK984" s="304"/>
    </row>
    <row r="985" spans="1:63" s="287" customFormat="1" ht="56.25">
      <c r="A985" s="38">
        <v>3</v>
      </c>
      <c r="B985" s="38" t="s">
        <v>1057</v>
      </c>
      <c r="C985" s="38" t="s">
        <v>83</v>
      </c>
      <c r="D985" s="38" t="s">
        <v>956</v>
      </c>
      <c r="E985" s="38" t="s">
        <v>250</v>
      </c>
      <c r="F985" s="38" t="s">
        <v>957</v>
      </c>
      <c r="G985" s="38">
        <v>4000000</v>
      </c>
      <c r="H985" s="11">
        <v>813132</v>
      </c>
      <c r="I985" s="16" t="s">
        <v>1058</v>
      </c>
      <c r="J985" s="16" t="s">
        <v>1059</v>
      </c>
      <c r="K985" s="60" t="s">
        <v>4724</v>
      </c>
      <c r="L985" s="16" t="s">
        <v>180</v>
      </c>
      <c r="M985" s="134" t="s">
        <v>1175</v>
      </c>
      <c r="N985" s="60" t="s">
        <v>5918</v>
      </c>
      <c r="O985" s="16" t="s">
        <v>960</v>
      </c>
      <c r="P985" s="23">
        <v>6999.99125</v>
      </c>
      <c r="Q985" s="23">
        <v>8259.9896749999989</v>
      </c>
      <c r="R985" s="23">
        <v>6786.1651507234728</v>
      </c>
      <c r="S985" s="29" t="s">
        <v>974</v>
      </c>
      <c r="T985" s="38">
        <v>1.0840000000000001</v>
      </c>
      <c r="U985" s="38">
        <v>1.0509999999999999</v>
      </c>
      <c r="V985" s="38">
        <v>1.0669999999999999</v>
      </c>
      <c r="W985" s="38">
        <v>1.0529999999999999</v>
      </c>
      <c r="X985" s="38">
        <v>0.9</v>
      </c>
      <c r="Y985" s="36">
        <v>7817.9290159912543</v>
      </c>
      <c r="Z985" s="34">
        <v>9225.1562388696802</v>
      </c>
      <c r="AA985" s="36" t="s">
        <v>132</v>
      </c>
      <c r="AB985" s="36" t="s">
        <v>132</v>
      </c>
      <c r="AC985" s="34">
        <v>6999.99125</v>
      </c>
      <c r="AD985" s="34">
        <f t="shared" si="135"/>
        <v>8259.9896749999989</v>
      </c>
      <c r="AE985" s="38" t="s">
        <v>173</v>
      </c>
      <c r="AF985" s="38" t="s">
        <v>83</v>
      </c>
      <c r="AG985" s="38" t="s">
        <v>83</v>
      </c>
      <c r="AH985" s="38" t="s">
        <v>545</v>
      </c>
      <c r="AI985" s="51">
        <v>41680</v>
      </c>
      <c r="AJ985" s="51">
        <v>41740</v>
      </c>
      <c r="AK985" s="60"/>
      <c r="AL985" s="60"/>
      <c r="AM985" s="60" t="s">
        <v>1058</v>
      </c>
      <c r="AN985" s="60" t="s">
        <v>353</v>
      </c>
      <c r="AO985" s="11">
        <v>796</v>
      </c>
      <c r="AP985" s="38" t="s">
        <v>419</v>
      </c>
      <c r="AQ985" s="38">
        <v>37</v>
      </c>
      <c r="AR985" s="38">
        <v>46434</v>
      </c>
      <c r="AS985" s="16" t="s">
        <v>961</v>
      </c>
      <c r="AT985" s="51">
        <v>41760</v>
      </c>
      <c r="AU985" s="51">
        <v>41760</v>
      </c>
      <c r="AV985" s="224">
        <v>41912</v>
      </c>
      <c r="AW985" s="38">
        <v>2014</v>
      </c>
      <c r="AX985" s="60"/>
      <c r="AY985" s="135"/>
      <c r="AZ985" s="60"/>
      <c r="BA985" s="38"/>
      <c r="BB985" s="38"/>
      <c r="BC985" s="60"/>
      <c r="BD985" s="60"/>
      <c r="BE985" s="304"/>
      <c r="BF985" s="304"/>
      <c r="BG985" s="304"/>
      <c r="BH985" s="304"/>
      <c r="BI985" s="304"/>
      <c r="BJ985" s="304"/>
      <c r="BK985" s="304"/>
    </row>
    <row r="986" spans="1:63" s="287" customFormat="1" ht="56.25">
      <c r="A986" s="38">
        <v>3</v>
      </c>
      <c r="B986" s="38" t="s">
        <v>1060</v>
      </c>
      <c r="C986" s="38" t="s">
        <v>83</v>
      </c>
      <c r="D986" s="38" t="s">
        <v>956</v>
      </c>
      <c r="E986" s="38" t="s">
        <v>250</v>
      </c>
      <c r="F986" s="38" t="s">
        <v>957</v>
      </c>
      <c r="G986" s="38">
        <v>4000000</v>
      </c>
      <c r="H986" s="11">
        <v>813135</v>
      </c>
      <c r="I986" s="16" t="s">
        <v>1061</v>
      </c>
      <c r="J986" s="16" t="s">
        <v>1062</v>
      </c>
      <c r="K986" s="60" t="s">
        <v>4724</v>
      </c>
      <c r="L986" s="16" t="s">
        <v>180</v>
      </c>
      <c r="M986" s="95" t="s">
        <v>1346</v>
      </c>
      <c r="N986" s="15" t="s">
        <v>849</v>
      </c>
      <c r="O986" s="16" t="s">
        <v>960</v>
      </c>
      <c r="P986" s="23">
        <v>1998</v>
      </c>
      <c r="Q986" s="23">
        <v>1788.5024000000001</v>
      </c>
      <c r="R986" s="23"/>
      <c r="S986" s="29"/>
      <c r="T986" s="38"/>
      <c r="U986" s="38"/>
      <c r="V986" s="38"/>
      <c r="W986" s="38"/>
      <c r="X986" s="38"/>
      <c r="Y986" s="23">
        <v>1998</v>
      </c>
      <c r="Z986" s="23">
        <v>1788.5024000000001</v>
      </c>
      <c r="AA986" s="36" t="s">
        <v>132</v>
      </c>
      <c r="AB986" s="36" t="s">
        <v>132</v>
      </c>
      <c r="AC986" s="23">
        <v>1998</v>
      </c>
      <c r="AD986" s="23">
        <v>1788.5024000000001</v>
      </c>
      <c r="AE986" s="38" t="s">
        <v>173</v>
      </c>
      <c r="AF986" s="38" t="s">
        <v>83</v>
      </c>
      <c r="AG986" s="38" t="s">
        <v>83</v>
      </c>
      <c r="AH986" s="38" t="s">
        <v>545</v>
      </c>
      <c r="AI986" s="51">
        <v>41625</v>
      </c>
      <c r="AJ986" s="51">
        <v>41670</v>
      </c>
      <c r="AK986" s="369"/>
      <c r="AL986" s="60"/>
      <c r="AM986" s="60" t="s">
        <v>1061</v>
      </c>
      <c r="AN986" s="60" t="s">
        <v>353</v>
      </c>
      <c r="AO986" s="11">
        <v>796</v>
      </c>
      <c r="AP986" s="38" t="s">
        <v>419</v>
      </c>
      <c r="AQ986" s="38">
        <v>1</v>
      </c>
      <c r="AR986" s="38">
        <v>46434</v>
      </c>
      <c r="AS986" s="16" t="s">
        <v>961</v>
      </c>
      <c r="AT986" s="52">
        <v>41690</v>
      </c>
      <c r="AU986" s="52">
        <v>41690</v>
      </c>
      <c r="AV986" s="52">
        <v>42004</v>
      </c>
      <c r="AW986" s="38">
        <v>2014</v>
      </c>
      <c r="AX986" s="60"/>
      <c r="AY986" s="135"/>
      <c r="AZ986" s="60"/>
      <c r="BA986" s="38"/>
      <c r="BB986" s="38"/>
      <c r="BC986" s="60"/>
      <c r="BD986" s="60"/>
      <c r="BE986" s="304"/>
      <c r="BF986" s="304"/>
      <c r="BG986" s="304"/>
      <c r="BH986" s="304"/>
      <c r="BI986" s="304"/>
      <c r="BJ986" s="304"/>
      <c r="BK986" s="304"/>
    </row>
    <row r="987" spans="1:63" s="287" customFormat="1" ht="56.25">
      <c r="A987" s="38">
        <v>3</v>
      </c>
      <c r="B987" s="38" t="s">
        <v>1064</v>
      </c>
      <c r="C987" s="38" t="s">
        <v>83</v>
      </c>
      <c r="D987" s="38" t="s">
        <v>956</v>
      </c>
      <c r="E987" s="38" t="s">
        <v>250</v>
      </c>
      <c r="F987" s="38" t="s">
        <v>957</v>
      </c>
      <c r="G987" s="38">
        <v>4000000</v>
      </c>
      <c r="H987" s="11">
        <v>813139</v>
      </c>
      <c r="I987" s="16" t="s">
        <v>1065</v>
      </c>
      <c r="J987" s="16" t="s">
        <v>1062</v>
      </c>
      <c r="K987" s="60" t="s">
        <v>4724</v>
      </c>
      <c r="L987" s="16" t="s">
        <v>180</v>
      </c>
      <c r="M987" s="95" t="s">
        <v>1346</v>
      </c>
      <c r="N987" s="15" t="s">
        <v>849</v>
      </c>
      <c r="O987" s="16" t="s">
        <v>960</v>
      </c>
      <c r="P987" s="23">
        <v>599.94479999999999</v>
      </c>
      <c r="Q987" s="23">
        <v>707.93486399999995</v>
      </c>
      <c r="R987" s="23">
        <v>581.61851189710603</v>
      </c>
      <c r="S987" s="29" t="s">
        <v>974</v>
      </c>
      <c r="T987" s="38">
        <v>1.0840000000000001</v>
      </c>
      <c r="U987" s="38">
        <v>1.0509999999999999</v>
      </c>
      <c r="V987" s="38">
        <v>1.0669999999999999</v>
      </c>
      <c r="W987" s="38">
        <v>1.0529999999999999</v>
      </c>
      <c r="X987" s="38">
        <v>0.9</v>
      </c>
      <c r="Y987" s="36">
        <v>670.04738897538903</v>
      </c>
      <c r="Z987" s="34">
        <v>790.65591899095898</v>
      </c>
      <c r="AA987" s="36" t="s">
        <v>132</v>
      </c>
      <c r="AB987" s="36" t="s">
        <v>132</v>
      </c>
      <c r="AC987" s="34">
        <v>599.94479999999999</v>
      </c>
      <c r="AD987" s="34">
        <f t="shared" si="135"/>
        <v>707.93486399999995</v>
      </c>
      <c r="AE987" s="38" t="s">
        <v>173</v>
      </c>
      <c r="AF987" s="38" t="s">
        <v>83</v>
      </c>
      <c r="AG987" s="38" t="s">
        <v>83</v>
      </c>
      <c r="AH987" s="38" t="s">
        <v>545</v>
      </c>
      <c r="AI987" s="51">
        <v>41625</v>
      </c>
      <c r="AJ987" s="51">
        <v>41670</v>
      </c>
      <c r="AK987" s="369"/>
      <c r="AL987" s="60"/>
      <c r="AM987" s="60" t="s">
        <v>1065</v>
      </c>
      <c r="AN987" s="60" t="s">
        <v>353</v>
      </c>
      <c r="AO987" s="11">
        <v>796</v>
      </c>
      <c r="AP987" s="38" t="s">
        <v>419</v>
      </c>
      <c r="AQ987" s="38">
        <v>2</v>
      </c>
      <c r="AR987" s="38">
        <v>46434</v>
      </c>
      <c r="AS987" s="16" t="s">
        <v>961</v>
      </c>
      <c r="AT987" s="52">
        <v>41690</v>
      </c>
      <c r="AU987" s="52">
        <v>41690</v>
      </c>
      <c r="AV987" s="52">
        <v>42004</v>
      </c>
      <c r="AW987" s="38">
        <v>2014</v>
      </c>
      <c r="AX987" s="60"/>
      <c r="AY987" s="135"/>
      <c r="AZ987" s="60"/>
      <c r="BA987" s="38"/>
      <c r="BB987" s="38"/>
      <c r="BC987" s="60"/>
      <c r="BD987" s="60"/>
      <c r="BE987" s="304"/>
      <c r="BF987" s="304"/>
      <c r="BG987" s="304"/>
      <c r="BH987" s="304"/>
      <c r="BI987" s="304"/>
      <c r="BJ987" s="304"/>
      <c r="BK987" s="304"/>
    </row>
    <row r="988" spans="1:63" s="287" customFormat="1" ht="112.5">
      <c r="A988" s="38">
        <v>3</v>
      </c>
      <c r="B988" s="38" t="s">
        <v>1066</v>
      </c>
      <c r="C988" s="38" t="s">
        <v>83</v>
      </c>
      <c r="D988" s="38" t="s">
        <v>956</v>
      </c>
      <c r="E988" s="38" t="s">
        <v>250</v>
      </c>
      <c r="F988" s="38" t="s">
        <v>957</v>
      </c>
      <c r="G988" s="38">
        <v>4000000</v>
      </c>
      <c r="H988" s="11">
        <v>813140</v>
      </c>
      <c r="I988" s="16" t="s">
        <v>1067</v>
      </c>
      <c r="J988" s="16" t="s">
        <v>1062</v>
      </c>
      <c r="K988" s="60" t="s">
        <v>4724</v>
      </c>
      <c r="L988" s="16" t="s">
        <v>180</v>
      </c>
      <c r="M988" s="95" t="s">
        <v>1329</v>
      </c>
      <c r="N988" s="15" t="s">
        <v>1330</v>
      </c>
      <c r="O988" s="16" t="s">
        <v>960</v>
      </c>
      <c r="P988" s="23">
        <v>1470.0582099999999</v>
      </c>
      <c r="Q988" s="23">
        <v>1734.6686877999998</v>
      </c>
      <c r="R988" s="23">
        <v>1425.1528949035367</v>
      </c>
      <c r="S988" s="29" t="s">
        <v>974</v>
      </c>
      <c r="T988" s="38">
        <v>1.0840000000000001</v>
      </c>
      <c r="U988" s="38">
        <v>1.0509999999999999</v>
      </c>
      <c r="V988" s="38">
        <v>1.0669999999999999</v>
      </c>
      <c r="W988" s="38">
        <v>1.0529999999999999</v>
      </c>
      <c r="X988" s="38">
        <v>0.9</v>
      </c>
      <c r="Y988" s="36">
        <v>1641.8321573123628</v>
      </c>
      <c r="Z988" s="34">
        <v>1937.361945628588</v>
      </c>
      <c r="AA988" s="36" t="s">
        <v>132</v>
      </c>
      <c r="AB988" s="36" t="s">
        <v>132</v>
      </c>
      <c r="AC988" s="34">
        <v>1470.0582099999999</v>
      </c>
      <c r="AD988" s="34">
        <f t="shared" si="135"/>
        <v>1734.6686877999998</v>
      </c>
      <c r="AE988" s="38" t="s">
        <v>173</v>
      </c>
      <c r="AF988" s="38" t="s">
        <v>83</v>
      </c>
      <c r="AG988" s="38" t="s">
        <v>83</v>
      </c>
      <c r="AH988" s="38" t="s">
        <v>545</v>
      </c>
      <c r="AI988" s="51">
        <v>41625</v>
      </c>
      <c r="AJ988" s="51">
        <v>41670</v>
      </c>
      <c r="AK988" s="369"/>
      <c r="AL988" s="60"/>
      <c r="AM988" s="60" t="s">
        <v>1067</v>
      </c>
      <c r="AN988" s="60" t="s">
        <v>353</v>
      </c>
      <c r="AO988" s="11">
        <v>796</v>
      </c>
      <c r="AP988" s="38" t="s">
        <v>419</v>
      </c>
      <c r="AQ988" s="38">
        <v>11</v>
      </c>
      <c r="AR988" s="38">
        <v>46434</v>
      </c>
      <c r="AS988" s="16" t="s">
        <v>961</v>
      </c>
      <c r="AT988" s="52">
        <v>41690</v>
      </c>
      <c r="AU988" s="52">
        <v>41690</v>
      </c>
      <c r="AV988" s="52">
        <v>42004</v>
      </c>
      <c r="AW988" s="38">
        <v>2014</v>
      </c>
      <c r="AX988" s="60"/>
      <c r="AY988" s="135"/>
      <c r="AZ988" s="60"/>
      <c r="BA988" s="38"/>
      <c r="BB988" s="38"/>
      <c r="BC988" s="60"/>
      <c r="BD988" s="60"/>
      <c r="BE988" s="304"/>
      <c r="BF988" s="304"/>
      <c r="BG988" s="304"/>
      <c r="BH988" s="304"/>
      <c r="BI988" s="304"/>
      <c r="BJ988" s="304"/>
      <c r="BK988" s="304"/>
    </row>
    <row r="989" spans="1:63" s="287" customFormat="1" ht="75">
      <c r="A989" s="38">
        <v>3</v>
      </c>
      <c r="B989" s="38" t="s">
        <v>1068</v>
      </c>
      <c r="C989" s="38" t="s">
        <v>83</v>
      </c>
      <c r="D989" s="38" t="s">
        <v>956</v>
      </c>
      <c r="E989" s="38" t="s">
        <v>250</v>
      </c>
      <c r="F989" s="38" t="s">
        <v>957</v>
      </c>
      <c r="G989" s="38">
        <v>4000000</v>
      </c>
      <c r="H989" s="11">
        <v>813141</v>
      </c>
      <c r="I989" s="16" t="s">
        <v>1069</v>
      </c>
      <c r="J989" s="16" t="s">
        <v>1070</v>
      </c>
      <c r="K989" s="60" t="s">
        <v>4724</v>
      </c>
      <c r="L989" s="16" t="s">
        <v>180</v>
      </c>
      <c r="M989" s="134" t="s">
        <v>1175</v>
      </c>
      <c r="N989" s="60" t="s">
        <v>5918</v>
      </c>
      <c r="O989" s="16" t="s">
        <v>960</v>
      </c>
      <c r="P989" s="23">
        <v>15306.81</v>
      </c>
      <c r="Q989" s="23">
        <v>18062.035799999998</v>
      </c>
      <c r="R989" s="23">
        <v>14839.241903927301</v>
      </c>
      <c r="S989" s="29" t="s">
        <v>974</v>
      </c>
      <c r="T989" s="38">
        <v>1.0840000000000001</v>
      </c>
      <c r="U989" s="38">
        <v>1.0509999999999999</v>
      </c>
      <c r="V989" s="38">
        <v>1.0669999999999999</v>
      </c>
      <c r="W989" s="38">
        <v>1.0529999999999999</v>
      </c>
      <c r="X989" s="38">
        <v>0.9</v>
      </c>
      <c r="Y989" s="36">
        <v>17095.39</v>
      </c>
      <c r="Z989" s="34">
        <v>20172.5602</v>
      </c>
      <c r="AA989" s="36" t="s">
        <v>132</v>
      </c>
      <c r="AB989" s="36" t="s">
        <v>132</v>
      </c>
      <c r="AC989" s="34">
        <v>15306.81</v>
      </c>
      <c r="AD989" s="34">
        <f t="shared" si="135"/>
        <v>18062.035799999998</v>
      </c>
      <c r="AE989" s="38" t="s">
        <v>169</v>
      </c>
      <c r="AF989" s="38" t="s">
        <v>83</v>
      </c>
      <c r="AG989" s="38" t="s">
        <v>83</v>
      </c>
      <c r="AH989" s="38" t="s">
        <v>545</v>
      </c>
      <c r="AI989" s="51">
        <v>41680</v>
      </c>
      <c r="AJ989" s="51">
        <v>41740</v>
      </c>
      <c r="AK989" s="60"/>
      <c r="AL989" s="60"/>
      <c r="AM989" s="60" t="s">
        <v>1069</v>
      </c>
      <c r="AN989" s="60" t="s">
        <v>353</v>
      </c>
      <c r="AO989" s="11">
        <v>796</v>
      </c>
      <c r="AP989" s="38" t="s">
        <v>419</v>
      </c>
      <c r="AQ989" s="38">
        <v>289</v>
      </c>
      <c r="AR989" s="38">
        <v>46434</v>
      </c>
      <c r="AS989" s="16" t="s">
        <v>961</v>
      </c>
      <c r="AT989" s="52">
        <v>41760</v>
      </c>
      <c r="AU989" s="52">
        <v>41760</v>
      </c>
      <c r="AV989" s="52">
        <v>41973</v>
      </c>
      <c r="AW989" s="38">
        <v>2014</v>
      </c>
      <c r="AX989" s="60"/>
      <c r="AY989" s="135"/>
      <c r="AZ989" s="60"/>
      <c r="BA989" s="38"/>
      <c r="BB989" s="38"/>
      <c r="BC989" s="60"/>
      <c r="BD989" s="60"/>
      <c r="BE989" s="304"/>
      <c r="BF989" s="304"/>
      <c r="BG989" s="304"/>
      <c r="BH989" s="304"/>
      <c r="BI989" s="304"/>
      <c r="BJ989" s="304"/>
      <c r="BK989" s="304"/>
    </row>
    <row r="990" spans="1:63" s="287" customFormat="1" ht="131.25">
      <c r="A990" s="38">
        <v>3</v>
      </c>
      <c r="B990" s="38" t="s">
        <v>1071</v>
      </c>
      <c r="C990" s="38" t="s">
        <v>83</v>
      </c>
      <c r="D990" s="38" t="s">
        <v>956</v>
      </c>
      <c r="E990" s="38" t="s">
        <v>250</v>
      </c>
      <c r="F990" s="38" t="s">
        <v>957</v>
      </c>
      <c r="G990" s="38">
        <v>4000000</v>
      </c>
      <c r="H990" s="11">
        <v>813142</v>
      </c>
      <c r="I990" s="16" t="s">
        <v>1072</v>
      </c>
      <c r="J990" s="16" t="s">
        <v>1073</v>
      </c>
      <c r="K990" s="60" t="s">
        <v>4724</v>
      </c>
      <c r="L990" s="16" t="s">
        <v>180</v>
      </c>
      <c r="M990" s="134" t="s">
        <v>1175</v>
      </c>
      <c r="N990" s="16" t="s">
        <v>5881</v>
      </c>
      <c r="O990" s="16" t="s">
        <v>960</v>
      </c>
      <c r="P990" s="23">
        <v>7989.47</v>
      </c>
      <c r="Q990" s="23">
        <f>P990*1.18</f>
        <v>9427.5745999999999</v>
      </c>
      <c r="R990" s="23"/>
      <c r="S990" s="29"/>
      <c r="T990" s="38"/>
      <c r="U990" s="38"/>
      <c r="V990" s="38"/>
      <c r="W990" s="38"/>
      <c r="X990" s="38"/>
      <c r="Y990" s="23">
        <v>7989.47</v>
      </c>
      <c r="Z990" s="23">
        <f>Y990*1.18</f>
        <v>9427.5745999999999</v>
      </c>
      <c r="AA990" s="36" t="s">
        <v>132</v>
      </c>
      <c r="AB990" s="36" t="s">
        <v>132</v>
      </c>
      <c r="AC990" s="34">
        <v>7989.47</v>
      </c>
      <c r="AD990" s="34">
        <f t="shared" si="135"/>
        <v>9427.5745999999999</v>
      </c>
      <c r="AE990" s="38" t="s">
        <v>169</v>
      </c>
      <c r="AF990" s="38" t="s">
        <v>83</v>
      </c>
      <c r="AG990" s="38" t="s">
        <v>83</v>
      </c>
      <c r="AH990" s="38" t="s">
        <v>545</v>
      </c>
      <c r="AI990" s="51">
        <v>41625</v>
      </c>
      <c r="AJ990" s="51">
        <v>41685</v>
      </c>
      <c r="AK990" s="60"/>
      <c r="AL990" s="60"/>
      <c r="AM990" s="60" t="s">
        <v>1072</v>
      </c>
      <c r="AN990" s="60" t="s">
        <v>353</v>
      </c>
      <c r="AO990" s="11">
        <v>796</v>
      </c>
      <c r="AP990" s="38" t="s">
        <v>419</v>
      </c>
      <c r="AQ990" s="38">
        <v>35</v>
      </c>
      <c r="AR990" s="38">
        <v>46434</v>
      </c>
      <c r="AS990" s="16" t="s">
        <v>961</v>
      </c>
      <c r="AT990" s="52">
        <v>41705</v>
      </c>
      <c r="AU990" s="52">
        <v>41705</v>
      </c>
      <c r="AV990" s="52">
        <v>42004</v>
      </c>
      <c r="AW990" s="38">
        <v>2014</v>
      </c>
      <c r="AX990" s="60"/>
      <c r="AY990" s="135"/>
      <c r="AZ990" s="60"/>
      <c r="BA990" s="38"/>
      <c r="BB990" s="38"/>
      <c r="BC990" s="60"/>
      <c r="BD990" s="60"/>
      <c r="BE990" s="304"/>
      <c r="BF990" s="304"/>
      <c r="BG990" s="304"/>
      <c r="BH990" s="304"/>
      <c r="BI990" s="304"/>
      <c r="BJ990" s="304"/>
      <c r="BK990" s="304"/>
    </row>
    <row r="991" spans="1:63" s="287" customFormat="1" ht="112.5">
      <c r="A991" s="38">
        <v>3</v>
      </c>
      <c r="B991" s="38" t="s">
        <v>1074</v>
      </c>
      <c r="C991" s="38" t="s">
        <v>83</v>
      </c>
      <c r="D991" s="38" t="s">
        <v>956</v>
      </c>
      <c r="E991" s="38" t="s">
        <v>250</v>
      </c>
      <c r="F991" s="38" t="s">
        <v>957</v>
      </c>
      <c r="G991" s="38">
        <v>4000000</v>
      </c>
      <c r="H991" s="11">
        <v>813143</v>
      </c>
      <c r="I991" s="16" t="s">
        <v>1075</v>
      </c>
      <c r="J991" s="16" t="s">
        <v>1073</v>
      </c>
      <c r="K991" s="60" t="s">
        <v>4724</v>
      </c>
      <c r="L991" s="16" t="s">
        <v>180</v>
      </c>
      <c r="M991" s="134" t="s">
        <v>1175</v>
      </c>
      <c r="N991" s="16" t="s">
        <v>825</v>
      </c>
      <c r="O991" s="16" t="s">
        <v>960</v>
      </c>
      <c r="P991" s="23">
        <v>901.06249000000003</v>
      </c>
      <c r="Q991" s="23">
        <v>1063.2537382</v>
      </c>
      <c r="R991" s="23">
        <v>873.53807310289369</v>
      </c>
      <c r="S991" s="29" t="s">
        <v>974</v>
      </c>
      <c r="T991" s="38">
        <v>1.0840000000000001</v>
      </c>
      <c r="U991" s="38">
        <v>1.0509999999999999</v>
      </c>
      <c r="V991" s="38">
        <v>1.0669999999999999</v>
      </c>
      <c r="W991" s="38">
        <v>1.0529999999999999</v>
      </c>
      <c r="X991" s="38">
        <v>0.9</v>
      </c>
      <c r="Y991" s="36">
        <v>1006.3501987652238</v>
      </c>
      <c r="Z991" s="34">
        <v>1187.493234542964</v>
      </c>
      <c r="AA991" s="36" t="s">
        <v>132</v>
      </c>
      <c r="AB991" s="36" t="s">
        <v>132</v>
      </c>
      <c r="AC991" s="34">
        <v>901.06249000000003</v>
      </c>
      <c r="AD991" s="34">
        <f t="shared" si="135"/>
        <v>1063.2537382</v>
      </c>
      <c r="AE991" s="38" t="s">
        <v>173</v>
      </c>
      <c r="AF991" s="38" t="s">
        <v>83</v>
      </c>
      <c r="AG991" s="38" t="s">
        <v>83</v>
      </c>
      <c r="AH991" s="38" t="s">
        <v>545</v>
      </c>
      <c r="AI991" s="51">
        <v>41608</v>
      </c>
      <c r="AJ991" s="51">
        <v>41653</v>
      </c>
      <c r="AK991" s="60"/>
      <c r="AL991" s="60"/>
      <c r="AM991" s="60" t="s">
        <v>1075</v>
      </c>
      <c r="AN991" s="60" t="s">
        <v>353</v>
      </c>
      <c r="AO991" s="11">
        <v>796</v>
      </c>
      <c r="AP991" s="38" t="s">
        <v>419</v>
      </c>
      <c r="AQ991" s="38">
        <v>54</v>
      </c>
      <c r="AR991" s="38">
        <v>46434</v>
      </c>
      <c r="AS991" s="16" t="s">
        <v>961</v>
      </c>
      <c r="AT991" s="51">
        <v>41671</v>
      </c>
      <c r="AU991" s="51">
        <v>41671</v>
      </c>
      <c r="AV991" s="52">
        <v>42004</v>
      </c>
      <c r="AW991" s="38">
        <v>2014</v>
      </c>
      <c r="AX991" s="60"/>
      <c r="AY991" s="135"/>
      <c r="AZ991" s="60"/>
      <c r="BA991" s="38"/>
      <c r="BB991" s="38"/>
      <c r="BC991" s="60"/>
      <c r="BD991" s="60"/>
      <c r="BE991" s="304"/>
      <c r="BF991" s="304"/>
      <c r="BG991" s="304"/>
      <c r="BH991" s="304"/>
      <c r="BI991" s="304"/>
      <c r="BJ991" s="304"/>
      <c r="BK991" s="304"/>
    </row>
    <row r="992" spans="1:63" s="287" customFormat="1" ht="51" customHeight="1">
      <c r="A992" s="38">
        <v>3</v>
      </c>
      <c r="B992" s="38" t="s">
        <v>1076</v>
      </c>
      <c r="C992" s="38" t="s">
        <v>83</v>
      </c>
      <c r="D992" s="38" t="s">
        <v>956</v>
      </c>
      <c r="E992" s="38" t="s">
        <v>250</v>
      </c>
      <c r="F992" s="38" t="s">
        <v>957</v>
      </c>
      <c r="G992" s="38">
        <v>4000000</v>
      </c>
      <c r="H992" s="11">
        <v>813144</v>
      </c>
      <c r="I992" s="16" t="s">
        <v>1077</v>
      </c>
      <c r="J992" s="16" t="s">
        <v>1078</v>
      </c>
      <c r="K992" s="60" t="s">
        <v>4724</v>
      </c>
      <c r="L992" s="16" t="s">
        <v>180</v>
      </c>
      <c r="M992" s="134" t="s">
        <v>1175</v>
      </c>
      <c r="N992" s="16" t="s">
        <v>5881</v>
      </c>
      <c r="O992" s="16" t="s">
        <v>960</v>
      </c>
      <c r="P992" s="23">
        <v>1080.5073299999999</v>
      </c>
      <c r="Q992" s="23">
        <v>1274.9986493999997</v>
      </c>
      <c r="R992" s="23">
        <v>1047.4989783785752</v>
      </c>
      <c r="S992" s="29" t="s">
        <v>974</v>
      </c>
      <c r="T992" s="38">
        <v>1.0840000000000001</v>
      </c>
      <c r="U992" s="38">
        <v>1.0509999999999999</v>
      </c>
      <c r="V992" s="38">
        <v>1.0669999999999999</v>
      </c>
      <c r="W992" s="38">
        <v>1.0529999999999999</v>
      </c>
      <c r="X992" s="38">
        <v>0.9</v>
      </c>
      <c r="Y992" s="34">
        <v>1206.76</v>
      </c>
      <c r="Z992" s="34">
        <v>1423.9767999999999</v>
      </c>
      <c r="AA992" s="36" t="s">
        <v>132</v>
      </c>
      <c r="AB992" s="36" t="s">
        <v>132</v>
      </c>
      <c r="AC992" s="34">
        <v>1080.5073299999999</v>
      </c>
      <c r="AD992" s="34">
        <f t="shared" si="135"/>
        <v>1274.9986493999997</v>
      </c>
      <c r="AE992" s="38" t="s">
        <v>173</v>
      </c>
      <c r="AF992" s="38" t="s">
        <v>83</v>
      </c>
      <c r="AG992" s="38" t="s">
        <v>83</v>
      </c>
      <c r="AH992" s="38" t="s">
        <v>545</v>
      </c>
      <c r="AI992" s="51">
        <v>41608</v>
      </c>
      <c r="AJ992" s="51">
        <v>41653</v>
      </c>
      <c r="AK992" s="60"/>
      <c r="AL992" s="60"/>
      <c r="AM992" s="60" t="s">
        <v>1077</v>
      </c>
      <c r="AN992" s="60" t="s">
        <v>353</v>
      </c>
      <c r="AO992" s="11">
        <v>796</v>
      </c>
      <c r="AP992" s="38" t="s">
        <v>419</v>
      </c>
      <c r="AQ992" s="38">
        <v>198</v>
      </c>
      <c r="AR992" s="38">
        <v>46434</v>
      </c>
      <c r="AS992" s="16" t="s">
        <v>961</v>
      </c>
      <c r="AT992" s="51">
        <v>41671</v>
      </c>
      <c r="AU992" s="51">
        <v>41671</v>
      </c>
      <c r="AV992" s="52">
        <v>42004</v>
      </c>
      <c r="AW992" s="38">
        <v>2014</v>
      </c>
      <c r="AX992" s="60"/>
      <c r="AY992" s="135"/>
      <c r="AZ992" s="60"/>
      <c r="BA992" s="38"/>
      <c r="BB992" s="38"/>
      <c r="BC992" s="60"/>
      <c r="BD992" s="60"/>
      <c r="BE992" s="304"/>
      <c r="BF992" s="304"/>
      <c r="BG992" s="304"/>
      <c r="BH992" s="304"/>
      <c r="BI992" s="304"/>
      <c r="BJ992" s="304"/>
      <c r="BK992" s="304"/>
    </row>
    <row r="993" spans="1:63" s="287" customFormat="1" ht="93.75">
      <c r="A993" s="38">
        <v>3</v>
      </c>
      <c r="B993" s="38" t="s">
        <v>1079</v>
      </c>
      <c r="C993" s="38" t="s">
        <v>83</v>
      </c>
      <c r="D993" s="38" t="s">
        <v>956</v>
      </c>
      <c r="E993" s="38" t="s">
        <v>250</v>
      </c>
      <c r="F993" s="38" t="s">
        <v>957</v>
      </c>
      <c r="G993" s="38">
        <v>4000000</v>
      </c>
      <c r="H993" s="11">
        <v>813145</v>
      </c>
      <c r="I993" s="16" t="s">
        <v>1080</v>
      </c>
      <c r="J993" s="16" t="s">
        <v>1078</v>
      </c>
      <c r="K993" s="60" t="s">
        <v>4724</v>
      </c>
      <c r="L993" s="16" t="s">
        <v>180</v>
      </c>
      <c r="M993" s="134" t="s">
        <v>1175</v>
      </c>
      <c r="N993" s="16" t="s">
        <v>5881</v>
      </c>
      <c r="O993" s="16" t="s">
        <v>960</v>
      </c>
      <c r="P993" s="23">
        <v>2064.21245</v>
      </c>
      <c r="Q993" s="23">
        <v>2435.7706909999997</v>
      </c>
      <c r="R993" s="23">
        <v>2001.1556728295193</v>
      </c>
      <c r="S993" s="29" t="s">
        <v>974</v>
      </c>
      <c r="T993" s="38">
        <v>1.0840000000000001</v>
      </c>
      <c r="U993" s="38">
        <v>1.0509999999999999</v>
      </c>
      <c r="V993" s="38">
        <v>1.0669999999999999</v>
      </c>
      <c r="W993" s="38">
        <v>1.0529999999999999</v>
      </c>
      <c r="X993" s="38">
        <v>0.9</v>
      </c>
      <c r="Y993" s="36">
        <v>2305.41</v>
      </c>
      <c r="Z993" s="34">
        <v>2720.3837999999996</v>
      </c>
      <c r="AA993" s="36" t="s">
        <v>132</v>
      </c>
      <c r="AB993" s="36" t="s">
        <v>132</v>
      </c>
      <c r="AC993" s="34">
        <v>2064.212</v>
      </c>
      <c r="AD993" s="34">
        <f t="shared" si="135"/>
        <v>2435.77016</v>
      </c>
      <c r="AE993" s="38" t="s">
        <v>173</v>
      </c>
      <c r="AF993" s="38" t="s">
        <v>83</v>
      </c>
      <c r="AG993" s="38" t="s">
        <v>83</v>
      </c>
      <c r="AH993" s="38" t="s">
        <v>545</v>
      </c>
      <c r="AI993" s="51">
        <v>41608</v>
      </c>
      <c r="AJ993" s="51">
        <v>41653</v>
      </c>
      <c r="AK993" s="60"/>
      <c r="AL993" s="60"/>
      <c r="AM993" s="60" t="s">
        <v>1080</v>
      </c>
      <c r="AN993" s="60" t="s">
        <v>353</v>
      </c>
      <c r="AO993" s="11">
        <v>796</v>
      </c>
      <c r="AP993" s="38" t="s">
        <v>419</v>
      </c>
      <c r="AQ993" s="38">
        <v>198</v>
      </c>
      <c r="AR993" s="38">
        <v>46434</v>
      </c>
      <c r="AS993" s="16" t="s">
        <v>961</v>
      </c>
      <c r="AT993" s="51">
        <v>41671</v>
      </c>
      <c r="AU993" s="51">
        <v>41671</v>
      </c>
      <c r="AV993" s="52">
        <v>42004</v>
      </c>
      <c r="AW993" s="38">
        <v>2014</v>
      </c>
      <c r="AX993" s="60"/>
      <c r="AY993" s="135"/>
      <c r="AZ993" s="60"/>
      <c r="BA993" s="38"/>
      <c r="BB993" s="38"/>
      <c r="BC993" s="60"/>
      <c r="BD993" s="60"/>
      <c r="BE993" s="304"/>
      <c r="BF993" s="304"/>
      <c r="BG993" s="304"/>
      <c r="BH993" s="304"/>
      <c r="BI993" s="304"/>
      <c r="BJ993" s="304"/>
      <c r="BK993" s="304"/>
    </row>
    <row r="994" spans="1:63" s="287" customFormat="1" ht="75">
      <c r="A994" s="38">
        <v>3</v>
      </c>
      <c r="B994" s="38" t="s">
        <v>1081</v>
      </c>
      <c r="C994" s="38" t="s">
        <v>83</v>
      </c>
      <c r="D994" s="38" t="s">
        <v>956</v>
      </c>
      <c r="E994" s="38" t="s">
        <v>250</v>
      </c>
      <c r="F994" s="38" t="s">
        <v>957</v>
      </c>
      <c r="G994" s="38">
        <v>4000000</v>
      </c>
      <c r="H994" s="11">
        <v>813147</v>
      </c>
      <c r="I994" s="16" t="s">
        <v>1082</v>
      </c>
      <c r="J994" s="16" t="s">
        <v>1083</v>
      </c>
      <c r="K994" s="60" t="s">
        <v>4724</v>
      </c>
      <c r="L994" s="16" t="s">
        <v>180</v>
      </c>
      <c r="M994" s="134" t="s">
        <v>1175</v>
      </c>
      <c r="N994" s="16" t="s">
        <v>825</v>
      </c>
      <c r="O994" s="16" t="s">
        <v>960</v>
      </c>
      <c r="P994" s="23">
        <v>1602.1109899999999</v>
      </c>
      <c r="Q994" s="23">
        <v>1890.4909681999998</v>
      </c>
      <c r="R994" s="23">
        <v>1553.1761675829098</v>
      </c>
      <c r="S994" s="29" t="s">
        <v>974</v>
      </c>
      <c r="T994" s="38">
        <v>1.0840000000000001</v>
      </c>
      <c r="U994" s="38">
        <v>1.0509999999999999</v>
      </c>
      <c r="V994" s="38">
        <v>1.0669999999999999</v>
      </c>
      <c r="W994" s="38">
        <v>1.0529999999999999</v>
      </c>
      <c r="X994" s="38">
        <v>0.9</v>
      </c>
      <c r="Y994" s="36">
        <v>1789.32</v>
      </c>
      <c r="Z994" s="34">
        <v>2111.3975999999998</v>
      </c>
      <c r="AA994" s="36" t="s">
        <v>132</v>
      </c>
      <c r="AB994" s="36" t="s">
        <v>132</v>
      </c>
      <c r="AC994" s="34">
        <v>1602.1109899999999</v>
      </c>
      <c r="AD994" s="34">
        <f t="shared" si="135"/>
        <v>1890.4909681999998</v>
      </c>
      <c r="AE994" s="38" t="s">
        <v>173</v>
      </c>
      <c r="AF994" s="38" t="s">
        <v>83</v>
      </c>
      <c r="AG994" s="38" t="s">
        <v>83</v>
      </c>
      <c r="AH994" s="38" t="s">
        <v>545</v>
      </c>
      <c r="AI994" s="51">
        <v>41665</v>
      </c>
      <c r="AJ994" s="51">
        <v>41710</v>
      </c>
      <c r="AK994" s="60"/>
      <c r="AL994" s="60"/>
      <c r="AM994" s="60" t="s">
        <v>1082</v>
      </c>
      <c r="AN994" s="60" t="s">
        <v>353</v>
      </c>
      <c r="AO994" s="11">
        <v>796</v>
      </c>
      <c r="AP994" s="38" t="s">
        <v>419</v>
      </c>
      <c r="AQ994" s="38">
        <v>11</v>
      </c>
      <c r="AR994" s="38">
        <v>46434</v>
      </c>
      <c r="AS994" s="16" t="s">
        <v>961</v>
      </c>
      <c r="AT994" s="51">
        <v>41730</v>
      </c>
      <c r="AU994" s="51">
        <v>41730</v>
      </c>
      <c r="AV994" s="51">
        <v>41943</v>
      </c>
      <c r="AW994" s="38">
        <v>2014</v>
      </c>
      <c r="AX994" s="60"/>
      <c r="AY994" s="135"/>
      <c r="AZ994" s="60"/>
      <c r="BA994" s="38"/>
      <c r="BB994" s="38"/>
      <c r="BC994" s="60"/>
      <c r="BD994" s="60"/>
      <c r="BE994" s="304"/>
      <c r="BF994" s="304"/>
      <c r="BG994" s="304"/>
      <c r="BH994" s="304"/>
      <c r="BI994" s="304"/>
      <c r="BJ994" s="304"/>
      <c r="BK994" s="304"/>
    </row>
    <row r="995" spans="1:63" s="287" customFormat="1" ht="150" customHeight="1">
      <c r="A995" s="38">
        <v>3</v>
      </c>
      <c r="B995" s="38" t="s">
        <v>1084</v>
      </c>
      <c r="C995" s="38" t="s">
        <v>83</v>
      </c>
      <c r="D995" s="38" t="s">
        <v>956</v>
      </c>
      <c r="E995" s="38" t="s">
        <v>250</v>
      </c>
      <c r="F995" s="38" t="s">
        <v>957</v>
      </c>
      <c r="G995" s="38">
        <v>4000000</v>
      </c>
      <c r="H995" s="11">
        <v>813149</v>
      </c>
      <c r="I995" s="16" t="s">
        <v>1085</v>
      </c>
      <c r="J995" s="16" t="s">
        <v>1086</v>
      </c>
      <c r="K995" s="60" t="s">
        <v>4724</v>
      </c>
      <c r="L995" s="16" t="s">
        <v>180</v>
      </c>
      <c r="M995" s="134" t="s">
        <v>1175</v>
      </c>
      <c r="N995" s="16" t="s">
        <v>5931</v>
      </c>
      <c r="O995" s="16" t="s">
        <v>960</v>
      </c>
      <c r="P995" s="23">
        <v>9757.9697799999994</v>
      </c>
      <c r="Q995" s="23">
        <v>11514.404340399999</v>
      </c>
      <c r="R995" s="23">
        <v>9459.8967481350464</v>
      </c>
      <c r="S995" s="29" t="s">
        <v>974</v>
      </c>
      <c r="T995" s="38">
        <v>1.0840000000000001</v>
      </c>
      <c r="U995" s="38">
        <v>1.0509999999999999</v>
      </c>
      <c r="V995" s="38">
        <v>1.0669999999999999</v>
      </c>
      <c r="W995" s="38">
        <v>1.0529999999999999</v>
      </c>
      <c r="X995" s="38">
        <v>0.9</v>
      </c>
      <c r="Y995" s="36">
        <v>10898.172919891545</v>
      </c>
      <c r="Z995" s="34">
        <v>12859.844045472022</v>
      </c>
      <c r="AA995" s="36" t="s">
        <v>132</v>
      </c>
      <c r="AB995" s="36" t="s">
        <v>132</v>
      </c>
      <c r="AC995" s="34">
        <v>9757.9697799999994</v>
      </c>
      <c r="AD995" s="34">
        <f t="shared" si="135"/>
        <v>11514.404340399999</v>
      </c>
      <c r="AE995" s="38" t="s">
        <v>169</v>
      </c>
      <c r="AF995" s="38" t="s">
        <v>83</v>
      </c>
      <c r="AG995" s="38" t="s">
        <v>83</v>
      </c>
      <c r="AH995" s="38" t="s">
        <v>545</v>
      </c>
      <c r="AI995" s="51">
        <v>41593</v>
      </c>
      <c r="AJ995" s="51">
        <v>41653</v>
      </c>
      <c r="AK995" s="60"/>
      <c r="AL995" s="60"/>
      <c r="AM995" s="60" t="s">
        <v>1085</v>
      </c>
      <c r="AN995" s="60" t="s">
        <v>353</v>
      </c>
      <c r="AO995" s="11">
        <v>796</v>
      </c>
      <c r="AP995" s="38" t="s">
        <v>419</v>
      </c>
      <c r="AQ995" s="38">
        <v>67</v>
      </c>
      <c r="AR995" s="38">
        <v>46434</v>
      </c>
      <c r="AS995" s="16" t="s">
        <v>961</v>
      </c>
      <c r="AT995" s="51">
        <v>41671</v>
      </c>
      <c r="AU995" s="51">
        <v>41671</v>
      </c>
      <c r="AV995" s="51">
        <v>41943</v>
      </c>
      <c r="AW995" s="38">
        <v>2014</v>
      </c>
      <c r="AX995" s="60"/>
      <c r="AY995" s="135"/>
      <c r="AZ995" s="60"/>
      <c r="BA995" s="38"/>
      <c r="BB995" s="38"/>
      <c r="BC995" s="60"/>
      <c r="BD995" s="60"/>
      <c r="BE995" s="304"/>
      <c r="BF995" s="304"/>
      <c r="BG995" s="304"/>
      <c r="BH995" s="304"/>
      <c r="BI995" s="304"/>
      <c r="BJ995" s="304"/>
      <c r="BK995" s="304"/>
    </row>
    <row r="996" spans="1:63" s="268" customFormat="1" ht="69.95" customHeight="1">
      <c r="A996" s="25">
        <v>3</v>
      </c>
      <c r="B996" s="38" t="s">
        <v>3047</v>
      </c>
      <c r="C996" s="46" t="s">
        <v>83</v>
      </c>
      <c r="D996" s="38" t="s">
        <v>3048</v>
      </c>
      <c r="E996" s="38" t="s">
        <v>250</v>
      </c>
      <c r="F996" s="38" t="s">
        <v>1378</v>
      </c>
      <c r="G996" s="38">
        <v>4010412</v>
      </c>
      <c r="H996" s="63">
        <v>842562</v>
      </c>
      <c r="I996" s="15" t="s">
        <v>3049</v>
      </c>
      <c r="J996" s="60" t="s">
        <v>3050</v>
      </c>
      <c r="K996" s="60" t="s">
        <v>4717</v>
      </c>
      <c r="L996" s="16" t="s">
        <v>180</v>
      </c>
      <c r="M996" s="95" t="s">
        <v>1249</v>
      </c>
      <c r="N996" s="15" t="s">
        <v>768</v>
      </c>
      <c r="O996" s="16" t="s">
        <v>271</v>
      </c>
      <c r="P996" s="468">
        <v>15000</v>
      </c>
      <c r="Q996" s="258">
        <f t="shared" ref="Q996:Q1059" si="137">P996*1.18</f>
        <v>17700</v>
      </c>
      <c r="R996" s="23"/>
      <c r="S996" s="29"/>
      <c r="T996" s="25"/>
      <c r="U996" s="25"/>
      <c r="V996" s="25"/>
      <c r="W996" s="25"/>
      <c r="X996" s="25"/>
      <c r="Y996" s="468">
        <v>15000</v>
      </c>
      <c r="Z996" s="258">
        <f t="shared" ref="Z996:Z1059" si="138">Y996*1.18</f>
        <v>17700</v>
      </c>
      <c r="AA996" s="36" t="s">
        <v>132</v>
      </c>
      <c r="AB996" s="36" t="s">
        <v>132</v>
      </c>
      <c r="AC996" s="468">
        <v>15000</v>
      </c>
      <c r="AD996" s="342">
        <f t="shared" si="135"/>
        <v>17700</v>
      </c>
      <c r="AE996" s="38" t="s">
        <v>169</v>
      </c>
      <c r="AF996" s="38" t="s">
        <v>83</v>
      </c>
      <c r="AG996" s="46" t="s">
        <v>83</v>
      </c>
      <c r="AH996" s="44" t="s">
        <v>90</v>
      </c>
      <c r="AI996" s="52">
        <f>AJ996-60</f>
        <v>41550</v>
      </c>
      <c r="AJ996" s="51">
        <v>41610</v>
      </c>
      <c r="AK996" s="60"/>
      <c r="AL996" s="60"/>
      <c r="AM996" s="61" t="s">
        <v>3051</v>
      </c>
      <c r="AN996" s="61" t="s">
        <v>3052</v>
      </c>
      <c r="AO996" s="64">
        <v>796</v>
      </c>
      <c r="AP996" s="38" t="s">
        <v>419</v>
      </c>
      <c r="AQ996" s="56">
        <v>1</v>
      </c>
      <c r="AR996" s="38" t="s">
        <v>3053</v>
      </c>
      <c r="AS996" s="16" t="s">
        <v>3054</v>
      </c>
      <c r="AT996" s="78">
        <v>41640</v>
      </c>
      <c r="AU996" s="52">
        <v>41640</v>
      </c>
      <c r="AV996" s="51">
        <v>42369</v>
      </c>
      <c r="AW996" s="38" t="s">
        <v>99</v>
      </c>
      <c r="AX996" s="60"/>
      <c r="AY996" s="135"/>
      <c r="AZ996" s="60"/>
      <c r="BA996" s="38" t="s">
        <v>132</v>
      </c>
      <c r="BB996" s="38" t="s">
        <v>132</v>
      </c>
      <c r="BC996" s="60" t="s">
        <v>132</v>
      </c>
      <c r="BD996" s="60" t="s">
        <v>132</v>
      </c>
      <c r="BE996" s="331" t="s">
        <v>132</v>
      </c>
      <c r="BF996" s="331" t="s">
        <v>132</v>
      </c>
      <c r="BG996" s="331" t="s">
        <v>132</v>
      </c>
      <c r="BH996" s="331" t="s">
        <v>132</v>
      </c>
      <c r="BI996" s="331" t="s">
        <v>132</v>
      </c>
      <c r="BJ996" s="331" t="s">
        <v>132</v>
      </c>
      <c r="BK996" s="304"/>
    </row>
    <row r="997" spans="1:63" s="268" customFormat="1" ht="69.95" customHeight="1">
      <c r="A997" s="25">
        <v>3</v>
      </c>
      <c r="B997" s="38" t="s">
        <v>3055</v>
      </c>
      <c r="C997" s="46" t="s">
        <v>83</v>
      </c>
      <c r="D997" s="38" t="s">
        <v>3056</v>
      </c>
      <c r="E997" s="38" t="s">
        <v>250</v>
      </c>
      <c r="F997" s="38" t="s">
        <v>1378</v>
      </c>
      <c r="G997" s="38">
        <v>4010412</v>
      </c>
      <c r="H997" s="63">
        <v>842563</v>
      </c>
      <c r="I997" s="15" t="s">
        <v>3057</v>
      </c>
      <c r="J997" s="16" t="s">
        <v>3058</v>
      </c>
      <c r="K997" s="60" t="s">
        <v>4717</v>
      </c>
      <c r="L997" s="16" t="s">
        <v>180</v>
      </c>
      <c r="M997" s="95" t="s">
        <v>1249</v>
      </c>
      <c r="N997" s="15" t="s">
        <v>768</v>
      </c>
      <c r="O997" s="16" t="s">
        <v>271</v>
      </c>
      <c r="P997" s="258">
        <v>6000</v>
      </c>
      <c r="Q997" s="258">
        <f t="shared" si="137"/>
        <v>7080</v>
      </c>
      <c r="R997" s="23"/>
      <c r="S997" s="29"/>
      <c r="T997" s="25"/>
      <c r="U997" s="25"/>
      <c r="V997" s="25"/>
      <c r="W997" s="25"/>
      <c r="X997" s="25"/>
      <c r="Y997" s="258">
        <v>6000</v>
      </c>
      <c r="Z997" s="258">
        <f t="shared" si="138"/>
        <v>7080</v>
      </c>
      <c r="AA997" s="36" t="s">
        <v>132</v>
      </c>
      <c r="AB997" s="36" t="s">
        <v>132</v>
      </c>
      <c r="AC997" s="258">
        <v>6000</v>
      </c>
      <c r="AD997" s="258">
        <f t="shared" si="135"/>
        <v>7080</v>
      </c>
      <c r="AE997" s="38" t="s">
        <v>173</v>
      </c>
      <c r="AF997" s="38" t="s">
        <v>83</v>
      </c>
      <c r="AG997" s="46" t="s">
        <v>83</v>
      </c>
      <c r="AH997" s="44" t="s">
        <v>90</v>
      </c>
      <c r="AI997" s="52">
        <v>41625</v>
      </c>
      <c r="AJ997" s="51">
        <v>41685</v>
      </c>
      <c r="AK997" s="60"/>
      <c r="AL997" s="60"/>
      <c r="AM997" s="61" t="s">
        <v>3059</v>
      </c>
      <c r="AN997" s="61" t="s">
        <v>3052</v>
      </c>
      <c r="AO997" s="64">
        <v>796</v>
      </c>
      <c r="AP997" s="38" t="s">
        <v>419</v>
      </c>
      <c r="AQ997" s="56">
        <v>1</v>
      </c>
      <c r="AR997" s="38" t="s">
        <v>3053</v>
      </c>
      <c r="AS997" s="16" t="s">
        <v>3054</v>
      </c>
      <c r="AT997" s="52">
        <v>41705</v>
      </c>
      <c r="AU997" s="52">
        <v>41705</v>
      </c>
      <c r="AV997" s="51">
        <v>42369</v>
      </c>
      <c r="AW997" s="38" t="s">
        <v>99</v>
      </c>
      <c r="AX997" s="60" t="s">
        <v>4765</v>
      </c>
      <c r="AY997" s="135"/>
      <c r="AZ997" s="60"/>
      <c r="BA997" s="38" t="s">
        <v>132</v>
      </c>
      <c r="BB997" s="38" t="s">
        <v>132</v>
      </c>
      <c r="BC997" s="60" t="s">
        <v>132</v>
      </c>
      <c r="BD997" s="60" t="s">
        <v>132</v>
      </c>
      <c r="BE997" s="331" t="s">
        <v>132</v>
      </c>
      <c r="BF997" s="331" t="s">
        <v>132</v>
      </c>
      <c r="BG997" s="331" t="s">
        <v>132</v>
      </c>
      <c r="BH997" s="331" t="s">
        <v>132</v>
      </c>
      <c r="BI997" s="331" t="s">
        <v>132</v>
      </c>
      <c r="BJ997" s="331" t="s">
        <v>132</v>
      </c>
      <c r="BK997" s="246"/>
    </row>
    <row r="998" spans="1:63" s="268" customFormat="1" ht="69.95" customHeight="1">
      <c r="A998" s="25">
        <v>3</v>
      </c>
      <c r="B998" s="38" t="s">
        <v>3060</v>
      </c>
      <c r="C998" s="46" t="s">
        <v>83</v>
      </c>
      <c r="D998" s="38" t="s">
        <v>3061</v>
      </c>
      <c r="E998" s="38" t="s">
        <v>250</v>
      </c>
      <c r="F998" s="38" t="s">
        <v>1378</v>
      </c>
      <c r="G998" s="38">
        <v>4010412</v>
      </c>
      <c r="H998" s="63">
        <v>842564</v>
      </c>
      <c r="I998" s="15" t="s">
        <v>3062</v>
      </c>
      <c r="J998" s="16" t="s">
        <v>3050</v>
      </c>
      <c r="K998" s="60" t="s">
        <v>4717</v>
      </c>
      <c r="L998" s="16" t="s">
        <v>180</v>
      </c>
      <c r="M998" s="95" t="s">
        <v>1249</v>
      </c>
      <c r="N998" s="15" t="s">
        <v>768</v>
      </c>
      <c r="O998" s="16" t="s">
        <v>271</v>
      </c>
      <c r="P998" s="468">
        <v>15000</v>
      </c>
      <c r="Q998" s="258">
        <f t="shared" si="137"/>
        <v>17700</v>
      </c>
      <c r="R998" s="23"/>
      <c r="S998" s="29"/>
      <c r="T998" s="25"/>
      <c r="U998" s="25"/>
      <c r="V998" s="25"/>
      <c r="W998" s="25"/>
      <c r="X998" s="25"/>
      <c r="Y998" s="468">
        <v>15000</v>
      </c>
      <c r="Z998" s="258">
        <f t="shared" si="138"/>
        <v>17700</v>
      </c>
      <c r="AA998" s="36" t="s">
        <v>132</v>
      </c>
      <c r="AB998" s="36" t="s">
        <v>132</v>
      </c>
      <c r="AC998" s="468">
        <v>15000</v>
      </c>
      <c r="AD998" s="342">
        <f t="shared" si="135"/>
        <v>17700</v>
      </c>
      <c r="AE998" s="38" t="s">
        <v>169</v>
      </c>
      <c r="AF998" s="38" t="s">
        <v>83</v>
      </c>
      <c r="AG998" s="46" t="s">
        <v>83</v>
      </c>
      <c r="AH998" s="44" t="s">
        <v>90</v>
      </c>
      <c r="AI998" s="52">
        <v>41625</v>
      </c>
      <c r="AJ998" s="51">
        <v>41685</v>
      </c>
      <c r="AK998" s="60"/>
      <c r="AL998" s="60"/>
      <c r="AM998" s="61" t="s">
        <v>3063</v>
      </c>
      <c r="AN998" s="61" t="s">
        <v>3052</v>
      </c>
      <c r="AO998" s="64">
        <v>796</v>
      </c>
      <c r="AP998" s="38" t="s">
        <v>419</v>
      </c>
      <c r="AQ998" s="56">
        <v>1</v>
      </c>
      <c r="AR998" s="38" t="s">
        <v>3053</v>
      </c>
      <c r="AS998" s="16" t="s">
        <v>3054</v>
      </c>
      <c r="AT998" s="52">
        <v>41705</v>
      </c>
      <c r="AU998" s="52">
        <v>41705</v>
      </c>
      <c r="AV998" s="51">
        <v>42369</v>
      </c>
      <c r="AW998" s="38" t="s">
        <v>99</v>
      </c>
      <c r="AX998" s="60"/>
      <c r="AY998" s="135"/>
      <c r="AZ998" s="60"/>
      <c r="BA998" s="38" t="s">
        <v>132</v>
      </c>
      <c r="BB998" s="38" t="s">
        <v>132</v>
      </c>
      <c r="BC998" s="60" t="s">
        <v>132</v>
      </c>
      <c r="BD998" s="60" t="s">
        <v>132</v>
      </c>
      <c r="BE998" s="331" t="s">
        <v>132</v>
      </c>
      <c r="BF998" s="331" t="s">
        <v>132</v>
      </c>
      <c r="BG998" s="331" t="s">
        <v>132</v>
      </c>
      <c r="BH998" s="331" t="s">
        <v>132</v>
      </c>
      <c r="BI998" s="331" t="s">
        <v>132</v>
      </c>
      <c r="BJ998" s="331" t="s">
        <v>132</v>
      </c>
      <c r="BK998" s="304"/>
    </row>
    <row r="999" spans="1:63" s="268" customFormat="1" ht="69.95" customHeight="1">
      <c r="A999" s="25">
        <v>3</v>
      </c>
      <c r="B999" s="38" t="s">
        <v>3064</v>
      </c>
      <c r="C999" s="46" t="s">
        <v>83</v>
      </c>
      <c r="D999" s="38" t="s">
        <v>3048</v>
      </c>
      <c r="E999" s="38" t="s">
        <v>250</v>
      </c>
      <c r="F999" s="38" t="s">
        <v>1378</v>
      </c>
      <c r="G999" s="38">
        <v>4010412</v>
      </c>
      <c r="H999" s="63">
        <v>842565</v>
      </c>
      <c r="I999" s="15" t="s">
        <v>3065</v>
      </c>
      <c r="J999" s="17" t="s">
        <v>979</v>
      </c>
      <c r="K999" s="193" t="s">
        <v>4717</v>
      </c>
      <c r="L999" s="16" t="s">
        <v>180</v>
      </c>
      <c r="M999" s="95" t="s">
        <v>1249</v>
      </c>
      <c r="N999" s="15" t="s">
        <v>768</v>
      </c>
      <c r="O999" s="16" t="s">
        <v>4134</v>
      </c>
      <c r="P999" s="24">
        <v>20979.413</v>
      </c>
      <c r="Q999" s="258">
        <f t="shared" si="137"/>
        <v>24755.707340000001</v>
      </c>
      <c r="R999" s="23">
        <v>18210.53</v>
      </c>
      <c r="S999" s="29" t="s">
        <v>1373</v>
      </c>
      <c r="T999" s="25">
        <v>1.0840000000000001</v>
      </c>
      <c r="U999" s="25">
        <v>1.0509999999999999</v>
      </c>
      <c r="V999" s="25">
        <v>1.0669999999999999</v>
      </c>
      <c r="W999" s="25">
        <v>1.0529999999999999</v>
      </c>
      <c r="X999" s="25">
        <v>0.9</v>
      </c>
      <c r="Y999" s="23">
        <v>20979</v>
      </c>
      <c r="Z999" s="23">
        <f t="shared" si="138"/>
        <v>24755.219999999998</v>
      </c>
      <c r="AA999" s="36" t="s">
        <v>132</v>
      </c>
      <c r="AB999" s="36" t="s">
        <v>132</v>
      </c>
      <c r="AC999" s="37">
        <v>20979.413</v>
      </c>
      <c r="AD999" s="342">
        <f t="shared" si="135"/>
        <v>24755.707340000001</v>
      </c>
      <c r="AE999" s="38" t="s">
        <v>169</v>
      </c>
      <c r="AF999" s="38" t="s">
        <v>83</v>
      </c>
      <c r="AG999" s="46" t="s">
        <v>83</v>
      </c>
      <c r="AH999" s="44" t="s">
        <v>90</v>
      </c>
      <c r="AI999" s="52">
        <v>41625</v>
      </c>
      <c r="AJ999" s="51">
        <v>41685</v>
      </c>
      <c r="AK999" s="60"/>
      <c r="AL999" s="60"/>
      <c r="AM999" s="61" t="s">
        <v>3066</v>
      </c>
      <c r="AN999" s="61" t="s">
        <v>3052</v>
      </c>
      <c r="AO999" s="64">
        <v>796</v>
      </c>
      <c r="AP999" s="38" t="s">
        <v>419</v>
      </c>
      <c r="AQ999" s="56">
        <v>9</v>
      </c>
      <c r="AR999" s="38" t="s">
        <v>3053</v>
      </c>
      <c r="AS999" s="16" t="s">
        <v>3054</v>
      </c>
      <c r="AT999" s="52">
        <v>41705</v>
      </c>
      <c r="AU999" s="52">
        <v>41705</v>
      </c>
      <c r="AV999" s="52">
        <v>41943</v>
      </c>
      <c r="AW999" s="38">
        <v>2014</v>
      </c>
      <c r="AX999" s="60"/>
      <c r="AY999" s="135"/>
      <c r="AZ999" s="60"/>
      <c r="BA999" s="38" t="s">
        <v>132</v>
      </c>
      <c r="BB999" s="38" t="s">
        <v>132</v>
      </c>
      <c r="BC999" s="60" t="s">
        <v>132</v>
      </c>
      <c r="BD999" s="60" t="s">
        <v>132</v>
      </c>
      <c r="BE999" s="331" t="s">
        <v>132</v>
      </c>
      <c r="BF999" s="331" t="s">
        <v>132</v>
      </c>
      <c r="BG999" s="331" t="s">
        <v>132</v>
      </c>
      <c r="BH999" s="331" t="s">
        <v>132</v>
      </c>
      <c r="BI999" s="331" t="s">
        <v>132</v>
      </c>
      <c r="BJ999" s="331" t="s">
        <v>132</v>
      </c>
      <c r="BK999" s="304"/>
    </row>
    <row r="1000" spans="1:63" s="268" customFormat="1" ht="69.95" customHeight="1">
      <c r="A1000" s="25">
        <v>3</v>
      </c>
      <c r="B1000" s="38" t="s">
        <v>3067</v>
      </c>
      <c r="C1000" s="46" t="s">
        <v>83</v>
      </c>
      <c r="D1000" s="38" t="s">
        <v>3048</v>
      </c>
      <c r="E1000" s="38" t="s">
        <v>250</v>
      </c>
      <c r="F1000" s="38" t="s">
        <v>1378</v>
      </c>
      <c r="G1000" s="38">
        <v>4010412</v>
      </c>
      <c r="H1000" s="63">
        <v>842566</v>
      </c>
      <c r="I1000" s="17" t="s">
        <v>3068</v>
      </c>
      <c r="J1000" s="18" t="s">
        <v>973</v>
      </c>
      <c r="K1000" s="18" t="s">
        <v>4717</v>
      </c>
      <c r="L1000" s="16" t="s">
        <v>180</v>
      </c>
      <c r="M1000" s="95" t="s">
        <v>3069</v>
      </c>
      <c r="N1000" s="15" t="s">
        <v>768</v>
      </c>
      <c r="O1000" s="16" t="s">
        <v>4134</v>
      </c>
      <c r="P1000" s="24">
        <v>35304.949999999997</v>
      </c>
      <c r="Q1000" s="258">
        <f t="shared" si="137"/>
        <v>41659.840999999993</v>
      </c>
      <c r="R1000" s="23">
        <v>35304.949999999997</v>
      </c>
      <c r="S1000" s="29" t="s">
        <v>1373</v>
      </c>
      <c r="T1000" s="25">
        <v>1.0840000000000001</v>
      </c>
      <c r="U1000" s="25">
        <v>1.0509999999999999</v>
      </c>
      <c r="V1000" s="25">
        <v>1.0669999999999999</v>
      </c>
      <c r="W1000" s="25">
        <v>1.0529999999999999</v>
      </c>
      <c r="X1000" s="25">
        <v>0.9</v>
      </c>
      <c r="Y1000" s="23">
        <v>40671.300000000003</v>
      </c>
      <c r="Z1000" s="23">
        <f t="shared" si="138"/>
        <v>47992.133999999998</v>
      </c>
      <c r="AA1000" s="36" t="s">
        <v>132</v>
      </c>
      <c r="AB1000" s="36" t="s">
        <v>132</v>
      </c>
      <c r="AC1000" s="37">
        <v>35304.949999999997</v>
      </c>
      <c r="AD1000" s="342">
        <f t="shared" si="135"/>
        <v>41659.840999999993</v>
      </c>
      <c r="AE1000" s="38" t="s">
        <v>169</v>
      </c>
      <c r="AF1000" s="38" t="s">
        <v>83</v>
      </c>
      <c r="AG1000" s="46" t="s">
        <v>83</v>
      </c>
      <c r="AH1000" s="44" t="s">
        <v>90</v>
      </c>
      <c r="AI1000" s="52">
        <f>AJ1000-60</f>
        <v>41550</v>
      </c>
      <c r="AJ1000" s="52">
        <v>41610</v>
      </c>
      <c r="AK1000" s="60"/>
      <c r="AL1000" s="60"/>
      <c r="AM1000" s="61" t="s">
        <v>3070</v>
      </c>
      <c r="AN1000" s="61" t="s">
        <v>3052</v>
      </c>
      <c r="AO1000" s="64">
        <v>59</v>
      </c>
      <c r="AP1000" s="38" t="s">
        <v>1191</v>
      </c>
      <c r="AQ1000" s="66">
        <v>800</v>
      </c>
      <c r="AR1000" s="38" t="s">
        <v>3053</v>
      </c>
      <c r="AS1000" s="16" t="s">
        <v>3054</v>
      </c>
      <c r="AT1000" s="78">
        <v>41640</v>
      </c>
      <c r="AU1000" s="51">
        <v>41760</v>
      </c>
      <c r="AV1000" s="52">
        <v>41943</v>
      </c>
      <c r="AW1000" s="38">
        <v>2014</v>
      </c>
      <c r="AX1000" s="60"/>
      <c r="AY1000" s="135"/>
      <c r="AZ1000" s="60"/>
      <c r="BA1000" s="38" t="s">
        <v>132</v>
      </c>
      <c r="BB1000" s="38" t="s">
        <v>132</v>
      </c>
      <c r="BC1000" s="60" t="s">
        <v>132</v>
      </c>
      <c r="BD1000" s="60" t="s">
        <v>132</v>
      </c>
      <c r="BE1000" s="331" t="s">
        <v>132</v>
      </c>
      <c r="BF1000" s="331" t="s">
        <v>132</v>
      </c>
      <c r="BG1000" s="331" t="s">
        <v>132</v>
      </c>
      <c r="BH1000" s="331" t="s">
        <v>132</v>
      </c>
      <c r="BI1000" s="331" t="s">
        <v>132</v>
      </c>
      <c r="BJ1000" s="331" t="s">
        <v>132</v>
      </c>
      <c r="BK1000" s="331"/>
    </row>
    <row r="1001" spans="1:63" s="268" customFormat="1" ht="69.95" customHeight="1">
      <c r="A1001" s="25">
        <v>3</v>
      </c>
      <c r="B1001" s="38" t="s">
        <v>3079</v>
      </c>
      <c r="C1001" s="46" t="s">
        <v>83</v>
      </c>
      <c r="D1001" s="38" t="s">
        <v>3056</v>
      </c>
      <c r="E1001" s="38" t="s">
        <v>250</v>
      </c>
      <c r="F1001" s="38" t="s">
        <v>1378</v>
      </c>
      <c r="G1001" s="38">
        <v>4010412</v>
      </c>
      <c r="H1001" s="63">
        <v>842570</v>
      </c>
      <c r="I1001" s="16" t="s">
        <v>3080</v>
      </c>
      <c r="J1001" s="18" t="s">
        <v>1301</v>
      </c>
      <c r="K1001" s="60" t="s">
        <v>4717</v>
      </c>
      <c r="L1001" s="16" t="s">
        <v>180</v>
      </c>
      <c r="M1001" s="95" t="s">
        <v>1249</v>
      </c>
      <c r="N1001" s="15" t="s">
        <v>768</v>
      </c>
      <c r="O1001" s="16" t="s">
        <v>4134</v>
      </c>
      <c r="P1001" s="24">
        <v>1939.41</v>
      </c>
      <c r="Q1001" s="258">
        <f t="shared" si="137"/>
        <v>2288.5038</v>
      </c>
      <c r="R1001" s="23">
        <v>1754.85</v>
      </c>
      <c r="S1001" s="29" t="s">
        <v>1373</v>
      </c>
      <c r="T1001" s="25">
        <v>1.0840000000000001</v>
      </c>
      <c r="U1001" s="25">
        <v>1.0509999999999999</v>
      </c>
      <c r="V1001" s="25">
        <v>1.0669999999999999</v>
      </c>
      <c r="W1001" s="25">
        <v>1.0529999999999999</v>
      </c>
      <c r="X1001" s="25">
        <v>0.9</v>
      </c>
      <c r="Y1001" s="23">
        <v>2021.59</v>
      </c>
      <c r="Z1001" s="23">
        <f t="shared" si="138"/>
        <v>2385.4761999999996</v>
      </c>
      <c r="AA1001" s="36" t="s">
        <v>132</v>
      </c>
      <c r="AB1001" s="36" t="s">
        <v>132</v>
      </c>
      <c r="AC1001" s="37">
        <v>1939.41</v>
      </c>
      <c r="AD1001" s="342">
        <f t="shared" si="135"/>
        <v>2288.5038</v>
      </c>
      <c r="AE1001" s="38" t="s">
        <v>173</v>
      </c>
      <c r="AF1001" s="38" t="s">
        <v>83</v>
      </c>
      <c r="AG1001" s="46" t="s">
        <v>83</v>
      </c>
      <c r="AH1001" s="44" t="s">
        <v>90</v>
      </c>
      <c r="AI1001" s="52">
        <v>41625</v>
      </c>
      <c r="AJ1001" s="51">
        <v>41670</v>
      </c>
      <c r="AK1001" s="60"/>
      <c r="AL1001" s="60"/>
      <c r="AM1001" s="61" t="s">
        <v>3081</v>
      </c>
      <c r="AN1001" s="61" t="s">
        <v>3052</v>
      </c>
      <c r="AO1001" s="64">
        <v>796</v>
      </c>
      <c r="AP1001" s="38" t="s">
        <v>419</v>
      </c>
      <c r="AQ1001" s="56">
        <v>4</v>
      </c>
      <c r="AR1001" s="38" t="s">
        <v>3053</v>
      </c>
      <c r="AS1001" s="16" t="s">
        <v>3054</v>
      </c>
      <c r="AT1001" s="52">
        <v>41690</v>
      </c>
      <c r="AU1001" s="52">
        <v>41690</v>
      </c>
      <c r="AV1001" s="52">
        <v>41943</v>
      </c>
      <c r="AW1001" s="38">
        <v>2014</v>
      </c>
      <c r="AX1001" s="60"/>
      <c r="AY1001" s="135"/>
      <c r="AZ1001" s="60"/>
      <c r="BA1001" s="38" t="s">
        <v>132</v>
      </c>
      <c r="BB1001" s="38" t="s">
        <v>132</v>
      </c>
      <c r="BC1001" s="60" t="s">
        <v>132</v>
      </c>
      <c r="BD1001" s="60" t="s">
        <v>132</v>
      </c>
      <c r="BE1001" s="331" t="s">
        <v>132</v>
      </c>
      <c r="BF1001" s="331" t="s">
        <v>132</v>
      </c>
      <c r="BG1001" s="331" t="s">
        <v>132</v>
      </c>
      <c r="BH1001" s="331" t="s">
        <v>132</v>
      </c>
      <c r="BI1001" s="331" t="s">
        <v>132</v>
      </c>
      <c r="BJ1001" s="331" t="s">
        <v>132</v>
      </c>
      <c r="BK1001" s="304"/>
    </row>
    <row r="1002" spans="1:63" s="268" customFormat="1" ht="69.95" customHeight="1">
      <c r="A1002" s="25">
        <v>3</v>
      </c>
      <c r="B1002" s="38" t="s">
        <v>3082</v>
      </c>
      <c r="C1002" s="46" t="s">
        <v>83</v>
      </c>
      <c r="D1002" s="38" t="s">
        <v>3056</v>
      </c>
      <c r="E1002" s="38" t="s">
        <v>250</v>
      </c>
      <c r="F1002" s="38" t="s">
        <v>1378</v>
      </c>
      <c r="G1002" s="38">
        <v>4010412</v>
      </c>
      <c r="H1002" s="63">
        <v>842571</v>
      </c>
      <c r="I1002" s="16" t="s">
        <v>3083</v>
      </c>
      <c r="J1002" s="18" t="s">
        <v>1301</v>
      </c>
      <c r="K1002" s="60" t="s">
        <v>4717</v>
      </c>
      <c r="L1002" s="16" t="s">
        <v>180</v>
      </c>
      <c r="M1002" s="95" t="s">
        <v>1249</v>
      </c>
      <c r="N1002" s="15" t="s">
        <v>768</v>
      </c>
      <c r="O1002" s="16" t="s">
        <v>4134</v>
      </c>
      <c r="P1002" s="24">
        <v>5814.54</v>
      </c>
      <c r="Q1002" s="258">
        <f t="shared" si="137"/>
        <v>6861.1571999999996</v>
      </c>
      <c r="R1002" s="23">
        <v>5047.34</v>
      </c>
      <c r="S1002" s="29" t="s">
        <v>1373</v>
      </c>
      <c r="T1002" s="25">
        <v>1.0840000000000001</v>
      </c>
      <c r="U1002" s="25">
        <v>1.0509999999999999</v>
      </c>
      <c r="V1002" s="25">
        <v>1.0669999999999999</v>
      </c>
      <c r="W1002" s="25">
        <v>1.0529999999999999</v>
      </c>
      <c r="X1002" s="25">
        <v>0.9</v>
      </c>
      <c r="Y1002" s="23">
        <v>5814.54</v>
      </c>
      <c r="Z1002" s="23">
        <f t="shared" si="138"/>
        <v>6861.1571999999996</v>
      </c>
      <c r="AA1002" s="36" t="s">
        <v>132</v>
      </c>
      <c r="AB1002" s="36" t="s">
        <v>132</v>
      </c>
      <c r="AC1002" s="37">
        <v>5814.54</v>
      </c>
      <c r="AD1002" s="342">
        <f t="shared" si="135"/>
        <v>6861.1571999999996</v>
      </c>
      <c r="AE1002" s="38" t="s">
        <v>173</v>
      </c>
      <c r="AF1002" s="38" t="s">
        <v>83</v>
      </c>
      <c r="AG1002" s="46" t="s">
        <v>83</v>
      </c>
      <c r="AH1002" s="44" t="s">
        <v>90</v>
      </c>
      <c r="AI1002" s="52">
        <f>AJ1002-60</f>
        <v>41550</v>
      </c>
      <c r="AJ1002" s="52">
        <v>41610</v>
      </c>
      <c r="AK1002" s="60"/>
      <c r="AL1002" s="60"/>
      <c r="AM1002" s="61" t="s">
        <v>3084</v>
      </c>
      <c r="AN1002" s="61" t="s">
        <v>3052</v>
      </c>
      <c r="AO1002" s="64">
        <v>796</v>
      </c>
      <c r="AP1002" s="38" t="s">
        <v>419</v>
      </c>
      <c r="AQ1002" s="66">
        <v>10</v>
      </c>
      <c r="AR1002" s="38" t="s">
        <v>3053</v>
      </c>
      <c r="AS1002" s="16" t="s">
        <v>3054</v>
      </c>
      <c r="AT1002" s="78">
        <v>41640</v>
      </c>
      <c r="AU1002" s="51">
        <v>41760</v>
      </c>
      <c r="AV1002" s="52">
        <v>41943</v>
      </c>
      <c r="AW1002" s="38">
        <v>2014</v>
      </c>
      <c r="AX1002" s="60"/>
      <c r="AY1002" s="135"/>
      <c r="AZ1002" s="60"/>
      <c r="BA1002" s="38" t="s">
        <v>132</v>
      </c>
      <c r="BB1002" s="38" t="s">
        <v>132</v>
      </c>
      <c r="BC1002" s="60" t="s">
        <v>132</v>
      </c>
      <c r="BD1002" s="60" t="s">
        <v>132</v>
      </c>
      <c r="BE1002" s="331" t="s">
        <v>132</v>
      </c>
      <c r="BF1002" s="331" t="s">
        <v>132</v>
      </c>
      <c r="BG1002" s="331" t="s">
        <v>132</v>
      </c>
      <c r="BH1002" s="331" t="s">
        <v>132</v>
      </c>
      <c r="BI1002" s="331" t="s">
        <v>132</v>
      </c>
      <c r="BJ1002" s="331" t="s">
        <v>132</v>
      </c>
      <c r="BK1002" s="304"/>
    </row>
    <row r="1003" spans="1:63" s="268" customFormat="1" ht="69.95" customHeight="1">
      <c r="A1003" s="25">
        <v>3</v>
      </c>
      <c r="B1003" s="38" t="s">
        <v>3085</v>
      </c>
      <c r="C1003" s="46" t="s">
        <v>83</v>
      </c>
      <c r="D1003" s="38" t="s">
        <v>3056</v>
      </c>
      <c r="E1003" s="38" t="s">
        <v>250</v>
      </c>
      <c r="F1003" s="38" t="s">
        <v>1378</v>
      </c>
      <c r="G1003" s="38">
        <v>4010412</v>
      </c>
      <c r="H1003" s="63">
        <v>842572</v>
      </c>
      <c r="I1003" s="16" t="s">
        <v>3086</v>
      </c>
      <c r="J1003" s="18" t="s">
        <v>1301</v>
      </c>
      <c r="K1003" s="60" t="s">
        <v>4717</v>
      </c>
      <c r="L1003" s="16" t="s">
        <v>180</v>
      </c>
      <c r="M1003" s="95" t="s">
        <v>1249</v>
      </c>
      <c r="N1003" s="15" t="s">
        <v>768</v>
      </c>
      <c r="O1003" s="16" t="s">
        <v>4134</v>
      </c>
      <c r="P1003" s="37">
        <v>3884.89</v>
      </c>
      <c r="Q1003" s="258">
        <f t="shared" si="137"/>
        <v>4584.1701999999996</v>
      </c>
      <c r="R1003" s="23">
        <v>2906.09</v>
      </c>
      <c r="S1003" s="29" t="s">
        <v>1373</v>
      </c>
      <c r="T1003" s="25">
        <v>1.0840000000000001</v>
      </c>
      <c r="U1003" s="25">
        <v>1.0509999999999999</v>
      </c>
      <c r="V1003" s="25">
        <v>1.0669999999999999</v>
      </c>
      <c r="W1003" s="25">
        <v>1.0529999999999999</v>
      </c>
      <c r="X1003" s="25">
        <v>0.9</v>
      </c>
      <c r="Y1003" s="23">
        <v>3347.9299176295294</v>
      </c>
      <c r="Z1003" s="23">
        <f t="shared" si="138"/>
        <v>3950.5573028028443</v>
      </c>
      <c r="AA1003" s="36" t="s">
        <v>132</v>
      </c>
      <c r="AB1003" s="36" t="s">
        <v>132</v>
      </c>
      <c r="AC1003" s="37">
        <v>3884.89</v>
      </c>
      <c r="AD1003" s="342">
        <f t="shared" si="135"/>
        <v>4584.1701999999996</v>
      </c>
      <c r="AE1003" s="38" t="s">
        <v>173</v>
      </c>
      <c r="AF1003" s="38" t="s">
        <v>83</v>
      </c>
      <c r="AG1003" s="46" t="s">
        <v>83</v>
      </c>
      <c r="AH1003" s="44" t="s">
        <v>90</v>
      </c>
      <c r="AI1003" s="52">
        <v>41625</v>
      </c>
      <c r="AJ1003" s="51">
        <v>41670</v>
      </c>
      <c r="AK1003" s="60"/>
      <c r="AL1003" s="60"/>
      <c r="AM1003" s="61" t="s">
        <v>3087</v>
      </c>
      <c r="AN1003" s="61" t="s">
        <v>3052</v>
      </c>
      <c r="AO1003" s="64">
        <v>796</v>
      </c>
      <c r="AP1003" s="38" t="s">
        <v>419</v>
      </c>
      <c r="AQ1003" s="66">
        <v>10</v>
      </c>
      <c r="AR1003" s="38" t="s">
        <v>3053</v>
      </c>
      <c r="AS1003" s="16" t="s">
        <v>3054</v>
      </c>
      <c r="AT1003" s="52">
        <v>41690</v>
      </c>
      <c r="AU1003" s="52">
        <v>41690</v>
      </c>
      <c r="AV1003" s="52">
        <v>41943</v>
      </c>
      <c r="AW1003" s="38">
        <v>2014</v>
      </c>
      <c r="AX1003" s="60"/>
      <c r="AY1003" s="135"/>
      <c r="AZ1003" s="60"/>
      <c r="BA1003" s="38" t="s">
        <v>132</v>
      </c>
      <c r="BB1003" s="38" t="s">
        <v>132</v>
      </c>
      <c r="BC1003" s="60" t="s">
        <v>132</v>
      </c>
      <c r="BD1003" s="60" t="s">
        <v>132</v>
      </c>
      <c r="BE1003" s="331" t="s">
        <v>132</v>
      </c>
      <c r="BF1003" s="331" t="s">
        <v>132</v>
      </c>
      <c r="BG1003" s="331" t="s">
        <v>132</v>
      </c>
      <c r="BH1003" s="331" t="s">
        <v>132</v>
      </c>
      <c r="BI1003" s="331" t="s">
        <v>132</v>
      </c>
      <c r="BJ1003" s="331" t="s">
        <v>132</v>
      </c>
      <c r="BK1003" s="304"/>
    </row>
    <row r="1004" spans="1:63" s="268" customFormat="1" ht="69.95" customHeight="1">
      <c r="A1004" s="25">
        <v>3</v>
      </c>
      <c r="B1004" s="38" t="s">
        <v>3088</v>
      </c>
      <c r="C1004" s="46" t="s">
        <v>83</v>
      </c>
      <c r="D1004" s="38" t="s">
        <v>3056</v>
      </c>
      <c r="E1004" s="38" t="s">
        <v>250</v>
      </c>
      <c r="F1004" s="38" t="s">
        <v>1378</v>
      </c>
      <c r="G1004" s="38">
        <v>4010412</v>
      </c>
      <c r="H1004" s="63">
        <v>842573</v>
      </c>
      <c r="I1004" s="17" t="s">
        <v>984</v>
      </c>
      <c r="J1004" s="17" t="s">
        <v>984</v>
      </c>
      <c r="K1004" s="193" t="s">
        <v>4717</v>
      </c>
      <c r="L1004" s="16" t="s">
        <v>180</v>
      </c>
      <c r="M1004" s="95" t="s">
        <v>1249</v>
      </c>
      <c r="N1004" s="15" t="s">
        <v>768</v>
      </c>
      <c r="O1004" s="16" t="s">
        <v>4134</v>
      </c>
      <c r="P1004" s="24">
        <v>1308.49</v>
      </c>
      <c r="Q1004" s="258">
        <f t="shared" si="137"/>
        <v>1544.0182</v>
      </c>
      <c r="R1004" s="23">
        <v>1135.8399999999999</v>
      </c>
      <c r="S1004" s="29" t="s">
        <v>1373</v>
      </c>
      <c r="T1004" s="25">
        <v>1.0840000000000001</v>
      </c>
      <c r="U1004" s="25">
        <v>1.0509999999999999</v>
      </c>
      <c r="V1004" s="25">
        <v>1.0669999999999999</v>
      </c>
      <c r="W1004" s="25">
        <v>1.0529999999999999</v>
      </c>
      <c r="X1004" s="25">
        <v>0.9</v>
      </c>
      <c r="Y1004" s="23">
        <v>1308.49</v>
      </c>
      <c r="Z1004" s="23">
        <f t="shared" si="138"/>
        <v>1544.0182</v>
      </c>
      <c r="AA1004" s="36" t="s">
        <v>132</v>
      </c>
      <c r="AB1004" s="36" t="s">
        <v>132</v>
      </c>
      <c r="AC1004" s="37">
        <v>1308.49</v>
      </c>
      <c r="AD1004" s="342">
        <f t="shared" si="135"/>
        <v>1544.0182</v>
      </c>
      <c r="AE1004" s="38" t="s">
        <v>173</v>
      </c>
      <c r="AF1004" s="38" t="s">
        <v>83</v>
      </c>
      <c r="AG1004" s="46" t="s">
        <v>83</v>
      </c>
      <c r="AH1004" s="44" t="s">
        <v>90</v>
      </c>
      <c r="AI1004" s="52">
        <v>41625</v>
      </c>
      <c r="AJ1004" s="51">
        <v>41670</v>
      </c>
      <c r="AK1004" s="60"/>
      <c r="AL1004" s="60"/>
      <c r="AM1004" s="61" t="s">
        <v>3089</v>
      </c>
      <c r="AN1004" s="61" t="s">
        <v>3052</v>
      </c>
      <c r="AO1004" s="64">
        <v>796</v>
      </c>
      <c r="AP1004" s="38" t="s">
        <v>419</v>
      </c>
      <c r="AQ1004" s="66">
        <v>8</v>
      </c>
      <c r="AR1004" s="38" t="s">
        <v>3053</v>
      </c>
      <c r="AS1004" s="16" t="s">
        <v>3054</v>
      </c>
      <c r="AT1004" s="52">
        <v>41690</v>
      </c>
      <c r="AU1004" s="52">
        <v>41690</v>
      </c>
      <c r="AV1004" s="52">
        <v>41943</v>
      </c>
      <c r="AW1004" s="38">
        <v>2014</v>
      </c>
      <c r="AX1004" s="60"/>
      <c r="AY1004" s="135"/>
      <c r="AZ1004" s="60"/>
      <c r="BA1004" s="38" t="s">
        <v>132</v>
      </c>
      <c r="BB1004" s="38" t="s">
        <v>132</v>
      </c>
      <c r="BC1004" s="60" t="s">
        <v>132</v>
      </c>
      <c r="BD1004" s="60" t="s">
        <v>132</v>
      </c>
      <c r="BE1004" s="331" t="s">
        <v>132</v>
      </c>
      <c r="BF1004" s="331" t="s">
        <v>132</v>
      </c>
      <c r="BG1004" s="331" t="s">
        <v>132</v>
      </c>
      <c r="BH1004" s="331" t="s">
        <v>132</v>
      </c>
      <c r="BI1004" s="331" t="s">
        <v>132</v>
      </c>
      <c r="BJ1004" s="331" t="s">
        <v>132</v>
      </c>
      <c r="BK1004" s="304"/>
    </row>
    <row r="1005" spans="1:63" s="268" customFormat="1" ht="69.95" customHeight="1">
      <c r="A1005" s="25">
        <v>3</v>
      </c>
      <c r="B1005" s="38" t="s">
        <v>3090</v>
      </c>
      <c r="C1005" s="46" t="s">
        <v>83</v>
      </c>
      <c r="D1005" s="38" t="s">
        <v>3061</v>
      </c>
      <c r="E1005" s="38" t="s">
        <v>250</v>
      </c>
      <c r="F1005" s="38" t="s">
        <v>1378</v>
      </c>
      <c r="G1005" s="38">
        <v>4010412</v>
      </c>
      <c r="H1005" s="63">
        <v>842574</v>
      </c>
      <c r="I1005" s="16" t="s">
        <v>3091</v>
      </c>
      <c r="J1005" s="18" t="s">
        <v>979</v>
      </c>
      <c r="K1005" s="60" t="s">
        <v>4717</v>
      </c>
      <c r="L1005" s="16" t="s">
        <v>180</v>
      </c>
      <c r="M1005" s="95" t="s">
        <v>1249</v>
      </c>
      <c r="N1005" s="15" t="s">
        <v>768</v>
      </c>
      <c r="O1005" s="16" t="s">
        <v>4134</v>
      </c>
      <c r="P1005" s="24">
        <v>40138.019999999997</v>
      </c>
      <c r="Q1005" s="258">
        <f t="shared" si="137"/>
        <v>47362.863599999997</v>
      </c>
      <c r="R1005" s="23">
        <v>34842.019999999997</v>
      </c>
      <c r="S1005" s="29" t="s">
        <v>1373</v>
      </c>
      <c r="T1005" s="25">
        <v>1.0840000000000001</v>
      </c>
      <c r="U1005" s="25">
        <v>1.0509999999999999</v>
      </c>
      <c r="V1005" s="25">
        <v>1.0669999999999999</v>
      </c>
      <c r="W1005" s="25">
        <v>1.0529999999999999</v>
      </c>
      <c r="X1005" s="25">
        <v>0.9</v>
      </c>
      <c r="Y1005" s="23">
        <v>40138.01</v>
      </c>
      <c r="Z1005" s="23">
        <f t="shared" si="138"/>
        <v>47362.851799999997</v>
      </c>
      <c r="AA1005" s="36" t="s">
        <v>132</v>
      </c>
      <c r="AB1005" s="36" t="s">
        <v>132</v>
      </c>
      <c r="AC1005" s="37">
        <v>40138.019999999997</v>
      </c>
      <c r="AD1005" s="342">
        <f t="shared" si="135"/>
        <v>47362.863599999997</v>
      </c>
      <c r="AE1005" s="38" t="s">
        <v>169</v>
      </c>
      <c r="AF1005" s="38" t="s">
        <v>83</v>
      </c>
      <c r="AG1005" s="46" t="s">
        <v>83</v>
      </c>
      <c r="AH1005" s="44" t="s">
        <v>90</v>
      </c>
      <c r="AI1005" s="52">
        <f>AJ1005-60</f>
        <v>41550</v>
      </c>
      <c r="AJ1005" s="52">
        <v>41610</v>
      </c>
      <c r="AK1005" s="60"/>
      <c r="AL1005" s="60"/>
      <c r="AM1005" s="61" t="s">
        <v>3092</v>
      </c>
      <c r="AN1005" s="61" t="s">
        <v>3052</v>
      </c>
      <c r="AO1005" s="64">
        <v>8</v>
      </c>
      <c r="AP1005" s="38" t="s">
        <v>82</v>
      </c>
      <c r="AQ1005" s="66">
        <v>50</v>
      </c>
      <c r="AR1005" s="38" t="s">
        <v>3053</v>
      </c>
      <c r="AS1005" s="16" t="s">
        <v>3054</v>
      </c>
      <c r="AT1005" s="78">
        <v>41640</v>
      </c>
      <c r="AU1005" s="51">
        <v>41760</v>
      </c>
      <c r="AV1005" s="224">
        <v>41912</v>
      </c>
      <c r="AW1005" s="38">
        <v>2014</v>
      </c>
      <c r="AX1005" s="60"/>
      <c r="AY1005" s="135"/>
      <c r="AZ1005" s="60"/>
      <c r="BA1005" s="38" t="s">
        <v>132</v>
      </c>
      <c r="BB1005" s="38" t="s">
        <v>132</v>
      </c>
      <c r="BC1005" s="60" t="s">
        <v>132</v>
      </c>
      <c r="BD1005" s="60" t="s">
        <v>132</v>
      </c>
      <c r="BE1005" s="331" t="s">
        <v>132</v>
      </c>
      <c r="BF1005" s="331" t="s">
        <v>132</v>
      </c>
      <c r="BG1005" s="331" t="s">
        <v>132</v>
      </c>
      <c r="BH1005" s="331" t="s">
        <v>132</v>
      </c>
      <c r="BI1005" s="331" t="s">
        <v>132</v>
      </c>
      <c r="BJ1005" s="331" t="s">
        <v>132</v>
      </c>
      <c r="BK1005" s="331"/>
    </row>
    <row r="1006" spans="1:63" s="268" customFormat="1" ht="69.95" customHeight="1">
      <c r="A1006" s="25">
        <v>3</v>
      </c>
      <c r="B1006" s="38" t="s">
        <v>3093</v>
      </c>
      <c r="C1006" s="46" t="s">
        <v>83</v>
      </c>
      <c r="D1006" s="38" t="s">
        <v>3061</v>
      </c>
      <c r="E1006" s="38" t="s">
        <v>250</v>
      </c>
      <c r="F1006" s="38" t="s">
        <v>1378</v>
      </c>
      <c r="G1006" s="38">
        <v>4010412</v>
      </c>
      <c r="H1006" s="63">
        <v>842575</v>
      </c>
      <c r="I1006" s="16" t="s">
        <v>3094</v>
      </c>
      <c r="J1006" s="18" t="s">
        <v>973</v>
      </c>
      <c r="K1006" s="60" t="s">
        <v>4717</v>
      </c>
      <c r="L1006" s="16" t="s">
        <v>180</v>
      </c>
      <c r="M1006" s="95" t="s">
        <v>3069</v>
      </c>
      <c r="N1006" s="15" t="s">
        <v>768</v>
      </c>
      <c r="O1006" s="16" t="s">
        <v>4134</v>
      </c>
      <c r="P1006" s="24">
        <v>6122.7</v>
      </c>
      <c r="Q1006" s="258">
        <f t="shared" si="137"/>
        <v>7224.7859999999991</v>
      </c>
      <c r="R1006" s="23">
        <v>6122.6990610405837</v>
      </c>
      <c r="S1006" s="29" t="s">
        <v>1373</v>
      </c>
      <c r="T1006" s="25">
        <v>1.0840000000000001</v>
      </c>
      <c r="U1006" s="25">
        <v>1.0509999999999999</v>
      </c>
      <c r="V1006" s="25">
        <v>1.0669999999999999</v>
      </c>
      <c r="W1006" s="25">
        <v>1.0529999999999999</v>
      </c>
      <c r="X1006" s="25">
        <v>0.9</v>
      </c>
      <c r="Y1006" s="23">
        <v>7053.59</v>
      </c>
      <c r="Z1006" s="23">
        <f t="shared" si="138"/>
        <v>8323.2361999999994</v>
      </c>
      <c r="AA1006" s="36" t="s">
        <v>132</v>
      </c>
      <c r="AB1006" s="36" t="s">
        <v>132</v>
      </c>
      <c r="AC1006" s="37">
        <v>6122.7</v>
      </c>
      <c r="AD1006" s="342">
        <f t="shared" si="135"/>
        <v>7224.7859999999991</v>
      </c>
      <c r="AE1006" s="38" t="s">
        <v>173</v>
      </c>
      <c r="AF1006" s="38" t="s">
        <v>83</v>
      </c>
      <c r="AG1006" s="46" t="s">
        <v>83</v>
      </c>
      <c r="AH1006" s="44" t="s">
        <v>90</v>
      </c>
      <c r="AI1006" s="52">
        <f>AJ1006-60</f>
        <v>41550</v>
      </c>
      <c r="AJ1006" s="52">
        <v>41610</v>
      </c>
      <c r="AK1006" s="60"/>
      <c r="AL1006" s="60"/>
      <c r="AM1006" s="61" t="s">
        <v>3095</v>
      </c>
      <c r="AN1006" s="61" t="s">
        <v>3052</v>
      </c>
      <c r="AO1006" s="64">
        <v>59</v>
      </c>
      <c r="AP1006" s="38" t="s">
        <v>1191</v>
      </c>
      <c r="AQ1006" s="66">
        <v>150</v>
      </c>
      <c r="AR1006" s="38" t="s">
        <v>3053</v>
      </c>
      <c r="AS1006" s="16" t="s">
        <v>3054</v>
      </c>
      <c r="AT1006" s="78">
        <v>41640</v>
      </c>
      <c r="AU1006" s="51">
        <v>41730</v>
      </c>
      <c r="AV1006" s="52">
        <v>41943</v>
      </c>
      <c r="AW1006" s="38">
        <v>2014</v>
      </c>
      <c r="AX1006" s="60"/>
      <c r="AY1006" s="135"/>
      <c r="AZ1006" s="60"/>
      <c r="BA1006" s="38" t="s">
        <v>132</v>
      </c>
      <c r="BB1006" s="38" t="s">
        <v>132</v>
      </c>
      <c r="BC1006" s="60" t="s">
        <v>132</v>
      </c>
      <c r="BD1006" s="60" t="s">
        <v>132</v>
      </c>
      <c r="BE1006" s="331" t="s">
        <v>132</v>
      </c>
      <c r="BF1006" s="331" t="s">
        <v>132</v>
      </c>
      <c r="BG1006" s="331" t="s">
        <v>132</v>
      </c>
      <c r="BH1006" s="331" t="s">
        <v>132</v>
      </c>
      <c r="BI1006" s="331" t="s">
        <v>132</v>
      </c>
      <c r="BJ1006" s="331" t="s">
        <v>132</v>
      </c>
      <c r="BK1006" s="331"/>
    </row>
    <row r="1007" spans="1:63" s="268" customFormat="1" ht="69.95" customHeight="1">
      <c r="A1007" s="25">
        <v>3</v>
      </c>
      <c r="B1007" s="38" t="s">
        <v>3099</v>
      </c>
      <c r="C1007" s="46" t="s">
        <v>83</v>
      </c>
      <c r="D1007" s="38" t="s">
        <v>3100</v>
      </c>
      <c r="E1007" s="38" t="s">
        <v>250</v>
      </c>
      <c r="F1007" s="38" t="s">
        <v>1378</v>
      </c>
      <c r="G1007" s="38">
        <v>4010412</v>
      </c>
      <c r="H1007" s="63">
        <v>842577</v>
      </c>
      <c r="I1007" s="18" t="s">
        <v>4633</v>
      </c>
      <c r="J1007" s="18" t="s">
        <v>3101</v>
      </c>
      <c r="K1007" s="60" t="s">
        <v>4717</v>
      </c>
      <c r="L1007" s="16" t="s">
        <v>180</v>
      </c>
      <c r="M1007" s="95" t="s">
        <v>1249</v>
      </c>
      <c r="N1007" s="15" t="s">
        <v>768</v>
      </c>
      <c r="O1007" s="16" t="s">
        <v>4134</v>
      </c>
      <c r="P1007" s="24">
        <v>3257.58</v>
      </c>
      <c r="Q1007" s="258">
        <f t="shared" si="137"/>
        <v>3843.9443999999999</v>
      </c>
      <c r="R1007" s="23">
        <v>2928.3549367549422</v>
      </c>
      <c r="S1007" s="29" t="s">
        <v>1373</v>
      </c>
      <c r="T1007" s="25">
        <v>1.0840000000000001</v>
      </c>
      <c r="U1007" s="25">
        <v>1.0509999999999999</v>
      </c>
      <c r="V1007" s="25">
        <v>1.0669999999999999</v>
      </c>
      <c r="W1007" s="25">
        <v>1.0529999999999999</v>
      </c>
      <c r="X1007" s="25">
        <v>0.9</v>
      </c>
      <c r="Y1007" s="23">
        <v>3373.58</v>
      </c>
      <c r="Z1007" s="23">
        <f t="shared" si="138"/>
        <v>3980.8243999999995</v>
      </c>
      <c r="AA1007" s="36" t="s">
        <v>132</v>
      </c>
      <c r="AB1007" s="36" t="s">
        <v>132</v>
      </c>
      <c r="AC1007" s="37">
        <v>3257.58</v>
      </c>
      <c r="AD1007" s="342">
        <f t="shared" si="135"/>
        <v>3843.9443999999999</v>
      </c>
      <c r="AE1007" s="38" t="s">
        <v>173</v>
      </c>
      <c r="AF1007" s="38" t="s">
        <v>83</v>
      </c>
      <c r="AG1007" s="46" t="s">
        <v>83</v>
      </c>
      <c r="AH1007" s="44" t="s">
        <v>90</v>
      </c>
      <c r="AI1007" s="52">
        <f>AJ1007-45</f>
        <v>41565</v>
      </c>
      <c r="AJ1007" s="52">
        <v>41610</v>
      </c>
      <c r="AK1007" s="60"/>
      <c r="AL1007" s="60"/>
      <c r="AM1007" s="61" t="s">
        <v>3102</v>
      </c>
      <c r="AN1007" s="61" t="s">
        <v>3052</v>
      </c>
      <c r="AO1007" s="64">
        <v>796</v>
      </c>
      <c r="AP1007" s="38" t="s">
        <v>419</v>
      </c>
      <c r="AQ1007" s="66">
        <v>15</v>
      </c>
      <c r="AR1007" s="38" t="s">
        <v>3053</v>
      </c>
      <c r="AS1007" s="16" t="s">
        <v>3054</v>
      </c>
      <c r="AT1007" s="78">
        <v>41640</v>
      </c>
      <c r="AU1007" s="51">
        <v>41699</v>
      </c>
      <c r="AV1007" s="52">
        <v>41943</v>
      </c>
      <c r="AW1007" s="38">
        <v>2014</v>
      </c>
      <c r="AX1007" s="60"/>
      <c r="AY1007" s="135"/>
      <c r="AZ1007" s="60"/>
      <c r="BA1007" s="38" t="s">
        <v>132</v>
      </c>
      <c r="BB1007" s="38" t="s">
        <v>132</v>
      </c>
      <c r="BC1007" s="60" t="s">
        <v>132</v>
      </c>
      <c r="BD1007" s="60" t="s">
        <v>132</v>
      </c>
      <c r="BE1007" s="331" t="s">
        <v>132</v>
      </c>
      <c r="BF1007" s="331" t="s">
        <v>132</v>
      </c>
      <c r="BG1007" s="331" t="s">
        <v>132</v>
      </c>
      <c r="BH1007" s="331" t="s">
        <v>132</v>
      </c>
      <c r="BI1007" s="331" t="s">
        <v>132</v>
      </c>
      <c r="BJ1007" s="331" t="s">
        <v>132</v>
      </c>
      <c r="BK1007" s="331"/>
    </row>
    <row r="1008" spans="1:63" s="268" customFormat="1" ht="69.95" customHeight="1">
      <c r="A1008" s="25">
        <v>3</v>
      </c>
      <c r="B1008" s="38" t="s">
        <v>3103</v>
      </c>
      <c r="C1008" s="46" t="s">
        <v>83</v>
      </c>
      <c r="D1008" s="38" t="s">
        <v>3104</v>
      </c>
      <c r="E1008" s="38" t="s">
        <v>250</v>
      </c>
      <c r="F1008" s="38" t="s">
        <v>1378</v>
      </c>
      <c r="G1008" s="38">
        <v>4010412</v>
      </c>
      <c r="H1008" s="63">
        <v>842578</v>
      </c>
      <c r="I1008" s="17" t="s">
        <v>3105</v>
      </c>
      <c r="J1008" s="17" t="s">
        <v>3105</v>
      </c>
      <c r="K1008" s="193" t="s">
        <v>4717</v>
      </c>
      <c r="L1008" s="16" t="s">
        <v>180</v>
      </c>
      <c r="M1008" s="95" t="s">
        <v>1249</v>
      </c>
      <c r="N1008" s="15" t="s">
        <v>768</v>
      </c>
      <c r="O1008" s="16" t="s">
        <v>1463</v>
      </c>
      <c r="P1008" s="37">
        <v>16968.22</v>
      </c>
      <c r="Q1008" s="258">
        <f t="shared" si="137"/>
        <v>20022.499599999999</v>
      </c>
      <c r="R1008" s="23">
        <v>14841.65</v>
      </c>
      <c r="S1008" s="29" t="s">
        <v>1373</v>
      </c>
      <c r="T1008" s="25">
        <v>1.0840000000000001</v>
      </c>
      <c r="U1008" s="25">
        <v>1.0509999999999999</v>
      </c>
      <c r="V1008" s="25">
        <v>1.0669999999999999</v>
      </c>
      <c r="W1008" s="25">
        <v>1.0529999999999999</v>
      </c>
      <c r="X1008" s="25">
        <v>0.9</v>
      </c>
      <c r="Y1008" s="23">
        <v>17097.580000000002</v>
      </c>
      <c r="Z1008" s="23">
        <f t="shared" si="138"/>
        <v>20175.144400000001</v>
      </c>
      <c r="AA1008" s="36" t="s">
        <v>132</v>
      </c>
      <c r="AB1008" s="36" t="s">
        <v>132</v>
      </c>
      <c r="AC1008" s="37">
        <v>16968.22</v>
      </c>
      <c r="AD1008" s="342">
        <f t="shared" si="135"/>
        <v>20022.499599999999</v>
      </c>
      <c r="AE1008" s="38" t="s">
        <v>169</v>
      </c>
      <c r="AF1008" s="38" t="s">
        <v>83</v>
      </c>
      <c r="AG1008" s="46" t="s">
        <v>83</v>
      </c>
      <c r="AH1008" s="44" t="s">
        <v>90</v>
      </c>
      <c r="AI1008" s="52">
        <f>AJ1008-60</f>
        <v>41550</v>
      </c>
      <c r="AJ1008" s="52">
        <v>41610</v>
      </c>
      <c r="AK1008" s="60"/>
      <c r="AL1008" s="60"/>
      <c r="AM1008" s="61" t="s">
        <v>3106</v>
      </c>
      <c r="AN1008" s="61" t="s">
        <v>3052</v>
      </c>
      <c r="AO1008" s="64">
        <v>796</v>
      </c>
      <c r="AP1008" s="38" t="s">
        <v>419</v>
      </c>
      <c r="AQ1008" s="44" t="s">
        <v>3107</v>
      </c>
      <c r="AR1008" s="38" t="s">
        <v>3053</v>
      </c>
      <c r="AS1008" s="16" t="s">
        <v>3054</v>
      </c>
      <c r="AT1008" s="78">
        <v>41640</v>
      </c>
      <c r="AU1008" s="51">
        <v>41791</v>
      </c>
      <c r="AV1008" s="52">
        <v>41973</v>
      </c>
      <c r="AW1008" s="38">
        <v>2014</v>
      </c>
      <c r="AX1008" s="60"/>
      <c r="AY1008" s="135"/>
      <c r="AZ1008" s="60"/>
      <c r="BA1008" s="38" t="s">
        <v>132</v>
      </c>
      <c r="BB1008" s="38" t="s">
        <v>132</v>
      </c>
      <c r="BC1008" s="60" t="s">
        <v>132</v>
      </c>
      <c r="BD1008" s="60" t="s">
        <v>132</v>
      </c>
      <c r="BE1008" s="331" t="s">
        <v>132</v>
      </c>
      <c r="BF1008" s="331" t="s">
        <v>132</v>
      </c>
      <c r="BG1008" s="331" t="s">
        <v>132</v>
      </c>
      <c r="BH1008" s="331" t="s">
        <v>132</v>
      </c>
      <c r="BI1008" s="331" t="s">
        <v>132</v>
      </c>
      <c r="BJ1008" s="331" t="s">
        <v>132</v>
      </c>
      <c r="BK1008" s="331"/>
    </row>
    <row r="1009" spans="1:63" s="268" customFormat="1" ht="169.5" customHeight="1">
      <c r="A1009" s="25">
        <v>3</v>
      </c>
      <c r="B1009" s="38" t="s">
        <v>3108</v>
      </c>
      <c r="C1009" s="46" t="s">
        <v>83</v>
      </c>
      <c r="D1009" s="38" t="s">
        <v>3109</v>
      </c>
      <c r="E1009" s="38" t="s">
        <v>250</v>
      </c>
      <c r="F1009" s="38" t="s">
        <v>1378</v>
      </c>
      <c r="G1009" s="38">
        <v>4010412</v>
      </c>
      <c r="H1009" s="63">
        <v>842579</v>
      </c>
      <c r="I1009" s="17" t="s">
        <v>4558</v>
      </c>
      <c r="J1009" s="18" t="s">
        <v>773</v>
      </c>
      <c r="K1009" s="60" t="s">
        <v>4717</v>
      </c>
      <c r="L1009" s="16" t="s">
        <v>180</v>
      </c>
      <c r="M1009" s="95" t="s">
        <v>1249</v>
      </c>
      <c r="N1009" s="15" t="s">
        <v>768</v>
      </c>
      <c r="O1009" s="16" t="s">
        <v>4134</v>
      </c>
      <c r="P1009" s="24">
        <v>11609.23</v>
      </c>
      <c r="Q1009" s="258">
        <f t="shared" si="137"/>
        <v>13698.891399999999</v>
      </c>
      <c r="R1009" s="23">
        <v>10154.280000000001</v>
      </c>
      <c r="S1009" s="29" t="s">
        <v>1373</v>
      </c>
      <c r="T1009" s="25">
        <v>1.0840000000000001</v>
      </c>
      <c r="U1009" s="25">
        <v>1.0509999999999999</v>
      </c>
      <c r="V1009" s="25">
        <v>1.0669999999999999</v>
      </c>
      <c r="W1009" s="25">
        <v>1.0529999999999999</v>
      </c>
      <c r="X1009" s="25">
        <v>0.9</v>
      </c>
      <c r="Y1009" s="23">
        <v>11697.74</v>
      </c>
      <c r="Z1009" s="23">
        <f t="shared" si="138"/>
        <v>13803.333199999999</v>
      </c>
      <c r="AA1009" s="36" t="s">
        <v>132</v>
      </c>
      <c r="AB1009" s="36" t="s">
        <v>132</v>
      </c>
      <c r="AC1009" s="24">
        <v>11609.23</v>
      </c>
      <c r="AD1009" s="342">
        <f t="shared" si="135"/>
        <v>13698.891399999999</v>
      </c>
      <c r="AE1009" s="38" t="s">
        <v>169</v>
      </c>
      <c r="AF1009" s="38" t="s">
        <v>83</v>
      </c>
      <c r="AG1009" s="46" t="s">
        <v>83</v>
      </c>
      <c r="AH1009" s="44" t="s">
        <v>90</v>
      </c>
      <c r="AI1009" s="52">
        <v>41625</v>
      </c>
      <c r="AJ1009" s="51">
        <v>41685</v>
      </c>
      <c r="AK1009" s="60"/>
      <c r="AL1009" s="60"/>
      <c r="AM1009" s="61" t="s">
        <v>4558</v>
      </c>
      <c r="AN1009" s="61" t="s">
        <v>3052</v>
      </c>
      <c r="AO1009" s="64">
        <v>796</v>
      </c>
      <c r="AP1009" s="38" t="s">
        <v>419</v>
      </c>
      <c r="AQ1009" s="66">
        <v>42</v>
      </c>
      <c r="AR1009" s="38" t="s">
        <v>3053</v>
      </c>
      <c r="AS1009" s="16" t="s">
        <v>3054</v>
      </c>
      <c r="AT1009" s="52">
        <v>41705</v>
      </c>
      <c r="AU1009" s="52">
        <v>41705</v>
      </c>
      <c r="AV1009" s="52">
        <v>42004</v>
      </c>
      <c r="AW1009" s="38">
        <v>2014</v>
      </c>
      <c r="AX1009" s="60"/>
      <c r="AY1009" s="135"/>
      <c r="AZ1009" s="60"/>
      <c r="BA1009" s="38" t="s">
        <v>132</v>
      </c>
      <c r="BB1009" s="38" t="s">
        <v>132</v>
      </c>
      <c r="BC1009" s="60" t="s">
        <v>132</v>
      </c>
      <c r="BD1009" s="60" t="s">
        <v>132</v>
      </c>
      <c r="BE1009" s="331" t="s">
        <v>132</v>
      </c>
      <c r="BF1009" s="331" t="s">
        <v>132</v>
      </c>
      <c r="BG1009" s="331" t="s">
        <v>132</v>
      </c>
      <c r="BH1009" s="331" t="s">
        <v>132</v>
      </c>
      <c r="BI1009" s="331" t="s">
        <v>132</v>
      </c>
      <c r="BJ1009" s="331" t="s">
        <v>132</v>
      </c>
      <c r="BK1009" s="304"/>
    </row>
    <row r="1010" spans="1:63" s="268" customFormat="1" ht="149.25" customHeight="1">
      <c r="A1010" s="25">
        <v>3</v>
      </c>
      <c r="B1010" s="38" t="s">
        <v>3110</v>
      </c>
      <c r="C1010" s="46" t="s">
        <v>83</v>
      </c>
      <c r="D1010" s="38" t="s">
        <v>3109</v>
      </c>
      <c r="E1010" s="38" t="s">
        <v>250</v>
      </c>
      <c r="F1010" s="38" t="s">
        <v>1378</v>
      </c>
      <c r="G1010" s="38">
        <v>4010412</v>
      </c>
      <c r="H1010" s="63">
        <v>842580</v>
      </c>
      <c r="I1010" s="17" t="s">
        <v>4560</v>
      </c>
      <c r="J1010" s="18" t="s">
        <v>773</v>
      </c>
      <c r="K1010" s="60" t="s">
        <v>4717</v>
      </c>
      <c r="L1010" s="16" t="s">
        <v>180</v>
      </c>
      <c r="M1010" s="95" t="s">
        <v>1249</v>
      </c>
      <c r="N1010" s="15" t="s">
        <v>768</v>
      </c>
      <c r="O1010" s="16" t="s">
        <v>4134</v>
      </c>
      <c r="P1010" s="469">
        <v>32077.89</v>
      </c>
      <c r="Q1010" s="258">
        <f t="shared" si="137"/>
        <v>37851.910199999998</v>
      </c>
      <c r="R1010" s="23"/>
      <c r="S1010" s="29"/>
      <c r="T1010" s="25"/>
      <c r="U1010" s="25"/>
      <c r="V1010" s="25"/>
      <c r="W1010" s="25"/>
      <c r="X1010" s="25"/>
      <c r="Y1010" s="469">
        <v>32077.89</v>
      </c>
      <c r="Z1010" s="23">
        <f t="shared" si="138"/>
        <v>37851.910199999998</v>
      </c>
      <c r="AA1010" s="36" t="s">
        <v>132</v>
      </c>
      <c r="AB1010" s="36" t="s">
        <v>132</v>
      </c>
      <c r="AC1010" s="469">
        <v>32077.89</v>
      </c>
      <c r="AD1010" s="258">
        <f t="shared" si="135"/>
        <v>37851.910199999998</v>
      </c>
      <c r="AE1010" s="38" t="s">
        <v>169</v>
      </c>
      <c r="AF1010" s="38" t="s">
        <v>83</v>
      </c>
      <c r="AG1010" s="46" t="s">
        <v>83</v>
      </c>
      <c r="AH1010" s="44" t="s">
        <v>90</v>
      </c>
      <c r="AI1010" s="52">
        <v>41625</v>
      </c>
      <c r="AJ1010" s="51">
        <v>41685</v>
      </c>
      <c r="AK1010" s="60"/>
      <c r="AL1010" s="60"/>
      <c r="AM1010" s="61" t="s">
        <v>4559</v>
      </c>
      <c r="AN1010" s="61" t="s">
        <v>3052</v>
      </c>
      <c r="AO1010" s="64">
        <v>796</v>
      </c>
      <c r="AP1010" s="38" t="s">
        <v>419</v>
      </c>
      <c r="AQ1010" s="66">
        <v>100</v>
      </c>
      <c r="AR1010" s="38" t="s">
        <v>3053</v>
      </c>
      <c r="AS1010" s="16" t="s">
        <v>3054</v>
      </c>
      <c r="AT1010" s="52">
        <v>41705</v>
      </c>
      <c r="AU1010" s="52">
        <v>41705</v>
      </c>
      <c r="AV1010" s="52">
        <v>42004</v>
      </c>
      <c r="AW1010" s="38">
        <v>2014</v>
      </c>
      <c r="AX1010" s="60"/>
      <c r="AY1010" s="135"/>
      <c r="AZ1010" s="60"/>
      <c r="BA1010" s="38" t="s">
        <v>132</v>
      </c>
      <c r="BB1010" s="38" t="s">
        <v>132</v>
      </c>
      <c r="BC1010" s="60" t="s">
        <v>132</v>
      </c>
      <c r="BD1010" s="60" t="s">
        <v>132</v>
      </c>
      <c r="BE1010" s="331" t="s">
        <v>132</v>
      </c>
      <c r="BF1010" s="331" t="s">
        <v>132</v>
      </c>
      <c r="BG1010" s="331" t="s">
        <v>132</v>
      </c>
      <c r="BH1010" s="331" t="s">
        <v>132</v>
      </c>
      <c r="BI1010" s="331" t="s">
        <v>132</v>
      </c>
      <c r="BJ1010" s="331" t="s">
        <v>132</v>
      </c>
      <c r="BK1010" s="304"/>
    </row>
    <row r="1011" spans="1:63" s="268" customFormat="1" ht="181.5" customHeight="1">
      <c r="A1011" s="25">
        <v>3</v>
      </c>
      <c r="B1011" s="38" t="s">
        <v>3111</v>
      </c>
      <c r="C1011" s="46" t="s">
        <v>83</v>
      </c>
      <c r="D1011" s="38" t="s">
        <v>3109</v>
      </c>
      <c r="E1011" s="38" t="s">
        <v>250</v>
      </c>
      <c r="F1011" s="38" t="s">
        <v>1378</v>
      </c>
      <c r="G1011" s="38">
        <v>4010412</v>
      </c>
      <c r="H1011" s="63">
        <v>842581</v>
      </c>
      <c r="I1011" s="17" t="s">
        <v>4562</v>
      </c>
      <c r="J1011" s="18" t="s">
        <v>773</v>
      </c>
      <c r="K1011" s="60" t="s">
        <v>4717</v>
      </c>
      <c r="L1011" s="16" t="s">
        <v>180</v>
      </c>
      <c r="M1011" s="95" t="s">
        <v>1249</v>
      </c>
      <c r="N1011" s="15" t="s">
        <v>768</v>
      </c>
      <c r="O1011" s="16" t="s">
        <v>4134</v>
      </c>
      <c r="P1011" s="24">
        <v>16937.02</v>
      </c>
      <c r="Q1011" s="258">
        <f t="shared" si="137"/>
        <v>19985.6836</v>
      </c>
      <c r="R1011" s="23">
        <v>14814.37</v>
      </c>
      <c r="S1011" s="29" t="s">
        <v>1373</v>
      </c>
      <c r="T1011" s="25">
        <v>1.0840000000000001</v>
      </c>
      <c r="U1011" s="25">
        <v>1.0509999999999999</v>
      </c>
      <c r="V1011" s="25">
        <v>1.0669999999999999</v>
      </c>
      <c r="W1011" s="25">
        <v>1.0529999999999999</v>
      </c>
      <c r="X1011" s="25">
        <v>0.9</v>
      </c>
      <c r="Y1011" s="23">
        <v>17066.16</v>
      </c>
      <c r="Z1011" s="23">
        <f t="shared" si="138"/>
        <v>20138.068799999997</v>
      </c>
      <c r="AA1011" s="36" t="s">
        <v>132</v>
      </c>
      <c r="AB1011" s="36" t="s">
        <v>132</v>
      </c>
      <c r="AC1011" s="37">
        <v>16937.02</v>
      </c>
      <c r="AD1011" s="342">
        <f t="shared" ref="AD1011:AD1053" si="139">AC1011*1.18</f>
        <v>19985.6836</v>
      </c>
      <c r="AE1011" s="38" t="s">
        <v>169</v>
      </c>
      <c r="AF1011" s="38" t="s">
        <v>83</v>
      </c>
      <c r="AG1011" s="46" t="s">
        <v>83</v>
      </c>
      <c r="AH1011" s="44" t="s">
        <v>90</v>
      </c>
      <c r="AI1011" s="52">
        <v>41625</v>
      </c>
      <c r="AJ1011" s="51">
        <v>41685</v>
      </c>
      <c r="AK1011" s="60"/>
      <c r="AL1011" s="60"/>
      <c r="AM1011" s="61" t="s">
        <v>4561</v>
      </c>
      <c r="AN1011" s="61" t="s">
        <v>3052</v>
      </c>
      <c r="AO1011" s="64">
        <v>796</v>
      </c>
      <c r="AP1011" s="38" t="s">
        <v>419</v>
      </c>
      <c r="AQ1011" s="66">
        <v>13</v>
      </c>
      <c r="AR1011" s="38" t="s">
        <v>3053</v>
      </c>
      <c r="AS1011" s="16" t="s">
        <v>3054</v>
      </c>
      <c r="AT1011" s="52">
        <v>41705</v>
      </c>
      <c r="AU1011" s="52">
        <v>41705</v>
      </c>
      <c r="AV1011" s="52">
        <v>42004</v>
      </c>
      <c r="AW1011" s="38">
        <v>2014</v>
      </c>
      <c r="AX1011" s="60"/>
      <c r="AY1011" s="135"/>
      <c r="AZ1011" s="60"/>
      <c r="BA1011" s="38" t="s">
        <v>132</v>
      </c>
      <c r="BB1011" s="38" t="s">
        <v>132</v>
      </c>
      <c r="BC1011" s="60" t="s">
        <v>132</v>
      </c>
      <c r="BD1011" s="60" t="s">
        <v>132</v>
      </c>
      <c r="BE1011" s="331" t="s">
        <v>132</v>
      </c>
      <c r="BF1011" s="331" t="s">
        <v>132</v>
      </c>
      <c r="BG1011" s="331" t="s">
        <v>132</v>
      </c>
      <c r="BH1011" s="331" t="s">
        <v>132</v>
      </c>
      <c r="BI1011" s="331" t="s">
        <v>132</v>
      </c>
      <c r="BJ1011" s="331" t="s">
        <v>132</v>
      </c>
      <c r="BK1011" s="304"/>
    </row>
    <row r="1012" spans="1:63" s="268" customFormat="1" ht="69.95" customHeight="1">
      <c r="A1012" s="25">
        <v>3</v>
      </c>
      <c r="B1012" s="38" t="s">
        <v>3113</v>
      </c>
      <c r="C1012" s="46" t="s">
        <v>83</v>
      </c>
      <c r="D1012" s="38" t="s">
        <v>3112</v>
      </c>
      <c r="E1012" s="38" t="s">
        <v>250</v>
      </c>
      <c r="F1012" s="38" t="s">
        <v>1378</v>
      </c>
      <c r="G1012" s="38">
        <v>4010412</v>
      </c>
      <c r="H1012" s="63">
        <v>842584</v>
      </c>
      <c r="I1012" s="16" t="s">
        <v>3114</v>
      </c>
      <c r="J1012" s="16" t="s">
        <v>3114</v>
      </c>
      <c r="K1012" s="60" t="s">
        <v>4717</v>
      </c>
      <c r="L1012" s="16" t="s">
        <v>180</v>
      </c>
      <c r="M1012" s="95" t="s">
        <v>1249</v>
      </c>
      <c r="N1012" s="15" t="s">
        <v>768</v>
      </c>
      <c r="O1012" s="16" t="s">
        <v>271</v>
      </c>
      <c r="P1012" s="258">
        <v>2000</v>
      </c>
      <c r="Q1012" s="258">
        <f t="shared" si="137"/>
        <v>2360</v>
      </c>
      <c r="R1012" s="23"/>
      <c r="S1012" s="29"/>
      <c r="T1012" s="25"/>
      <c r="U1012" s="25"/>
      <c r="V1012" s="25"/>
      <c r="W1012" s="25"/>
      <c r="X1012" s="25"/>
      <c r="Y1012" s="23">
        <v>2000</v>
      </c>
      <c r="Z1012" s="23">
        <f t="shared" si="138"/>
        <v>2360</v>
      </c>
      <c r="AA1012" s="36" t="s">
        <v>132</v>
      </c>
      <c r="AB1012" s="36" t="s">
        <v>132</v>
      </c>
      <c r="AC1012" s="34">
        <v>2000</v>
      </c>
      <c r="AD1012" s="342">
        <f t="shared" si="139"/>
        <v>2360</v>
      </c>
      <c r="AE1012" s="38" t="s">
        <v>173</v>
      </c>
      <c r="AF1012" s="38" t="s">
        <v>83</v>
      </c>
      <c r="AG1012" s="46" t="s">
        <v>83</v>
      </c>
      <c r="AH1012" s="44" t="s">
        <v>90</v>
      </c>
      <c r="AI1012" s="52">
        <v>41625</v>
      </c>
      <c r="AJ1012" s="51">
        <v>41670</v>
      </c>
      <c r="AK1012" s="60"/>
      <c r="AL1012" s="60"/>
      <c r="AM1012" s="60" t="s">
        <v>3114</v>
      </c>
      <c r="AN1012" s="61" t="s">
        <v>3052</v>
      </c>
      <c r="AO1012" s="64">
        <v>796</v>
      </c>
      <c r="AP1012" s="38" t="s">
        <v>419</v>
      </c>
      <c r="AQ1012" s="38">
        <v>1</v>
      </c>
      <c r="AR1012" s="38" t="s">
        <v>3053</v>
      </c>
      <c r="AS1012" s="16" t="s">
        <v>3054</v>
      </c>
      <c r="AT1012" s="52">
        <v>41690</v>
      </c>
      <c r="AU1012" s="52">
        <v>41690</v>
      </c>
      <c r="AV1012" s="224">
        <v>42094</v>
      </c>
      <c r="AW1012" s="38" t="s">
        <v>99</v>
      </c>
      <c r="AX1012" s="60"/>
      <c r="AY1012" s="135"/>
      <c r="AZ1012" s="60"/>
      <c r="BA1012" s="38" t="s">
        <v>132</v>
      </c>
      <c r="BB1012" s="38" t="s">
        <v>132</v>
      </c>
      <c r="BC1012" s="60" t="s">
        <v>132</v>
      </c>
      <c r="BD1012" s="60" t="s">
        <v>132</v>
      </c>
      <c r="BE1012" s="331" t="s">
        <v>132</v>
      </c>
      <c r="BF1012" s="331" t="s">
        <v>132</v>
      </c>
      <c r="BG1012" s="331" t="s">
        <v>132</v>
      </c>
      <c r="BH1012" s="331" t="s">
        <v>132</v>
      </c>
      <c r="BI1012" s="331" t="s">
        <v>132</v>
      </c>
      <c r="BJ1012" s="331" t="s">
        <v>132</v>
      </c>
      <c r="BK1012" s="331"/>
    </row>
    <row r="1013" spans="1:63" s="268" customFormat="1" ht="69.95" customHeight="1">
      <c r="A1013" s="25">
        <v>3</v>
      </c>
      <c r="B1013" s="38" t="s">
        <v>3115</v>
      </c>
      <c r="C1013" s="46" t="s">
        <v>83</v>
      </c>
      <c r="D1013" s="38" t="s">
        <v>3112</v>
      </c>
      <c r="E1013" s="38" t="s">
        <v>250</v>
      </c>
      <c r="F1013" s="38" t="s">
        <v>1378</v>
      </c>
      <c r="G1013" s="38">
        <v>4010412</v>
      </c>
      <c r="H1013" s="63">
        <v>842585</v>
      </c>
      <c r="I1013" s="16" t="s">
        <v>3116</v>
      </c>
      <c r="J1013" s="16" t="s">
        <v>3116</v>
      </c>
      <c r="K1013" s="60" t="s">
        <v>4717</v>
      </c>
      <c r="L1013" s="16" t="s">
        <v>180</v>
      </c>
      <c r="M1013" s="95" t="s">
        <v>1249</v>
      </c>
      <c r="N1013" s="15" t="s">
        <v>768</v>
      </c>
      <c r="O1013" s="16" t="s">
        <v>271</v>
      </c>
      <c r="P1013" s="258">
        <v>1500</v>
      </c>
      <c r="Q1013" s="258">
        <f t="shared" si="137"/>
        <v>1770</v>
      </c>
      <c r="R1013" s="23"/>
      <c r="S1013" s="29"/>
      <c r="T1013" s="25"/>
      <c r="U1013" s="25"/>
      <c r="V1013" s="25"/>
      <c r="W1013" s="25"/>
      <c r="X1013" s="25"/>
      <c r="Y1013" s="23">
        <v>1500</v>
      </c>
      <c r="Z1013" s="23">
        <f t="shared" si="138"/>
        <v>1770</v>
      </c>
      <c r="AA1013" s="36" t="s">
        <v>132</v>
      </c>
      <c r="AB1013" s="36" t="s">
        <v>132</v>
      </c>
      <c r="AC1013" s="34">
        <v>1500</v>
      </c>
      <c r="AD1013" s="342">
        <f t="shared" si="139"/>
        <v>1770</v>
      </c>
      <c r="AE1013" s="38" t="s">
        <v>173</v>
      </c>
      <c r="AF1013" s="38" t="s">
        <v>83</v>
      </c>
      <c r="AG1013" s="46" t="s">
        <v>83</v>
      </c>
      <c r="AH1013" s="44" t="s">
        <v>90</v>
      </c>
      <c r="AI1013" s="52">
        <v>41625</v>
      </c>
      <c r="AJ1013" s="51">
        <v>41670</v>
      </c>
      <c r="AK1013" s="60"/>
      <c r="AL1013" s="60"/>
      <c r="AM1013" s="60" t="s">
        <v>3116</v>
      </c>
      <c r="AN1013" s="61" t="s">
        <v>3052</v>
      </c>
      <c r="AO1013" s="64">
        <v>796</v>
      </c>
      <c r="AP1013" s="38" t="s">
        <v>419</v>
      </c>
      <c r="AQ1013" s="38">
        <v>1</v>
      </c>
      <c r="AR1013" s="38" t="s">
        <v>3053</v>
      </c>
      <c r="AS1013" s="16" t="s">
        <v>3054</v>
      </c>
      <c r="AT1013" s="52">
        <v>41690</v>
      </c>
      <c r="AU1013" s="52">
        <v>41690</v>
      </c>
      <c r="AV1013" s="224">
        <v>42094</v>
      </c>
      <c r="AW1013" s="38" t="s">
        <v>99</v>
      </c>
      <c r="AX1013" s="60"/>
      <c r="AY1013" s="135"/>
      <c r="AZ1013" s="60"/>
      <c r="BA1013" s="38" t="s">
        <v>132</v>
      </c>
      <c r="BB1013" s="38" t="s">
        <v>132</v>
      </c>
      <c r="BC1013" s="60" t="s">
        <v>132</v>
      </c>
      <c r="BD1013" s="60" t="s">
        <v>132</v>
      </c>
      <c r="BE1013" s="331" t="s">
        <v>132</v>
      </c>
      <c r="BF1013" s="331" t="s">
        <v>132</v>
      </c>
      <c r="BG1013" s="331" t="s">
        <v>132</v>
      </c>
      <c r="BH1013" s="331" t="s">
        <v>132</v>
      </c>
      <c r="BI1013" s="331" t="s">
        <v>132</v>
      </c>
      <c r="BJ1013" s="331" t="s">
        <v>132</v>
      </c>
      <c r="BK1013" s="331"/>
    </row>
    <row r="1014" spans="1:63" s="268" customFormat="1" ht="69.95" customHeight="1">
      <c r="A1014" s="25">
        <v>3</v>
      </c>
      <c r="B1014" s="38" t="s">
        <v>3117</v>
      </c>
      <c r="C1014" s="46" t="s">
        <v>83</v>
      </c>
      <c r="D1014" s="38" t="s">
        <v>3112</v>
      </c>
      <c r="E1014" s="38" t="s">
        <v>250</v>
      </c>
      <c r="F1014" s="38" t="s">
        <v>1378</v>
      </c>
      <c r="G1014" s="38">
        <v>4010412</v>
      </c>
      <c r="H1014" s="63">
        <v>842586</v>
      </c>
      <c r="I1014" s="16" t="s">
        <v>3118</v>
      </c>
      <c r="J1014" s="16" t="s">
        <v>1011</v>
      </c>
      <c r="K1014" s="60" t="s">
        <v>4717</v>
      </c>
      <c r="L1014" s="16" t="s">
        <v>180</v>
      </c>
      <c r="M1014" s="95" t="s">
        <v>1249</v>
      </c>
      <c r="N1014" s="15" t="s">
        <v>768</v>
      </c>
      <c r="O1014" s="16" t="s">
        <v>271</v>
      </c>
      <c r="P1014" s="258">
        <v>1000</v>
      </c>
      <c r="Q1014" s="258">
        <f t="shared" si="137"/>
        <v>1180</v>
      </c>
      <c r="R1014" s="23"/>
      <c r="S1014" s="29"/>
      <c r="T1014" s="25"/>
      <c r="U1014" s="25"/>
      <c r="V1014" s="25"/>
      <c r="W1014" s="25"/>
      <c r="X1014" s="25"/>
      <c r="Y1014" s="23">
        <v>1000</v>
      </c>
      <c r="Z1014" s="23">
        <f t="shared" si="138"/>
        <v>1180</v>
      </c>
      <c r="AA1014" s="36" t="s">
        <v>132</v>
      </c>
      <c r="AB1014" s="36" t="s">
        <v>132</v>
      </c>
      <c r="AC1014" s="34">
        <v>1000</v>
      </c>
      <c r="AD1014" s="342">
        <f t="shared" si="139"/>
        <v>1180</v>
      </c>
      <c r="AE1014" s="38" t="s">
        <v>173</v>
      </c>
      <c r="AF1014" s="38" t="s">
        <v>83</v>
      </c>
      <c r="AG1014" s="46" t="s">
        <v>83</v>
      </c>
      <c r="AH1014" s="44" t="s">
        <v>90</v>
      </c>
      <c r="AI1014" s="52">
        <v>41625</v>
      </c>
      <c r="AJ1014" s="51">
        <v>41670</v>
      </c>
      <c r="AK1014" s="60"/>
      <c r="AL1014" s="60"/>
      <c r="AM1014" s="16" t="s">
        <v>3119</v>
      </c>
      <c r="AN1014" s="61" t="s">
        <v>3052</v>
      </c>
      <c r="AO1014" s="64">
        <v>796</v>
      </c>
      <c r="AP1014" s="38" t="s">
        <v>419</v>
      </c>
      <c r="AQ1014" s="38">
        <v>1</v>
      </c>
      <c r="AR1014" s="38" t="s">
        <v>3053</v>
      </c>
      <c r="AS1014" s="16" t="s">
        <v>3054</v>
      </c>
      <c r="AT1014" s="52">
        <v>41690</v>
      </c>
      <c r="AU1014" s="52">
        <v>41690</v>
      </c>
      <c r="AV1014" s="224">
        <v>42094</v>
      </c>
      <c r="AW1014" s="38" t="s">
        <v>99</v>
      </c>
      <c r="AX1014" s="60"/>
      <c r="AY1014" s="135"/>
      <c r="AZ1014" s="60"/>
      <c r="BA1014" s="38" t="s">
        <v>132</v>
      </c>
      <c r="BB1014" s="38" t="s">
        <v>132</v>
      </c>
      <c r="BC1014" s="60" t="s">
        <v>132</v>
      </c>
      <c r="BD1014" s="60" t="s">
        <v>132</v>
      </c>
      <c r="BE1014" s="331" t="s">
        <v>132</v>
      </c>
      <c r="BF1014" s="331" t="s">
        <v>132</v>
      </c>
      <c r="BG1014" s="331" t="s">
        <v>132</v>
      </c>
      <c r="BH1014" s="331" t="s">
        <v>132</v>
      </c>
      <c r="BI1014" s="331" t="s">
        <v>132</v>
      </c>
      <c r="BJ1014" s="331" t="s">
        <v>132</v>
      </c>
      <c r="BK1014" s="304"/>
    </row>
    <row r="1015" spans="1:63" s="268" customFormat="1" ht="69.95" customHeight="1">
      <c r="A1015" s="25">
        <v>3</v>
      </c>
      <c r="B1015" s="38" t="s">
        <v>3123</v>
      </c>
      <c r="C1015" s="46" t="s">
        <v>83</v>
      </c>
      <c r="D1015" s="38" t="s">
        <v>3056</v>
      </c>
      <c r="E1015" s="38" t="s">
        <v>250</v>
      </c>
      <c r="F1015" s="38" t="s">
        <v>1378</v>
      </c>
      <c r="G1015" s="38">
        <v>4010412</v>
      </c>
      <c r="H1015" s="63">
        <v>842589</v>
      </c>
      <c r="I1015" s="17" t="s">
        <v>3124</v>
      </c>
      <c r="J1015" s="17" t="s">
        <v>3125</v>
      </c>
      <c r="K1015" s="184" t="s">
        <v>4724</v>
      </c>
      <c r="L1015" s="16" t="s">
        <v>180</v>
      </c>
      <c r="M1015" s="134" t="s">
        <v>1175</v>
      </c>
      <c r="N1015" s="16" t="s">
        <v>5931</v>
      </c>
      <c r="O1015" s="16" t="s">
        <v>4134</v>
      </c>
      <c r="P1015" s="24">
        <v>988.78</v>
      </c>
      <c r="Q1015" s="258">
        <f t="shared" si="137"/>
        <v>1166.7603999999999</v>
      </c>
      <c r="R1015" s="23">
        <v>858.32</v>
      </c>
      <c r="S1015" s="29" t="s">
        <v>1373</v>
      </c>
      <c r="T1015" s="25">
        <v>1.0840000000000001</v>
      </c>
      <c r="U1015" s="25">
        <v>1.0509999999999999</v>
      </c>
      <c r="V1015" s="25">
        <v>1.0669999999999999</v>
      </c>
      <c r="W1015" s="25">
        <v>1.0529999999999999</v>
      </c>
      <c r="X1015" s="25">
        <v>0.9</v>
      </c>
      <c r="Y1015" s="23">
        <v>988.78</v>
      </c>
      <c r="Z1015" s="23">
        <f t="shared" si="138"/>
        <v>1166.7603999999999</v>
      </c>
      <c r="AA1015" s="36" t="s">
        <v>132</v>
      </c>
      <c r="AB1015" s="36" t="s">
        <v>132</v>
      </c>
      <c r="AC1015" s="37">
        <v>988.78</v>
      </c>
      <c r="AD1015" s="342">
        <f t="shared" si="139"/>
        <v>1166.7603999999999</v>
      </c>
      <c r="AE1015" s="38" t="s">
        <v>173</v>
      </c>
      <c r="AF1015" s="38" t="s">
        <v>83</v>
      </c>
      <c r="AG1015" s="46" t="s">
        <v>83</v>
      </c>
      <c r="AH1015" s="44" t="s">
        <v>90</v>
      </c>
      <c r="AI1015" s="52">
        <f>AJ1015-45</f>
        <v>41653</v>
      </c>
      <c r="AJ1015" s="52">
        <v>41698</v>
      </c>
      <c r="AK1015" s="60"/>
      <c r="AL1015" s="60"/>
      <c r="AM1015" s="61" t="s">
        <v>3126</v>
      </c>
      <c r="AN1015" s="61" t="s">
        <v>3052</v>
      </c>
      <c r="AO1015" s="64">
        <v>796</v>
      </c>
      <c r="AP1015" s="38" t="s">
        <v>419</v>
      </c>
      <c r="AQ1015" s="66">
        <v>5</v>
      </c>
      <c r="AR1015" s="38" t="s">
        <v>3127</v>
      </c>
      <c r="AS1015" s="16" t="s">
        <v>3128</v>
      </c>
      <c r="AT1015" s="52">
        <v>41718</v>
      </c>
      <c r="AU1015" s="52">
        <v>41718</v>
      </c>
      <c r="AV1015" s="51">
        <v>41882</v>
      </c>
      <c r="AW1015" s="38">
        <v>2014</v>
      </c>
      <c r="AX1015" s="60"/>
      <c r="AY1015" s="135"/>
      <c r="AZ1015" s="60"/>
      <c r="BA1015" s="38" t="s">
        <v>132</v>
      </c>
      <c r="BB1015" s="38" t="s">
        <v>132</v>
      </c>
      <c r="BC1015" s="60" t="s">
        <v>132</v>
      </c>
      <c r="BD1015" s="60" t="s">
        <v>132</v>
      </c>
      <c r="BE1015" s="331" t="s">
        <v>132</v>
      </c>
      <c r="BF1015" s="331" t="s">
        <v>132</v>
      </c>
      <c r="BG1015" s="331" t="s">
        <v>132</v>
      </c>
      <c r="BH1015" s="331" t="s">
        <v>132</v>
      </c>
      <c r="BI1015" s="331" t="s">
        <v>132</v>
      </c>
      <c r="BJ1015" s="331" t="s">
        <v>132</v>
      </c>
      <c r="BK1015" s="304"/>
    </row>
    <row r="1016" spans="1:63" s="268" customFormat="1" ht="69.95" customHeight="1">
      <c r="A1016" s="25">
        <v>3</v>
      </c>
      <c r="B1016" s="38" t="s">
        <v>3129</v>
      </c>
      <c r="C1016" s="46" t="s">
        <v>83</v>
      </c>
      <c r="D1016" s="38" t="s">
        <v>3056</v>
      </c>
      <c r="E1016" s="38" t="s">
        <v>250</v>
      </c>
      <c r="F1016" s="38" t="s">
        <v>1378</v>
      </c>
      <c r="G1016" s="38">
        <v>4010412</v>
      </c>
      <c r="H1016" s="63">
        <v>842590</v>
      </c>
      <c r="I1016" s="17" t="s">
        <v>3130</v>
      </c>
      <c r="J1016" s="17" t="s">
        <v>3131</v>
      </c>
      <c r="K1016" s="17" t="s">
        <v>4724</v>
      </c>
      <c r="L1016" s="16" t="s">
        <v>180</v>
      </c>
      <c r="M1016" s="134" t="s">
        <v>1175</v>
      </c>
      <c r="N1016" s="16" t="s">
        <v>5931</v>
      </c>
      <c r="O1016" s="16" t="s">
        <v>4134</v>
      </c>
      <c r="P1016" s="24">
        <v>7027.79</v>
      </c>
      <c r="Q1016" s="258">
        <f t="shared" si="137"/>
        <v>8292.7921999999999</v>
      </c>
      <c r="R1016" s="23">
        <v>6147.02</v>
      </c>
      <c r="S1016" s="29" t="s">
        <v>1373</v>
      </c>
      <c r="T1016" s="25">
        <v>1.0840000000000001</v>
      </c>
      <c r="U1016" s="25">
        <v>1.0509999999999999</v>
      </c>
      <c r="V1016" s="25">
        <v>1.0669999999999999</v>
      </c>
      <c r="W1016" s="25">
        <v>1.0529999999999999</v>
      </c>
      <c r="X1016" s="25">
        <v>0.9</v>
      </c>
      <c r="Y1016" s="23">
        <v>7081.37</v>
      </c>
      <c r="Z1016" s="23">
        <f t="shared" si="138"/>
        <v>8356.016599999999</v>
      </c>
      <c r="AA1016" s="36" t="s">
        <v>132</v>
      </c>
      <c r="AB1016" s="36" t="s">
        <v>132</v>
      </c>
      <c r="AC1016" s="37">
        <v>7027.79</v>
      </c>
      <c r="AD1016" s="342">
        <f t="shared" si="139"/>
        <v>8292.7921999999999</v>
      </c>
      <c r="AE1016" s="38" t="s">
        <v>173</v>
      </c>
      <c r="AF1016" s="38" t="s">
        <v>83</v>
      </c>
      <c r="AG1016" s="46" t="s">
        <v>83</v>
      </c>
      <c r="AH1016" s="44" t="s">
        <v>90</v>
      </c>
      <c r="AI1016" s="52">
        <v>41625</v>
      </c>
      <c r="AJ1016" s="51">
        <v>41685</v>
      </c>
      <c r="AK1016" s="60"/>
      <c r="AL1016" s="60"/>
      <c r="AM1016" s="61" t="s">
        <v>3132</v>
      </c>
      <c r="AN1016" s="61" t="s">
        <v>3052</v>
      </c>
      <c r="AO1016" s="64">
        <v>796</v>
      </c>
      <c r="AP1016" s="38" t="s">
        <v>419</v>
      </c>
      <c r="AQ1016" s="66">
        <v>41</v>
      </c>
      <c r="AR1016" s="38" t="s">
        <v>3053</v>
      </c>
      <c r="AS1016" s="16" t="s">
        <v>3054</v>
      </c>
      <c r="AT1016" s="52">
        <v>41705</v>
      </c>
      <c r="AU1016" s="52">
        <v>41705</v>
      </c>
      <c r="AV1016" s="224">
        <v>41912</v>
      </c>
      <c r="AW1016" s="38">
        <v>2014</v>
      </c>
      <c r="AX1016" s="60"/>
      <c r="AY1016" s="135"/>
      <c r="AZ1016" s="60"/>
      <c r="BA1016" s="38" t="s">
        <v>132</v>
      </c>
      <c r="BB1016" s="38" t="s">
        <v>132</v>
      </c>
      <c r="BC1016" s="60" t="s">
        <v>132</v>
      </c>
      <c r="BD1016" s="60" t="s">
        <v>132</v>
      </c>
      <c r="BE1016" s="331" t="s">
        <v>132</v>
      </c>
      <c r="BF1016" s="331" t="s">
        <v>132</v>
      </c>
      <c r="BG1016" s="331" t="s">
        <v>132</v>
      </c>
      <c r="BH1016" s="331" t="s">
        <v>132</v>
      </c>
      <c r="BI1016" s="331" t="s">
        <v>132</v>
      </c>
      <c r="BJ1016" s="331" t="s">
        <v>132</v>
      </c>
      <c r="BK1016" s="304"/>
    </row>
    <row r="1017" spans="1:63" s="268" customFormat="1" ht="69.95" customHeight="1">
      <c r="A1017" s="25">
        <v>3</v>
      </c>
      <c r="B1017" s="38" t="s">
        <v>3133</v>
      </c>
      <c r="C1017" s="46" t="s">
        <v>83</v>
      </c>
      <c r="D1017" s="38" t="s">
        <v>3056</v>
      </c>
      <c r="E1017" s="38" t="s">
        <v>250</v>
      </c>
      <c r="F1017" s="38" t="s">
        <v>1378</v>
      </c>
      <c r="G1017" s="38">
        <v>4010412</v>
      </c>
      <c r="H1017" s="63">
        <v>842591</v>
      </c>
      <c r="I1017" s="17" t="s">
        <v>3134</v>
      </c>
      <c r="J1017" s="17" t="s">
        <v>1023</v>
      </c>
      <c r="K1017" s="17" t="s">
        <v>4724</v>
      </c>
      <c r="L1017" s="16" t="s">
        <v>180</v>
      </c>
      <c r="M1017" s="134" t="s">
        <v>1175</v>
      </c>
      <c r="N1017" s="16" t="s">
        <v>5931</v>
      </c>
      <c r="O1017" s="16" t="s">
        <v>4134</v>
      </c>
      <c r="P1017" s="24">
        <v>4905.59</v>
      </c>
      <c r="Q1017" s="258">
        <f t="shared" si="137"/>
        <v>5788.5962</v>
      </c>
      <c r="R1017" s="23">
        <v>4290.79</v>
      </c>
      <c r="S1017" s="29" t="s">
        <v>1373</v>
      </c>
      <c r="T1017" s="25">
        <v>1.0840000000000001</v>
      </c>
      <c r="U1017" s="25">
        <v>1.0509999999999999</v>
      </c>
      <c r="V1017" s="25">
        <v>1.0669999999999999</v>
      </c>
      <c r="W1017" s="25">
        <v>1.0529999999999999</v>
      </c>
      <c r="X1017" s="25">
        <v>0.9</v>
      </c>
      <c r="Y1017" s="23">
        <v>4942.99</v>
      </c>
      <c r="Z1017" s="23">
        <f t="shared" si="138"/>
        <v>5832.7281999999996</v>
      </c>
      <c r="AA1017" s="36" t="s">
        <v>132</v>
      </c>
      <c r="AB1017" s="36" t="s">
        <v>132</v>
      </c>
      <c r="AC1017" s="37">
        <v>4905.59</v>
      </c>
      <c r="AD1017" s="342">
        <f t="shared" si="139"/>
        <v>5788.5962</v>
      </c>
      <c r="AE1017" s="38" t="s">
        <v>173</v>
      </c>
      <c r="AF1017" s="38" t="s">
        <v>83</v>
      </c>
      <c r="AG1017" s="46" t="s">
        <v>83</v>
      </c>
      <c r="AH1017" s="44" t="s">
        <v>90</v>
      </c>
      <c r="AI1017" s="52">
        <v>41625</v>
      </c>
      <c r="AJ1017" s="51">
        <v>41670</v>
      </c>
      <c r="AK1017" s="60"/>
      <c r="AL1017" s="60"/>
      <c r="AM1017" s="61" t="s">
        <v>3135</v>
      </c>
      <c r="AN1017" s="61" t="s">
        <v>3052</v>
      </c>
      <c r="AO1017" s="64">
        <v>796</v>
      </c>
      <c r="AP1017" s="38" t="s">
        <v>419</v>
      </c>
      <c r="AQ1017" s="66">
        <v>82</v>
      </c>
      <c r="AR1017" s="38" t="s">
        <v>3053</v>
      </c>
      <c r="AS1017" s="16" t="s">
        <v>3054</v>
      </c>
      <c r="AT1017" s="52">
        <v>41690</v>
      </c>
      <c r="AU1017" s="52">
        <v>41690</v>
      </c>
      <c r="AV1017" s="52">
        <v>42004</v>
      </c>
      <c r="AW1017" s="38">
        <v>2014</v>
      </c>
      <c r="AX1017" s="60"/>
      <c r="AY1017" s="135"/>
      <c r="AZ1017" s="60"/>
      <c r="BA1017" s="38" t="s">
        <v>132</v>
      </c>
      <c r="BB1017" s="38" t="s">
        <v>132</v>
      </c>
      <c r="BC1017" s="60" t="s">
        <v>132</v>
      </c>
      <c r="BD1017" s="60" t="s">
        <v>132</v>
      </c>
      <c r="BE1017" s="331" t="s">
        <v>132</v>
      </c>
      <c r="BF1017" s="331" t="s">
        <v>132</v>
      </c>
      <c r="BG1017" s="331" t="s">
        <v>132</v>
      </c>
      <c r="BH1017" s="331" t="s">
        <v>132</v>
      </c>
      <c r="BI1017" s="331" t="s">
        <v>132</v>
      </c>
      <c r="BJ1017" s="331" t="s">
        <v>132</v>
      </c>
      <c r="BK1017" s="304"/>
    </row>
    <row r="1018" spans="1:63" s="268" customFormat="1" ht="69.95" customHeight="1">
      <c r="A1018" s="25">
        <v>3</v>
      </c>
      <c r="B1018" s="38" t="s">
        <v>3136</v>
      </c>
      <c r="C1018" s="46" t="s">
        <v>83</v>
      </c>
      <c r="D1018" s="38" t="s">
        <v>3056</v>
      </c>
      <c r="E1018" s="38" t="s">
        <v>250</v>
      </c>
      <c r="F1018" s="38" t="s">
        <v>1378</v>
      </c>
      <c r="G1018" s="38">
        <v>4010412</v>
      </c>
      <c r="H1018" s="63">
        <v>842593</v>
      </c>
      <c r="I1018" s="17" t="s">
        <v>3137</v>
      </c>
      <c r="J1018" s="17" t="s">
        <v>3138</v>
      </c>
      <c r="K1018" s="193" t="s">
        <v>4724</v>
      </c>
      <c r="L1018" s="16" t="s">
        <v>180</v>
      </c>
      <c r="M1018" s="134" t="s">
        <v>1175</v>
      </c>
      <c r="N1018" s="16" t="s">
        <v>5931</v>
      </c>
      <c r="O1018" s="16" t="s">
        <v>4134</v>
      </c>
      <c r="P1018" s="24">
        <v>1001.82</v>
      </c>
      <c r="Q1018" s="258">
        <f t="shared" si="137"/>
        <v>1182.1476</v>
      </c>
      <c r="R1018" s="23">
        <v>869.79</v>
      </c>
      <c r="S1018" s="29" t="s">
        <v>1373</v>
      </c>
      <c r="T1018" s="25">
        <v>1.0840000000000001</v>
      </c>
      <c r="U1018" s="25">
        <v>1.0509999999999999</v>
      </c>
      <c r="V1018" s="25">
        <v>1.0669999999999999</v>
      </c>
      <c r="W1018" s="25">
        <v>1.0529999999999999</v>
      </c>
      <c r="X1018" s="25">
        <v>0.9</v>
      </c>
      <c r="Y1018" s="23">
        <v>1002</v>
      </c>
      <c r="Z1018" s="23">
        <f t="shared" si="138"/>
        <v>1182.3599999999999</v>
      </c>
      <c r="AA1018" s="36" t="s">
        <v>132</v>
      </c>
      <c r="AB1018" s="36" t="s">
        <v>132</v>
      </c>
      <c r="AC1018" s="37">
        <v>1001.82</v>
      </c>
      <c r="AD1018" s="342">
        <f t="shared" si="139"/>
        <v>1182.1476</v>
      </c>
      <c r="AE1018" s="38" t="s">
        <v>173</v>
      </c>
      <c r="AF1018" s="38" t="s">
        <v>83</v>
      </c>
      <c r="AG1018" s="46" t="s">
        <v>83</v>
      </c>
      <c r="AH1018" s="44" t="s">
        <v>90</v>
      </c>
      <c r="AI1018" s="52">
        <f>AJ1018-45</f>
        <v>41752</v>
      </c>
      <c r="AJ1018" s="52">
        <v>41797</v>
      </c>
      <c r="AK1018" s="60"/>
      <c r="AL1018" s="60"/>
      <c r="AM1018" s="61" t="s">
        <v>3139</v>
      </c>
      <c r="AN1018" s="61" t="s">
        <v>3052</v>
      </c>
      <c r="AO1018" s="64">
        <v>796</v>
      </c>
      <c r="AP1018" s="38" t="s">
        <v>419</v>
      </c>
      <c r="AQ1018" s="66">
        <v>43</v>
      </c>
      <c r="AR1018" s="38" t="s">
        <v>3140</v>
      </c>
      <c r="AS1018" s="16" t="s">
        <v>3141</v>
      </c>
      <c r="AT1018" s="52">
        <v>41817</v>
      </c>
      <c r="AU1018" s="52">
        <v>41817</v>
      </c>
      <c r="AV1018" s="52">
        <v>42004</v>
      </c>
      <c r="AW1018" s="38">
        <v>2014</v>
      </c>
      <c r="AX1018" s="60"/>
      <c r="AY1018" s="135"/>
      <c r="AZ1018" s="60"/>
      <c r="BA1018" s="38" t="s">
        <v>132</v>
      </c>
      <c r="BB1018" s="38" t="s">
        <v>132</v>
      </c>
      <c r="BC1018" s="60" t="s">
        <v>132</v>
      </c>
      <c r="BD1018" s="60" t="s">
        <v>132</v>
      </c>
      <c r="BE1018" s="331" t="s">
        <v>132</v>
      </c>
      <c r="BF1018" s="331" t="s">
        <v>132</v>
      </c>
      <c r="BG1018" s="331" t="s">
        <v>132</v>
      </c>
      <c r="BH1018" s="331" t="s">
        <v>132</v>
      </c>
      <c r="BI1018" s="331" t="s">
        <v>132</v>
      </c>
      <c r="BJ1018" s="331" t="s">
        <v>132</v>
      </c>
      <c r="BK1018" s="454"/>
    </row>
    <row r="1019" spans="1:63" s="268" customFormat="1" ht="69.95" customHeight="1">
      <c r="A1019" s="25">
        <v>3</v>
      </c>
      <c r="B1019" s="38" t="s">
        <v>3142</v>
      </c>
      <c r="C1019" s="46" t="s">
        <v>83</v>
      </c>
      <c r="D1019" s="38" t="s">
        <v>3056</v>
      </c>
      <c r="E1019" s="38" t="s">
        <v>250</v>
      </c>
      <c r="F1019" s="38" t="s">
        <v>1378</v>
      </c>
      <c r="G1019" s="38">
        <v>4010412</v>
      </c>
      <c r="H1019" s="63">
        <v>842601</v>
      </c>
      <c r="I1019" s="16" t="s">
        <v>1059</v>
      </c>
      <c r="J1019" s="16" t="s">
        <v>3143</v>
      </c>
      <c r="K1019" s="16" t="s">
        <v>4724</v>
      </c>
      <c r="L1019" s="16" t="s">
        <v>180</v>
      </c>
      <c r="M1019" s="134" t="s">
        <v>1175</v>
      </c>
      <c r="N1019" s="16" t="s">
        <v>5936</v>
      </c>
      <c r="O1019" s="16" t="s">
        <v>4134</v>
      </c>
      <c r="P1019" s="23">
        <v>5378.65</v>
      </c>
      <c r="Q1019" s="258">
        <f t="shared" si="137"/>
        <v>6346.8069999999989</v>
      </c>
      <c r="R1019" s="23">
        <v>4668.97</v>
      </c>
      <c r="S1019" s="29" t="s">
        <v>1373</v>
      </c>
      <c r="T1019" s="25">
        <v>1.0840000000000001</v>
      </c>
      <c r="U1019" s="25">
        <v>1.0509999999999999</v>
      </c>
      <c r="V1019" s="25">
        <v>1.0669999999999999</v>
      </c>
      <c r="W1019" s="25">
        <v>1.0529999999999999</v>
      </c>
      <c r="X1019" s="25">
        <v>0.9</v>
      </c>
      <c r="Y1019" s="23">
        <v>5378.65</v>
      </c>
      <c r="Z1019" s="23">
        <f t="shared" si="138"/>
        <v>6346.8069999999989</v>
      </c>
      <c r="AA1019" s="36" t="s">
        <v>132</v>
      </c>
      <c r="AB1019" s="36" t="s">
        <v>132</v>
      </c>
      <c r="AC1019" s="23">
        <v>5378.65</v>
      </c>
      <c r="AD1019" s="342">
        <f t="shared" si="139"/>
        <v>6346.8069999999989</v>
      </c>
      <c r="AE1019" s="38" t="s">
        <v>173</v>
      </c>
      <c r="AF1019" s="38" t="s">
        <v>83</v>
      </c>
      <c r="AG1019" s="46" t="s">
        <v>83</v>
      </c>
      <c r="AH1019" s="44" t="s">
        <v>90</v>
      </c>
      <c r="AI1019" s="52">
        <f>AJ1019-45</f>
        <v>41692</v>
      </c>
      <c r="AJ1019" s="52">
        <v>41737</v>
      </c>
      <c r="AK1019" s="60"/>
      <c r="AL1019" s="60"/>
      <c r="AM1019" s="16" t="s">
        <v>3143</v>
      </c>
      <c r="AN1019" s="61" t="s">
        <v>3052</v>
      </c>
      <c r="AO1019" s="64">
        <v>796</v>
      </c>
      <c r="AP1019" s="38" t="s">
        <v>419</v>
      </c>
      <c r="AQ1019" s="56">
        <v>96</v>
      </c>
      <c r="AR1019" s="38" t="s">
        <v>3053</v>
      </c>
      <c r="AS1019" s="16" t="s">
        <v>3054</v>
      </c>
      <c r="AT1019" s="52">
        <v>41759</v>
      </c>
      <c r="AU1019" s="51">
        <v>41760</v>
      </c>
      <c r="AV1019" s="224">
        <v>41912</v>
      </c>
      <c r="AW1019" s="38">
        <v>2014</v>
      </c>
      <c r="AX1019" s="60"/>
      <c r="AY1019" s="135"/>
      <c r="AZ1019" s="60"/>
      <c r="BA1019" s="38" t="s">
        <v>132</v>
      </c>
      <c r="BB1019" s="38" t="s">
        <v>132</v>
      </c>
      <c r="BC1019" s="60" t="s">
        <v>132</v>
      </c>
      <c r="BD1019" s="60" t="s">
        <v>132</v>
      </c>
      <c r="BE1019" s="331" t="s">
        <v>132</v>
      </c>
      <c r="BF1019" s="331" t="s">
        <v>132</v>
      </c>
      <c r="BG1019" s="331" t="s">
        <v>132</v>
      </c>
      <c r="BH1019" s="331" t="s">
        <v>132</v>
      </c>
      <c r="BI1019" s="331" t="s">
        <v>132</v>
      </c>
      <c r="BJ1019" s="331" t="s">
        <v>132</v>
      </c>
      <c r="BK1019" s="304"/>
    </row>
    <row r="1020" spans="1:63" s="268" customFormat="1" ht="69.95" customHeight="1">
      <c r="A1020" s="25">
        <v>3</v>
      </c>
      <c r="B1020" s="38" t="s">
        <v>3144</v>
      </c>
      <c r="C1020" s="46" t="s">
        <v>83</v>
      </c>
      <c r="D1020" s="38" t="s">
        <v>3056</v>
      </c>
      <c r="E1020" s="38" t="s">
        <v>250</v>
      </c>
      <c r="F1020" s="38" t="s">
        <v>1378</v>
      </c>
      <c r="G1020" s="38">
        <v>4010412</v>
      </c>
      <c r="H1020" s="63">
        <v>842603</v>
      </c>
      <c r="I1020" s="18" t="s">
        <v>3145</v>
      </c>
      <c r="J1020" s="17" t="s">
        <v>3138</v>
      </c>
      <c r="K1020" s="184" t="s">
        <v>4724</v>
      </c>
      <c r="L1020" s="16" t="s">
        <v>180</v>
      </c>
      <c r="M1020" s="134" t="s">
        <v>1175</v>
      </c>
      <c r="N1020" s="16" t="s">
        <v>5931</v>
      </c>
      <c r="O1020" s="16" t="s">
        <v>4134</v>
      </c>
      <c r="P1020" s="24">
        <v>1769.3</v>
      </c>
      <c r="Q1020" s="258">
        <f t="shared" si="137"/>
        <v>2087.7739999999999</v>
      </c>
      <c r="R1020" s="23">
        <f>Y1020/X1020/W1020/V1020/U1020/T1020</f>
        <v>1590.3797591945854</v>
      </c>
      <c r="S1020" s="29" t="s">
        <v>1373</v>
      </c>
      <c r="T1020" s="25">
        <v>1.0840000000000001</v>
      </c>
      <c r="U1020" s="25">
        <v>1.0509999999999999</v>
      </c>
      <c r="V1020" s="25">
        <v>1.0669999999999999</v>
      </c>
      <c r="W1020" s="25">
        <v>1.0529999999999999</v>
      </c>
      <c r="X1020" s="25">
        <v>0.9</v>
      </c>
      <c r="Y1020" s="23">
        <v>1832.18</v>
      </c>
      <c r="Z1020" s="23">
        <f t="shared" si="138"/>
        <v>2161.9724000000001</v>
      </c>
      <c r="AA1020" s="36" t="s">
        <v>132</v>
      </c>
      <c r="AB1020" s="36" t="s">
        <v>132</v>
      </c>
      <c r="AC1020" s="37">
        <v>1769.3</v>
      </c>
      <c r="AD1020" s="342">
        <f t="shared" si="139"/>
        <v>2087.7739999999999</v>
      </c>
      <c r="AE1020" s="38" t="s">
        <v>173</v>
      </c>
      <c r="AF1020" s="38" t="s">
        <v>83</v>
      </c>
      <c r="AG1020" s="46" t="s">
        <v>83</v>
      </c>
      <c r="AH1020" s="44" t="s">
        <v>90</v>
      </c>
      <c r="AI1020" s="52">
        <f>AJ1020-45</f>
        <v>41633</v>
      </c>
      <c r="AJ1020" s="52">
        <v>41678</v>
      </c>
      <c r="AK1020" s="60"/>
      <c r="AL1020" s="60"/>
      <c r="AM1020" s="61" t="s">
        <v>3146</v>
      </c>
      <c r="AN1020" s="61" t="s">
        <v>3052</v>
      </c>
      <c r="AO1020" s="64">
        <v>796</v>
      </c>
      <c r="AP1020" s="38" t="s">
        <v>419</v>
      </c>
      <c r="AQ1020" s="66">
        <v>14</v>
      </c>
      <c r="AR1020" s="38" t="s">
        <v>3053</v>
      </c>
      <c r="AS1020" s="16" t="s">
        <v>3054</v>
      </c>
      <c r="AT1020" s="52">
        <v>41698</v>
      </c>
      <c r="AU1020" s="51">
        <v>41699</v>
      </c>
      <c r="AV1020" s="52">
        <v>41973</v>
      </c>
      <c r="AW1020" s="38">
        <v>2014</v>
      </c>
      <c r="AX1020" s="60"/>
      <c r="AY1020" s="135"/>
      <c r="AZ1020" s="60"/>
      <c r="BA1020" s="38" t="s">
        <v>132</v>
      </c>
      <c r="BB1020" s="38" t="s">
        <v>132</v>
      </c>
      <c r="BC1020" s="60" t="s">
        <v>132</v>
      </c>
      <c r="BD1020" s="60" t="s">
        <v>132</v>
      </c>
      <c r="BE1020" s="331" t="s">
        <v>132</v>
      </c>
      <c r="BF1020" s="331" t="s">
        <v>132</v>
      </c>
      <c r="BG1020" s="331" t="s">
        <v>132</v>
      </c>
      <c r="BH1020" s="331" t="s">
        <v>132</v>
      </c>
      <c r="BI1020" s="331" t="s">
        <v>132</v>
      </c>
      <c r="BJ1020" s="331" t="s">
        <v>132</v>
      </c>
      <c r="BK1020" s="304"/>
    </row>
    <row r="1021" spans="1:63" s="268" customFormat="1" ht="92.25" customHeight="1">
      <c r="A1021" s="25">
        <v>3</v>
      </c>
      <c r="B1021" s="38" t="s">
        <v>3147</v>
      </c>
      <c r="C1021" s="46" t="s">
        <v>83</v>
      </c>
      <c r="D1021" s="38" t="s">
        <v>3056</v>
      </c>
      <c r="E1021" s="38" t="s">
        <v>250</v>
      </c>
      <c r="F1021" s="38" t="s">
        <v>1378</v>
      </c>
      <c r="G1021" s="38">
        <v>4010412</v>
      </c>
      <c r="H1021" s="63">
        <v>842604</v>
      </c>
      <c r="I1021" s="19" t="s">
        <v>4581</v>
      </c>
      <c r="J1021" s="19" t="s">
        <v>3148</v>
      </c>
      <c r="K1021" s="305" t="s">
        <v>4724</v>
      </c>
      <c r="L1021" s="16" t="s">
        <v>180</v>
      </c>
      <c r="M1021" s="134" t="s">
        <v>1175</v>
      </c>
      <c r="N1021" s="16" t="s">
        <v>5917</v>
      </c>
      <c r="O1021" s="16" t="s">
        <v>4134</v>
      </c>
      <c r="P1021" s="24">
        <v>1277.5999999999999</v>
      </c>
      <c r="Q1021" s="258">
        <f t="shared" si="137"/>
        <v>1507.5679999999998</v>
      </c>
      <c r="R1021" s="23">
        <f>Y1021/X1021/W1021/V1021/U1021/T1021</f>
        <v>1148.3635921274488</v>
      </c>
      <c r="S1021" s="29" t="s">
        <v>1373</v>
      </c>
      <c r="T1021" s="25">
        <v>1.0840000000000001</v>
      </c>
      <c r="U1021" s="25">
        <v>1.0509999999999999</v>
      </c>
      <c r="V1021" s="25">
        <v>1.0669999999999999</v>
      </c>
      <c r="W1021" s="25">
        <v>1.0529999999999999</v>
      </c>
      <c r="X1021" s="25">
        <v>0.9</v>
      </c>
      <c r="Y1021" s="23">
        <v>1322.96</v>
      </c>
      <c r="Z1021" s="23">
        <f t="shared" si="138"/>
        <v>1561.0927999999999</v>
      </c>
      <c r="AA1021" s="36" t="s">
        <v>132</v>
      </c>
      <c r="AB1021" s="36" t="s">
        <v>132</v>
      </c>
      <c r="AC1021" s="37">
        <v>1277.5999999999999</v>
      </c>
      <c r="AD1021" s="342">
        <f t="shared" si="139"/>
        <v>1507.5679999999998</v>
      </c>
      <c r="AE1021" s="38" t="s">
        <v>173</v>
      </c>
      <c r="AF1021" s="38" t="s">
        <v>83</v>
      </c>
      <c r="AG1021" s="46" t="s">
        <v>83</v>
      </c>
      <c r="AH1021" s="44" t="s">
        <v>90</v>
      </c>
      <c r="AI1021" s="52">
        <f>AJ1021-45</f>
        <v>41573</v>
      </c>
      <c r="AJ1021" s="52">
        <v>41618</v>
      </c>
      <c r="AK1021" s="60"/>
      <c r="AL1021" s="60"/>
      <c r="AM1021" s="61" t="s">
        <v>3149</v>
      </c>
      <c r="AN1021" s="61" t="s">
        <v>3052</v>
      </c>
      <c r="AO1021" s="64">
        <v>796</v>
      </c>
      <c r="AP1021" s="38" t="s">
        <v>419</v>
      </c>
      <c r="AQ1021" s="56">
        <v>690</v>
      </c>
      <c r="AR1021" s="38" t="s">
        <v>3053</v>
      </c>
      <c r="AS1021" s="16" t="s">
        <v>3054</v>
      </c>
      <c r="AT1021" s="52">
        <v>41648</v>
      </c>
      <c r="AU1021" s="52">
        <v>41648</v>
      </c>
      <c r="AV1021" s="52">
        <v>42004</v>
      </c>
      <c r="AW1021" s="38">
        <v>2014</v>
      </c>
      <c r="AX1021" s="60"/>
      <c r="AY1021" s="135"/>
      <c r="AZ1021" s="60"/>
      <c r="BA1021" s="38" t="s">
        <v>132</v>
      </c>
      <c r="BB1021" s="38" t="s">
        <v>132</v>
      </c>
      <c r="BC1021" s="60" t="s">
        <v>132</v>
      </c>
      <c r="BD1021" s="60" t="s">
        <v>132</v>
      </c>
      <c r="BE1021" s="331" t="s">
        <v>132</v>
      </c>
      <c r="BF1021" s="331" t="s">
        <v>132</v>
      </c>
      <c r="BG1021" s="331" t="s">
        <v>132</v>
      </c>
      <c r="BH1021" s="331" t="s">
        <v>132</v>
      </c>
      <c r="BI1021" s="331" t="s">
        <v>132</v>
      </c>
      <c r="BJ1021" s="331" t="s">
        <v>132</v>
      </c>
      <c r="BK1021" s="304"/>
    </row>
    <row r="1022" spans="1:63" s="268" customFormat="1" ht="69.95" customHeight="1">
      <c r="A1022" s="25">
        <v>3</v>
      </c>
      <c r="B1022" s="38" t="s">
        <v>3150</v>
      </c>
      <c r="C1022" s="46" t="s">
        <v>83</v>
      </c>
      <c r="D1022" s="38" t="s">
        <v>3056</v>
      </c>
      <c r="E1022" s="38" t="s">
        <v>250</v>
      </c>
      <c r="F1022" s="38" t="s">
        <v>1378</v>
      </c>
      <c r="G1022" s="38">
        <v>4010412</v>
      </c>
      <c r="H1022" s="63">
        <v>842605</v>
      </c>
      <c r="I1022" s="17" t="s">
        <v>3151</v>
      </c>
      <c r="J1022" s="17" t="s">
        <v>3152</v>
      </c>
      <c r="K1022" s="193" t="s">
        <v>4724</v>
      </c>
      <c r="L1022" s="16" t="s">
        <v>180</v>
      </c>
      <c r="M1022" s="134" t="s">
        <v>1175</v>
      </c>
      <c r="N1022" s="16" t="s">
        <v>5931</v>
      </c>
      <c r="O1022" s="16" t="s">
        <v>4134</v>
      </c>
      <c r="P1022" s="26">
        <v>1393.06</v>
      </c>
      <c r="Q1022" s="258">
        <f t="shared" si="137"/>
        <v>1643.8107999999997</v>
      </c>
      <c r="R1022" s="23">
        <v>1209.29</v>
      </c>
      <c r="S1022" s="29" t="s">
        <v>1373</v>
      </c>
      <c r="T1022" s="25">
        <v>1.0840000000000001</v>
      </c>
      <c r="U1022" s="25">
        <v>1.0509999999999999</v>
      </c>
      <c r="V1022" s="25">
        <v>1.0669999999999999</v>
      </c>
      <c r="W1022" s="25">
        <v>1.0529999999999999</v>
      </c>
      <c r="X1022" s="25">
        <v>0.9</v>
      </c>
      <c r="Y1022" s="23">
        <v>1393.1</v>
      </c>
      <c r="Z1022" s="23">
        <f t="shared" si="138"/>
        <v>1643.8579999999997</v>
      </c>
      <c r="AA1022" s="36" t="s">
        <v>132</v>
      </c>
      <c r="AB1022" s="36" t="s">
        <v>132</v>
      </c>
      <c r="AC1022" s="37">
        <v>1393.06</v>
      </c>
      <c r="AD1022" s="342">
        <f t="shared" si="139"/>
        <v>1643.8107999999997</v>
      </c>
      <c r="AE1022" s="38" t="s">
        <v>173</v>
      </c>
      <c r="AF1022" s="38" t="s">
        <v>83</v>
      </c>
      <c r="AG1022" s="46" t="s">
        <v>83</v>
      </c>
      <c r="AH1022" s="44" t="s">
        <v>90</v>
      </c>
      <c r="AI1022" s="52">
        <f>AJ1022-45</f>
        <v>41692</v>
      </c>
      <c r="AJ1022" s="52">
        <v>41737</v>
      </c>
      <c r="AK1022" s="60"/>
      <c r="AL1022" s="60"/>
      <c r="AM1022" s="61" t="s">
        <v>3153</v>
      </c>
      <c r="AN1022" s="61" t="s">
        <v>3052</v>
      </c>
      <c r="AO1022" s="64">
        <v>796</v>
      </c>
      <c r="AP1022" s="38" t="s">
        <v>419</v>
      </c>
      <c r="AQ1022" s="56">
        <v>12</v>
      </c>
      <c r="AR1022" s="38" t="s">
        <v>3154</v>
      </c>
      <c r="AS1022" s="16" t="s">
        <v>3155</v>
      </c>
      <c r="AT1022" s="52">
        <v>41759</v>
      </c>
      <c r="AU1022" s="51">
        <v>41760</v>
      </c>
      <c r="AV1022" s="224">
        <v>41912</v>
      </c>
      <c r="AW1022" s="38">
        <v>2014</v>
      </c>
      <c r="AX1022" s="60"/>
      <c r="AY1022" s="135"/>
      <c r="AZ1022" s="60"/>
      <c r="BA1022" s="38" t="s">
        <v>132</v>
      </c>
      <c r="BB1022" s="38" t="s">
        <v>132</v>
      </c>
      <c r="BC1022" s="60" t="s">
        <v>132</v>
      </c>
      <c r="BD1022" s="60" t="s">
        <v>132</v>
      </c>
      <c r="BE1022" s="331" t="s">
        <v>132</v>
      </c>
      <c r="BF1022" s="331" t="s">
        <v>132</v>
      </c>
      <c r="BG1022" s="331" t="s">
        <v>132</v>
      </c>
      <c r="BH1022" s="331" t="s">
        <v>132</v>
      </c>
      <c r="BI1022" s="331" t="s">
        <v>132</v>
      </c>
      <c r="BJ1022" s="331" t="s">
        <v>132</v>
      </c>
      <c r="BK1022" s="304"/>
    </row>
    <row r="1023" spans="1:63" s="268" customFormat="1" ht="87" customHeight="1">
      <c r="A1023" s="25">
        <v>3</v>
      </c>
      <c r="B1023" s="38" t="s">
        <v>3156</v>
      </c>
      <c r="C1023" s="46" t="s">
        <v>83</v>
      </c>
      <c r="D1023" s="38" t="s">
        <v>3061</v>
      </c>
      <c r="E1023" s="38" t="s">
        <v>250</v>
      </c>
      <c r="F1023" s="38" t="s">
        <v>1378</v>
      </c>
      <c r="G1023" s="38">
        <v>4010412</v>
      </c>
      <c r="H1023" s="63">
        <v>842607</v>
      </c>
      <c r="I1023" s="16" t="s">
        <v>3157</v>
      </c>
      <c r="J1023" s="16" t="s">
        <v>3157</v>
      </c>
      <c r="K1023" s="18" t="s">
        <v>4724</v>
      </c>
      <c r="L1023" s="16" t="s">
        <v>180</v>
      </c>
      <c r="M1023" s="134" t="s">
        <v>1175</v>
      </c>
      <c r="N1023" s="16" t="s">
        <v>5931</v>
      </c>
      <c r="O1023" s="16" t="s">
        <v>4134</v>
      </c>
      <c r="P1023" s="26">
        <v>9050.19</v>
      </c>
      <c r="Q1023" s="258">
        <f t="shared" si="137"/>
        <v>10679.224200000001</v>
      </c>
      <c r="R1023" s="23">
        <v>10034.32</v>
      </c>
      <c r="S1023" s="29" t="s">
        <v>1373</v>
      </c>
      <c r="T1023" s="25">
        <v>1.0840000000000001</v>
      </c>
      <c r="U1023" s="25">
        <v>1.0509999999999999</v>
      </c>
      <c r="V1023" s="25">
        <v>1.0669999999999999</v>
      </c>
      <c r="W1023" s="25">
        <v>1.0529999999999999</v>
      </c>
      <c r="X1023" s="25">
        <v>0.9</v>
      </c>
      <c r="Y1023" s="23">
        <v>11559.54</v>
      </c>
      <c r="Z1023" s="23">
        <f t="shared" si="138"/>
        <v>13640.2572</v>
      </c>
      <c r="AA1023" s="36" t="s">
        <v>132</v>
      </c>
      <c r="AB1023" s="36" t="s">
        <v>132</v>
      </c>
      <c r="AC1023" s="37">
        <v>9050.1890000000003</v>
      </c>
      <c r="AD1023" s="342">
        <f t="shared" si="139"/>
        <v>10679.223019999999</v>
      </c>
      <c r="AE1023" s="38" t="s">
        <v>169</v>
      </c>
      <c r="AF1023" s="38" t="s">
        <v>83</v>
      </c>
      <c r="AG1023" s="46" t="s">
        <v>83</v>
      </c>
      <c r="AH1023" s="44" t="s">
        <v>90</v>
      </c>
      <c r="AI1023" s="52">
        <f>AJ1023-60</f>
        <v>41699</v>
      </c>
      <c r="AJ1023" s="52">
        <v>41759</v>
      </c>
      <c r="AK1023" s="60"/>
      <c r="AL1023" s="60"/>
      <c r="AM1023" s="61" t="s">
        <v>3158</v>
      </c>
      <c r="AN1023" s="61" t="s">
        <v>3052</v>
      </c>
      <c r="AO1023" s="64">
        <v>796</v>
      </c>
      <c r="AP1023" s="38" t="s">
        <v>419</v>
      </c>
      <c r="AQ1023" s="56">
        <v>782</v>
      </c>
      <c r="AR1023" s="38" t="s">
        <v>3053</v>
      </c>
      <c r="AS1023" s="16" t="s">
        <v>3054</v>
      </c>
      <c r="AT1023" s="52">
        <v>41779</v>
      </c>
      <c r="AU1023" s="52">
        <v>41779</v>
      </c>
      <c r="AV1023" s="224">
        <v>41912</v>
      </c>
      <c r="AW1023" s="38">
        <v>2014</v>
      </c>
      <c r="AX1023" s="60"/>
      <c r="AY1023" s="135"/>
      <c r="AZ1023" s="60"/>
      <c r="BA1023" s="38" t="s">
        <v>132</v>
      </c>
      <c r="BB1023" s="38" t="s">
        <v>132</v>
      </c>
      <c r="BC1023" s="60" t="s">
        <v>132</v>
      </c>
      <c r="BD1023" s="60" t="s">
        <v>132</v>
      </c>
      <c r="BE1023" s="331" t="s">
        <v>132</v>
      </c>
      <c r="BF1023" s="331" t="s">
        <v>132</v>
      </c>
      <c r="BG1023" s="331" t="s">
        <v>132</v>
      </c>
      <c r="BH1023" s="331" t="s">
        <v>132</v>
      </c>
      <c r="BI1023" s="331" t="s">
        <v>132</v>
      </c>
      <c r="BJ1023" s="331" t="s">
        <v>132</v>
      </c>
      <c r="BK1023" s="304"/>
    </row>
    <row r="1024" spans="1:63" s="268" customFormat="1" ht="100.5" customHeight="1">
      <c r="A1024" s="25">
        <v>3</v>
      </c>
      <c r="B1024" s="38" t="s">
        <v>3159</v>
      </c>
      <c r="C1024" s="46" t="s">
        <v>83</v>
      </c>
      <c r="D1024" s="38" t="s">
        <v>3109</v>
      </c>
      <c r="E1024" s="38" t="s">
        <v>250</v>
      </c>
      <c r="F1024" s="38" t="s">
        <v>1378</v>
      </c>
      <c r="G1024" s="38">
        <v>4010412</v>
      </c>
      <c r="H1024" s="63">
        <v>842608</v>
      </c>
      <c r="I1024" s="16" t="s">
        <v>3160</v>
      </c>
      <c r="J1024" s="16" t="s">
        <v>3161</v>
      </c>
      <c r="K1024" s="16" t="s">
        <v>4724</v>
      </c>
      <c r="L1024" s="16" t="s">
        <v>180</v>
      </c>
      <c r="M1024" s="134" t="s">
        <v>1175</v>
      </c>
      <c r="N1024" s="16" t="s">
        <v>5936</v>
      </c>
      <c r="O1024" s="16" t="s">
        <v>4134</v>
      </c>
      <c r="P1024" s="26">
        <v>10547.42</v>
      </c>
      <c r="Q1024" s="258">
        <f t="shared" si="137"/>
        <v>12445.955599999999</v>
      </c>
      <c r="R1024" s="23">
        <v>10378.75</v>
      </c>
      <c r="S1024" s="29" t="s">
        <v>1373</v>
      </c>
      <c r="T1024" s="25">
        <v>1.0840000000000001</v>
      </c>
      <c r="U1024" s="25">
        <v>1.0509999999999999</v>
      </c>
      <c r="V1024" s="25">
        <v>1.0669999999999999</v>
      </c>
      <c r="W1024" s="25">
        <v>1.0529999999999999</v>
      </c>
      <c r="X1024" s="25">
        <v>0.9</v>
      </c>
      <c r="Y1024" s="23">
        <v>11956.32</v>
      </c>
      <c r="Z1024" s="23">
        <f t="shared" si="138"/>
        <v>14108.4576</v>
      </c>
      <c r="AA1024" s="36" t="s">
        <v>132</v>
      </c>
      <c r="AB1024" s="36" t="s">
        <v>132</v>
      </c>
      <c r="AC1024" s="37">
        <v>10547.42</v>
      </c>
      <c r="AD1024" s="342">
        <f t="shared" si="139"/>
        <v>12445.955599999999</v>
      </c>
      <c r="AE1024" s="38" t="s">
        <v>169</v>
      </c>
      <c r="AF1024" s="38" t="s">
        <v>83</v>
      </c>
      <c r="AG1024" s="46" t="s">
        <v>83</v>
      </c>
      <c r="AH1024" s="44" t="s">
        <v>90</v>
      </c>
      <c r="AI1024" s="52">
        <f>AJ1024-60</f>
        <v>41699</v>
      </c>
      <c r="AJ1024" s="52">
        <v>41759</v>
      </c>
      <c r="AK1024" s="60"/>
      <c r="AL1024" s="60"/>
      <c r="AM1024" s="60" t="s">
        <v>3162</v>
      </c>
      <c r="AN1024" s="61" t="s">
        <v>3052</v>
      </c>
      <c r="AO1024" s="64">
        <v>796</v>
      </c>
      <c r="AP1024" s="38" t="s">
        <v>419</v>
      </c>
      <c r="AQ1024" s="56">
        <v>47</v>
      </c>
      <c r="AR1024" s="38" t="s">
        <v>3053</v>
      </c>
      <c r="AS1024" s="16" t="s">
        <v>3054</v>
      </c>
      <c r="AT1024" s="52">
        <v>41779</v>
      </c>
      <c r="AU1024" s="52">
        <v>41779</v>
      </c>
      <c r="AV1024" s="224">
        <v>41912</v>
      </c>
      <c r="AW1024" s="38">
        <v>2014</v>
      </c>
      <c r="AX1024" s="60"/>
      <c r="AY1024" s="135"/>
      <c r="AZ1024" s="60"/>
      <c r="BA1024" s="38" t="s">
        <v>132</v>
      </c>
      <c r="BB1024" s="38" t="s">
        <v>132</v>
      </c>
      <c r="BC1024" s="60" t="s">
        <v>132</v>
      </c>
      <c r="BD1024" s="60" t="s">
        <v>132</v>
      </c>
      <c r="BE1024" s="331" t="s">
        <v>132</v>
      </c>
      <c r="BF1024" s="331" t="s">
        <v>132</v>
      </c>
      <c r="BG1024" s="331" t="s">
        <v>132</v>
      </c>
      <c r="BH1024" s="331" t="s">
        <v>132</v>
      </c>
      <c r="BI1024" s="331" t="s">
        <v>132</v>
      </c>
      <c r="BJ1024" s="331" t="s">
        <v>132</v>
      </c>
      <c r="BK1024" s="304"/>
    </row>
    <row r="1025" spans="1:63" s="268" customFormat="1" ht="69.95" customHeight="1">
      <c r="A1025" s="25">
        <v>3</v>
      </c>
      <c r="B1025" s="38" t="s">
        <v>3167</v>
      </c>
      <c r="C1025" s="46" t="s">
        <v>83</v>
      </c>
      <c r="D1025" s="38" t="s">
        <v>3112</v>
      </c>
      <c r="E1025" s="38" t="s">
        <v>250</v>
      </c>
      <c r="F1025" s="38" t="s">
        <v>1378</v>
      </c>
      <c r="G1025" s="38">
        <v>4010412</v>
      </c>
      <c r="H1025" s="63">
        <v>842611</v>
      </c>
      <c r="I1025" s="16" t="s">
        <v>837</v>
      </c>
      <c r="J1025" s="16" t="s">
        <v>837</v>
      </c>
      <c r="K1025" s="60" t="s">
        <v>4724</v>
      </c>
      <c r="L1025" s="16" t="s">
        <v>180</v>
      </c>
      <c r="M1025" s="134" t="s">
        <v>1175</v>
      </c>
      <c r="N1025" s="16" t="s">
        <v>5922</v>
      </c>
      <c r="O1025" s="16" t="s">
        <v>271</v>
      </c>
      <c r="P1025" s="28">
        <v>1500</v>
      </c>
      <c r="Q1025" s="258">
        <f t="shared" si="137"/>
        <v>1770</v>
      </c>
      <c r="R1025" s="23"/>
      <c r="S1025" s="29"/>
      <c r="T1025" s="38"/>
      <c r="U1025" s="38"/>
      <c r="V1025" s="38"/>
      <c r="W1025" s="38"/>
      <c r="X1025" s="38"/>
      <c r="Y1025" s="28">
        <v>1500</v>
      </c>
      <c r="Z1025" s="342">
        <f t="shared" si="138"/>
        <v>1770</v>
      </c>
      <c r="AA1025" s="36" t="s">
        <v>132</v>
      </c>
      <c r="AB1025" s="36" t="s">
        <v>132</v>
      </c>
      <c r="AC1025" s="28">
        <v>1500</v>
      </c>
      <c r="AD1025" s="342">
        <f t="shared" si="139"/>
        <v>1770</v>
      </c>
      <c r="AE1025" s="38" t="s">
        <v>173</v>
      </c>
      <c r="AF1025" s="38" t="s">
        <v>83</v>
      </c>
      <c r="AG1025" s="46" t="s">
        <v>83</v>
      </c>
      <c r="AH1025" s="44" t="s">
        <v>90</v>
      </c>
      <c r="AI1025" s="52">
        <f>AJ1025-45</f>
        <v>41670</v>
      </c>
      <c r="AJ1025" s="52">
        <v>41715</v>
      </c>
      <c r="AK1025" s="60"/>
      <c r="AL1025" s="60"/>
      <c r="AM1025" s="16" t="s">
        <v>837</v>
      </c>
      <c r="AN1025" s="61" t="s">
        <v>3052</v>
      </c>
      <c r="AO1025" s="64">
        <v>796</v>
      </c>
      <c r="AP1025" s="38" t="s">
        <v>419</v>
      </c>
      <c r="AQ1025" s="38">
        <v>58</v>
      </c>
      <c r="AR1025" s="38" t="s">
        <v>3053</v>
      </c>
      <c r="AS1025" s="16" t="s">
        <v>3054</v>
      </c>
      <c r="AT1025" s="52">
        <v>41735</v>
      </c>
      <c r="AU1025" s="52">
        <v>41735</v>
      </c>
      <c r="AV1025" s="224">
        <v>42094</v>
      </c>
      <c r="AW1025" s="38" t="s">
        <v>99</v>
      </c>
      <c r="AX1025" s="60"/>
      <c r="AY1025" s="135"/>
      <c r="AZ1025" s="60"/>
      <c r="BA1025" s="38" t="s">
        <v>132</v>
      </c>
      <c r="BB1025" s="38" t="s">
        <v>132</v>
      </c>
      <c r="BC1025" s="60" t="s">
        <v>132</v>
      </c>
      <c r="BD1025" s="60" t="s">
        <v>132</v>
      </c>
      <c r="BE1025" s="331" t="s">
        <v>132</v>
      </c>
      <c r="BF1025" s="331" t="s">
        <v>132</v>
      </c>
      <c r="BG1025" s="331" t="s">
        <v>132</v>
      </c>
      <c r="BH1025" s="331" t="s">
        <v>132</v>
      </c>
      <c r="BI1025" s="331" t="s">
        <v>132</v>
      </c>
      <c r="BJ1025" s="331" t="s">
        <v>132</v>
      </c>
      <c r="BK1025" s="331"/>
    </row>
    <row r="1026" spans="1:63" s="266" customFormat="1" ht="104.25" customHeight="1">
      <c r="A1026" s="38">
        <v>3</v>
      </c>
      <c r="B1026" s="43" t="s">
        <v>3178</v>
      </c>
      <c r="C1026" s="29" t="s">
        <v>83</v>
      </c>
      <c r="D1026" s="38" t="s">
        <v>3179</v>
      </c>
      <c r="E1026" s="38" t="s">
        <v>250</v>
      </c>
      <c r="F1026" s="38" t="s">
        <v>3180</v>
      </c>
      <c r="G1026" s="38">
        <v>4010412</v>
      </c>
      <c r="H1026" s="63">
        <v>842534</v>
      </c>
      <c r="I1026" s="16" t="s">
        <v>3300</v>
      </c>
      <c r="J1026" s="16" t="s">
        <v>1063</v>
      </c>
      <c r="K1026" s="60" t="s">
        <v>4772</v>
      </c>
      <c r="L1026" s="16" t="s">
        <v>180</v>
      </c>
      <c r="M1026" s="134">
        <v>201050101</v>
      </c>
      <c r="N1026" s="16" t="s">
        <v>1330</v>
      </c>
      <c r="O1026" s="16" t="s">
        <v>271</v>
      </c>
      <c r="P1026" s="34">
        <v>1263.7</v>
      </c>
      <c r="Q1026" s="34">
        <f t="shared" si="137"/>
        <v>1491.1659999999999</v>
      </c>
      <c r="R1026" s="23"/>
      <c r="S1026" s="29"/>
      <c r="T1026" s="25"/>
      <c r="U1026" s="25"/>
      <c r="V1026" s="25"/>
      <c r="W1026" s="289"/>
      <c r="X1026" s="289"/>
      <c r="Y1026" s="34">
        <v>1263.7</v>
      </c>
      <c r="Z1026" s="34">
        <f t="shared" si="138"/>
        <v>1491.1659999999999</v>
      </c>
      <c r="AA1026" s="36" t="s">
        <v>132</v>
      </c>
      <c r="AB1026" s="36" t="s">
        <v>132</v>
      </c>
      <c r="AC1026" s="34">
        <v>1263.7</v>
      </c>
      <c r="AD1026" s="34">
        <f t="shared" si="139"/>
        <v>1491.1659999999999</v>
      </c>
      <c r="AE1026" s="38" t="s">
        <v>173</v>
      </c>
      <c r="AF1026" s="38" t="s">
        <v>83</v>
      </c>
      <c r="AG1026" s="38" t="s">
        <v>83</v>
      </c>
      <c r="AH1026" s="38" t="s">
        <v>545</v>
      </c>
      <c r="AI1026" s="51">
        <v>41755</v>
      </c>
      <c r="AJ1026" s="52">
        <v>41800</v>
      </c>
      <c r="AK1026" s="60"/>
      <c r="AL1026" s="60"/>
      <c r="AM1026" s="60" t="s">
        <v>3302</v>
      </c>
      <c r="AN1026" s="60" t="s">
        <v>3181</v>
      </c>
      <c r="AO1026" s="63">
        <v>384</v>
      </c>
      <c r="AP1026" s="38" t="s">
        <v>3182</v>
      </c>
      <c r="AQ1026" s="38" t="s">
        <v>3183</v>
      </c>
      <c r="AR1026" s="256" t="s">
        <v>3184</v>
      </c>
      <c r="AS1026" s="16" t="s">
        <v>3185</v>
      </c>
      <c r="AT1026" s="52">
        <v>41820</v>
      </c>
      <c r="AU1026" s="52">
        <v>41820</v>
      </c>
      <c r="AV1026" s="52">
        <v>42185</v>
      </c>
      <c r="AW1026" s="38" t="s">
        <v>99</v>
      </c>
      <c r="AX1026" s="60"/>
      <c r="AY1026" s="135"/>
      <c r="AZ1026" s="60"/>
      <c r="BA1026" s="38" t="s">
        <v>132</v>
      </c>
      <c r="BB1026" s="38" t="s">
        <v>132</v>
      </c>
      <c r="BC1026" s="60" t="s">
        <v>132</v>
      </c>
      <c r="BD1026" s="60" t="s">
        <v>132</v>
      </c>
      <c r="BE1026" s="331" t="s">
        <v>132</v>
      </c>
      <c r="BF1026" s="331" t="s">
        <v>132</v>
      </c>
      <c r="BG1026" s="331" t="s">
        <v>132</v>
      </c>
      <c r="BH1026" s="331" t="s">
        <v>132</v>
      </c>
      <c r="BI1026" s="331" t="s">
        <v>132</v>
      </c>
      <c r="BJ1026" s="331" t="s">
        <v>132</v>
      </c>
      <c r="BK1026" s="304"/>
    </row>
    <row r="1027" spans="1:63" s="266" customFormat="1" ht="93.75" customHeight="1">
      <c r="A1027" s="38">
        <v>3</v>
      </c>
      <c r="B1027" s="43" t="s">
        <v>3186</v>
      </c>
      <c r="C1027" s="29" t="s">
        <v>83</v>
      </c>
      <c r="D1027" s="38" t="s">
        <v>3179</v>
      </c>
      <c r="E1027" s="38" t="s">
        <v>250</v>
      </c>
      <c r="F1027" s="38" t="s">
        <v>3180</v>
      </c>
      <c r="G1027" s="38">
        <v>4010412</v>
      </c>
      <c r="H1027" s="63">
        <v>842537</v>
      </c>
      <c r="I1027" s="16" t="s">
        <v>3187</v>
      </c>
      <c r="J1027" s="16" t="s">
        <v>1063</v>
      </c>
      <c r="K1027" s="60" t="s">
        <v>4772</v>
      </c>
      <c r="L1027" s="16" t="s">
        <v>180</v>
      </c>
      <c r="M1027" s="134" t="s">
        <v>1329</v>
      </c>
      <c r="N1027" s="16" t="s">
        <v>1330</v>
      </c>
      <c r="O1027" s="16" t="s">
        <v>271</v>
      </c>
      <c r="P1027" s="23">
        <v>2919.62</v>
      </c>
      <c r="Q1027" s="23">
        <f t="shared" si="137"/>
        <v>3445.1515999999997</v>
      </c>
      <c r="R1027" s="23"/>
      <c r="S1027" s="29"/>
      <c r="T1027" s="25"/>
      <c r="U1027" s="25"/>
      <c r="V1027" s="25"/>
      <c r="W1027" s="289"/>
      <c r="X1027" s="289"/>
      <c r="Y1027" s="28">
        <v>2919.62</v>
      </c>
      <c r="Z1027" s="342">
        <f t="shared" si="138"/>
        <v>3445.1515999999997</v>
      </c>
      <c r="AA1027" s="36" t="s">
        <v>132</v>
      </c>
      <c r="AB1027" s="36" t="s">
        <v>132</v>
      </c>
      <c r="AC1027" s="34">
        <v>2919.62</v>
      </c>
      <c r="AD1027" s="34">
        <f t="shared" si="139"/>
        <v>3445.1515999999997</v>
      </c>
      <c r="AE1027" s="38" t="s">
        <v>173</v>
      </c>
      <c r="AF1027" s="38" t="s">
        <v>83</v>
      </c>
      <c r="AG1027" s="38" t="s">
        <v>83</v>
      </c>
      <c r="AH1027" s="38" t="s">
        <v>545</v>
      </c>
      <c r="AI1027" s="51">
        <v>41625</v>
      </c>
      <c r="AJ1027" s="51">
        <v>41670</v>
      </c>
      <c r="AK1027" s="60"/>
      <c r="AL1027" s="60"/>
      <c r="AM1027" s="60" t="s">
        <v>3303</v>
      </c>
      <c r="AN1027" s="60" t="s">
        <v>3181</v>
      </c>
      <c r="AO1027" s="63">
        <v>384</v>
      </c>
      <c r="AP1027" s="38" t="s">
        <v>3182</v>
      </c>
      <c r="AQ1027" s="38" t="s">
        <v>3183</v>
      </c>
      <c r="AR1027" s="256" t="s">
        <v>3184</v>
      </c>
      <c r="AS1027" s="16" t="s">
        <v>3185</v>
      </c>
      <c r="AT1027" s="52">
        <v>41690</v>
      </c>
      <c r="AU1027" s="52">
        <v>41690</v>
      </c>
      <c r="AV1027" s="52">
        <v>42004</v>
      </c>
      <c r="AW1027" s="38">
        <v>2014</v>
      </c>
      <c r="AX1027" s="60" t="s">
        <v>3188</v>
      </c>
      <c r="AY1027" s="135"/>
      <c r="AZ1027" s="60"/>
      <c r="BA1027" s="38" t="s">
        <v>132</v>
      </c>
      <c r="BB1027" s="38" t="s">
        <v>132</v>
      </c>
      <c r="BC1027" s="60" t="s">
        <v>132</v>
      </c>
      <c r="BD1027" s="60" t="s">
        <v>132</v>
      </c>
      <c r="BE1027" s="331" t="s">
        <v>132</v>
      </c>
      <c r="BF1027" s="331" t="s">
        <v>132</v>
      </c>
      <c r="BG1027" s="331" t="s">
        <v>132</v>
      </c>
      <c r="BH1027" s="331" t="s">
        <v>132</v>
      </c>
      <c r="BI1027" s="331" t="s">
        <v>132</v>
      </c>
      <c r="BJ1027" s="331" t="s">
        <v>132</v>
      </c>
      <c r="BK1027" s="331"/>
    </row>
    <row r="1028" spans="1:63" s="266" customFormat="1" ht="131.25" customHeight="1">
      <c r="A1028" s="38">
        <v>3</v>
      </c>
      <c r="B1028" s="43" t="s">
        <v>3189</v>
      </c>
      <c r="C1028" s="29" t="s">
        <v>83</v>
      </c>
      <c r="D1028" s="38" t="s">
        <v>3179</v>
      </c>
      <c r="E1028" s="38" t="s">
        <v>250</v>
      </c>
      <c r="F1028" s="38" t="s">
        <v>3180</v>
      </c>
      <c r="G1028" s="38">
        <v>4010412</v>
      </c>
      <c r="H1028" s="63">
        <v>842538</v>
      </c>
      <c r="I1028" s="16" t="s">
        <v>3301</v>
      </c>
      <c r="J1028" s="16" t="s">
        <v>3190</v>
      </c>
      <c r="K1028" s="60" t="s">
        <v>4772</v>
      </c>
      <c r="L1028" s="16" t="s">
        <v>180</v>
      </c>
      <c r="M1028" s="134" t="s">
        <v>1329</v>
      </c>
      <c r="N1028" s="16" t="s">
        <v>1330</v>
      </c>
      <c r="O1028" s="16" t="s">
        <v>271</v>
      </c>
      <c r="P1028" s="23">
        <v>678</v>
      </c>
      <c r="Q1028" s="23">
        <f t="shared" si="137"/>
        <v>800.04</v>
      </c>
      <c r="R1028" s="23"/>
      <c r="S1028" s="29"/>
      <c r="T1028" s="25"/>
      <c r="U1028" s="25"/>
      <c r="V1028" s="25"/>
      <c r="W1028" s="289"/>
      <c r="X1028" s="289"/>
      <c r="Y1028" s="28">
        <v>678</v>
      </c>
      <c r="Z1028" s="342">
        <f t="shared" si="138"/>
        <v>800.04</v>
      </c>
      <c r="AA1028" s="36" t="s">
        <v>132</v>
      </c>
      <c r="AB1028" s="36" t="s">
        <v>132</v>
      </c>
      <c r="AC1028" s="34">
        <v>678</v>
      </c>
      <c r="AD1028" s="34">
        <f t="shared" si="139"/>
        <v>800.04</v>
      </c>
      <c r="AE1028" s="38" t="s">
        <v>173</v>
      </c>
      <c r="AF1028" s="38" t="s">
        <v>83</v>
      </c>
      <c r="AG1028" s="38" t="s">
        <v>83</v>
      </c>
      <c r="AH1028" s="38" t="s">
        <v>545</v>
      </c>
      <c r="AI1028" s="51">
        <v>41625</v>
      </c>
      <c r="AJ1028" s="51">
        <v>41670</v>
      </c>
      <c r="AK1028" s="60"/>
      <c r="AL1028" s="60"/>
      <c r="AM1028" s="60" t="s">
        <v>3191</v>
      </c>
      <c r="AN1028" s="60" t="s">
        <v>3181</v>
      </c>
      <c r="AO1028" s="63">
        <v>384</v>
      </c>
      <c r="AP1028" s="38" t="s">
        <v>3182</v>
      </c>
      <c r="AQ1028" s="38" t="s">
        <v>3183</v>
      </c>
      <c r="AR1028" s="256" t="s">
        <v>3184</v>
      </c>
      <c r="AS1028" s="16" t="s">
        <v>3185</v>
      </c>
      <c r="AT1028" s="52">
        <v>41690</v>
      </c>
      <c r="AU1028" s="52">
        <v>41690</v>
      </c>
      <c r="AV1028" s="52">
        <v>42004</v>
      </c>
      <c r="AW1028" s="38">
        <v>2014</v>
      </c>
      <c r="AX1028" s="60"/>
      <c r="AY1028" s="135"/>
      <c r="AZ1028" s="60"/>
      <c r="BA1028" s="38" t="s">
        <v>132</v>
      </c>
      <c r="BB1028" s="38" t="s">
        <v>132</v>
      </c>
      <c r="BC1028" s="60" t="s">
        <v>132</v>
      </c>
      <c r="BD1028" s="60" t="s">
        <v>132</v>
      </c>
      <c r="BE1028" s="331" t="s">
        <v>132</v>
      </c>
      <c r="BF1028" s="331" t="s">
        <v>132</v>
      </c>
      <c r="BG1028" s="331" t="s">
        <v>132</v>
      </c>
      <c r="BH1028" s="331" t="s">
        <v>132</v>
      </c>
      <c r="BI1028" s="331" t="s">
        <v>132</v>
      </c>
      <c r="BJ1028" s="331" t="s">
        <v>132</v>
      </c>
      <c r="BK1028" s="331"/>
    </row>
    <row r="1029" spans="1:63" s="604" customFormat="1" ht="146.25" customHeight="1">
      <c r="A1029" s="38">
        <v>3</v>
      </c>
      <c r="B1029" s="38" t="s">
        <v>3233</v>
      </c>
      <c r="C1029" s="38" t="s">
        <v>83</v>
      </c>
      <c r="D1029" s="38" t="s">
        <v>3234</v>
      </c>
      <c r="E1029" s="38" t="s">
        <v>250</v>
      </c>
      <c r="F1029" s="38" t="s">
        <v>1378</v>
      </c>
      <c r="G1029" s="38">
        <v>4010412</v>
      </c>
      <c r="H1029" s="11">
        <v>842535</v>
      </c>
      <c r="I1029" s="16" t="s">
        <v>3235</v>
      </c>
      <c r="J1029" s="16" t="s">
        <v>1042</v>
      </c>
      <c r="K1029" s="60" t="s">
        <v>4724</v>
      </c>
      <c r="L1029" s="16" t="s">
        <v>180</v>
      </c>
      <c r="M1029" s="134" t="s">
        <v>1325</v>
      </c>
      <c r="N1029" s="16" t="s">
        <v>1326</v>
      </c>
      <c r="O1029" s="16" t="s">
        <v>4132</v>
      </c>
      <c r="P1029" s="23">
        <v>4000</v>
      </c>
      <c r="Q1029" s="23">
        <f t="shared" si="137"/>
        <v>4720</v>
      </c>
      <c r="R1029" s="23">
        <f>Y1029/X1029/W1029/V1029/U1029/T1029</f>
        <v>3409.6926787172943</v>
      </c>
      <c r="S1029" s="29" t="s">
        <v>1373</v>
      </c>
      <c r="T1029" s="25">
        <v>1.0840000000000001</v>
      </c>
      <c r="U1029" s="25">
        <v>1.0509999999999999</v>
      </c>
      <c r="V1029" s="25">
        <v>1.0669999999999999</v>
      </c>
      <c r="W1029" s="25">
        <v>1.0529999999999999</v>
      </c>
      <c r="X1029" s="38">
        <v>0.9</v>
      </c>
      <c r="Y1029" s="34">
        <v>3928.1</v>
      </c>
      <c r="Z1029" s="34">
        <f t="shared" si="138"/>
        <v>4635.1579999999994</v>
      </c>
      <c r="AA1029" s="36" t="s">
        <v>132</v>
      </c>
      <c r="AB1029" s="36" t="s">
        <v>132</v>
      </c>
      <c r="AC1029" s="34">
        <v>4000</v>
      </c>
      <c r="AD1029" s="34">
        <f t="shared" si="139"/>
        <v>4720</v>
      </c>
      <c r="AE1029" s="38" t="s">
        <v>173</v>
      </c>
      <c r="AF1029" s="38" t="s">
        <v>83</v>
      </c>
      <c r="AG1029" s="96" t="s">
        <v>83</v>
      </c>
      <c r="AH1029" s="38" t="s">
        <v>90</v>
      </c>
      <c r="AI1029" s="51">
        <v>41633</v>
      </c>
      <c r="AJ1029" s="51">
        <v>41678</v>
      </c>
      <c r="AK1029" s="60"/>
      <c r="AL1029" s="60"/>
      <c r="AM1029" s="60" t="s">
        <v>3236</v>
      </c>
      <c r="AN1029" s="60" t="s">
        <v>171</v>
      </c>
      <c r="AO1029" s="11">
        <v>796</v>
      </c>
      <c r="AP1029" s="38" t="s">
        <v>3237</v>
      </c>
      <c r="AQ1029" s="38">
        <v>1467</v>
      </c>
      <c r="AR1029" s="38">
        <v>46</v>
      </c>
      <c r="AS1029" s="16" t="s">
        <v>3238</v>
      </c>
      <c r="AT1029" s="52">
        <v>41698</v>
      </c>
      <c r="AU1029" s="52">
        <v>41701</v>
      </c>
      <c r="AV1029" s="52">
        <v>42004</v>
      </c>
      <c r="AW1029" s="38">
        <v>2014</v>
      </c>
      <c r="AX1029" s="60" t="s">
        <v>96</v>
      </c>
      <c r="AY1029" s="135"/>
      <c r="AZ1029" s="60"/>
      <c r="BA1029" s="38" t="s">
        <v>96</v>
      </c>
      <c r="BB1029" s="38" t="s">
        <v>96</v>
      </c>
      <c r="BC1029" s="60" t="s">
        <v>96</v>
      </c>
      <c r="BD1029" s="60" t="s">
        <v>96</v>
      </c>
      <c r="BE1029" s="377" t="s">
        <v>96</v>
      </c>
      <c r="BF1029" s="377" t="s">
        <v>96</v>
      </c>
      <c r="BG1029" s="377" t="s">
        <v>96</v>
      </c>
      <c r="BH1029" s="377" t="s">
        <v>96</v>
      </c>
      <c r="BI1029" s="377" t="s">
        <v>96</v>
      </c>
      <c r="BJ1029" s="377" t="s">
        <v>96</v>
      </c>
      <c r="BK1029" s="377"/>
    </row>
    <row r="1030" spans="1:63" s="604" customFormat="1" ht="125.25" customHeight="1">
      <c r="A1030" s="38">
        <v>3</v>
      </c>
      <c r="B1030" s="60" t="s">
        <v>3239</v>
      </c>
      <c r="C1030" s="38" t="s">
        <v>83</v>
      </c>
      <c r="D1030" s="38" t="s">
        <v>3234</v>
      </c>
      <c r="E1030" s="38" t="s">
        <v>250</v>
      </c>
      <c r="F1030" s="38" t="s">
        <v>1378</v>
      </c>
      <c r="G1030" s="38">
        <v>4010412</v>
      </c>
      <c r="H1030" s="11">
        <v>842536</v>
      </c>
      <c r="I1030" s="16" t="s">
        <v>4643</v>
      </c>
      <c r="J1030" s="16" t="s">
        <v>1045</v>
      </c>
      <c r="K1030" s="60" t="s">
        <v>4724</v>
      </c>
      <c r="L1030" s="16" t="s">
        <v>180</v>
      </c>
      <c r="M1030" s="134" t="s">
        <v>1325</v>
      </c>
      <c r="N1030" s="16" t="s">
        <v>1326</v>
      </c>
      <c r="O1030" s="16" t="s">
        <v>4131</v>
      </c>
      <c r="P1030" s="23">
        <v>6005.4</v>
      </c>
      <c r="Q1030" s="23">
        <f t="shared" si="137"/>
        <v>7086.3719999999994</v>
      </c>
      <c r="R1030" s="23">
        <v>5202.9995412011367</v>
      </c>
      <c r="S1030" s="29" t="s">
        <v>1373</v>
      </c>
      <c r="T1030" s="25">
        <v>1.0840000000000001</v>
      </c>
      <c r="U1030" s="25">
        <v>1.0509999999999999</v>
      </c>
      <c r="V1030" s="25">
        <v>1.0669999999999999</v>
      </c>
      <c r="W1030" s="25">
        <v>1.0529999999999999</v>
      </c>
      <c r="X1030" s="38">
        <v>0.9</v>
      </c>
      <c r="Y1030" s="34">
        <v>5994.06</v>
      </c>
      <c r="Z1030" s="34">
        <f t="shared" si="138"/>
        <v>7072.9908000000005</v>
      </c>
      <c r="AA1030" s="36" t="s">
        <v>132</v>
      </c>
      <c r="AB1030" s="36" t="s">
        <v>132</v>
      </c>
      <c r="AC1030" s="23">
        <v>6005.4</v>
      </c>
      <c r="AD1030" s="23">
        <f t="shared" si="139"/>
        <v>7086.3719999999994</v>
      </c>
      <c r="AE1030" s="38" t="s">
        <v>173</v>
      </c>
      <c r="AF1030" s="38" t="s">
        <v>83</v>
      </c>
      <c r="AG1030" s="38" t="s">
        <v>83</v>
      </c>
      <c r="AH1030" s="38" t="s">
        <v>90</v>
      </c>
      <c r="AI1030" s="51">
        <v>41650</v>
      </c>
      <c r="AJ1030" s="51">
        <v>41706</v>
      </c>
      <c r="AK1030" s="60"/>
      <c r="AL1030" s="60"/>
      <c r="AM1030" s="60" t="s">
        <v>3240</v>
      </c>
      <c r="AN1030" s="60" t="s">
        <v>171</v>
      </c>
      <c r="AO1030" s="11">
        <v>796</v>
      </c>
      <c r="AP1030" s="38" t="s">
        <v>3237</v>
      </c>
      <c r="AQ1030" s="38">
        <v>568</v>
      </c>
      <c r="AR1030" s="38">
        <v>46</v>
      </c>
      <c r="AS1030" s="16" t="s">
        <v>3238</v>
      </c>
      <c r="AT1030" s="52">
        <v>41726</v>
      </c>
      <c r="AU1030" s="52">
        <v>41743</v>
      </c>
      <c r="AV1030" s="52">
        <v>41995</v>
      </c>
      <c r="AW1030" s="38">
        <v>2014</v>
      </c>
      <c r="AX1030" s="60" t="s">
        <v>96</v>
      </c>
      <c r="AY1030" s="135"/>
      <c r="AZ1030" s="60"/>
      <c r="BA1030" s="38" t="s">
        <v>96</v>
      </c>
      <c r="BB1030" s="38" t="s">
        <v>96</v>
      </c>
      <c r="BC1030" s="60" t="s">
        <v>96</v>
      </c>
      <c r="BD1030" s="60" t="s">
        <v>96</v>
      </c>
      <c r="BE1030" s="377" t="s">
        <v>96</v>
      </c>
      <c r="BF1030" s="377" t="s">
        <v>96</v>
      </c>
      <c r="BG1030" s="377" t="s">
        <v>96</v>
      </c>
      <c r="BH1030" s="377" t="s">
        <v>96</v>
      </c>
      <c r="BI1030" s="377" t="s">
        <v>96</v>
      </c>
      <c r="BJ1030" s="377" t="s">
        <v>96</v>
      </c>
      <c r="BK1030" s="377"/>
    </row>
    <row r="1031" spans="1:63" s="268" customFormat="1" ht="75">
      <c r="A1031" s="72">
        <v>3</v>
      </c>
      <c r="B1031" s="72" t="s">
        <v>3827</v>
      </c>
      <c r="C1031" s="72" t="s">
        <v>83</v>
      </c>
      <c r="D1031" s="72" t="s">
        <v>3241</v>
      </c>
      <c r="E1031" s="72" t="s">
        <v>214</v>
      </c>
      <c r="F1031" s="72" t="s">
        <v>3242</v>
      </c>
      <c r="G1031" s="72">
        <v>7499090</v>
      </c>
      <c r="H1031" s="11">
        <v>842539</v>
      </c>
      <c r="I1031" s="16" t="s">
        <v>818</v>
      </c>
      <c r="J1031" s="16" t="s">
        <v>818</v>
      </c>
      <c r="K1031" s="60" t="s">
        <v>4772</v>
      </c>
      <c r="L1031" s="16" t="s">
        <v>180</v>
      </c>
      <c r="M1031" s="134" t="s">
        <v>743</v>
      </c>
      <c r="N1031" s="16" t="s">
        <v>744</v>
      </c>
      <c r="O1031" s="16" t="s">
        <v>960</v>
      </c>
      <c r="P1031" s="451">
        <v>5218.99</v>
      </c>
      <c r="Q1031" s="23">
        <f t="shared" si="137"/>
        <v>6158.4081999999999</v>
      </c>
      <c r="R1031" s="23"/>
      <c r="S1031" s="29"/>
      <c r="T1031" s="38"/>
      <c r="U1031" s="38"/>
      <c r="V1031" s="38"/>
      <c r="W1031" s="38"/>
      <c r="X1031" s="38"/>
      <c r="Y1031" s="451">
        <v>5218.99</v>
      </c>
      <c r="Z1031" s="23">
        <f t="shared" si="138"/>
        <v>6158.4081999999999</v>
      </c>
      <c r="AA1031" s="36" t="s">
        <v>132</v>
      </c>
      <c r="AB1031" s="36" t="s">
        <v>132</v>
      </c>
      <c r="AC1031" s="451">
        <v>5218.99</v>
      </c>
      <c r="AD1031" s="23">
        <f t="shared" si="139"/>
        <v>6158.4081999999999</v>
      </c>
      <c r="AE1031" s="38" t="s">
        <v>173</v>
      </c>
      <c r="AF1031" s="38" t="s">
        <v>83</v>
      </c>
      <c r="AG1031" s="38" t="s">
        <v>83</v>
      </c>
      <c r="AH1031" s="38" t="s">
        <v>545</v>
      </c>
      <c r="AI1031" s="51">
        <v>41765</v>
      </c>
      <c r="AJ1031" s="51">
        <v>41810</v>
      </c>
      <c r="AK1031" s="60"/>
      <c r="AL1031" s="60"/>
      <c r="AM1031" s="60" t="s">
        <v>3243</v>
      </c>
      <c r="AN1031" s="60" t="s">
        <v>171</v>
      </c>
      <c r="AO1031" s="63">
        <v>539</v>
      </c>
      <c r="AP1031" s="38" t="s">
        <v>3244</v>
      </c>
      <c r="AQ1031" s="38">
        <v>720</v>
      </c>
      <c r="AR1031" s="38">
        <v>46</v>
      </c>
      <c r="AS1031" s="16" t="s">
        <v>605</v>
      </c>
      <c r="AT1031" s="52">
        <v>41830</v>
      </c>
      <c r="AU1031" s="52">
        <v>41830</v>
      </c>
      <c r="AV1031" s="51">
        <v>42216</v>
      </c>
      <c r="AW1031" s="38" t="s">
        <v>99</v>
      </c>
      <c r="AX1031" s="60"/>
      <c r="AY1031" s="135"/>
      <c r="AZ1031" s="60"/>
      <c r="BA1031" s="38"/>
      <c r="BB1031" s="38"/>
      <c r="BC1031" s="60"/>
      <c r="BD1031" s="60"/>
      <c r="BE1031" s="378"/>
      <c r="BF1031" s="378"/>
      <c r="BG1031" s="378"/>
      <c r="BH1031" s="378"/>
      <c r="BI1031" s="378"/>
      <c r="BJ1031" s="378" t="s">
        <v>186</v>
      </c>
      <c r="BK1031" s="453"/>
    </row>
    <row r="1032" spans="1:63" s="268" customFormat="1" ht="150">
      <c r="A1032" s="72">
        <v>3</v>
      </c>
      <c r="B1032" s="72" t="s">
        <v>3834</v>
      </c>
      <c r="C1032" s="72" t="s">
        <v>83</v>
      </c>
      <c r="D1032" s="72" t="s">
        <v>3835</v>
      </c>
      <c r="E1032" s="38" t="s">
        <v>250</v>
      </c>
      <c r="F1032" s="72" t="s">
        <v>816</v>
      </c>
      <c r="G1032" s="72">
        <v>7422090</v>
      </c>
      <c r="H1032" s="11">
        <v>842547</v>
      </c>
      <c r="I1032" s="16" t="s">
        <v>3836</v>
      </c>
      <c r="J1032" s="16" t="s">
        <v>1048</v>
      </c>
      <c r="K1032" s="60" t="s">
        <v>4772</v>
      </c>
      <c r="L1032" s="16" t="s">
        <v>180</v>
      </c>
      <c r="M1032" s="134" t="s">
        <v>743</v>
      </c>
      <c r="N1032" s="16" t="s">
        <v>5900</v>
      </c>
      <c r="O1032" s="16" t="s">
        <v>3312</v>
      </c>
      <c r="P1032" s="23">
        <v>3500</v>
      </c>
      <c r="Q1032" s="23">
        <f t="shared" si="137"/>
        <v>4130</v>
      </c>
      <c r="R1032" s="23"/>
      <c r="S1032" s="29"/>
      <c r="T1032" s="38"/>
      <c r="U1032" s="38"/>
      <c r="V1032" s="38"/>
      <c r="W1032" s="38"/>
      <c r="X1032" s="38"/>
      <c r="Y1032" s="23">
        <v>3500</v>
      </c>
      <c r="Z1032" s="23">
        <f t="shared" si="138"/>
        <v>4130</v>
      </c>
      <c r="AA1032" s="36" t="s">
        <v>132</v>
      </c>
      <c r="AB1032" s="36" t="s">
        <v>132</v>
      </c>
      <c r="AC1032" s="23">
        <v>3500</v>
      </c>
      <c r="AD1032" s="23">
        <f t="shared" si="139"/>
        <v>4130</v>
      </c>
      <c r="AE1032" s="38" t="s">
        <v>173</v>
      </c>
      <c r="AF1032" s="38" t="s">
        <v>83</v>
      </c>
      <c r="AG1032" s="96" t="s">
        <v>83</v>
      </c>
      <c r="AH1032" s="38" t="s">
        <v>90</v>
      </c>
      <c r="AI1032" s="51">
        <v>41814</v>
      </c>
      <c r="AJ1032" s="51">
        <v>41859</v>
      </c>
      <c r="AK1032" s="60"/>
      <c r="AL1032" s="60"/>
      <c r="AM1032" s="60" t="s">
        <v>3837</v>
      </c>
      <c r="AN1032" s="60" t="s">
        <v>171</v>
      </c>
      <c r="AO1032" s="63">
        <v>796</v>
      </c>
      <c r="AP1032" s="38" t="s">
        <v>419</v>
      </c>
      <c r="AQ1032" s="38">
        <v>1</v>
      </c>
      <c r="AR1032" s="38" t="s">
        <v>1176</v>
      </c>
      <c r="AS1032" s="16" t="s">
        <v>547</v>
      </c>
      <c r="AT1032" s="52">
        <v>41879</v>
      </c>
      <c r="AU1032" s="78">
        <v>41879</v>
      </c>
      <c r="AV1032" s="51">
        <v>42247</v>
      </c>
      <c r="AW1032" s="38" t="s">
        <v>99</v>
      </c>
      <c r="AX1032" s="60"/>
      <c r="AY1032" s="135"/>
      <c r="AZ1032" s="60"/>
      <c r="BA1032" s="38"/>
      <c r="BB1032" s="38"/>
      <c r="BC1032" s="60"/>
      <c r="BD1032" s="60"/>
      <c r="BE1032" s="378"/>
      <c r="BF1032" s="378"/>
      <c r="BG1032" s="378"/>
      <c r="BH1032" s="378"/>
      <c r="BI1032" s="378"/>
      <c r="BJ1032" s="378"/>
      <c r="BK1032" s="378"/>
    </row>
    <row r="1033" spans="1:63" s="287" customFormat="1" ht="149.25" customHeight="1">
      <c r="A1033" s="25">
        <v>3</v>
      </c>
      <c r="B1033" s="38" t="s">
        <v>1354</v>
      </c>
      <c r="C1033" s="38" t="s">
        <v>83</v>
      </c>
      <c r="D1033" s="38" t="s">
        <v>3025</v>
      </c>
      <c r="E1033" s="38" t="s">
        <v>250</v>
      </c>
      <c r="F1033" s="38" t="s">
        <v>349</v>
      </c>
      <c r="G1033" s="38">
        <v>4010419</v>
      </c>
      <c r="H1033" s="63">
        <v>854108</v>
      </c>
      <c r="I1033" s="16" t="s">
        <v>1356</v>
      </c>
      <c r="J1033" s="16" t="s">
        <v>1357</v>
      </c>
      <c r="K1033" s="60" t="s">
        <v>4717</v>
      </c>
      <c r="L1033" s="16" t="s">
        <v>180</v>
      </c>
      <c r="M1033" s="134" t="s">
        <v>1358</v>
      </c>
      <c r="N1033" s="16" t="s">
        <v>5939</v>
      </c>
      <c r="O1033" s="16" t="s">
        <v>1359</v>
      </c>
      <c r="P1033" s="23">
        <v>217490.35200000001</v>
      </c>
      <c r="Q1033" s="23">
        <f t="shared" si="137"/>
        <v>256638.61536</v>
      </c>
      <c r="R1033" s="23"/>
      <c r="S1033" s="29"/>
      <c r="T1033" s="23"/>
      <c r="U1033" s="23"/>
      <c r="V1033" s="23"/>
      <c r="W1033" s="23"/>
      <c r="X1033" s="23"/>
      <c r="Y1033" s="23">
        <v>217490.35200000001</v>
      </c>
      <c r="Z1033" s="23">
        <f t="shared" si="138"/>
        <v>256638.61536</v>
      </c>
      <c r="AA1033" s="36" t="s">
        <v>132</v>
      </c>
      <c r="AB1033" s="36" t="s">
        <v>132</v>
      </c>
      <c r="AC1033" s="23">
        <v>217490.35200000001</v>
      </c>
      <c r="AD1033" s="23">
        <f t="shared" si="139"/>
        <v>256638.61536</v>
      </c>
      <c r="AE1033" s="38" t="s">
        <v>169</v>
      </c>
      <c r="AF1033" s="38" t="s">
        <v>83</v>
      </c>
      <c r="AG1033" s="38" t="s">
        <v>83</v>
      </c>
      <c r="AH1033" s="45" t="s">
        <v>545</v>
      </c>
      <c r="AI1033" s="51">
        <v>41625</v>
      </c>
      <c r="AJ1033" s="51">
        <v>41685</v>
      </c>
      <c r="AK1033" s="60"/>
      <c r="AL1033" s="60"/>
      <c r="AM1033" s="60" t="s">
        <v>1360</v>
      </c>
      <c r="AN1033" s="60" t="s">
        <v>1361</v>
      </c>
      <c r="AO1033" s="63">
        <v>55</v>
      </c>
      <c r="AP1033" s="38" t="s">
        <v>737</v>
      </c>
      <c r="AQ1033" s="23">
        <v>474030</v>
      </c>
      <c r="AR1033" s="306">
        <v>45</v>
      </c>
      <c r="AS1033" s="16" t="s">
        <v>512</v>
      </c>
      <c r="AT1033" s="52">
        <v>41705</v>
      </c>
      <c r="AU1033" s="52">
        <v>41705</v>
      </c>
      <c r="AV1033" s="52">
        <v>42049</v>
      </c>
      <c r="AW1033" s="38" t="s">
        <v>99</v>
      </c>
      <c r="AX1033" s="307"/>
      <c r="AY1033" s="135"/>
      <c r="AZ1033" s="60"/>
      <c r="BA1033" s="38"/>
      <c r="BB1033" s="38"/>
      <c r="BC1033" s="60"/>
      <c r="BD1033" s="60"/>
      <c r="BE1033" s="65"/>
      <c r="BF1033" s="65"/>
      <c r="BG1033" s="65"/>
      <c r="BH1033" s="65"/>
      <c r="BI1033" s="65"/>
      <c r="BJ1033" s="65" t="s">
        <v>400</v>
      </c>
      <c r="BK1033" s="308"/>
    </row>
    <row r="1034" spans="1:63" s="287" customFormat="1" ht="75">
      <c r="A1034" s="25">
        <v>3</v>
      </c>
      <c r="B1034" s="38" t="s">
        <v>1362</v>
      </c>
      <c r="C1034" s="38" t="s">
        <v>83</v>
      </c>
      <c r="D1034" s="38" t="s">
        <v>3026</v>
      </c>
      <c r="E1034" s="38" t="s">
        <v>250</v>
      </c>
      <c r="F1034" s="38" t="s">
        <v>349</v>
      </c>
      <c r="G1034" s="38">
        <v>4010419</v>
      </c>
      <c r="H1034" s="63">
        <v>854111</v>
      </c>
      <c r="I1034" s="16" t="s">
        <v>1363</v>
      </c>
      <c r="J1034" s="16" t="s">
        <v>813</v>
      </c>
      <c r="K1034" s="60" t="s">
        <v>4717</v>
      </c>
      <c r="L1034" s="16" t="s">
        <v>180</v>
      </c>
      <c r="M1034" s="134" t="s">
        <v>1358</v>
      </c>
      <c r="N1034" s="16" t="s">
        <v>5939</v>
      </c>
      <c r="O1034" s="16" t="s">
        <v>1359</v>
      </c>
      <c r="P1034" s="23">
        <v>9803.94</v>
      </c>
      <c r="Q1034" s="23">
        <f t="shared" si="137"/>
        <v>11568.6492</v>
      </c>
      <c r="R1034" s="23"/>
      <c r="S1034" s="29"/>
      <c r="T1034" s="23"/>
      <c r="U1034" s="23"/>
      <c r="V1034" s="23"/>
      <c r="W1034" s="23"/>
      <c r="X1034" s="23"/>
      <c r="Y1034" s="23">
        <v>9803.94</v>
      </c>
      <c r="Z1034" s="23">
        <f t="shared" si="138"/>
        <v>11568.6492</v>
      </c>
      <c r="AA1034" s="36" t="s">
        <v>132</v>
      </c>
      <c r="AB1034" s="36" t="s">
        <v>132</v>
      </c>
      <c r="AC1034" s="23">
        <v>9803.94</v>
      </c>
      <c r="AD1034" s="23">
        <f t="shared" si="139"/>
        <v>11568.6492</v>
      </c>
      <c r="AE1034" s="38" t="s">
        <v>169</v>
      </c>
      <c r="AF1034" s="38" t="s">
        <v>83</v>
      </c>
      <c r="AG1034" s="38" t="s">
        <v>83</v>
      </c>
      <c r="AH1034" s="45" t="s">
        <v>545</v>
      </c>
      <c r="AI1034" s="51">
        <v>41554</v>
      </c>
      <c r="AJ1034" s="51">
        <v>41609</v>
      </c>
      <c r="AK1034" s="134"/>
      <c r="AL1034" s="60"/>
      <c r="AM1034" s="60" t="s">
        <v>1364</v>
      </c>
      <c r="AN1034" s="60" t="s">
        <v>1361</v>
      </c>
      <c r="AO1034" s="63">
        <v>6</v>
      </c>
      <c r="AP1034" s="38" t="s">
        <v>717</v>
      </c>
      <c r="AQ1034" s="25">
        <v>400</v>
      </c>
      <c r="AR1034" s="306">
        <v>45</v>
      </c>
      <c r="AS1034" s="16" t="s">
        <v>512</v>
      </c>
      <c r="AT1034" s="52">
        <v>41699</v>
      </c>
      <c r="AU1034" s="51">
        <v>41730</v>
      </c>
      <c r="AV1034" s="224">
        <v>41912</v>
      </c>
      <c r="AW1034" s="38">
        <v>2014</v>
      </c>
      <c r="AX1034" s="60"/>
      <c r="AY1034" s="135"/>
      <c r="AZ1034" s="60"/>
      <c r="BA1034" s="38"/>
      <c r="BB1034" s="38"/>
      <c r="BC1034" s="60"/>
      <c r="BD1034" s="60"/>
      <c r="BE1034" s="65"/>
      <c r="BF1034" s="65"/>
      <c r="BG1034" s="65"/>
      <c r="BH1034" s="65"/>
      <c r="BI1034" s="65"/>
      <c r="BJ1034" s="65" t="s">
        <v>400</v>
      </c>
      <c r="BK1034" s="308"/>
    </row>
    <row r="1035" spans="1:63" s="287" customFormat="1" ht="112.5">
      <c r="A1035" s="25">
        <v>3</v>
      </c>
      <c r="B1035" s="38" t="s">
        <v>1365</v>
      </c>
      <c r="C1035" s="38" t="s">
        <v>83</v>
      </c>
      <c r="D1035" s="38" t="s">
        <v>1355</v>
      </c>
      <c r="E1035" s="38" t="s">
        <v>250</v>
      </c>
      <c r="F1035" s="38" t="s">
        <v>349</v>
      </c>
      <c r="G1035" s="38">
        <v>4010419</v>
      </c>
      <c r="H1035" s="63">
        <v>854115</v>
      </c>
      <c r="I1035" s="255" t="s">
        <v>1366</v>
      </c>
      <c r="J1035" s="16" t="s">
        <v>1367</v>
      </c>
      <c r="K1035" s="60" t="s">
        <v>4717</v>
      </c>
      <c r="L1035" s="16" t="s">
        <v>180</v>
      </c>
      <c r="M1035" s="134" t="s">
        <v>1358</v>
      </c>
      <c r="N1035" s="16" t="s">
        <v>5939</v>
      </c>
      <c r="O1035" s="16" t="s">
        <v>1359</v>
      </c>
      <c r="P1035" s="23">
        <v>20000</v>
      </c>
      <c r="Q1035" s="23">
        <f t="shared" si="137"/>
        <v>23600</v>
      </c>
      <c r="R1035" s="23"/>
      <c r="S1035" s="29"/>
      <c r="T1035" s="23"/>
      <c r="U1035" s="23"/>
      <c r="V1035" s="23"/>
      <c r="W1035" s="23"/>
      <c r="X1035" s="23"/>
      <c r="Y1035" s="23">
        <v>20000</v>
      </c>
      <c r="Z1035" s="23">
        <f t="shared" si="138"/>
        <v>23600</v>
      </c>
      <c r="AA1035" s="36" t="s">
        <v>132</v>
      </c>
      <c r="AB1035" s="36" t="s">
        <v>132</v>
      </c>
      <c r="AC1035" s="23">
        <v>20000</v>
      </c>
      <c r="AD1035" s="23">
        <f t="shared" si="139"/>
        <v>23600</v>
      </c>
      <c r="AE1035" s="38" t="s">
        <v>169</v>
      </c>
      <c r="AF1035" s="38" t="s">
        <v>83</v>
      </c>
      <c r="AG1035" s="38" t="s">
        <v>83</v>
      </c>
      <c r="AH1035" s="45" t="s">
        <v>545</v>
      </c>
      <c r="AI1035" s="51">
        <v>41618</v>
      </c>
      <c r="AJ1035" s="51">
        <v>41678</v>
      </c>
      <c r="AK1035" s="60"/>
      <c r="AL1035" s="60"/>
      <c r="AM1035" s="62" t="s">
        <v>1368</v>
      </c>
      <c r="AN1035" s="60" t="s">
        <v>1361</v>
      </c>
      <c r="AO1035" s="63">
        <v>796</v>
      </c>
      <c r="AP1035" s="38" t="s">
        <v>419</v>
      </c>
      <c r="AQ1035" s="25">
        <v>130</v>
      </c>
      <c r="AR1035" s="306">
        <v>45</v>
      </c>
      <c r="AS1035" s="16" t="s">
        <v>512</v>
      </c>
      <c r="AT1035" s="52">
        <v>41698</v>
      </c>
      <c r="AU1035" s="51">
        <v>41730</v>
      </c>
      <c r="AV1035" s="52">
        <v>42368</v>
      </c>
      <c r="AW1035" s="38" t="s">
        <v>99</v>
      </c>
      <c r="AX1035" s="60"/>
      <c r="AY1035" s="135"/>
      <c r="AZ1035" s="60"/>
      <c r="BA1035" s="38"/>
      <c r="BB1035" s="38"/>
      <c r="BC1035" s="60"/>
      <c r="BD1035" s="60"/>
      <c r="BE1035" s="65"/>
      <c r="BF1035" s="65"/>
      <c r="BG1035" s="65"/>
      <c r="BH1035" s="65"/>
      <c r="BI1035" s="65"/>
      <c r="BJ1035" s="65" t="s">
        <v>400</v>
      </c>
      <c r="BK1035" s="65"/>
    </row>
    <row r="1036" spans="1:63" s="287" customFormat="1" ht="75">
      <c r="A1036" s="38">
        <v>3</v>
      </c>
      <c r="B1036" s="38" t="s">
        <v>1369</v>
      </c>
      <c r="C1036" s="38" t="s">
        <v>83</v>
      </c>
      <c r="D1036" s="38" t="s">
        <v>1370</v>
      </c>
      <c r="E1036" s="38" t="s">
        <v>250</v>
      </c>
      <c r="F1036" s="38" t="s">
        <v>349</v>
      </c>
      <c r="G1036" s="68" t="s">
        <v>1371</v>
      </c>
      <c r="H1036" s="11">
        <v>853576</v>
      </c>
      <c r="I1036" s="16" t="s">
        <v>3027</v>
      </c>
      <c r="J1036" s="16" t="s">
        <v>1372</v>
      </c>
      <c r="K1036" s="60" t="s">
        <v>4717</v>
      </c>
      <c r="L1036" s="16" t="s">
        <v>180</v>
      </c>
      <c r="M1036" s="95" t="s">
        <v>1249</v>
      </c>
      <c r="N1036" s="16" t="s">
        <v>5939</v>
      </c>
      <c r="O1036" s="16" t="s">
        <v>960</v>
      </c>
      <c r="P1036" s="23">
        <v>7500.59</v>
      </c>
      <c r="Q1036" s="23">
        <f t="shared" si="137"/>
        <v>8850.6962000000003</v>
      </c>
      <c r="R1036" s="23">
        <v>7546.19</v>
      </c>
      <c r="S1036" s="29" t="s">
        <v>4180</v>
      </c>
      <c r="T1036" s="132">
        <v>1.0840000000000001</v>
      </c>
      <c r="U1036" s="132">
        <v>1.0509999999999999</v>
      </c>
      <c r="V1036" s="132">
        <v>1.0669999999999999</v>
      </c>
      <c r="W1036" s="132">
        <v>1.0529999999999999</v>
      </c>
      <c r="X1036" s="309">
        <v>0.9</v>
      </c>
      <c r="Y1036" s="34">
        <v>8693.5075187336861</v>
      </c>
      <c r="Z1036" s="34">
        <f t="shared" si="138"/>
        <v>10258.338872105749</v>
      </c>
      <c r="AA1036" s="36" t="s">
        <v>132</v>
      </c>
      <c r="AB1036" s="36" t="s">
        <v>132</v>
      </c>
      <c r="AC1036" s="34">
        <v>7500.59</v>
      </c>
      <c r="AD1036" s="34">
        <f t="shared" si="139"/>
        <v>8850.6962000000003</v>
      </c>
      <c r="AE1036" s="38" t="s">
        <v>173</v>
      </c>
      <c r="AF1036" s="38" t="s">
        <v>83</v>
      </c>
      <c r="AG1036" s="38" t="s">
        <v>83</v>
      </c>
      <c r="AH1036" s="38" t="s">
        <v>545</v>
      </c>
      <c r="AI1036" s="51">
        <v>41709</v>
      </c>
      <c r="AJ1036" s="51">
        <v>41769</v>
      </c>
      <c r="AK1036" s="60"/>
      <c r="AL1036" s="60"/>
      <c r="AM1036" s="60" t="s">
        <v>1374</v>
      </c>
      <c r="AN1036" s="60" t="s">
        <v>1375</v>
      </c>
      <c r="AO1036" s="11">
        <v>796</v>
      </c>
      <c r="AP1036" s="38" t="s">
        <v>368</v>
      </c>
      <c r="AQ1036" s="38">
        <v>36</v>
      </c>
      <c r="AR1036" s="306">
        <v>45</v>
      </c>
      <c r="AS1036" s="16" t="s">
        <v>512</v>
      </c>
      <c r="AT1036" s="51">
        <v>41789</v>
      </c>
      <c r="AU1036" s="51">
        <v>41821</v>
      </c>
      <c r="AV1036" s="51">
        <v>42369</v>
      </c>
      <c r="AW1036" s="38" t="s">
        <v>99</v>
      </c>
      <c r="AX1036" s="60"/>
      <c r="AY1036" s="135"/>
      <c r="AZ1036" s="60"/>
      <c r="BA1036" s="38"/>
      <c r="BB1036" s="38"/>
      <c r="BC1036" s="60"/>
      <c r="BD1036" s="60"/>
      <c r="BE1036" s="65"/>
      <c r="BF1036" s="65"/>
      <c r="BG1036" s="65"/>
      <c r="BH1036" s="308"/>
      <c r="BI1036" s="308"/>
      <c r="BJ1036" s="308"/>
      <c r="BK1036" s="308"/>
    </row>
    <row r="1037" spans="1:63" s="287" customFormat="1" ht="75">
      <c r="A1037" s="29">
        <v>3</v>
      </c>
      <c r="B1037" s="38" t="s">
        <v>1376</v>
      </c>
      <c r="C1037" s="38" t="s">
        <v>83</v>
      </c>
      <c r="D1037" s="56" t="s">
        <v>1377</v>
      </c>
      <c r="E1037" s="38" t="s">
        <v>250</v>
      </c>
      <c r="F1037" s="38" t="s">
        <v>1378</v>
      </c>
      <c r="G1037" s="38">
        <v>4521010</v>
      </c>
      <c r="H1037" s="310">
        <v>853545</v>
      </c>
      <c r="I1037" s="16" t="s">
        <v>1379</v>
      </c>
      <c r="J1037" s="16" t="s">
        <v>1380</v>
      </c>
      <c r="K1037" s="60" t="s">
        <v>4717</v>
      </c>
      <c r="L1037" s="16" t="s">
        <v>180</v>
      </c>
      <c r="M1037" s="134" t="s">
        <v>1249</v>
      </c>
      <c r="N1037" s="16" t="s">
        <v>5939</v>
      </c>
      <c r="O1037" s="16" t="s">
        <v>960</v>
      </c>
      <c r="P1037" s="23">
        <v>37552.978999999999</v>
      </c>
      <c r="Q1037" s="23">
        <f t="shared" si="137"/>
        <v>44312.515219999994</v>
      </c>
      <c r="R1037" s="23"/>
      <c r="S1037" s="29"/>
      <c r="T1037" s="38"/>
      <c r="U1037" s="38"/>
      <c r="V1037" s="38"/>
      <c r="W1037" s="38"/>
      <c r="X1037" s="38"/>
      <c r="Y1037" s="23">
        <v>37552.978999999999</v>
      </c>
      <c r="Z1037" s="23">
        <f t="shared" si="138"/>
        <v>44312.515219999994</v>
      </c>
      <c r="AA1037" s="36" t="s">
        <v>132</v>
      </c>
      <c r="AB1037" s="36" t="s">
        <v>132</v>
      </c>
      <c r="AC1037" s="34">
        <v>37552.978999999999</v>
      </c>
      <c r="AD1037" s="34">
        <f t="shared" si="139"/>
        <v>44312.515219999994</v>
      </c>
      <c r="AE1037" s="38" t="s">
        <v>169</v>
      </c>
      <c r="AF1037" s="38" t="s">
        <v>83</v>
      </c>
      <c r="AG1037" s="29" t="s">
        <v>83</v>
      </c>
      <c r="AH1037" s="45" t="s">
        <v>90</v>
      </c>
      <c r="AI1037" s="51">
        <v>41650</v>
      </c>
      <c r="AJ1037" s="51">
        <v>41710</v>
      </c>
      <c r="AK1037" s="60"/>
      <c r="AL1037" s="60"/>
      <c r="AM1037" s="60" t="s">
        <v>1379</v>
      </c>
      <c r="AN1037" s="60" t="s">
        <v>1381</v>
      </c>
      <c r="AO1037" s="29">
        <v>18</v>
      </c>
      <c r="AP1037" s="56" t="s">
        <v>1382</v>
      </c>
      <c r="AQ1037" s="56">
        <v>2675</v>
      </c>
      <c r="AR1037" s="306">
        <v>45</v>
      </c>
      <c r="AS1037" s="16" t="s">
        <v>512</v>
      </c>
      <c r="AT1037" s="51">
        <v>41730</v>
      </c>
      <c r="AU1037" s="51">
        <v>41730</v>
      </c>
      <c r="AV1037" s="52">
        <v>42004</v>
      </c>
      <c r="AW1037" s="38">
        <v>2014</v>
      </c>
      <c r="AX1037" s="60"/>
      <c r="AY1037" s="135"/>
      <c r="AZ1037" s="60"/>
      <c r="BA1037" s="38"/>
      <c r="BB1037" s="38"/>
      <c r="BC1037" s="60"/>
      <c r="BD1037" s="60"/>
      <c r="BE1037" s="65"/>
      <c r="BF1037" s="65"/>
      <c r="BG1037" s="65"/>
      <c r="BH1037" s="308"/>
      <c r="BI1037" s="308"/>
      <c r="BJ1037" s="308"/>
      <c r="BK1037" s="311"/>
    </row>
    <row r="1038" spans="1:63" s="287" customFormat="1" ht="56.25">
      <c r="A1038" s="56">
        <v>3</v>
      </c>
      <c r="B1038" s="38" t="s">
        <v>1384</v>
      </c>
      <c r="C1038" s="38" t="s">
        <v>83</v>
      </c>
      <c r="D1038" s="56" t="s">
        <v>1377</v>
      </c>
      <c r="E1038" s="38" t="s">
        <v>250</v>
      </c>
      <c r="F1038" s="38" t="s">
        <v>1378</v>
      </c>
      <c r="G1038" s="38">
        <v>4521010</v>
      </c>
      <c r="H1038" s="310">
        <v>853546</v>
      </c>
      <c r="I1038" s="16" t="s">
        <v>4921</v>
      </c>
      <c r="J1038" s="16" t="s">
        <v>1385</v>
      </c>
      <c r="K1038" s="60" t="s">
        <v>4717</v>
      </c>
      <c r="L1038" s="16" t="s">
        <v>180</v>
      </c>
      <c r="M1038" s="134" t="s">
        <v>1249</v>
      </c>
      <c r="N1038" s="16" t="s">
        <v>5939</v>
      </c>
      <c r="O1038" s="16" t="s">
        <v>960</v>
      </c>
      <c r="P1038" s="23">
        <v>24931.743999999999</v>
      </c>
      <c r="Q1038" s="23">
        <f t="shared" si="137"/>
        <v>29419.457919999997</v>
      </c>
      <c r="R1038" s="23"/>
      <c r="S1038" s="29"/>
      <c r="T1038" s="38"/>
      <c r="U1038" s="38"/>
      <c r="V1038" s="38"/>
      <c r="W1038" s="38"/>
      <c r="X1038" s="38"/>
      <c r="Y1038" s="23">
        <v>24931.743999999999</v>
      </c>
      <c r="Z1038" s="23">
        <f t="shared" si="138"/>
        <v>29419.457919999997</v>
      </c>
      <c r="AA1038" s="36" t="s">
        <v>132</v>
      </c>
      <c r="AB1038" s="36" t="s">
        <v>132</v>
      </c>
      <c r="AC1038" s="34">
        <v>24931.743999999999</v>
      </c>
      <c r="AD1038" s="34">
        <f t="shared" si="139"/>
        <v>29419.457919999997</v>
      </c>
      <c r="AE1038" s="38" t="s">
        <v>169</v>
      </c>
      <c r="AF1038" s="38" t="s">
        <v>83</v>
      </c>
      <c r="AG1038" s="29" t="s">
        <v>83</v>
      </c>
      <c r="AH1038" s="45" t="s">
        <v>90</v>
      </c>
      <c r="AI1038" s="51">
        <v>41625</v>
      </c>
      <c r="AJ1038" s="51">
        <v>41685</v>
      </c>
      <c r="AK1038" s="60"/>
      <c r="AL1038" s="60"/>
      <c r="AM1038" s="60" t="s">
        <v>4920</v>
      </c>
      <c r="AN1038" s="60" t="s">
        <v>1381</v>
      </c>
      <c r="AO1038" s="29">
        <v>796</v>
      </c>
      <c r="AP1038" s="29" t="s">
        <v>419</v>
      </c>
      <c r="AQ1038" s="56">
        <v>2700</v>
      </c>
      <c r="AR1038" s="306">
        <v>45</v>
      </c>
      <c r="AS1038" s="16" t="s">
        <v>512</v>
      </c>
      <c r="AT1038" s="52">
        <v>41705</v>
      </c>
      <c r="AU1038" s="52">
        <v>41705</v>
      </c>
      <c r="AV1038" s="52">
        <v>42004</v>
      </c>
      <c r="AW1038" s="38">
        <v>2014</v>
      </c>
      <c r="AX1038" s="60"/>
      <c r="AY1038" s="135"/>
      <c r="AZ1038" s="60"/>
      <c r="BA1038" s="38"/>
      <c r="BB1038" s="38"/>
      <c r="BC1038" s="60"/>
      <c r="BD1038" s="60"/>
      <c r="BE1038" s="65"/>
      <c r="BF1038" s="65"/>
      <c r="BG1038" s="65"/>
      <c r="BH1038" s="308"/>
      <c r="BI1038" s="308"/>
      <c r="BJ1038" s="308"/>
      <c r="BK1038" s="311"/>
    </row>
    <row r="1039" spans="1:63" s="287" customFormat="1" ht="56.25">
      <c r="A1039" s="29">
        <v>3</v>
      </c>
      <c r="B1039" s="38" t="s">
        <v>1386</v>
      </c>
      <c r="C1039" s="38" t="s">
        <v>83</v>
      </c>
      <c r="D1039" s="56" t="s">
        <v>1377</v>
      </c>
      <c r="E1039" s="38" t="s">
        <v>250</v>
      </c>
      <c r="F1039" s="38" t="s">
        <v>1378</v>
      </c>
      <c r="G1039" s="38">
        <v>4521010</v>
      </c>
      <c r="H1039" s="310">
        <v>853547</v>
      </c>
      <c r="I1039" s="16" t="s">
        <v>1387</v>
      </c>
      <c r="J1039" s="16" t="s">
        <v>1385</v>
      </c>
      <c r="K1039" s="60" t="s">
        <v>4717</v>
      </c>
      <c r="L1039" s="16" t="s">
        <v>180</v>
      </c>
      <c r="M1039" s="134" t="s">
        <v>1249</v>
      </c>
      <c r="N1039" s="16" t="s">
        <v>5939</v>
      </c>
      <c r="O1039" s="16" t="s">
        <v>960</v>
      </c>
      <c r="P1039" s="23">
        <v>30040.664000000001</v>
      </c>
      <c r="Q1039" s="23">
        <f t="shared" si="137"/>
        <v>35447.983520000002</v>
      </c>
      <c r="R1039" s="23"/>
      <c r="S1039" s="29"/>
      <c r="T1039" s="38"/>
      <c r="U1039" s="38"/>
      <c r="V1039" s="38"/>
      <c r="W1039" s="38"/>
      <c r="X1039" s="38"/>
      <c r="Y1039" s="23">
        <v>30040.664000000001</v>
      </c>
      <c r="Z1039" s="23">
        <f t="shared" si="138"/>
        <v>35447.983520000002</v>
      </c>
      <c r="AA1039" s="36" t="s">
        <v>132</v>
      </c>
      <c r="AB1039" s="36" t="s">
        <v>132</v>
      </c>
      <c r="AC1039" s="23">
        <v>30040.664000000001</v>
      </c>
      <c r="AD1039" s="23">
        <f t="shared" si="139"/>
        <v>35447.983520000002</v>
      </c>
      <c r="AE1039" s="38" t="s">
        <v>169</v>
      </c>
      <c r="AF1039" s="38" t="s">
        <v>83</v>
      </c>
      <c r="AG1039" s="29" t="s">
        <v>83</v>
      </c>
      <c r="AH1039" s="45" t="s">
        <v>90</v>
      </c>
      <c r="AI1039" s="51">
        <v>41650</v>
      </c>
      <c r="AJ1039" s="51">
        <v>41710</v>
      </c>
      <c r="AK1039" s="60"/>
      <c r="AL1039" s="60"/>
      <c r="AM1039" s="60" t="s">
        <v>1387</v>
      </c>
      <c r="AN1039" s="60" t="s">
        <v>1381</v>
      </c>
      <c r="AO1039" s="29">
        <v>796</v>
      </c>
      <c r="AP1039" s="29" t="s">
        <v>419</v>
      </c>
      <c r="AQ1039" s="56">
        <v>18</v>
      </c>
      <c r="AR1039" s="306">
        <v>45</v>
      </c>
      <c r="AS1039" s="16" t="s">
        <v>512</v>
      </c>
      <c r="AT1039" s="52">
        <v>41730</v>
      </c>
      <c r="AU1039" s="52">
        <v>41821</v>
      </c>
      <c r="AV1039" s="52">
        <v>42185</v>
      </c>
      <c r="AW1039" s="38" t="s">
        <v>99</v>
      </c>
      <c r="AX1039" s="60"/>
      <c r="AY1039" s="135"/>
      <c r="AZ1039" s="60"/>
      <c r="BA1039" s="38"/>
      <c r="BB1039" s="38"/>
      <c r="BC1039" s="60"/>
      <c r="BD1039" s="60"/>
      <c r="BE1039" s="65"/>
      <c r="BF1039" s="65"/>
      <c r="BG1039" s="65"/>
      <c r="BH1039" s="308"/>
      <c r="BI1039" s="308"/>
      <c r="BJ1039" s="308"/>
      <c r="BK1039" s="311"/>
    </row>
    <row r="1040" spans="1:63" s="287" customFormat="1" ht="56.25">
      <c r="A1040" s="56">
        <v>3</v>
      </c>
      <c r="B1040" s="38" t="s">
        <v>1388</v>
      </c>
      <c r="C1040" s="38" t="s">
        <v>83</v>
      </c>
      <c r="D1040" s="56" t="s">
        <v>1377</v>
      </c>
      <c r="E1040" s="38" t="s">
        <v>250</v>
      </c>
      <c r="F1040" s="38" t="s">
        <v>1378</v>
      </c>
      <c r="G1040" s="38">
        <v>4521010</v>
      </c>
      <c r="H1040" s="310">
        <v>853548</v>
      </c>
      <c r="I1040" s="16" t="s">
        <v>1389</v>
      </c>
      <c r="J1040" s="16" t="s">
        <v>1385</v>
      </c>
      <c r="K1040" s="60" t="s">
        <v>4717</v>
      </c>
      <c r="L1040" s="16" t="s">
        <v>180</v>
      </c>
      <c r="M1040" s="134" t="s">
        <v>1249</v>
      </c>
      <c r="N1040" s="16" t="s">
        <v>5939</v>
      </c>
      <c r="O1040" s="16" t="s">
        <v>960</v>
      </c>
      <c r="P1040" s="23">
        <v>4973.08</v>
      </c>
      <c r="Q1040" s="23">
        <f t="shared" si="137"/>
        <v>5868.2343999999994</v>
      </c>
      <c r="R1040" s="23"/>
      <c r="S1040" s="29"/>
      <c r="T1040" s="38"/>
      <c r="U1040" s="38"/>
      <c r="V1040" s="38"/>
      <c r="W1040" s="38"/>
      <c r="X1040" s="38"/>
      <c r="Y1040" s="23">
        <v>4973.08</v>
      </c>
      <c r="Z1040" s="23">
        <f t="shared" si="138"/>
        <v>5868.2343999999994</v>
      </c>
      <c r="AA1040" s="36" t="s">
        <v>132</v>
      </c>
      <c r="AB1040" s="36" t="s">
        <v>132</v>
      </c>
      <c r="AC1040" s="23">
        <v>4973.08</v>
      </c>
      <c r="AD1040" s="34">
        <f t="shared" si="139"/>
        <v>5868.2343999999994</v>
      </c>
      <c r="AE1040" s="38" t="s">
        <v>173</v>
      </c>
      <c r="AF1040" s="38" t="s">
        <v>83</v>
      </c>
      <c r="AG1040" s="29" t="s">
        <v>83</v>
      </c>
      <c r="AH1040" s="45" t="s">
        <v>90</v>
      </c>
      <c r="AI1040" s="51">
        <v>41554</v>
      </c>
      <c r="AJ1040" s="51">
        <v>41609</v>
      </c>
      <c r="AK1040" s="60"/>
      <c r="AL1040" s="60"/>
      <c r="AM1040" s="60" t="s">
        <v>1389</v>
      </c>
      <c r="AN1040" s="60" t="s">
        <v>1381</v>
      </c>
      <c r="AO1040" s="29">
        <v>796</v>
      </c>
      <c r="AP1040" s="29" t="s">
        <v>419</v>
      </c>
      <c r="AQ1040" s="56">
        <v>100</v>
      </c>
      <c r="AR1040" s="306">
        <v>45</v>
      </c>
      <c r="AS1040" s="16" t="s">
        <v>512</v>
      </c>
      <c r="AT1040" s="51">
        <v>41701</v>
      </c>
      <c r="AU1040" s="51">
        <v>41701</v>
      </c>
      <c r="AV1040" s="52">
        <v>42004</v>
      </c>
      <c r="AW1040" s="38">
        <v>2014</v>
      </c>
      <c r="AX1040" s="60"/>
      <c r="AY1040" s="135"/>
      <c r="AZ1040" s="60"/>
      <c r="BA1040" s="38"/>
      <c r="BB1040" s="38"/>
      <c r="BC1040" s="60"/>
      <c r="BD1040" s="60"/>
      <c r="BE1040" s="65"/>
      <c r="BF1040" s="65"/>
      <c r="BG1040" s="65"/>
      <c r="BH1040" s="308"/>
      <c r="BI1040" s="308"/>
      <c r="BJ1040" s="308"/>
      <c r="BK1040" s="311"/>
    </row>
    <row r="1041" spans="1:63" s="287" customFormat="1" ht="56.25">
      <c r="A1041" s="56">
        <v>3</v>
      </c>
      <c r="B1041" s="38" t="s">
        <v>1390</v>
      </c>
      <c r="C1041" s="38" t="s">
        <v>83</v>
      </c>
      <c r="D1041" s="56" t="s">
        <v>1377</v>
      </c>
      <c r="E1041" s="38" t="s">
        <v>250</v>
      </c>
      <c r="F1041" s="38" t="s">
        <v>1378</v>
      </c>
      <c r="G1041" s="38">
        <v>4521010</v>
      </c>
      <c r="H1041" s="310">
        <v>853549</v>
      </c>
      <c r="I1041" s="16" t="s">
        <v>1391</v>
      </c>
      <c r="J1041" s="16" t="s">
        <v>1385</v>
      </c>
      <c r="K1041" s="60" t="s">
        <v>4717</v>
      </c>
      <c r="L1041" s="16" t="s">
        <v>180</v>
      </c>
      <c r="M1041" s="134" t="s">
        <v>1249</v>
      </c>
      <c r="N1041" s="16" t="s">
        <v>5939</v>
      </c>
      <c r="O1041" s="16" t="s">
        <v>960</v>
      </c>
      <c r="P1041" s="23">
        <v>1409.48</v>
      </c>
      <c r="Q1041" s="23">
        <f t="shared" si="137"/>
        <v>1663.1863999999998</v>
      </c>
      <c r="R1041" s="23"/>
      <c r="S1041" s="29"/>
      <c r="T1041" s="38"/>
      <c r="U1041" s="38"/>
      <c r="V1041" s="38"/>
      <c r="W1041" s="38"/>
      <c r="X1041" s="38"/>
      <c r="Y1041" s="23">
        <v>1409.48</v>
      </c>
      <c r="Z1041" s="23">
        <f t="shared" si="138"/>
        <v>1663.1863999999998</v>
      </c>
      <c r="AA1041" s="36" t="s">
        <v>132</v>
      </c>
      <c r="AB1041" s="36" t="s">
        <v>132</v>
      </c>
      <c r="AC1041" s="34">
        <v>1409.48</v>
      </c>
      <c r="AD1041" s="34">
        <f t="shared" si="139"/>
        <v>1663.1863999999998</v>
      </c>
      <c r="AE1041" s="38" t="s">
        <v>173</v>
      </c>
      <c r="AF1041" s="38" t="s">
        <v>83</v>
      </c>
      <c r="AG1041" s="29" t="s">
        <v>83</v>
      </c>
      <c r="AH1041" s="45" t="s">
        <v>90</v>
      </c>
      <c r="AI1041" s="51">
        <v>41554</v>
      </c>
      <c r="AJ1041" s="51">
        <v>41609</v>
      </c>
      <c r="AK1041" s="60"/>
      <c r="AL1041" s="60"/>
      <c r="AM1041" s="60" t="s">
        <v>1391</v>
      </c>
      <c r="AN1041" s="60" t="s">
        <v>1381</v>
      </c>
      <c r="AO1041" s="29">
        <v>796</v>
      </c>
      <c r="AP1041" s="29" t="s">
        <v>419</v>
      </c>
      <c r="AQ1041" s="56">
        <v>10</v>
      </c>
      <c r="AR1041" s="306">
        <v>45</v>
      </c>
      <c r="AS1041" s="16" t="s">
        <v>512</v>
      </c>
      <c r="AT1041" s="51">
        <v>41730</v>
      </c>
      <c r="AU1041" s="51">
        <v>41730</v>
      </c>
      <c r="AV1041" s="51">
        <v>41943</v>
      </c>
      <c r="AW1041" s="38">
        <v>2014</v>
      </c>
      <c r="AX1041" s="60"/>
      <c r="AY1041" s="135"/>
      <c r="AZ1041" s="60"/>
      <c r="BA1041" s="38"/>
      <c r="BB1041" s="38"/>
      <c r="BC1041" s="60"/>
      <c r="BD1041" s="60"/>
      <c r="BE1041" s="65"/>
      <c r="BF1041" s="65"/>
      <c r="BG1041" s="65"/>
      <c r="BH1041" s="308"/>
      <c r="BI1041" s="308"/>
      <c r="BJ1041" s="308"/>
      <c r="BK1041" s="311"/>
    </row>
    <row r="1042" spans="1:63" s="287" customFormat="1" ht="168.75">
      <c r="A1042" s="56">
        <v>3</v>
      </c>
      <c r="B1042" s="38" t="s">
        <v>1392</v>
      </c>
      <c r="C1042" s="38" t="s">
        <v>83</v>
      </c>
      <c r="D1042" s="56" t="s">
        <v>1377</v>
      </c>
      <c r="E1042" s="38" t="s">
        <v>250</v>
      </c>
      <c r="F1042" s="38" t="s">
        <v>1393</v>
      </c>
      <c r="G1042" s="38">
        <v>4521010</v>
      </c>
      <c r="H1042" s="310">
        <v>853550</v>
      </c>
      <c r="I1042" s="16" t="s">
        <v>1394</v>
      </c>
      <c r="J1042" s="16" t="s">
        <v>1385</v>
      </c>
      <c r="K1042" s="60" t="s">
        <v>4717</v>
      </c>
      <c r="L1042" s="16" t="s">
        <v>180</v>
      </c>
      <c r="M1042" s="134" t="s">
        <v>1249</v>
      </c>
      <c r="N1042" s="16" t="s">
        <v>5939</v>
      </c>
      <c r="O1042" s="16" t="s">
        <v>960</v>
      </c>
      <c r="P1042" s="23">
        <v>30700.78</v>
      </c>
      <c r="Q1042" s="23">
        <f t="shared" si="137"/>
        <v>36226.920399999995</v>
      </c>
      <c r="R1042" s="23"/>
      <c r="S1042" s="29"/>
      <c r="T1042" s="38"/>
      <c r="U1042" s="38"/>
      <c r="V1042" s="38"/>
      <c r="W1042" s="38"/>
      <c r="X1042" s="38"/>
      <c r="Y1042" s="23">
        <v>30700.78</v>
      </c>
      <c r="Z1042" s="23">
        <f t="shared" si="138"/>
        <v>36226.920399999995</v>
      </c>
      <c r="AA1042" s="36" t="s">
        <v>132</v>
      </c>
      <c r="AB1042" s="36" t="s">
        <v>132</v>
      </c>
      <c r="AC1042" s="23">
        <v>30700.78</v>
      </c>
      <c r="AD1042" s="34">
        <f t="shared" si="139"/>
        <v>36226.920399999995</v>
      </c>
      <c r="AE1042" s="38" t="s">
        <v>169</v>
      </c>
      <c r="AF1042" s="38" t="s">
        <v>83</v>
      </c>
      <c r="AG1042" s="29" t="s">
        <v>83</v>
      </c>
      <c r="AH1042" s="45" t="s">
        <v>90</v>
      </c>
      <c r="AI1042" s="51">
        <v>41554</v>
      </c>
      <c r="AJ1042" s="51">
        <v>41609</v>
      </c>
      <c r="AK1042" s="60"/>
      <c r="AL1042" s="60"/>
      <c r="AM1042" s="60" t="s">
        <v>1394</v>
      </c>
      <c r="AN1042" s="60" t="s">
        <v>1381</v>
      </c>
      <c r="AO1042" s="29">
        <v>55</v>
      </c>
      <c r="AP1042" s="29" t="s">
        <v>737</v>
      </c>
      <c r="AQ1042" s="56">
        <v>11172</v>
      </c>
      <c r="AR1042" s="306">
        <v>45</v>
      </c>
      <c r="AS1042" s="16" t="s">
        <v>512</v>
      </c>
      <c r="AT1042" s="51">
        <v>41792</v>
      </c>
      <c r="AU1042" s="51">
        <v>41792</v>
      </c>
      <c r="AV1042" s="52">
        <v>42004</v>
      </c>
      <c r="AW1042" s="38">
        <v>2014</v>
      </c>
      <c r="AX1042" s="60"/>
      <c r="AY1042" s="135"/>
      <c r="AZ1042" s="60"/>
      <c r="BA1042" s="38"/>
      <c r="BB1042" s="38"/>
      <c r="BC1042" s="60"/>
      <c r="BD1042" s="60"/>
      <c r="BE1042" s="65"/>
      <c r="BF1042" s="65"/>
      <c r="BG1042" s="65"/>
      <c r="BH1042" s="308"/>
      <c r="BI1042" s="308"/>
      <c r="BJ1042" s="308"/>
      <c r="BK1042" s="311"/>
    </row>
    <row r="1043" spans="1:63" s="287" customFormat="1" ht="56.25">
      <c r="A1043" s="56">
        <v>3</v>
      </c>
      <c r="B1043" s="38" t="s">
        <v>1395</v>
      </c>
      <c r="C1043" s="38" t="s">
        <v>83</v>
      </c>
      <c r="D1043" s="56" t="s">
        <v>1377</v>
      </c>
      <c r="E1043" s="38" t="s">
        <v>250</v>
      </c>
      <c r="F1043" s="38" t="s">
        <v>1396</v>
      </c>
      <c r="G1043" s="38">
        <v>4521010</v>
      </c>
      <c r="H1043" s="310">
        <v>853551</v>
      </c>
      <c r="I1043" s="16" t="s">
        <v>1397</v>
      </c>
      <c r="J1043" s="16" t="s">
        <v>1385</v>
      </c>
      <c r="K1043" s="16" t="s">
        <v>4717</v>
      </c>
      <c r="L1043" s="16" t="s">
        <v>180</v>
      </c>
      <c r="M1043" s="134" t="s">
        <v>1249</v>
      </c>
      <c r="N1043" s="16" t="s">
        <v>5939</v>
      </c>
      <c r="O1043" s="16" t="s">
        <v>960</v>
      </c>
      <c r="P1043" s="23">
        <v>26347.803</v>
      </c>
      <c r="Q1043" s="23">
        <f t="shared" si="137"/>
        <v>31090.407539999997</v>
      </c>
      <c r="R1043" s="23"/>
      <c r="S1043" s="29"/>
      <c r="T1043" s="38"/>
      <c r="U1043" s="38"/>
      <c r="V1043" s="38"/>
      <c r="W1043" s="38"/>
      <c r="X1043" s="38"/>
      <c r="Y1043" s="23">
        <v>26347.803</v>
      </c>
      <c r="Z1043" s="23">
        <f>Y1043*1.18</f>
        <v>31090.407539999997</v>
      </c>
      <c r="AA1043" s="36" t="s">
        <v>132</v>
      </c>
      <c r="AB1043" s="36" t="s">
        <v>132</v>
      </c>
      <c r="AC1043" s="23">
        <v>26347.803</v>
      </c>
      <c r="AD1043" s="23">
        <f>AC1043*1.18</f>
        <v>31090.407539999997</v>
      </c>
      <c r="AE1043" s="38" t="s">
        <v>169</v>
      </c>
      <c r="AF1043" s="38" t="s">
        <v>83</v>
      </c>
      <c r="AG1043" s="29" t="s">
        <v>83</v>
      </c>
      <c r="AH1043" s="45" t="s">
        <v>90</v>
      </c>
      <c r="AI1043" s="51">
        <v>41682</v>
      </c>
      <c r="AJ1043" s="51">
        <v>41740</v>
      </c>
      <c r="AK1043" s="60"/>
      <c r="AL1043" s="60"/>
      <c r="AM1043" s="60" t="s">
        <v>1397</v>
      </c>
      <c r="AN1043" s="60" t="s">
        <v>1381</v>
      </c>
      <c r="AO1043" s="29">
        <v>55</v>
      </c>
      <c r="AP1043" s="29" t="s">
        <v>4572</v>
      </c>
      <c r="AQ1043" s="56">
        <v>12</v>
      </c>
      <c r="AR1043" s="306">
        <v>45</v>
      </c>
      <c r="AS1043" s="16" t="s">
        <v>512</v>
      </c>
      <c r="AT1043" s="52">
        <v>41760</v>
      </c>
      <c r="AU1043" s="52">
        <v>41760</v>
      </c>
      <c r="AV1043" s="52">
        <v>42004</v>
      </c>
      <c r="AW1043" s="38">
        <v>2014</v>
      </c>
      <c r="AX1043" s="60"/>
      <c r="AY1043" s="135"/>
      <c r="AZ1043" s="60"/>
      <c r="BA1043" s="38"/>
      <c r="BB1043" s="38"/>
      <c r="BC1043" s="60"/>
      <c r="BD1043" s="60"/>
      <c r="BE1043" s="65"/>
      <c r="BF1043" s="65"/>
      <c r="BG1043" s="65"/>
      <c r="BH1043" s="308"/>
      <c r="BI1043" s="308"/>
      <c r="BJ1043" s="308"/>
      <c r="BK1043" s="311"/>
    </row>
    <row r="1044" spans="1:63" s="287" customFormat="1" ht="56.25">
      <c r="A1044" s="56">
        <v>3</v>
      </c>
      <c r="B1044" s="38" t="s">
        <v>1398</v>
      </c>
      <c r="C1044" s="38" t="s">
        <v>83</v>
      </c>
      <c r="D1044" s="56" t="s">
        <v>1377</v>
      </c>
      <c r="E1044" s="38" t="s">
        <v>250</v>
      </c>
      <c r="F1044" s="38" t="s">
        <v>1399</v>
      </c>
      <c r="G1044" s="38">
        <v>4521010</v>
      </c>
      <c r="H1044" s="310">
        <v>853552</v>
      </c>
      <c r="I1044" s="16" t="s">
        <v>1400</v>
      </c>
      <c r="J1044" s="16" t="s">
        <v>1385</v>
      </c>
      <c r="K1044" s="16" t="s">
        <v>4717</v>
      </c>
      <c r="L1044" s="16" t="s">
        <v>180</v>
      </c>
      <c r="M1044" s="134" t="s">
        <v>1249</v>
      </c>
      <c r="N1044" s="16" t="s">
        <v>5939</v>
      </c>
      <c r="O1044" s="16" t="s">
        <v>960</v>
      </c>
      <c r="P1044" s="23">
        <v>12823</v>
      </c>
      <c r="Q1044" s="23">
        <f t="shared" si="137"/>
        <v>15131.14</v>
      </c>
      <c r="R1044" s="23"/>
      <c r="S1044" s="29"/>
      <c r="T1044" s="38"/>
      <c r="U1044" s="38"/>
      <c r="V1044" s="38"/>
      <c r="W1044" s="38"/>
      <c r="X1044" s="38"/>
      <c r="Y1044" s="23">
        <v>12823</v>
      </c>
      <c r="Z1044" s="23">
        <f t="shared" si="138"/>
        <v>15131.14</v>
      </c>
      <c r="AA1044" s="36" t="s">
        <v>132</v>
      </c>
      <c r="AB1044" s="36" t="s">
        <v>132</v>
      </c>
      <c r="AC1044" s="34">
        <v>12823</v>
      </c>
      <c r="AD1044" s="34">
        <f t="shared" si="139"/>
        <v>15131.14</v>
      </c>
      <c r="AE1044" s="38" t="s">
        <v>169</v>
      </c>
      <c r="AF1044" s="38" t="s">
        <v>83</v>
      </c>
      <c r="AG1044" s="29" t="s">
        <v>83</v>
      </c>
      <c r="AH1044" s="45" t="s">
        <v>90</v>
      </c>
      <c r="AI1044" s="51">
        <v>41625</v>
      </c>
      <c r="AJ1044" s="51">
        <v>41685</v>
      </c>
      <c r="AK1044" s="60"/>
      <c r="AL1044" s="60"/>
      <c r="AM1044" s="60" t="s">
        <v>1400</v>
      </c>
      <c r="AN1044" s="60" t="s">
        <v>1381</v>
      </c>
      <c r="AO1044" s="29">
        <v>796</v>
      </c>
      <c r="AP1044" s="56" t="s">
        <v>419</v>
      </c>
      <c r="AQ1044" s="56">
        <v>33</v>
      </c>
      <c r="AR1044" s="306">
        <v>45</v>
      </c>
      <c r="AS1044" s="16" t="s">
        <v>512</v>
      </c>
      <c r="AT1044" s="52">
        <v>41705</v>
      </c>
      <c r="AU1044" s="52">
        <v>41705</v>
      </c>
      <c r="AV1044" s="52">
        <v>42004</v>
      </c>
      <c r="AW1044" s="38">
        <v>2014</v>
      </c>
      <c r="AX1044" s="60"/>
      <c r="AY1044" s="135"/>
      <c r="AZ1044" s="60"/>
      <c r="BA1044" s="38"/>
      <c r="BB1044" s="38"/>
      <c r="BC1044" s="60"/>
      <c r="BD1044" s="60"/>
      <c r="BE1044" s="65"/>
      <c r="BF1044" s="65"/>
      <c r="BG1044" s="65"/>
      <c r="BH1044" s="308"/>
      <c r="BI1044" s="308"/>
      <c r="BJ1044" s="308"/>
      <c r="BK1044" s="311"/>
    </row>
    <row r="1045" spans="1:63" s="287" customFormat="1" ht="93.75">
      <c r="A1045" s="56">
        <v>3</v>
      </c>
      <c r="B1045" s="38" t="s">
        <v>1401</v>
      </c>
      <c r="C1045" s="38" t="s">
        <v>83</v>
      </c>
      <c r="D1045" s="56" t="s">
        <v>1377</v>
      </c>
      <c r="E1045" s="38" t="s">
        <v>250</v>
      </c>
      <c r="F1045" s="38" t="s">
        <v>816</v>
      </c>
      <c r="G1045" s="38">
        <v>4521010</v>
      </c>
      <c r="H1045" s="310">
        <v>853554</v>
      </c>
      <c r="I1045" s="16" t="s">
        <v>1402</v>
      </c>
      <c r="J1045" s="16" t="s">
        <v>1403</v>
      </c>
      <c r="K1045" s="60" t="s">
        <v>4717</v>
      </c>
      <c r="L1045" s="16" t="s">
        <v>180</v>
      </c>
      <c r="M1045" s="134" t="s">
        <v>1249</v>
      </c>
      <c r="N1045" s="16" t="s">
        <v>5939</v>
      </c>
      <c r="O1045" s="16" t="s">
        <v>960</v>
      </c>
      <c r="P1045" s="23">
        <v>3921.9</v>
      </c>
      <c r="Q1045" s="23">
        <f t="shared" si="137"/>
        <v>4627.8419999999996</v>
      </c>
      <c r="R1045" s="23"/>
      <c r="S1045" s="29"/>
      <c r="T1045" s="38"/>
      <c r="U1045" s="38"/>
      <c r="V1045" s="38"/>
      <c r="W1045" s="38"/>
      <c r="X1045" s="38"/>
      <c r="Y1045" s="23">
        <v>3921.9</v>
      </c>
      <c r="Z1045" s="23">
        <f t="shared" si="138"/>
        <v>4627.8419999999996</v>
      </c>
      <c r="AA1045" s="36" t="s">
        <v>132</v>
      </c>
      <c r="AB1045" s="36" t="s">
        <v>132</v>
      </c>
      <c r="AC1045" s="34">
        <v>3921.9</v>
      </c>
      <c r="AD1045" s="34">
        <f t="shared" si="139"/>
        <v>4627.8419999999996</v>
      </c>
      <c r="AE1045" s="38" t="s">
        <v>173</v>
      </c>
      <c r="AF1045" s="38" t="s">
        <v>83</v>
      </c>
      <c r="AG1045" s="29" t="s">
        <v>83</v>
      </c>
      <c r="AH1045" s="45" t="s">
        <v>90</v>
      </c>
      <c r="AI1045" s="51">
        <v>41741</v>
      </c>
      <c r="AJ1045" s="51">
        <v>41801</v>
      </c>
      <c r="AK1045" s="60"/>
      <c r="AL1045" s="60"/>
      <c r="AM1045" s="60" t="s">
        <v>1402</v>
      </c>
      <c r="AN1045" s="60" t="s">
        <v>1381</v>
      </c>
      <c r="AO1045" s="29">
        <v>796</v>
      </c>
      <c r="AP1045" s="56" t="s">
        <v>419</v>
      </c>
      <c r="AQ1045" s="56">
        <v>4</v>
      </c>
      <c r="AR1045" s="306">
        <v>45</v>
      </c>
      <c r="AS1045" s="16" t="s">
        <v>512</v>
      </c>
      <c r="AT1045" s="52">
        <v>41821</v>
      </c>
      <c r="AU1045" s="52">
        <v>41821</v>
      </c>
      <c r="AV1045" s="52">
        <v>42185</v>
      </c>
      <c r="AW1045" s="38" t="s">
        <v>99</v>
      </c>
      <c r="AX1045" s="60"/>
      <c r="AY1045" s="135"/>
      <c r="AZ1045" s="60"/>
      <c r="BA1045" s="38"/>
      <c r="BB1045" s="38"/>
      <c r="BC1045" s="60"/>
      <c r="BD1045" s="60"/>
      <c r="BE1045" s="65"/>
      <c r="BF1045" s="65"/>
      <c r="BG1045" s="65"/>
      <c r="BH1045" s="308"/>
      <c r="BI1045" s="308"/>
      <c r="BJ1045" s="308"/>
      <c r="BK1045" s="311"/>
    </row>
    <row r="1046" spans="1:63" s="287" customFormat="1" ht="131.25">
      <c r="A1046" s="56">
        <v>3</v>
      </c>
      <c r="B1046" s="38" t="s">
        <v>1404</v>
      </c>
      <c r="C1046" s="38" t="s">
        <v>83</v>
      </c>
      <c r="D1046" s="56" t="s">
        <v>1377</v>
      </c>
      <c r="E1046" s="38" t="s">
        <v>250</v>
      </c>
      <c r="F1046" s="38" t="s">
        <v>1405</v>
      </c>
      <c r="G1046" s="38">
        <v>4521010</v>
      </c>
      <c r="H1046" s="310">
        <v>853555</v>
      </c>
      <c r="I1046" s="16" t="s">
        <v>1406</v>
      </c>
      <c r="J1046" s="16" t="s">
        <v>1407</v>
      </c>
      <c r="K1046" s="60" t="s">
        <v>4717</v>
      </c>
      <c r="L1046" s="16" t="s">
        <v>180</v>
      </c>
      <c r="M1046" s="134" t="s">
        <v>1249</v>
      </c>
      <c r="N1046" s="16" t="s">
        <v>5939</v>
      </c>
      <c r="O1046" s="16" t="s">
        <v>960</v>
      </c>
      <c r="P1046" s="23">
        <v>1857.98</v>
      </c>
      <c r="Q1046" s="23">
        <f t="shared" si="137"/>
        <v>2192.4164000000001</v>
      </c>
      <c r="R1046" s="23"/>
      <c r="S1046" s="29"/>
      <c r="T1046" s="38"/>
      <c r="U1046" s="38"/>
      <c r="V1046" s="38"/>
      <c r="W1046" s="38"/>
      <c r="X1046" s="38"/>
      <c r="Y1046" s="23">
        <v>1857.98</v>
      </c>
      <c r="Z1046" s="23">
        <f t="shared" si="138"/>
        <v>2192.4164000000001</v>
      </c>
      <c r="AA1046" s="36" t="s">
        <v>132</v>
      </c>
      <c r="AB1046" s="36" t="s">
        <v>132</v>
      </c>
      <c r="AC1046" s="34">
        <v>1857.98</v>
      </c>
      <c r="AD1046" s="34">
        <f t="shared" si="139"/>
        <v>2192.4164000000001</v>
      </c>
      <c r="AE1046" s="38" t="s">
        <v>173</v>
      </c>
      <c r="AF1046" s="38" t="s">
        <v>83</v>
      </c>
      <c r="AG1046" s="29" t="s">
        <v>83</v>
      </c>
      <c r="AH1046" s="45" t="s">
        <v>90</v>
      </c>
      <c r="AI1046" s="51">
        <v>41554</v>
      </c>
      <c r="AJ1046" s="51">
        <v>41609</v>
      </c>
      <c r="AK1046" s="60"/>
      <c r="AL1046" s="60"/>
      <c r="AM1046" s="60" t="s">
        <v>1406</v>
      </c>
      <c r="AN1046" s="60" t="s">
        <v>1381</v>
      </c>
      <c r="AO1046" s="29">
        <v>796</v>
      </c>
      <c r="AP1046" s="56" t="s">
        <v>419</v>
      </c>
      <c r="AQ1046" s="56">
        <v>8</v>
      </c>
      <c r="AR1046" s="306">
        <v>45</v>
      </c>
      <c r="AS1046" s="16" t="s">
        <v>512</v>
      </c>
      <c r="AT1046" s="51">
        <v>41792</v>
      </c>
      <c r="AU1046" s="51">
        <v>41792</v>
      </c>
      <c r="AV1046" s="52">
        <v>42004</v>
      </c>
      <c r="AW1046" s="38">
        <v>2014</v>
      </c>
      <c r="AX1046" s="60"/>
      <c r="AY1046" s="135"/>
      <c r="AZ1046" s="60"/>
      <c r="BA1046" s="38"/>
      <c r="BB1046" s="38"/>
      <c r="BC1046" s="60"/>
      <c r="BD1046" s="60"/>
      <c r="BE1046" s="65"/>
      <c r="BF1046" s="65"/>
      <c r="BG1046" s="65"/>
      <c r="BH1046" s="308"/>
      <c r="BI1046" s="308"/>
      <c r="BJ1046" s="308"/>
      <c r="BK1046" s="311"/>
    </row>
    <row r="1047" spans="1:63" s="287" customFormat="1" ht="131.25">
      <c r="A1047" s="56">
        <v>3</v>
      </c>
      <c r="B1047" s="38" t="s">
        <v>1408</v>
      </c>
      <c r="C1047" s="38" t="s">
        <v>83</v>
      </c>
      <c r="D1047" s="56" t="s">
        <v>1377</v>
      </c>
      <c r="E1047" s="38" t="s">
        <v>250</v>
      </c>
      <c r="F1047" s="38" t="s">
        <v>1409</v>
      </c>
      <c r="G1047" s="38">
        <v>4540375</v>
      </c>
      <c r="H1047" s="310">
        <v>853556</v>
      </c>
      <c r="I1047" s="16" t="s">
        <v>1410</v>
      </c>
      <c r="J1047" s="16" t="s">
        <v>1411</v>
      </c>
      <c r="K1047" s="60" t="s">
        <v>4717</v>
      </c>
      <c r="L1047" s="16" t="s">
        <v>180</v>
      </c>
      <c r="M1047" s="134" t="s">
        <v>1249</v>
      </c>
      <c r="N1047" s="16" t="s">
        <v>5939</v>
      </c>
      <c r="O1047" s="16" t="s">
        <v>960</v>
      </c>
      <c r="P1047" s="34">
        <v>8195.5720000000001</v>
      </c>
      <c r="Q1047" s="34">
        <f t="shared" si="137"/>
        <v>9670.7749599999988</v>
      </c>
      <c r="R1047" s="23">
        <v>8811.6200000000008</v>
      </c>
      <c r="S1047" s="29" t="s">
        <v>1373</v>
      </c>
      <c r="T1047" s="312">
        <v>1.0840000000000001</v>
      </c>
      <c r="U1047" s="312">
        <v>1.0509999999999999</v>
      </c>
      <c r="V1047" s="312">
        <v>1.0669999999999999</v>
      </c>
      <c r="W1047" s="312">
        <v>1.0529999999999999</v>
      </c>
      <c r="X1047" s="309">
        <v>0.9</v>
      </c>
      <c r="Y1047" s="34">
        <v>10151.33</v>
      </c>
      <c r="Z1047" s="34">
        <f t="shared" si="138"/>
        <v>11978.569399999998</v>
      </c>
      <c r="AA1047" s="36" t="s">
        <v>132</v>
      </c>
      <c r="AB1047" s="36" t="s">
        <v>132</v>
      </c>
      <c r="AC1047" s="34">
        <v>8195.5720000000001</v>
      </c>
      <c r="AD1047" s="34">
        <f t="shared" si="139"/>
        <v>9670.7749599999988</v>
      </c>
      <c r="AE1047" s="38" t="s">
        <v>169</v>
      </c>
      <c r="AF1047" s="38" t="s">
        <v>83</v>
      </c>
      <c r="AG1047" s="29" t="s">
        <v>83</v>
      </c>
      <c r="AH1047" s="45" t="s">
        <v>90</v>
      </c>
      <c r="AI1047" s="51">
        <v>41712</v>
      </c>
      <c r="AJ1047" s="51">
        <v>41772</v>
      </c>
      <c r="AK1047" s="60"/>
      <c r="AL1047" s="60"/>
      <c r="AM1047" s="60" t="s">
        <v>1410</v>
      </c>
      <c r="AN1047" s="60" t="s">
        <v>1381</v>
      </c>
      <c r="AO1047" s="29">
        <v>55</v>
      </c>
      <c r="AP1047" s="29" t="s">
        <v>737</v>
      </c>
      <c r="AQ1047" s="56">
        <v>8625</v>
      </c>
      <c r="AR1047" s="38">
        <v>45</v>
      </c>
      <c r="AS1047" s="16" t="s">
        <v>1383</v>
      </c>
      <c r="AT1047" s="52">
        <v>41792</v>
      </c>
      <c r="AU1047" s="52">
        <v>41792</v>
      </c>
      <c r="AV1047" s="51">
        <v>41943</v>
      </c>
      <c r="AW1047" s="38">
        <v>2014</v>
      </c>
      <c r="AX1047" s="60"/>
      <c r="AY1047" s="135"/>
      <c r="AZ1047" s="60"/>
      <c r="BA1047" s="38"/>
      <c r="BB1047" s="38"/>
      <c r="BC1047" s="60"/>
      <c r="BD1047" s="60"/>
      <c r="BE1047" s="65"/>
      <c r="BF1047" s="65"/>
      <c r="BG1047" s="65"/>
      <c r="BH1047" s="308"/>
      <c r="BI1047" s="308"/>
      <c r="BJ1047" s="308"/>
      <c r="BK1047" s="311"/>
    </row>
    <row r="1048" spans="1:63" s="287" customFormat="1" ht="56.25">
      <c r="A1048" s="56">
        <v>3</v>
      </c>
      <c r="B1048" s="56" t="s">
        <v>1412</v>
      </c>
      <c r="C1048" s="38" t="s">
        <v>83</v>
      </c>
      <c r="D1048" s="56" t="s">
        <v>1413</v>
      </c>
      <c r="E1048" s="38" t="s">
        <v>250</v>
      </c>
      <c r="F1048" s="38" t="s">
        <v>349</v>
      </c>
      <c r="G1048" s="38" t="s">
        <v>349</v>
      </c>
      <c r="H1048" s="313">
        <v>853604</v>
      </c>
      <c r="I1048" s="17" t="s">
        <v>1414</v>
      </c>
      <c r="J1048" s="16" t="s">
        <v>1380</v>
      </c>
      <c r="K1048" s="60" t="s">
        <v>4717</v>
      </c>
      <c r="L1048" s="16" t="s">
        <v>180</v>
      </c>
      <c r="M1048" s="134">
        <v>2010201</v>
      </c>
      <c r="N1048" s="16" t="s">
        <v>5939</v>
      </c>
      <c r="O1048" s="16" t="s">
        <v>960</v>
      </c>
      <c r="P1048" s="23">
        <v>36049.377209999999</v>
      </c>
      <c r="Q1048" s="23">
        <f t="shared" si="137"/>
        <v>42538.265107799998</v>
      </c>
      <c r="R1048" s="23"/>
      <c r="S1048" s="29"/>
      <c r="T1048" s="23"/>
      <c r="U1048" s="23"/>
      <c r="V1048" s="23"/>
      <c r="W1048" s="23"/>
      <c r="X1048" s="23"/>
      <c r="Y1048" s="23">
        <v>36049.377209999999</v>
      </c>
      <c r="Z1048" s="34">
        <f t="shared" si="138"/>
        <v>42538.265107799998</v>
      </c>
      <c r="AA1048" s="36" t="s">
        <v>132</v>
      </c>
      <c r="AB1048" s="36" t="s">
        <v>132</v>
      </c>
      <c r="AC1048" s="23">
        <v>36049.377209999999</v>
      </c>
      <c r="AD1048" s="34">
        <f t="shared" si="139"/>
        <v>42538.265107799998</v>
      </c>
      <c r="AE1048" s="38" t="s">
        <v>169</v>
      </c>
      <c r="AF1048" s="38" t="s">
        <v>83</v>
      </c>
      <c r="AG1048" s="38" t="s">
        <v>83</v>
      </c>
      <c r="AH1048" s="45" t="s">
        <v>90</v>
      </c>
      <c r="AI1048" s="51">
        <v>41554</v>
      </c>
      <c r="AJ1048" s="51">
        <v>41609</v>
      </c>
      <c r="AK1048" s="60"/>
      <c r="AL1048" s="60"/>
      <c r="AM1048" s="60" t="s">
        <v>1414</v>
      </c>
      <c r="AN1048" s="60" t="s">
        <v>541</v>
      </c>
      <c r="AO1048" s="11">
        <v>796</v>
      </c>
      <c r="AP1048" s="56" t="s">
        <v>419</v>
      </c>
      <c r="AQ1048" s="56">
        <v>25500</v>
      </c>
      <c r="AR1048" s="256">
        <v>45</v>
      </c>
      <c r="AS1048" s="16" t="s">
        <v>547</v>
      </c>
      <c r="AT1048" s="51">
        <v>41699</v>
      </c>
      <c r="AU1048" s="51">
        <v>41701</v>
      </c>
      <c r="AV1048" s="51">
        <v>41999</v>
      </c>
      <c r="AW1048" s="38">
        <v>2014</v>
      </c>
      <c r="AX1048" s="60"/>
      <c r="AY1048" s="135"/>
      <c r="AZ1048" s="60"/>
      <c r="BA1048" s="38"/>
      <c r="BB1048" s="38"/>
      <c r="BC1048" s="60"/>
      <c r="BD1048" s="60"/>
      <c r="BE1048" s="65"/>
      <c r="BF1048" s="65"/>
      <c r="BG1048" s="65"/>
      <c r="BH1048" s="308"/>
      <c r="BI1048" s="308"/>
      <c r="BJ1048" s="308"/>
      <c r="BK1048" s="379"/>
    </row>
    <row r="1049" spans="1:63" s="287" customFormat="1" ht="93.75">
      <c r="A1049" s="56">
        <v>3</v>
      </c>
      <c r="B1049" s="56" t="s">
        <v>1415</v>
      </c>
      <c r="C1049" s="38" t="s">
        <v>83</v>
      </c>
      <c r="D1049" s="56" t="s">
        <v>1413</v>
      </c>
      <c r="E1049" s="38" t="s">
        <v>250</v>
      </c>
      <c r="F1049" s="38" t="s">
        <v>349</v>
      </c>
      <c r="G1049" s="38" t="s">
        <v>349</v>
      </c>
      <c r="H1049" s="313">
        <v>853605</v>
      </c>
      <c r="I1049" s="17" t="s">
        <v>1416</v>
      </c>
      <c r="J1049" s="16" t="s">
        <v>1417</v>
      </c>
      <c r="K1049" s="60" t="s">
        <v>4724</v>
      </c>
      <c r="L1049" s="16" t="s">
        <v>180</v>
      </c>
      <c r="M1049" s="134" t="s">
        <v>1175</v>
      </c>
      <c r="N1049" s="16" t="s">
        <v>5931</v>
      </c>
      <c r="O1049" s="16" t="s">
        <v>960</v>
      </c>
      <c r="P1049" s="34">
        <v>12049.01815</v>
      </c>
      <c r="Q1049" s="23">
        <f t="shared" si="137"/>
        <v>14217.841417</v>
      </c>
      <c r="R1049" s="23"/>
      <c r="S1049" s="29"/>
      <c r="T1049" s="23"/>
      <c r="U1049" s="23"/>
      <c r="V1049" s="23"/>
      <c r="W1049" s="23"/>
      <c r="X1049" s="23"/>
      <c r="Y1049" s="34">
        <v>12049.01815</v>
      </c>
      <c r="Z1049" s="34">
        <f t="shared" si="138"/>
        <v>14217.841417</v>
      </c>
      <c r="AA1049" s="36" t="s">
        <v>132</v>
      </c>
      <c r="AB1049" s="36" t="s">
        <v>132</v>
      </c>
      <c r="AC1049" s="34">
        <v>12049.01815</v>
      </c>
      <c r="AD1049" s="34">
        <f t="shared" si="139"/>
        <v>14217.841417</v>
      </c>
      <c r="AE1049" s="38" t="s">
        <v>169</v>
      </c>
      <c r="AF1049" s="38" t="s">
        <v>83</v>
      </c>
      <c r="AG1049" s="38" t="s">
        <v>83</v>
      </c>
      <c r="AH1049" s="45" t="s">
        <v>90</v>
      </c>
      <c r="AI1049" s="51">
        <v>41554</v>
      </c>
      <c r="AJ1049" s="51">
        <v>41609</v>
      </c>
      <c r="AK1049" s="60"/>
      <c r="AL1049" s="60"/>
      <c r="AM1049" s="60" t="s">
        <v>1416</v>
      </c>
      <c r="AN1049" s="60" t="s">
        <v>541</v>
      </c>
      <c r="AO1049" s="29">
        <v>8</v>
      </c>
      <c r="AP1049" s="56" t="s">
        <v>82</v>
      </c>
      <c r="AQ1049" s="56">
        <v>82</v>
      </c>
      <c r="AR1049" s="256">
        <v>45</v>
      </c>
      <c r="AS1049" s="16" t="s">
        <v>547</v>
      </c>
      <c r="AT1049" s="51">
        <v>41673</v>
      </c>
      <c r="AU1049" s="51">
        <v>41673</v>
      </c>
      <c r="AV1049" s="51">
        <v>41999</v>
      </c>
      <c r="AW1049" s="38">
        <v>2014</v>
      </c>
      <c r="AX1049" s="60"/>
      <c r="AY1049" s="135"/>
      <c r="AZ1049" s="60"/>
      <c r="BA1049" s="38"/>
      <c r="BB1049" s="38"/>
      <c r="BC1049" s="60"/>
      <c r="BD1049" s="60"/>
      <c r="BE1049" s="65"/>
      <c r="BF1049" s="65"/>
      <c r="BG1049" s="65"/>
      <c r="BH1049" s="308"/>
      <c r="BI1049" s="308"/>
      <c r="BJ1049" s="308"/>
      <c r="BK1049" s="236"/>
    </row>
    <row r="1050" spans="1:63" s="287" customFormat="1" ht="150">
      <c r="A1050" s="29">
        <v>3</v>
      </c>
      <c r="B1050" s="38" t="s">
        <v>1418</v>
      </c>
      <c r="C1050" s="38" t="s">
        <v>83</v>
      </c>
      <c r="D1050" s="56" t="s">
        <v>1377</v>
      </c>
      <c r="E1050" s="38" t="s">
        <v>250</v>
      </c>
      <c r="F1050" s="38" t="s">
        <v>1405</v>
      </c>
      <c r="G1050" s="38">
        <v>4010412</v>
      </c>
      <c r="H1050" s="310">
        <v>853557</v>
      </c>
      <c r="I1050" s="16" t="s">
        <v>1419</v>
      </c>
      <c r="J1050" s="16" t="s">
        <v>1420</v>
      </c>
      <c r="K1050" s="16" t="s">
        <v>4724</v>
      </c>
      <c r="L1050" s="16" t="s">
        <v>180</v>
      </c>
      <c r="M1050" s="134" t="s">
        <v>1175</v>
      </c>
      <c r="N1050" s="16" t="s">
        <v>5936</v>
      </c>
      <c r="O1050" s="16" t="s">
        <v>960</v>
      </c>
      <c r="P1050" s="23">
        <v>24830.37012</v>
      </c>
      <c r="Q1050" s="23">
        <f t="shared" si="137"/>
        <v>29299.836741599996</v>
      </c>
      <c r="R1050" s="23">
        <v>28904.3</v>
      </c>
      <c r="S1050" s="29" t="s">
        <v>4180</v>
      </c>
      <c r="T1050" s="312">
        <v>1.0840000000000001</v>
      </c>
      <c r="U1050" s="312">
        <v>1.0509999999999999</v>
      </c>
      <c r="V1050" s="312">
        <v>1.0669999999999999</v>
      </c>
      <c r="W1050" s="312">
        <v>1.0529999999999999</v>
      </c>
      <c r="X1050" s="309">
        <v>0.9</v>
      </c>
      <c r="Y1050" s="34">
        <v>33298.889820390701</v>
      </c>
      <c r="Z1050" s="34">
        <f t="shared" si="138"/>
        <v>39292.689988061022</v>
      </c>
      <c r="AA1050" s="36" t="s">
        <v>132</v>
      </c>
      <c r="AB1050" s="36" t="s">
        <v>132</v>
      </c>
      <c r="AC1050" s="23">
        <v>25656.892</v>
      </c>
      <c r="AD1050" s="23">
        <f t="shared" si="139"/>
        <v>30275.132559999998</v>
      </c>
      <c r="AE1050" s="38" t="s">
        <v>169</v>
      </c>
      <c r="AF1050" s="38" t="s">
        <v>83</v>
      </c>
      <c r="AG1050" s="29" t="s">
        <v>83</v>
      </c>
      <c r="AH1050" s="45" t="s">
        <v>90</v>
      </c>
      <c r="AI1050" s="51">
        <v>41625</v>
      </c>
      <c r="AJ1050" s="51">
        <v>41685</v>
      </c>
      <c r="AK1050" s="60"/>
      <c r="AL1050" s="60"/>
      <c r="AM1050" s="60" t="s">
        <v>1419</v>
      </c>
      <c r="AN1050" s="60" t="s">
        <v>1381</v>
      </c>
      <c r="AO1050" s="29">
        <v>18</v>
      </c>
      <c r="AP1050" s="56" t="s">
        <v>1382</v>
      </c>
      <c r="AQ1050" s="56">
        <v>14809</v>
      </c>
      <c r="AR1050" s="38">
        <v>45</v>
      </c>
      <c r="AS1050" s="16" t="s">
        <v>1383</v>
      </c>
      <c r="AT1050" s="52">
        <v>41705</v>
      </c>
      <c r="AU1050" s="52">
        <v>41705</v>
      </c>
      <c r="AV1050" s="51">
        <v>42035</v>
      </c>
      <c r="AW1050" s="38" t="s">
        <v>99</v>
      </c>
      <c r="AX1050" s="60"/>
      <c r="AY1050" s="135"/>
      <c r="AZ1050" s="60"/>
      <c r="BA1050" s="38"/>
      <c r="BB1050" s="38"/>
      <c r="BC1050" s="60"/>
      <c r="BD1050" s="60"/>
      <c r="BE1050" s="65"/>
      <c r="BF1050" s="65"/>
      <c r="BG1050" s="65"/>
      <c r="BH1050" s="308"/>
      <c r="BI1050" s="308"/>
      <c r="BJ1050" s="308"/>
      <c r="BK1050" s="311"/>
    </row>
    <row r="1051" spans="1:63" s="287" customFormat="1" ht="150">
      <c r="A1051" s="29">
        <v>3</v>
      </c>
      <c r="B1051" s="38" t="s">
        <v>1421</v>
      </c>
      <c r="C1051" s="38" t="s">
        <v>83</v>
      </c>
      <c r="D1051" s="56" t="s">
        <v>1377</v>
      </c>
      <c r="E1051" s="38" t="s">
        <v>250</v>
      </c>
      <c r="F1051" s="38" t="s">
        <v>1405</v>
      </c>
      <c r="G1051" s="38">
        <v>4010412</v>
      </c>
      <c r="H1051" s="310">
        <v>853558</v>
      </c>
      <c r="I1051" s="16" t="s">
        <v>1422</v>
      </c>
      <c r="J1051" s="16" t="s">
        <v>5944</v>
      </c>
      <c r="K1051" s="16" t="s">
        <v>4724</v>
      </c>
      <c r="L1051" s="16" t="s">
        <v>180</v>
      </c>
      <c r="M1051" s="134" t="s">
        <v>1175</v>
      </c>
      <c r="N1051" s="16" t="s">
        <v>5931</v>
      </c>
      <c r="O1051" s="16" t="s">
        <v>960</v>
      </c>
      <c r="P1051" s="23">
        <v>20422.054</v>
      </c>
      <c r="Q1051" s="23">
        <f t="shared" si="137"/>
        <v>24098.023719999997</v>
      </c>
      <c r="R1051" s="23"/>
      <c r="S1051" s="29"/>
      <c r="T1051" s="38"/>
      <c r="U1051" s="38"/>
      <c r="V1051" s="38"/>
      <c r="W1051" s="38"/>
      <c r="X1051" s="38"/>
      <c r="Y1051" s="23">
        <v>20422.054</v>
      </c>
      <c r="Z1051" s="23">
        <f t="shared" si="138"/>
        <v>24098.023719999997</v>
      </c>
      <c r="AA1051" s="36" t="s">
        <v>132</v>
      </c>
      <c r="AB1051" s="36" t="s">
        <v>132</v>
      </c>
      <c r="AC1051" s="34">
        <v>20422.054</v>
      </c>
      <c r="AD1051" s="34">
        <f t="shared" si="139"/>
        <v>24098.023719999997</v>
      </c>
      <c r="AE1051" s="38" t="s">
        <v>169</v>
      </c>
      <c r="AF1051" s="38" t="s">
        <v>83</v>
      </c>
      <c r="AG1051" s="29" t="s">
        <v>83</v>
      </c>
      <c r="AH1051" s="45" t="s">
        <v>90</v>
      </c>
      <c r="AI1051" s="51">
        <v>41680</v>
      </c>
      <c r="AJ1051" s="51">
        <v>41740</v>
      </c>
      <c r="AK1051" s="60"/>
      <c r="AL1051" s="60"/>
      <c r="AM1051" s="60" t="s">
        <v>1422</v>
      </c>
      <c r="AN1051" s="60" t="s">
        <v>1381</v>
      </c>
      <c r="AO1051" s="29">
        <v>796</v>
      </c>
      <c r="AP1051" s="56" t="s">
        <v>419</v>
      </c>
      <c r="AQ1051" s="56">
        <v>31</v>
      </c>
      <c r="AR1051" s="38">
        <v>45</v>
      </c>
      <c r="AS1051" s="16" t="s">
        <v>1383</v>
      </c>
      <c r="AT1051" s="51">
        <v>41760</v>
      </c>
      <c r="AU1051" s="51">
        <v>41760</v>
      </c>
      <c r="AV1051" s="51">
        <v>42124</v>
      </c>
      <c r="AW1051" s="38" t="s">
        <v>99</v>
      </c>
      <c r="AX1051" s="60"/>
      <c r="AY1051" s="135"/>
      <c r="AZ1051" s="60"/>
      <c r="BA1051" s="38"/>
      <c r="BB1051" s="38"/>
      <c r="BC1051" s="60"/>
      <c r="BD1051" s="60"/>
      <c r="BE1051" s="65"/>
      <c r="BF1051" s="65"/>
      <c r="BG1051" s="65"/>
      <c r="BH1051" s="308"/>
      <c r="BI1051" s="308"/>
      <c r="BJ1051" s="308"/>
      <c r="BK1051" s="311"/>
    </row>
    <row r="1052" spans="1:63" s="287" customFormat="1" ht="93.75">
      <c r="A1052" s="29">
        <v>3</v>
      </c>
      <c r="B1052" s="38" t="s">
        <v>1423</v>
      </c>
      <c r="C1052" s="38" t="s">
        <v>83</v>
      </c>
      <c r="D1052" s="56" t="s">
        <v>1377</v>
      </c>
      <c r="E1052" s="38" t="s">
        <v>250</v>
      </c>
      <c r="F1052" s="38" t="s">
        <v>1405</v>
      </c>
      <c r="G1052" s="38">
        <v>4010412</v>
      </c>
      <c r="H1052" s="310">
        <v>853559</v>
      </c>
      <c r="I1052" s="16" t="s">
        <v>1424</v>
      </c>
      <c r="J1052" s="16" t="s">
        <v>1425</v>
      </c>
      <c r="K1052" s="60" t="s">
        <v>4724</v>
      </c>
      <c r="L1052" s="16" t="s">
        <v>180</v>
      </c>
      <c r="M1052" s="134" t="s">
        <v>1175</v>
      </c>
      <c r="N1052" s="16" t="s">
        <v>5931</v>
      </c>
      <c r="O1052" s="16" t="s">
        <v>960</v>
      </c>
      <c r="P1052" s="23">
        <v>5146</v>
      </c>
      <c r="Q1052" s="23">
        <f t="shared" si="137"/>
        <v>6072.28</v>
      </c>
      <c r="R1052" s="23"/>
      <c r="S1052" s="29"/>
      <c r="T1052" s="38"/>
      <c r="U1052" s="38"/>
      <c r="V1052" s="38"/>
      <c r="W1052" s="38"/>
      <c r="X1052" s="38"/>
      <c r="Y1052" s="23">
        <v>5146</v>
      </c>
      <c r="Z1052" s="23">
        <f t="shared" si="138"/>
        <v>6072.28</v>
      </c>
      <c r="AA1052" s="36" t="s">
        <v>132</v>
      </c>
      <c r="AB1052" s="36" t="s">
        <v>132</v>
      </c>
      <c r="AC1052" s="34">
        <v>5146</v>
      </c>
      <c r="AD1052" s="34">
        <f t="shared" si="139"/>
        <v>6072.28</v>
      </c>
      <c r="AE1052" s="38" t="s">
        <v>173</v>
      </c>
      <c r="AF1052" s="38" t="s">
        <v>83</v>
      </c>
      <c r="AG1052" s="29" t="s">
        <v>83</v>
      </c>
      <c r="AH1052" s="45" t="s">
        <v>90</v>
      </c>
      <c r="AI1052" s="314">
        <v>41663</v>
      </c>
      <c r="AJ1052" s="314">
        <v>41708</v>
      </c>
      <c r="AK1052" s="60"/>
      <c r="AL1052" s="60"/>
      <c r="AM1052" s="60" t="s">
        <v>1424</v>
      </c>
      <c r="AN1052" s="60" t="s">
        <v>1381</v>
      </c>
      <c r="AO1052" s="29">
        <v>796</v>
      </c>
      <c r="AP1052" s="56" t="s">
        <v>419</v>
      </c>
      <c r="AQ1052" s="56">
        <v>16</v>
      </c>
      <c r="AR1052" s="306">
        <v>45</v>
      </c>
      <c r="AS1052" s="16" t="s">
        <v>512</v>
      </c>
      <c r="AT1052" s="52">
        <v>41728</v>
      </c>
      <c r="AU1052" s="52">
        <v>41728</v>
      </c>
      <c r="AV1052" s="52">
        <v>42004</v>
      </c>
      <c r="AW1052" s="38">
        <v>2014</v>
      </c>
      <c r="AX1052" s="60"/>
      <c r="AY1052" s="135"/>
      <c r="AZ1052" s="60"/>
      <c r="BA1052" s="38"/>
      <c r="BB1052" s="38"/>
      <c r="BC1052" s="60"/>
      <c r="BD1052" s="60"/>
      <c r="BE1052" s="65"/>
      <c r="BF1052" s="65"/>
      <c r="BG1052" s="65"/>
      <c r="BH1052" s="308"/>
      <c r="BI1052" s="308"/>
      <c r="BJ1052" s="308"/>
      <c r="BK1052" s="311"/>
    </row>
    <row r="1053" spans="1:63" s="287" customFormat="1" ht="131.25">
      <c r="A1053" s="29">
        <v>3</v>
      </c>
      <c r="B1053" s="38" t="s">
        <v>1426</v>
      </c>
      <c r="C1053" s="38" t="s">
        <v>83</v>
      </c>
      <c r="D1053" s="56" t="s">
        <v>1377</v>
      </c>
      <c r="E1053" s="38" t="s">
        <v>250</v>
      </c>
      <c r="F1053" s="38" t="s">
        <v>1405</v>
      </c>
      <c r="G1053" s="38">
        <v>4010412</v>
      </c>
      <c r="H1053" s="310">
        <v>853560</v>
      </c>
      <c r="I1053" s="16" t="s">
        <v>1427</v>
      </c>
      <c r="J1053" s="16" t="s">
        <v>1428</v>
      </c>
      <c r="K1053" s="60" t="s">
        <v>4724</v>
      </c>
      <c r="L1053" s="16" t="s">
        <v>180</v>
      </c>
      <c r="M1053" s="134" t="s">
        <v>1175</v>
      </c>
      <c r="N1053" s="16" t="s">
        <v>5936</v>
      </c>
      <c r="O1053" s="16" t="s">
        <v>960</v>
      </c>
      <c r="P1053" s="23">
        <v>6836.45</v>
      </c>
      <c r="Q1053" s="23">
        <f t="shared" si="137"/>
        <v>8067.0109999999995</v>
      </c>
      <c r="R1053" s="23"/>
      <c r="S1053" s="29"/>
      <c r="T1053" s="38"/>
      <c r="U1053" s="38"/>
      <c r="V1053" s="38"/>
      <c r="W1053" s="38"/>
      <c r="X1053" s="38"/>
      <c r="Y1053" s="23">
        <v>6836.45</v>
      </c>
      <c r="Z1053" s="23">
        <f t="shared" si="138"/>
        <v>8067.0109999999995</v>
      </c>
      <c r="AA1053" s="36" t="s">
        <v>132</v>
      </c>
      <c r="AB1053" s="36" t="s">
        <v>132</v>
      </c>
      <c r="AC1053" s="34">
        <v>6836.4570000000003</v>
      </c>
      <c r="AD1053" s="34">
        <f t="shared" si="139"/>
        <v>8067.01926</v>
      </c>
      <c r="AE1053" s="38" t="s">
        <v>173</v>
      </c>
      <c r="AF1053" s="38" t="s">
        <v>83</v>
      </c>
      <c r="AG1053" s="29" t="s">
        <v>83</v>
      </c>
      <c r="AH1053" s="45" t="s">
        <v>90</v>
      </c>
      <c r="AI1053" s="51">
        <v>41650</v>
      </c>
      <c r="AJ1053" s="51">
        <v>41710</v>
      </c>
      <c r="AK1053" s="60"/>
      <c r="AL1053" s="60"/>
      <c r="AM1053" s="60" t="s">
        <v>1427</v>
      </c>
      <c r="AN1053" s="60" t="s">
        <v>1381</v>
      </c>
      <c r="AO1053" s="29">
        <v>796</v>
      </c>
      <c r="AP1053" s="56" t="s">
        <v>419</v>
      </c>
      <c r="AQ1053" s="56">
        <v>34</v>
      </c>
      <c r="AR1053" s="38">
        <v>45</v>
      </c>
      <c r="AS1053" s="16" t="s">
        <v>1383</v>
      </c>
      <c r="AT1053" s="52">
        <v>41730</v>
      </c>
      <c r="AU1053" s="52">
        <v>41730</v>
      </c>
      <c r="AV1053" s="51">
        <v>41943</v>
      </c>
      <c r="AW1053" s="38">
        <v>2014</v>
      </c>
      <c r="AX1053" s="60"/>
      <c r="AY1053" s="135"/>
      <c r="AZ1053" s="60"/>
      <c r="BA1053" s="38"/>
      <c r="BB1053" s="38"/>
      <c r="BC1053" s="60"/>
      <c r="BD1053" s="60"/>
      <c r="BE1053" s="65"/>
      <c r="BF1053" s="65"/>
      <c r="BG1053" s="65"/>
      <c r="BH1053" s="308"/>
      <c r="BI1053" s="308"/>
      <c r="BJ1053" s="308"/>
      <c r="BK1053" s="311"/>
    </row>
    <row r="1054" spans="1:63" s="287" customFormat="1" ht="131.25">
      <c r="A1054" s="29">
        <v>3</v>
      </c>
      <c r="B1054" s="38" t="s">
        <v>1429</v>
      </c>
      <c r="C1054" s="38" t="s">
        <v>83</v>
      </c>
      <c r="D1054" s="56" t="s">
        <v>1377</v>
      </c>
      <c r="E1054" s="38" t="s">
        <v>250</v>
      </c>
      <c r="F1054" s="38" t="s">
        <v>1430</v>
      </c>
      <c r="G1054" s="38">
        <v>4010412</v>
      </c>
      <c r="H1054" s="310">
        <v>853561</v>
      </c>
      <c r="I1054" s="16" t="s">
        <v>1431</v>
      </c>
      <c r="J1054" s="16" t="s">
        <v>5945</v>
      </c>
      <c r="K1054" s="60" t="s">
        <v>4724</v>
      </c>
      <c r="L1054" s="16" t="s">
        <v>180</v>
      </c>
      <c r="M1054" s="134" t="s">
        <v>1175</v>
      </c>
      <c r="N1054" s="16" t="s">
        <v>5936</v>
      </c>
      <c r="O1054" s="16" t="s">
        <v>960</v>
      </c>
      <c r="P1054" s="23">
        <v>8472</v>
      </c>
      <c r="Q1054" s="23">
        <f t="shared" si="137"/>
        <v>9996.9599999999991</v>
      </c>
      <c r="R1054" s="23">
        <v>8504.75</v>
      </c>
      <c r="S1054" s="29" t="s">
        <v>4180</v>
      </c>
      <c r="T1054" s="312">
        <v>1.0840000000000001</v>
      </c>
      <c r="U1054" s="312">
        <v>1.0509999999999999</v>
      </c>
      <c r="V1054" s="312">
        <v>1.0669999999999999</v>
      </c>
      <c r="W1054" s="312">
        <v>1.0529999999999999</v>
      </c>
      <c r="X1054" s="309">
        <v>0.9</v>
      </c>
      <c r="Y1054" s="34">
        <f>R1054*T1054*U1054*V1054*W1054*X1054</f>
        <v>9797.8063194738443</v>
      </c>
      <c r="Z1054" s="34">
        <f t="shared" si="138"/>
        <v>11561.411456979136</v>
      </c>
      <c r="AA1054" s="36" t="s">
        <v>132</v>
      </c>
      <c r="AB1054" s="36" t="s">
        <v>132</v>
      </c>
      <c r="AC1054" s="34">
        <v>8472</v>
      </c>
      <c r="AD1054" s="34">
        <v>9996.9599999999991</v>
      </c>
      <c r="AE1054" s="38" t="s">
        <v>173</v>
      </c>
      <c r="AF1054" s="38" t="s">
        <v>83</v>
      </c>
      <c r="AG1054" s="29" t="s">
        <v>83</v>
      </c>
      <c r="AH1054" s="45" t="s">
        <v>90</v>
      </c>
      <c r="AI1054" s="51">
        <v>41554</v>
      </c>
      <c r="AJ1054" s="51">
        <v>41609</v>
      </c>
      <c r="AK1054" s="60"/>
      <c r="AL1054" s="60"/>
      <c r="AM1054" s="60" t="s">
        <v>1431</v>
      </c>
      <c r="AN1054" s="60" t="s">
        <v>1381</v>
      </c>
      <c r="AO1054" s="29">
        <v>796</v>
      </c>
      <c r="AP1054" s="29" t="s">
        <v>419</v>
      </c>
      <c r="AQ1054" s="56">
        <v>150</v>
      </c>
      <c r="AR1054" s="38">
        <v>45</v>
      </c>
      <c r="AS1054" s="16" t="s">
        <v>1383</v>
      </c>
      <c r="AT1054" s="51">
        <v>41764</v>
      </c>
      <c r="AU1054" s="51">
        <v>41764</v>
      </c>
      <c r="AV1054" s="52">
        <v>42004</v>
      </c>
      <c r="AW1054" s="38">
        <v>2014</v>
      </c>
      <c r="AX1054" s="60"/>
      <c r="AY1054" s="135"/>
      <c r="AZ1054" s="60"/>
      <c r="BA1054" s="38"/>
      <c r="BB1054" s="38"/>
      <c r="BC1054" s="60"/>
      <c r="BD1054" s="60"/>
      <c r="BE1054" s="65"/>
      <c r="BF1054" s="65"/>
      <c r="BG1054" s="65"/>
      <c r="BH1054" s="308"/>
      <c r="BI1054" s="308"/>
      <c r="BJ1054" s="308"/>
      <c r="BK1054" s="311"/>
    </row>
    <row r="1055" spans="1:63" s="287" customFormat="1" ht="75">
      <c r="A1055" s="29">
        <v>3</v>
      </c>
      <c r="B1055" s="38" t="s">
        <v>1432</v>
      </c>
      <c r="C1055" s="38" t="s">
        <v>83</v>
      </c>
      <c r="D1055" s="56" t="s">
        <v>1377</v>
      </c>
      <c r="E1055" s="38" t="s">
        <v>250</v>
      </c>
      <c r="F1055" s="38" t="s">
        <v>1430</v>
      </c>
      <c r="G1055" s="38">
        <v>4010412</v>
      </c>
      <c r="H1055" s="310">
        <v>853567</v>
      </c>
      <c r="I1055" s="16" t="s">
        <v>1433</v>
      </c>
      <c r="J1055" s="16" t="s">
        <v>1434</v>
      </c>
      <c r="K1055" s="60" t="s">
        <v>4724</v>
      </c>
      <c r="L1055" s="16" t="s">
        <v>180</v>
      </c>
      <c r="M1055" s="134" t="s">
        <v>1175</v>
      </c>
      <c r="N1055" s="16" t="s">
        <v>5936</v>
      </c>
      <c r="O1055" s="16" t="s">
        <v>960</v>
      </c>
      <c r="P1055" s="23">
        <v>1274</v>
      </c>
      <c r="Q1055" s="23">
        <f t="shared" si="137"/>
        <v>1503.32</v>
      </c>
      <c r="R1055" s="23">
        <v>1278.92</v>
      </c>
      <c r="S1055" s="29" t="s">
        <v>4180</v>
      </c>
      <c r="T1055" s="312">
        <v>1.0840000000000001</v>
      </c>
      <c r="U1055" s="312">
        <v>1.0509999999999999</v>
      </c>
      <c r="V1055" s="312">
        <v>1.0669999999999999</v>
      </c>
      <c r="W1055" s="312">
        <v>1.0529999999999999</v>
      </c>
      <c r="X1055" s="309">
        <v>0.9</v>
      </c>
      <c r="Y1055" s="34">
        <f>R1055*T1055*U1055*V1055*W1055*X1055</f>
        <v>1473.3661140070533</v>
      </c>
      <c r="Z1055" s="34">
        <f t="shared" si="138"/>
        <v>1738.5720145283228</v>
      </c>
      <c r="AA1055" s="36" t="s">
        <v>132</v>
      </c>
      <c r="AB1055" s="36" t="s">
        <v>132</v>
      </c>
      <c r="AC1055" s="34">
        <v>1274</v>
      </c>
      <c r="AD1055" s="34">
        <v>1503.32</v>
      </c>
      <c r="AE1055" s="38" t="s">
        <v>173</v>
      </c>
      <c r="AF1055" s="38" t="s">
        <v>83</v>
      </c>
      <c r="AG1055" s="29" t="s">
        <v>83</v>
      </c>
      <c r="AH1055" s="45" t="s">
        <v>90</v>
      </c>
      <c r="AI1055" s="51">
        <v>41554</v>
      </c>
      <c r="AJ1055" s="51">
        <v>41609</v>
      </c>
      <c r="AK1055" s="60"/>
      <c r="AL1055" s="60"/>
      <c r="AM1055" s="60" t="s">
        <v>1433</v>
      </c>
      <c r="AN1055" s="60" t="s">
        <v>1381</v>
      </c>
      <c r="AO1055" s="29">
        <v>113</v>
      </c>
      <c r="AP1055" s="29" t="s">
        <v>902</v>
      </c>
      <c r="AQ1055" s="56">
        <v>26875</v>
      </c>
      <c r="AR1055" s="306">
        <v>45</v>
      </c>
      <c r="AS1055" s="16" t="s">
        <v>512</v>
      </c>
      <c r="AT1055" s="51">
        <v>41764</v>
      </c>
      <c r="AU1055" s="51">
        <v>41764</v>
      </c>
      <c r="AV1055" s="52">
        <v>42004</v>
      </c>
      <c r="AW1055" s="38">
        <v>2014</v>
      </c>
      <c r="AX1055" s="60"/>
      <c r="AY1055" s="135"/>
      <c r="AZ1055" s="60"/>
      <c r="BA1055" s="38"/>
      <c r="BB1055" s="38"/>
      <c r="BC1055" s="60"/>
      <c r="BD1055" s="60"/>
      <c r="BE1055" s="65"/>
      <c r="BF1055" s="65"/>
      <c r="BG1055" s="65"/>
      <c r="BH1055" s="308"/>
      <c r="BI1055" s="308"/>
      <c r="BJ1055" s="308"/>
      <c r="BK1055" s="311"/>
    </row>
    <row r="1056" spans="1:63" s="287" customFormat="1" ht="56.25">
      <c r="A1056" s="29">
        <v>3</v>
      </c>
      <c r="B1056" s="38" t="s">
        <v>1435</v>
      </c>
      <c r="C1056" s="38" t="s">
        <v>83</v>
      </c>
      <c r="D1056" s="56" t="s">
        <v>1377</v>
      </c>
      <c r="E1056" s="38" t="s">
        <v>250</v>
      </c>
      <c r="F1056" s="38" t="s">
        <v>1430</v>
      </c>
      <c r="G1056" s="38">
        <v>4010412</v>
      </c>
      <c r="H1056" s="310">
        <v>853563</v>
      </c>
      <c r="I1056" s="16" t="s">
        <v>4179</v>
      </c>
      <c r="J1056" s="16" t="s">
        <v>1437</v>
      </c>
      <c r="K1056" s="60" t="s">
        <v>4724</v>
      </c>
      <c r="L1056" s="16" t="s">
        <v>180</v>
      </c>
      <c r="M1056" s="134" t="s">
        <v>1175</v>
      </c>
      <c r="N1056" s="16" t="s">
        <v>5936</v>
      </c>
      <c r="O1056" s="16" t="s">
        <v>960</v>
      </c>
      <c r="P1056" s="23">
        <v>1850.4</v>
      </c>
      <c r="Q1056" s="23">
        <f t="shared" si="137"/>
        <v>2183.4720000000002</v>
      </c>
      <c r="R1056" s="23">
        <v>2063.9499999999998</v>
      </c>
      <c r="S1056" s="29" t="s">
        <v>4180</v>
      </c>
      <c r="T1056" s="312">
        <v>1.0840000000000001</v>
      </c>
      <c r="U1056" s="312">
        <v>1.0509999999999999</v>
      </c>
      <c r="V1056" s="312">
        <v>1.0669999999999999</v>
      </c>
      <c r="W1056" s="312">
        <v>1.0529999999999999</v>
      </c>
      <c r="X1056" s="309">
        <v>0.9</v>
      </c>
      <c r="Y1056" s="34">
        <v>2377.75</v>
      </c>
      <c r="Z1056" s="34">
        <f t="shared" si="138"/>
        <v>2805.7449999999999</v>
      </c>
      <c r="AA1056" s="36" t="s">
        <v>132</v>
      </c>
      <c r="AB1056" s="36" t="s">
        <v>132</v>
      </c>
      <c r="AC1056" s="34">
        <v>1850.4</v>
      </c>
      <c r="AD1056" s="34">
        <f t="shared" ref="AD1056:AD1062" si="140">AC1056*1.18</f>
        <v>2183.4720000000002</v>
      </c>
      <c r="AE1056" s="38" t="s">
        <v>173</v>
      </c>
      <c r="AF1056" s="38" t="s">
        <v>83</v>
      </c>
      <c r="AG1056" s="29" t="s">
        <v>83</v>
      </c>
      <c r="AH1056" s="45" t="s">
        <v>90</v>
      </c>
      <c r="AI1056" s="314">
        <v>41699</v>
      </c>
      <c r="AJ1056" s="51">
        <v>41744</v>
      </c>
      <c r="AK1056" s="60"/>
      <c r="AL1056" s="60"/>
      <c r="AM1056" s="60" t="s">
        <v>1436</v>
      </c>
      <c r="AN1056" s="60" t="s">
        <v>1381</v>
      </c>
      <c r="AO1056" s="29">
        <v>55</v>
      </c>
      <c r="AP1056" s="29" t="s">
        <v>737</v>
      </c>
      <c r="AQ1056" s="56">
        <v>16641</v>
      </c>
      <c r="AR1056" s="306">
        <v>45</v>
      </c>
      <c r="AS1056" s="16" t="s">
        <v>512</v>
      </c>
      <c r="AT1056" s="51">
        <v>41764</v>
      </c>
      <c r="AU1056" s="51">
        <v>41764</v>
      </c>
      <c r="AV1056" s="52">
        <v>42004</v>
      </c>
      <c r="AW1056" s="38">
        <v>2014</v>
      </c>
      <c r="AX1056" s="60"/>
      <c r="AY1056" s="135"/>
      <c r="AZ1056" s="60"/>
      <c r="BA1056" s="38"/>
      <c r="BB1056" s="38"/>
      <c r="BC1056" s="60"/>
      <c r="BD1056" s="60"/>
      <c r="BE1056" s="65"/>
      <c r="BF1056" s="65"/>
      <c r="BG1056" s="65"/>
      <c r="BH1056" s="308"/>
      <c r="BI1056" s="308"/>
      <c r="BJ1056" s="308"/>
      <c r="BK1056" s="311"/>
    </row>
    <row r="1057" spans="1:63" s="287" customFormat="1" ht="75">
      <c r="A1057" s="29">
        <v>3</v>
      </c>
      <c r="B1057" s="38" t="s">
        <v>1438</v>
      </c>
      <c r="C1057" s="38" t="s">
        <v>83</v>
      </c>
      <c r="D1057" s="56" t="s">
        <v>1377</v>
      </c>
      <c r="E1057" s="38" t="s">
        <v>250</v>
      </c>
      <c r="F1057" s="38" t="s">
        <v>1430</v>
      </c>
      <c r="G1057" s="38">
        <v>4010412</v>
      </c>
      <c r="H1057" s="310">
        <v>853566</v>
      </c>
      <c r="I1057" s="16" t="s">
        <v>1439</v>
      </c>
      <c r="J1057" s="16" t="s">
        <v>1437</v>
      </c>
      <c r="K1057" s="60" t="s">
        <v>4724</v>
      </c>
      <c r="L1057" s="16" t="s">
        <v>180</v>
      </c>
      <c r="M1057" s="134" t="s">
        <v>1175</v>
      </c>
      <c r="N1057" s="16" t="s">
        <v>5936</v>
      </c>
      <c r="O1057" s="16" t="s">
        <v>960</v>
      </c>
      <c r="P1057" s="23">
        <v>3832.2</v>
      </c>
      <c r="Q1057" s="23">
        <f t="shared" si="137"/>
        <v>4521.9959999999992</v>
      </c>
      <c r="R1057" s="23">
        <v>4274.46</v>
      </c>
      <c r="S1057" s="29" t="s">
        <v>4180</v>
      </c>
      <c r="T1057" s="312">
        <v>1.0840000000000001</v>
      </c>
      <c r="U1057" s="312">
        <v>1.0509999999999999</v>
      </c>
      <c r="V1057" s="312">
        <v>1.0669999999999999</v>
      </c>
      <c r="W1057" s="312">
        <v>1.0529999999999999</v>
      </c>
      <c r="X1057" s="309">
        <v>0.9</v>
      </c>
      <c r="Y1057" s="34">
        <v>4924.3500000000004</v>
      </c>
      <c r="Z1057" s="34">
        <f t="shared" si="138"/>
        <v>5810.7330000000002</v>
      </c>
      <c r="AA1057" s="36" t="s">
        <v>132</v>
      </c>
      <c r="AB1057" s="36" t="s">
        <v>132</v>
      </c>
      <c r="AC1057" s="34">
        <v>3832.2</v>
      </c>
      <c r="AD1057" s="34">
        <f t="shared" si="140"/>
        <v>4521.9959999999992</v>
      </c>
      <c r="AE1057" s="38" t="s">
        <v>173</v>
      </c>
      <c r="AF1057" s="38" t="s">
        <v>83</v>
      </c>
      <c r="AG1057" s="29" t="s">
        <v>83</v>
      </c>
      <c r="AH1057" s="45" t="s">
        <v>90</v>
      </c>
      <c r="AI1057" s="314">
        <v>41699</v>
      </c>
      <c r="AJ1057" s="51">
        <v>41744</v>
      </c>
      <c r="AK1057" s="60"/>
      <c r="AL1057" s="60"/>
      <c r="AM1057" s="60" t="s">
        <v>1439</v>
      </c>
      <c r="AN1057" s="60" t="s">
        <v>1381</v>
      </c>
      <c r="AO1057" s="29">
        <v>796</v>
      </c>
      <c r="AP1057" s="29" t="s">
        <v>419</v>
      </c>
      <c r="AQ1057" s="56">
        <v>150</v>
      </c>
      <c r="AR1057" s="306">
        <v>45</v>
      </c>
      <c r="AS1057" s="16" t="s">
        <v>512</v>
      </c>
      <c r="AT1057" s="51">
        <v>41764</v>
      </c>
      <c r="AU1057" s="51">
        <v>41764</v>
      </c>
      <c r="AV1057" s="52">
        <v>42004</v>
      </c>
      <c r="AW1057" s="38">
        <v>2014</v>
      </c>
      <c r="AX1057" s="60"/>
      <c r="AY1057" s="135"/>
      <c r="AZ1057" s="60"/>
      <c r="BA1057" s="38"/>
      <c r="BB1057" s="38"/>
      <c r="BC1057" s="60"/>
      <c r="BD1057" s="60"/>
      <c r="BE1057" s="65"/>
      <c r="BF1057" s="65"/>
      <c r="BG1057" s="65"/>
      <c r="BH1057" s="308"/>
      <c r="BI1057" s="308"/>
      <c r="BJ1057" s="308"/>
      <c r="BK1057" s="311"/>
    </row>
    <row r="1058" spans="1:63" s="287" customFormat="1" ht="75">
      <c r="A1058" s="29">
        <v>3</v>
      </c>
      <c r="B1058" s="38" t="s">
        <v>1440</v>
      </c>
      <c r="C1058" s="38" t="s">
        <v>83</v>
      </c>
      <c r="D1058" s="56" t="s">
        <v>1377</v>
      </c>
      <c r="E1058" s="38" t="s">
        <v>250</v>
      </c>
      <c r="F1058" s="38" t="s">
        <v>1405</v>
      </c>
      <c r="G1058" s="38">
        <v>4010412</v>
      </c>
      <c r="H1058" s="310">
        <v>853564</v>
      </c>
      <c r="I1058" s="16" t="s">
        <v>1441</v>
      </c>
      <c r="J1058" s="16" t="s">
        <v>5946</v>
      </c>
      <c r="K1058" s="60" t="s">
        <v>4724</v>
      </c>
      <c r="L1058" s="16" t="s">
        <v>180</v>
      </c>
      <c r="M1058" s="134" t="s">
        <v>1175</v>
      </c>
      <c r="N1058" s="16" t="s">
        <v>5931</v>
      </c>
      <c r="O1058" s="16" t="s">
        <v>960</v>
      </c>
      <c r="P1058" s="23">
        <v>2433.9699999999998</v>
      </c>
      <c r="Q1058" s="23">
        <f t="shared" si="137"/>
        <v>2872.0845999999997</v>
      </c>
      <c r="R1058" s="23"/>
      <c r="S1058" s="29"/>
      <c r="T1058" s="38"/>
      <c r="U1058" s="38"/>
      <c r="V1058" s="38"/>
      <c r="W1058" s="38"/>
      <c r="X1058" s="38"/>
      <c r="Y1058" s="23">
        <v>2433.9699999999998</v>
      </c>
      <c r="Z1058" s="23">
        <f t="shared" si="138"/>
        <v>2872.0845999999997</v>
      </c>
      <c r="AA1058" s="36" t="s">
        <v>132</v>
      </c>
      <c r="AB1058" s="36" t="s">
        <v>132</v>
      </c>
      <c r="AC1058" s="23">
        <v>2433.9699999999998</v>
      </c>
      <c r="AD1058" s="23">
        <f t="shared" si="140"/>
        <v>2872.0845999999997</v>
      </c>
      <c r="AE1058" s="38" t="s">
        <v>173</v>
      </c>
      <c r="AF1058" s="38" t="s">
        <v>83</v>
      </c>
      <c r="AG1058" s="29" t="s">
        <v>83</v>
      </c>
      <c r="AH1058" s="45" t="s">
        <v>90</v>
      </c>
      <c r="AI1058" s="315">
        <v>41625</v>
      </c>
      <c r="AJ1058" s="314">
        <v>41670</v>
      </c>
      <c r="AK1058" s="60"/>
      <c r="AL1058" s="60"/>
      <c r="AM1058" s="60" t="s">
        <v>1441</v>
      </c>
      <c r="AN1058" s="60" t="s">
        <v>1381</v>
      </c>
      <c r="AO1058" s="29">
        <v>796</v>
      </c>
      <c r="AP1058" s="56" t="s">
        <v>419</v>
      </c>
      <c r="AQ1058" s="56">
        <v>28</v>
      </c>
      <c r="AR1058" s="306">
        <v>45</v>
      </c>
      <c r="AS1058" s="16" t="s">
        <v>512</v>
      </c>
      <c r="AT1058" s="52">
        <v>41690</v>
      </c>
      <c r="AU1058" s="52">
        <v>41690</v>
      </c>
      <c r="AV1058" s="52">
        <v>42004</v>
      </c>
      <c r="AW1058" s="38">
        <v>2014</v>
      </c>
      <c r="AX1058" s="60"/>
      <c r="AY1058" s="135"/>
      <c r="AZ1058" s="60"/>
      <c r="BA1058" s="38"/>
      <c r="BB1058" s="38"/>
      <c r="BC1058" s="60"/>
      <c r="BD1058" s="60"/>
      <c r="BE1058" s="65"/>
      <c r="BF1058" s="65"/>
      <c r="BG1058" s="65"/>
      <c r="BH1058" s="308"/>
      <c r="BI1058" s="308"/>
      <c r="BJ1058" s="308"/>
      <c r="BK1058" s="311"/>
    </row>
    <row r="1059" spans="1:63" s="287" customFormat="1" ht="75">
      <c r="A1059" s="29">
        <v>3</v>
      </c>
      <c r="B1059" s="38" t="s">
        <v>1442</v>
      </c>
      <c r="C1059" s="38" t="s">
        <v>83</v>
      </c>
      <c r="D1059" s="56" t="s">
        <v>1377</v>
      </c>
      <c r="E1059" s="38" t="s">
        <v>250</v>
      </c>
      <c r="F1059" s="38" t="s">
        <v>1396</v>
      </c>
      <c r="G1059" s="38">
        <v>4010412</v>
      </c>
      <c r="H1059" s="310">
        <v>853565</v>
      </c>
      <c r="I1059" s="16" t="s">
        <v>1443</v>
      </c>
      <c r="J1059" s="16" t="s">
        <v>5947</v>
      </c>
      <c r="K1059" s="60" t="s">
        <v>4724</v>
      </c>
      <c r="L1059" s="16" t="s">
        <v>180</v>
      </c>
      <c r="M1059" s="134" t="s">
        <v>1175</v>
      </c>
      <c r="N1059" s="16" t="s">
        <v>5936</v>
      </c>
      <c r="O1059" s="16" t="s">
        <v>960</v>
      </c>
      <c r="P1059" s="23">
        <v>4000</v>
      </c>
      <c r="Q1059" s="23">
        <f t="shared" si="137"/>
        <v>4720</v>
      </c>
      <c r="R1059" s="23"/>
      <c r="S1059" s="29"/>
      <c r="T1059" s="38"/>
      <c r="U1059" s="38"/>
      <c r="V1059" s="38"/>
      <c r="W1059" s="38"/>
      <c r="X1059" s="38"/>
      <c r="Y1059" s="23">
        <v>4000</v>
      </c>
      <c r="Z1059" s="23">
        <f t="shared" si="138"/>
        <v>4720</v>
      </c>
      <c r="AA1059" s="36" t="s">
        <v>132</v>
      </c>
      <c r="AB1059" s="36" t="s">
        <v>132</v>
      </c>
      <c r="AC1059" s="23">
        <v>4000</v>
      </c>
      <c r="AD1059" s="23">
        <f t="shared" si="140"/>
        <v>4720</v>
      </c>
      <c r="AE1059" s="38" t="s">
        <v>173</v>
      </c>
      <c r="AF1059" s="38" t="s">
        <v>83</v>
      </c>
      <c r="AG1059" s="29" t="s">
        <v>83</v>
      </c>
      <c r="AH1059" s="45" t="s">
        <v>90</v>
      </c>
      <c r="AI1059" s="51">
        <v>41625</v>
      </c>
      <c r="AJ1059" s="51">
        <v>41670</v>
      </c>
      <c r="AK1059" s="60"/>
      <c r="AL1059" s="60"/>
      <c r="AM1059" s="134" t="s">
        <v>1443</v>
      </c>
      <c r="AN1059" s="60" t="s">
        <v>1381</v>
      </c>
      <c r="AO1059" s="29">
        <v>796</v>
      </c>
      <c r="AP1059" s="56" t="s">
        <v>4572</v>
      </c>
      <c r="AQ1059" s="56">
        <v>45</v>
      </c>
      <c r="AR1059" s="306">
        <v>45</v>
      </c>
      <c r="AS1059" s="16" t="s">
        <v>512</v>
      </c>
      <c r="AT1059" s="52">
        <v>41690</v>
      </c>
      <c r="AU1059" s="52">
        <v>41690</v>
      </c>
      <c r="AV1059" s="52">
        <v>42054</v>
      </c>
      <c r="AW1059" s="38" t="s">
        <v>99</v>
      </c>
      <c r="AX1059" s="60"/>
      <c r="AY1059" s="135"/>
      <c r="AZ1059" s="60"/>
      <c r="BA1059" s="38"/>
      <c r="BB1059" s="38"/>
      <c r="BC1059" s="60"/>
      <c r="BD1059" s="60"/>
      <c r="BE1059" s="65"/>
      <c r="BF1059" s="65"/>
      <c r="BG1059" s="65"/>
      <c r="BH1059" s="308"/>
      <c r="BI1059" s="308"/>
      <c r="BJ1059" s="308"/>
      <c r="BK1059" s="311"/>
    </row>
    <row r="1060" spans="1:63" s="287" customFormat="1" ht="75">
      <c r="A1060" s="29">
        <v>3</v>
      </c>
      <c r="B1060" s="38" t="s">
        <v>1444</v>
      </c>
      <c r="C1060" s="38" t="s">
        <v>83</v>
      </c>
      <c r="D1060" s="56" t="s">
        <v>1377</v>
      </c>
      <c r="E1060" s="38" t="s">
        <v>250</v>
      </c>
      <c r="F1060" s="38" t="s">
        <v>1405</v>
      </c>
      <c r="G1060" s="38">
        <v>4010412</v>
      </c>
      <c r="H1060" s="310">
        <v>853568</v>
      </c>
      <c r="I1060" s="16" t="s">
        <v>1445</v>
      </c>
      <c r="J1060" s="16" t="s">
        <v>1428</v>
      </c>
      <c r="K1060" s="60" t="s">
        <v>4724</v>
      </c>
      <c r="L1060" s="16" t="s">
        <v>180</v>
      </c>
      <c r="M1060" s="134" t="s">
        <v>1175</v>
      </c>
      <c r="N1060" s="16" t="s">
        <v>5931</v>
      </c>
      <c r="O1060" s="16" t="s">
        <v>960</v>
      </c>
      <c r="P1060" s="23">
        <v>5817.85</v>
      </c>
      <c r="Q1060" s="23">
        <f t="shared" ref="Q1060:Q1086" si="141">P1060*1.18</f>
        <v>6865.0630000000001</v>
      </c>
      <c r="R1060" s="23"/>
      <c r="S1060" s="29"/>
      <c r="T1060" s="38"/>
      <c r="U1060" s="38"/>
      <c r="V1060" s="38"/>
      <c r="W1060" s="38"/>
      <c r="X1060" s="38"/>
      <c r="Y1060" s="23">
        <v>5817.85</v>
      </c>
      <c r="Z1060" s="23">
        <f t="shared" ref="Z1060:Z1086" si="142">Y1060*1.18</f>
        <v>6865.0630000000001</v>
      </c>
      <c r="AA1060" s="36" t="s">
        <v>132</v>
      </c>
      <c r="AB1060" s="36" t="s">
        <v>132</v>
      </c>
      <c r="AC1060" s="34">
        <v>5817.85</v>
      </c>
      <c r="AD1060" s="34">
        <f t="shared" si="140"/>
        <v>6865.0630000000001</v>
      </c>
      <c r="AE1060" s="38" t="s">
        <v>173</v>
      </c>
      <c r="AF1060" s="38" t="s">
        <v>83</v>
      </c>
      <c r="AG1060" s="29" t="s">
        <v>83</v>
      </c>
      <c r="AH1060" s="45" t="s">
        <v>90</v>
      </c>
      <c r="AI1060" s="315">
        <v>41625</v>
      </c>
      <c r="AJ1060" s="51">
        <v>41670</v>
      </c>
      <c r="AK1060" s="60"/>
      <c r="AL1060" s="60"/>
      <c r="AM1060" s="134" t="s">
        <v>1445</v>
      </c>
      <c r="AN1060" s="60" t="s">
        <v>1381</v>
      </c>
      <c r="AO1060" s="29">
        <v>796</v>
      </c>
      <c r="AP1060" s="29" t="s">
        <v>419</v>
      </c>
      <c r="AQ1060" s="56">
        <v>59</v>
      </c>
      <c r="AR1060" s="306">
        <v>45</v>
      </c>
      <c r="AS1060" s="16" t="s">
        <v>512</v>
      </c>
      <c r="AT1060" s="52">
        <v>41690</v>
      </c>
      <c r="AU1060" s="52">
        <v>41690</v>
      </c>
      <c r="AV1060" s="52">
        <v>42004</v>
      </c>
      <c r="AW1060" s="38">
        <v>2014</v>
      </c>
      <c r="AX1060" s="60"/>
      <c r="AY1060" s="135"/>
      <c r="AZ1060" s="60"/>
      <c r="BA1060" s="38"/>
      <c r="BB1060" s="38"/>
      <c r="BC1060" s="60"/>
      <c r="BD1060" s="60"/>
      <c r="BE1060" s="65"/>
      <c r="BF1060" s="65"/>
      <c r="BG1060" s="65"/>
      <c r="BH1060" s="308"/>
      <c r="BI1060" s="308"/>
      <c r="BJ1060" s="308"/>
      <c r="BK1060" s="311"/>
    </row>
    <row r="1061" spans="1:63" s="266" customFormat="1" ht="112.5">
      <c r="A1061" s="316">
        <v>3</v>
      </c>
      <c r="B1061" s="46" t="s">
        <v>1466</v>
      </c>
      <c r="C1061" s="38" t="s">
        <v>83</v>
      </c>
      <c r="D1061" s="46" t="s">
        <v>1467</v>
      </c>
      <c r="E1061" s="38" t="s">
        <v>250</v>
      </c>
      <c r="F1061" s="38" t="s">
        <v>1468</v>
      </c>
      <c r="G1061" s="38">
        <v>7424000</v>
      </c>
      <c r="H1061" s="74">
        <v>854063</v>
      </c>
      <c r="I1061" s="16" t="s">
        <v>4679</v>
      </c>
      <c r="J1061" s="16" t="s">
        <v>1469</v>
      </c>
      <c r="K1061" s="60" t="s">
        <v>4724</v>
      </c>
      <c r="L1061" s="16" t="s">
        <v>180</v>
      </c>
      <c r="M1061" s="95" t="s">
        <v>1325</v>
      </c>
      <c r="N1061" s="16" t="s">
        <v>5921</v>
      </c>
      <c r="O1061" s="16" t="s">
        <v>1463</v>
      </c>
      <c r="P1061" s="258">
        <v>3517.3</v>
      </c>
      <c r="Q1061" s="23">
        <f t="shared" si="141"/>
        <v>4150.4139999999998</v>
      </c>
      <c r="R1061" s="23">
        <v>2333.25</v>
      </c>
      <c r="S1061" s="29" t="s">
        <v>4180</v>
      </c>
      <c r="T1061" s="132">
        <v>1.0840000000000001</v>
      </c>
      <c r="U1061" s="132">
        <v>1.0509999999999999</v>
      </c>
      <c r="V1061" s="132">
        <v>1.0669999999999999</v>
      </c>
      <c r="W1061" s="132">
        <v>1.0529999999999999</v>
      </c>
      <c r="X1061" s="309">
        <v>0.9</v>
      </c>
      <c r="Y1061" s="258">
        <v>3517.3</v>
      </c>
      <c r="Z1061" s="23">
        <f t="shared" si="142"/>
        <v>4150.4139999999998</v>
      </c>
      <c r="AA1061" s="36" t="s">
        <v>132</v>
      </c>
      <c r="AB1061" s="36" t="s">
        <v>132</v>
      </c>
      <c r="AC1061" s="258">
        <v>3517.3</v>
      </c>
      <c r="AD1061" s="23">
        <f t="shared" si="140"/>
        <v>4150.4139999999998</v>
      </c>
      <c r="AE1061" s="38" t="s">
        <v>173</v>
      </c>
      <c r="AF1061" s="38" t="s">
        <v>83</v>
      </c>
      <c r="AG1061" s="38" t="s">
        <v>83</v>
      </c>
      <c r="AH1061" s="45" t="s">
        <v>90</v>
      </c>
      <c r="AI1061" s="314">
        <v>41633</v>
      </c>
      <c r="AJ1061" s="51">
        <v>41678</v>
      </c>
      <c r="AK1061" s="60"/>
      <c r="AL1061" s="60"/>
      <c r="AM1061" s="60" t="s">
        <v>1470</v>
      </c>
      <c r="AN1061" s="60" t="s">
        <v>1375</v>
      </c>
      <c r="AO1061" s="63">
        <v>796</v>
      </c>
      <c r="AP1061" s="317" t="s">
        <v>419</v>
      </c>
      <c r="AQ1061" s="46" t="s">
        <v>1471</v>
      </c>
      <c r="AR1061" s="306">
        <v>45</v>
      </c>
      <c r="AS1061" s="16" t="s">
        <v>512</v>
      </c>
      <c r="AT1061" s="52">
        <v>41698</v>
      </c>
      <c r="AU1061" s="52">
        <v>41698</v>
      </c>
      <c r="AV1061" s="52">
        <v>42004</v>
      </c>
      <c r="AW1061" s="38">
        <v>2014</v>
      </c>
      <c r="AX1061" s="60"/>
      <c r="AY1061" s="135"/>
      <c r="AZ1061" s="60"/>
      <c r="BA1061" s="38"/>
      <c r="BB1061" s="38"/>
      <c r="BC1061" s="60"/>
      <c r="BD1061" s="60"/>
      <c r="BE1061" s="65"/>
      <c r="BF1061" s="65"/>
      <c r="BG1061" s="65"/>
      <c r="BH1061" s="65"/>
      <c r="BI1061" s="65"/>
      <c r="BJ1061" s="65"/>
      <c r="BK1061" s="308"/>
    </row>
    <row r="1062" spans="1:63" s="287" customFormat="1" ht="75">
      <c r="A1062" s="38">
        <v>3</v>
      </c>
      <c r="B1062" s="38" t="s">
        <v>1472</v>
      </c>
      <c r="C1062" s="38" t="s">
        <v>83</v>
      </c>
      <c r="D1062" s="38" t="s">
        <v>1473</v>
      </c>
      <c r="E1062" s="38" t="s">
        <v>250</v>
      </c>
      <c r="F1062" s="38" t="s">
        <v>1378</v>
      </c>
      <c r="G1062" s="38">
        <v>4010412</v>
      </c>
      <c r="H1062" s="11">
        <v>854047</v>
      </c>
      <c r="I1062" s="16" t="s">
        <v>1474</v>
      </c>
      <c r="J1062" s="16" t="s">
        <v>1475</v>
      </c>
      <c r="K1062" s="16" t="s">
        <v>4724</v>
      </c>
      <c r="L1062" s="16" t="s">
        <v>180</v>
      </c>
      <c r="M1062" s="134" t="s">
        <v>1175</v>
      </c>
      <c r="N1062" s="16" t="s">
        <v>5931</v>
      </c>
      <c r="O1062" s="16" t="s">
        <v>1476</v>
      </c>
      <c r="P1062" s="23">
        <v>2890</v>
      </c>
      <c r="Q1062" s="23">
        <f t="shared" si="141"/>
        <v>3410.2</v>
      </c>
      <c r="R1062" s="23"/>
      <c r="S1062" s="29"/>
      <c r="T1062" s="34"/>
      <c r="U1062" s="34"/>
      <c r="V1062" s="34"/>
      <c r="W1062" s="34"/>
      <c r="X1062" s="34"/>
      <c r="Y1062" s="34">
        <v>2890</v>
      </c>
      <c r="Z1062" s="34">
        <f t="shared" si="142"/>
        <v>3410.2</v>
      </c>
      <c r="AA1062" s="36" t="s">
        <v>132</v>
      </c>
      <c r="AB1062" s="36" t="s">
        <v>132</v>
      </c>
      <c r="AC1062" s="34">
        <v>2890</v>
      </c>
      <c r="AD1062" s="23">
        <f t="shared" si="140"/>
        <v>3410.2</v>
      </c>
      <c r="AE1062" s="38" t="s">
        <v>173</v>
      </c>
      <c r="AF1062" s="38" t="s">
        <v>83</v>
      </c>
      <c r="AG1062" s="46" t="s">
        <v>83</v>
      </c>
      <c r="AH1062" s="45" t="s">
        <v>90</v>
      </c>
      <c r="AI1062" s="51">
        <v>41554</v>
      </c>
      <c r="AJ1062" s="51">
        <v>41609</v>
      </c>
      <c r="AK1062" s="60"/>
      <c r="AL1062" s="60"/>
      <c r="AM1062" s="75" t="s">
        <v>1475</v>
      </c>
      <c r="AN1062" s="60" t="s">
        <v>1477</v>
      </c>
      <c r="AO1062" s="29">
        <v>796</v>
      </c>
      <c r="AP1062" s="38" t="s">
        <v>419</v>
      </c>
      <c r="AQ1062" s="38">
        <v>42</v>
      </c>
      <c r="AR1062" s="306">
        <v>45</v>
      </c>
      <c r="AS1062" s="16" t="s">
        <v>512</v>
      </c>
      <c r="AT1062" s="51">
        <v>41790</v>
      </c>
      <c r="AU1062" s="51">
        <v>41791</v>
      </c>
      <c r="AV1062" s="52">
        <v>42155</v>
      </c>
      <c r="AW1062" s="38" t="s">
        <v>99</v>
      </c>
      <c r="AX1062" s="60"/>
      <c r="AY1062" s="135"/>
      <c r="AZ1062" s="60"/>
      <c r="BA1062" s="38"/>
      <c r="BB1062" s="38"/>
      <c r="BC1062" s="60"/>
      <c r="BD1062" s="60"/>
      <c r="BE1062" s="65"/>
      <c r="BF1062" s="65"/>
      <c r="BG1062" s="65"/>
      <c r="BH1062" s="308"/>
      <c r="BI1062" s="308"/>
      <c r="BJ1062" s="308"/>
      <c r="BK1062" s="308"/>
    </row>
    <row r="1063" spans="1:63" s="287" customFormat="1" ht="93.75">
      <c r="A1063" s="38">
        <v>3</v>
      </c>
      <c r="B1063" s="38" t="s">
        <v>1457</v>
      </c>
      <c r="C1063" s="38" t="s">
        <v>83</v>
      </c>
      <c r="D1063" s="38" t="s">
        <v>1446</v>
      </c>
      <c r="E1063" s="38" t="s">
        <v>250</v>
      </c>
      <c r="F1063" s="38">
        <v>50</v>
      </c>
      <c r="G1063" s="38">
        <v>50</v>
      </c>
      <c r="H1063" s="29">
        <v>853591</v>
      </c>
      <c r="I1063" s="16" t="s">
        <v>1458</v>
      </c>
      <c r="J1063" s="16" t="s">
        <v>5948</v>
      </c>
      <c r="K1063" s="16" t="s">
        <v>4724</v>
      </c>
      <c r="L1063" s="16" t="s">
        <v>180</v>
      </c>
      <c r="M1063" s="134" t="s">
        <v>1175</v>
      </c>
      <c r="N1063" s="16" t="s">
        <v>5883</v>
      </c>
      <c r="O1063" s="16" t="s">
        <v>1447</v>
      </c>
      <c r="P1063" s="23">
        <v>3000</v>
      </c>
      <c r="Q1063" s="23">
        <f t="shared" si="141"/>
        <v>3540</v>
      </c>
      <c r="R1063" s="23"/>
      <c r="S1063" s="29"/>
      <c r="T1063" s="38"/>
      <c r="U1063" s="38"/>
      <c r="V1063" s="38"/>
      <c r="W1063" s="38"/>
      <c r="X1063" s="38"/>
      <c r="Y1063" s="23">
        <v>3000</v>
      </c>
      <c r="Z1063" s="23">
        <f t="shared" si="142"/>
        <v>3540</v>
      </c>
      <c r="AA1063" s="36" t="s">
        <v>132</v>
      </c>
      <c r="AB1063" s="36" t="s">
        <v>132</v>
      </c>
      <c r="AC1063" s="34">
        <v>3000</v>
      </c>
      <c r="AD1063" s="23">
        <v>3540</v>
      </c>
      <c r="AE1063" s="38" t="s">
        <v>173</v>
      </c>
      <c r="AF1063" s="38" t="s">
        <v>83</v>
      </c>
      <c r="AG1063" s="46" t="s">
        <v>83</v>
      </c>
      <c r="AH1063" s="45" t="s">
        <v>90</v>
      </c>
      <c r="AI1063" s="315">
        <v>41625</v>
      </c>
      <c r="AJ1063" s="51">
        <v>41670</v>
      </c>
      <c r="AK1063" s="60"/>
      <c r="AL1063" s="60"/>
      <c r="AM1063" s="75" t="s">
        <v>1458</v>
      </c>
      <c r="AN1063" s="60" t="s">
        <v>1375</v>
      </c>
      <c r="AO1063" s="29">
        <v>796</v>
      </c>
      <c r="AP1063" s="38" t="s">
        <v>419</v>
      </c>
      <c r="AQ1063" s="38" t="s">
        <v>1459</v>
      </c>
      <c r="AR1063" s="306">
        <v>45</v>
      </c>
      <c r="AS1063" s="16" t="s">
        <v>512</v>
      </c>
      <c r="AT1063" s="52">
        <v>41690</v>
      </c>
      <c r="AU1063" s="52">
        <v>41690</v>
      </c>
      <c r="AV1063" s="52">
        <v>42004</v>
      </c>
      <c r="AW1063" s="38">
        <v>2014</v>
      </c>
      <c r="AX1063" s="60"/>
      <c r="AY1063" s="135"/>
      <c r="AZ1063" s="60"/>
      <c r="BA1063" s="38"/>
      <c r="BB1063" s="38"/>
      <c r="BC1063" s="60"/>
      <c r="BD1063" s="60"/>
      <c r="BE1063" s="65"/>
      <c r="BF1063" s="65"/>
      <c r="BG1063" s="65"/>
      <c r="BH1063" s="308"/>
      <c r="BI1063" s="308"/>
      <c r="BJ1063" s="308"/>
      <c r="BK1063" s="308"/>
    </row>
    <row r="1064" spans="1:63" s="287" customFormat="1" ht="56.25">
      <c r="A1064" s="38">
        <v>3</v>
      </c>
      <c r="B1064" s="38" t="s">
        <v>1460</v>
      </c>
      <c r="C1064" s="38" t="s">
        <v>83</v>
      </c>
      <c r="D1064" s="38" t="s">
        <v>1461</v>
      </c>
      <c r="E1064" s="38" t="s">
        <v>250</v>
      </c>
      <c r="F1064" s="38" t="s">
        <v>1338</v>
      </c>
      <c r="G1064" s="38">
        <v>9460000</v>
      </c>
      <c r="H1064" s="29">
        <v>853954</v>
      </c>
      <c r="I1064" s="16" t="s">
        <v>1462</v>
      </c>
      <c r="J1064" s="16" t="s">
        <v>836</v>
      </c>
      <c r="K1064" s="16" t="s">
        <v>4724</v>
      </c>
      <c r="L1064" s="16" t="s">
        <v>180</v>
      </c>
      <c r="M1064" s="134" t="s">
        <v>1184</v>
      </c>
      <c r="N1064" s="16" t="s">
        <v>5900</v>
      </c>
      <c r="O1064" s="16" t="s">
        <v>1463</v>
      </c>
      <c r="P1064" s="23">
        <v>1842.73</v>
      </c>
      <c r="Q1064" s="23">
        <f t="shared" si="141"/>
        <v>2174.4213999999997</v>
      </c>
      <c r="R1064" s="23"/>
      <c r="S1064" s="29"/>
      <c r="T1064" s="38"/>
      <c r="U1064" s="38"/>
      <c r="V1064" s="38"/>
      <c r="W1064" s="38"/>
      <c r="X1064" s="38"/>
      <c r="Y1064" s="23">
        <v>1842.73</v>
      </c>
      <c r="Z1064" s="23">
        <f t="shared" si="142"/>
        <v>2174.4213999999997</v>
      </c>
      <c r="AA1064" s="36" t="s">
        <v>132</v>
      </c>
      <c r="AB1064" s="36" t="s">
        <v>132</v>
      </c>
      <c r="AC1064" s="34">
        <v>1842.73</v>
      </c>
      <c r="AD1064" s="23">
        <f t="shared" ref="AD1064:AD1069" si="143">AC1064*1.18</f>
        <v>2174.4213999999997</v>
      </c>
      <c r="AE1064" s="38" t="s">
        <v>173</v>
      </c>
      <c r="AF1064" s="38" t="s">
        <v>83</v>
      </c>
      <c r="AG1064" s="46" t="s">
        <v>83</v>
      </c>
      <c r="AH1064" s="45" t="s">
        <v>545</v>
      </c>
      <c r="AI1064" s="314">
        <v>41570</v>
      </c>
      <c r="AJ1064" s="51">
        <v>41620</v>
      </c>
      <c r="AK1064" s="60"/>
      <c r="AL1064" s="60"/>
      <c r="AM1064" s="75" t="s">
        <v>1464</v>
      </c>
      <c r="AN1064" s="60" t="s">
        <v>1375</v>
      </c>
      <c r="AO1064" s="29">
        <v>796</v>
      </c>
      <c r="AP1064" s="38" t="s">
        <v>419</v>
      </c>
      <c r="AQ1064" s="38">
        <v>11</v>
      </c>
      <c r="AR1064" s="306">
        <v>45</v>
      </c>
      <c r="AS1064" s="16" t="s">
        <v>512</v>
      </c>
      <c r="AT1064" s="51">
        <v>41640</v>
      </c>
      <c r="AU1064" s="51">
        <v>41641</v>
      </c>
      <c r="AV1064" s="52">
        <v>42004</v>
      </c>
      <c r="AW1064" s="38">
        <v>2014</v>
      </c>
      <c r="AX1064" s="60"/>
      <c r="AY1064" s="135"/>
      <c r="AZ1064" s="60"/>
      <c r="BA1064" s="38"/>
      <c r="BB1064" s="38"/>
      <c r="BC1064" s="60"/>
      <c r="BD1064" s="60"/>
      <c r="BE1064" s="65"/>
      <c r="BF1064" s="65"/>
      <c r="BG1064" s="65"/>
      <c r="BH1064" s="308"/>
      <c r="BI1064" s="308"/>
      <c r="BJ1064" s="308"/>
      <c r="BK1064" s="308"/>
    </row>
    <row r="1065" spans="1:63" s="605" customFormat="1" ht="56.25">
      <c r="A1065" s="380">
        <v>3</v>
      </c>
      <c r="B1065" s="100" t="s">
        <v>1173</v>
      </c>
      <c r="C1065" s="100" t="s">
        <v>83</v>
      </c>
      <c r="D1065" s="100" t="s">
        <v>3358</v>
      </c>
      <c r="E1065" s="38" t="s">
        <v>250</v>
      </c>
      <c r="F1065" s="318" t="s">
        <v>267</v>
      </c>
      <c r="G1065" s="318">
        <v>9430000</v>
      </c>
      <c r="H1065" s="160">
        <v>641294</v>
      </c>
      <c r="I1065" s="99" t="s">
        <v>1174</v>
      </c>
      <c r="J1065" s="99" t="s">
        <v>973</v>
      </c>
      <c r="K1065" s="100" t="s">
        <v>4724</v>
      </c>
      <c r="L1065" s="16" t="s">
        <v>180</v>
      </c>
      <c r="M1065" s="191" t="s">
        <v>1175</v>
      </c>
      <c r="N1065" s="16" t="s">
        <v>825</v>
      </c>
      <c r="O1065" s="83" t="s">
        <v>3312</v>
      </c>
      <c r="P1065" s="76">
        <v>4594.4269999999997</v>
      </c>
      <c r="Q1065" s="23">
        <f t="shared" si="141"/>
        <v>5421.423859999999</v>
      </c>
      <c r="R1065" s="23"/>
      <c r="S1065" s="29"/>
      <c r="T1065" s="38"/>
      <c r="U1065" s="38"/>
      <c r="V1065" s="38"/>
      <c r="W1065" s="38"/>
      <c r="X1065" s="38"/>
      <c r="Y1065" s="76">
        <v>4594.4269999999997</v>
      </c>
      <c r="Z1065" s="23">
        <f t="shared" si="142"/>
        <v>5421.423859999999</v>
      </c>
      <c r="AA1065" s="36" t="s">
        <v>132</v>
      </c>
      <c r="AB1065" s="36" t="s">
        <v>132</v>
      </c>
      <c r="AC1065" s="76">
        <v>4594.4269999999997</v>
      </c>
      <c r="AD1065" s="23">
        <f t="shared" si="143"/>
        <v>5421.423859999999</v>
      </c>
      <c r="AE1065" s="38" t="s">
        <v>173</v>
      </c>
      <c r="AF1065" s="38" t="s">
        <v>83</v>
      </c>
      <c r="AG1065" s="96" t="s">
        <v>83</v>
      </c>
      <c r="AH1065" s="96" t="s">
        <v>90</v>
      </c>
      <c r="AI1065" s="315">
        <v>41625</v>
      </c>
      <c r="AJ1065" s="51">
        <v>41670</v>
      </c>
      <c r="AK1065" s="80"/>
      <c r="AL1065" s="80"/>
      <c r="AM1065" s="80" t="s">
        <v>1174</v>
      </c>
      <c r="AN1065" s="100" t="s">
        <v>171</v>
      </c>
      <c r="AO1065" s="81">
        <v>796</v>
      </c>
      <c r="AP1065" s="79" t="s">
        <v>419</v>
      </c>
      <c r="AQ1065" s="77">
        <v>1</v>
      </c>
      <c r="AR1065" s="101" t="s">
        <v>1176</v>
      </c>
      <c r="AS1065" s="83" t="s">
        <v>547</v>
      </c>
      <c r="AT1065" s="78">
        <v>41690</v>
      </c>
      <c r="AU1065" s="78">
        <v>41690</v>
      </c>
      <c r="AV1065" s="52">
        <v>42004</v>
      </c>
      <c r="AW1065" s="79">
        <v>2014</v>
      </c>
      <c r="AX1065" s="80" t="s">
        <v>4174</v>
      </c>
      <c r="AY1065" s="135"/>
      <c r="AZ1065" s="80"/>
      <c r="BA1065" s="79"/>
      <c r="BB1065" s="79"/>
      <c r="BC1065" s="80"/>
      <c r="BD1065" s="80"/>
      <c r="BE1065" s="239"/>
      <c r="BF1065" s="239"/>
      <c r="BG1065" s="239"/>
      <c r="BH1065" s="239"/>
      <c r="BI1065" s="239"/>
      <c r="BJ1065" s="240"/>
      <c r="BK1065" s="379"/>
    </row>
    <row r="1066" spans="1:63" s="605" customFormat="1" ht="75">
      <c r="A1066" s="380">
        <v>3</v>
      </c>
      <c r="B1066" s="100" t="s">
        <v>1177</v>
      </c>
      <c r="C1066" s="100" t="s">
        <v>83</v>
      </c>
      <c r="D1066" s="100" t="s">
        <v>3358</v>
      </c>
      <c r="E1066" s="38" t="s">
        <v>250</v>
      </c>
      <c r="F1066" s="318" t="s">
        <v>816</v>
      </c>
      <c r="G1066" s="79">
        <v>7422090</v>
      </c>
      <c r="H1066" s="160">
        <v>641284</v>
      </c>
      <c r="I1066" s="99" t="s">
        <v>1178</v>
      </c>
      <c r="J1066" s="99" t="s">
        <v>1059</v>
      </c>
      <c r="K1066" s="99" t="s">
        <v>4724</v>
      </c>
      <c r="L1066" s="16" t="s">
        <v>180</v>
      </c>
      <c r="M1066" s="191" t="s">
        <v>1175</v>
      </c>
      <c r="N1066" s="16" t="s">
        <v>5931</v>
      </c>
      <c r="O1066" s="83" t="s">
        <v>3312</v>
      </c>
      <c r="P1066" s="23">
        <v>2851.36</v>
      </c>
      <c r="Q1066" s="23">
        <f t="shared" si="141"/>
        <v>3364.6048000000001</v>
      </c>
      <c r="R1066" s="76">
        <v>2598.89</v>
      </c>
      <c r="S1066" s="29" t="s">
        <v>974</v>
      </c>
      <c r="T1066" s="110">
        <v>1.0840000000000001</v>
      </c>
      <c r="U1066" s="110">
        <v>1.0509999999999999</v>
      </c>
      <c r="V1066" s="110">
        <v>1.0669999999999999</v>
      </c>
      <c r="W1066" s="110">
        <v>1.0529999999999999</v>
      </c>
      <c r="X1066" s="319">
        <v>0.9</v>
      </c>
      <c r="Y1066" s="76">
        <v>2994.0234416787534</v>
      </c>
      <c r="Z1066" s="76">
        <f t="shared" si="142"/>
        <v>3532.9476611809287</v>
      </c>
      <c r="AA1066" s="36" t="s">
        <v>132</v>
      </c>
      <c r="AB1066" s="36" t="s">
        <v>132</v>
      </c>
      <c r="AC1066" s="23">
        <v>2851.36</v>
      </c>
      <c r="AD1066" s="23">
        <f t="shared" si="143"/>
        <v>3364.6048000000001</v>
      </c>
      <c r="AE1066" s="38" t="s">
        <v>173</v>
      </c>
      <c r="AF1066" s="38" t="s">
        <v>83</v>
      </c>
      <c r="AG1066" s="96" t="s">
        <v>83</v>
      </c>
      <c r="AH1066" s="96" t="s">
        <v>90</v>
      </c>
      <c r="AI1066" s="52">
        <v>41665</v>
      </c>
      <c r="AJ1066" s="78">
        <v>41710</v>
      </c>
      <c r="AK1066" s="80"/>
      <c r="AL1066" s="80"/>
      <c r="AM1066" s="80" t="s">
        <v>1178</v>
      </c>
      <c r="AN1066" s="100" t="s">
        <v>171</v>
      </c>
      <c r="AO1066" s="81">
        <v>796</v>
      </c>
      <c r="AP1066" s="79" t="s">
        <v>419</v>
      </c>
      <c r="AQ1066" s="77">
        <v>1</v>
      </c>
      <c r="AR1066" s="101" t="s">
        <v>1176</v>
      </c>
      <c r="AS1066" s="83" t="s">
        <v>547</v>
      </c>
      <c r="AT1066" s="78">
        <v>41730</v>
      </c>
      <c r="AU1066" s="78">
        <v>41730</v>
      </c>
      <c r="AV1066" s="78">
        <v>41892</v>
      </c>
      <c r="AW1066" s="79">
        <v>2014</v>
      </c>
      <c r="AX1066" s="80"/>
      <c r="AY1066" s="135"/>
      <c r="AZ1066" s="80"/>
      <c r="BA1066" s="79"/>
      <c r="BB1066" s="79"/>
      <c r="BC1066" s="80"/>
      <c r="BD1066" s="80"/>
      <c r="BE1066" s="239"/>
      <c r="BF1066" s="239"/>
      <c r="BG1066" s="239"/>
      <c r="BH1066" s="239"/>
      <c r="BI1066" s="239"/>
      <c r="BJ1066" s="240"/>
      <c r="BK1066" s="235"/>
    </row>
    <row r="1067" spans="1:63" s="605" customFormat="1" ht="131.25">
      <c r="A1067" s="380">
        <v>3</v>
      </c>
      <c r="B1067" s="100" t="s">
        <v>1179</v>
      </c>
      <c r="C1067" s="100" t="s">
        <v>83</v>
      </c>
      <c r="D1067" s="100" t="s">
        <v>3355</v>
      </c>
      <c r="E1067" s="38" t="s">
        <v>250</v>
      </c>
      <c r="F1067" s="318" t="s">
        <v>840</v>
      </c>
      <c r="G1067" s="318">
        <v>7422090</v>
      </c>
      <c r="H1067" s="160">
        <v>641276</v>
      </c>
      <c r="I1067" s="99" t="s">
        <v>1180</v>
      </c>
      <c r="J1067" s="99" t="s">
        <v>1070</v>
      </c>
      <c r="K1067" s="99" t="s">
        <v>4724</v>
      </c>
      <c r="L1067" s="16" t="s">
        <v>180</v>
      </c>
      <c r="M1067" s="191" t="s">
        <v>1175</v>
      </c>
      <c r="N1067" s="16" t="s">
        <v>5936</v>
      </c>
      <c r="O1067" s="83" t="s">
        <v>3312</v>
      </c>
      <c r="P1067" s="76">
        <v>6957.23</v>
      </c>
      <c r="Q1067" s="76">
        <f t="shared" si="141"/>
        <v>8209.5313999999998</v>
      </c>
      <c r="R1067" s="76">
        <v>6067.78</v>
      </c>
      <c r="S1067" s="29" t="s">
        <v>974</v>
      </c>
      <c r="T1067" s="110">
        <v>1.0840000000000001</v>
      </c>
      <c r="U1067" s="110">
        <v>1.0509999999999999</v>
      </c>
      <c r="V1067" s="110">
        <v>1.0669999999999999</v>
      </c>
      <c r="W1067" s="110">
        <v>1.0529999999999999</v>
      </c>
      <c r="X1067" s="319">
        <v>0.9</v>
      </c>
      <c r="Y1067" s="76">
        <v>6990.3210828274787</v>
      </c>
      <c r="Z1067" s="76">
        <f t="shared" si="142"/>
        <v>8248.5788777364251</v>
      </c>
      <c r="AA1067" s="36" t="s">
        <v>132</v>
      </c>
      <c r="AB1067" s="36" t="s">
        <v>132</v>
      </c>
      <c r="AC1067" s="76">
        <v>6957.23</v>
      </c>
      <c r="AD1067" s="76">
        <f t="shared" si="143"/>
        <v>8209.5313999999998</v>
      </c>
      <c r="AE1067" s="38" t="s">
        <v>173</v>
      </c>
      <c r="AF1067" s="38" t="s">
        <v>83</v>
      </c>
      <c r="AG1067" s="96" t="s">
        <v>83</v>
      </c>
      <c r="AH1067" s="96" t="s">
        <v>90</v>
      </c>
      <c r="AI1067" s="52">
        <v>41634</v>
      </c>
      <c r="AJ1067" s="78">
        <v>41679</v>
      </c>
      <c r="AK1067" s="80"/>
      <c r="AL1067" s="80"/>
      <c r="AM1067" s="80" t="s">
        <v>1180</v>
      </c>
      <c r="AN1067" s="100" t="s">
        <v>171</v>
      </c>
      <c r="AO1067" s="81">
        <v>796</v>
      </c>
      <c r="AP1067" s="79" t="s">
        <v>419</v>
      </c>
      <c r="AQ1067" s="77">
        <v>1</v>
      </c>
      <c r="AR1067" s="101" t="s">
        <v>1176</v>
      </c>
      <c r="AS1067" s="83" t="s">
        <v>547</v>
      </c>
      <c r="AT1067" s="78">
        <v>41699</v>
      </c>
      <c r="AU1067" s="78">
        <v>41699</v>
      </c>
      <c r="AV1067" s="78">
        <v>41973</v>
      </c>
      <c r="AW1067" s="79">
        <v>2014</v>
      </c>
      <c r="AX1067" s="80"/>
      <c r="AY1067" s="135"/>
      <c r="AZ1067" s="80"/>
      <c r="BA1067" s="79"/>
      <c r="BB1067" s="79"/>
      <c r="BC1067" s="80"/>
      <c r="BD1067" s="80"/>
      <c r="BE1067" s="239"/>
      <c r="BF1067" s="239"/>
      <c r="BG1067" s="239"/>
      <c r="BH1067" s="239"/>
      <c r="BI1067" s="239"/>
      <c r="BJ1067" s="240"/>
      <c r="BK1067" s="235"/>
    </row>
    <row r="1068" spans="1:63" s="605" customFormat="1" ht="112.5">
      <c r="A1068" s="380">
        <v>3</v>
      </c>
      <c r="B1068" s="100" t="s">
        <v>1181</v>
      </c>
      <c r="C1068" s="100" t="s">
        <v>83</v>
      </c>
      <c r="D1068" s="100" t="s">
        <v>3360</v>
      </c>
      <c r="E1068" s="38" t="s">
        <v>250</v>
      </c>
      <c r="F1068" s="318" t="s">
        <v>816</v>
      </c>
      <c r="G1068" s="318">
        <v>7422090</v>
      </c>
      <c r="H1068" s="160">
        <v>641331</v>
      </c>
      <c r="I1068" s="99" t="s">
        <v>1182</v>
      </c>
      <c r="J1068" s="99" t="s">
        <v>1183</v>
      </c>
      <c r="K1068" s="99" t="s">
        <v>4724</v>
      </c>
      <c r="L1068" s="16" t="s">
        <v>180</v>
      </c>
      <c r="M1068" s="191" t="s">
        <v>1184</v>
      </c>
      <c r="N1068" s="16" t="s">
        <v>5900</v>
      </c>
      <c r="O1068" s="83" t="s">
        <v>3312</v>
      </c>
      <c r="P1068" s="85">
        <v>1530.1130000000001</v>
      </c>
      <c r="Q1068" s="85">
        <f t="shared" si="141"/>
        <v>1805.53334</v>
      </c>
      <c r="R1068" s="76"/>
      <c r="S1068" s="84"/>
      <c r="T1068" s="110"/>
      <c r="U1068" s="110"/>
      <c r="V1068" s="110"/>
      <c r="W1068" s="110"/>
      <c r="X1068" s="85"/>
      <c r="Y1068" s="85">
        <v>1530.1130000000001</v>
      </c>
      <c r="Z1068" s="85">
        <f t="shared" si="142"/>
        <v>1805.53334</v>
      </c>
      <c r="AA1068" s="36" t="s">
        <v>132</v>
      </c>
      <c r="AB1068" s="36" t="s">
        <v>132</v>
      </c>
      <c r="AC1068" s="85">
        <v>1530.1130000000001</v>
      </c>
      <c r="AD1068" s="85">
        <f t="shared" si="143"/>
        <v>1805.53334</v>
      </c>
      <c r="AE1068" s="38" t="s">
        <v>173</v>
      </c>
      <c r="AF1068" s="38" t="s">
        <v>83</v>
      </c>
      <c r="AG1068" s="96" t="s">
        <v>83</v>
      </c>
      <c r="AH1068" s="96" t="s">
        <v>90</v>
      </c>
      <c r="AI1068" s="381">
        <v>41625</v>
      </c>
      <c r="AJ1068" s="320">
        <v>41670</v>
      </c>
      <c r="AK1068" s="80"/>
      <c r="AL1068" s="80"/>
      <c r="AM1068" s="80" t="s">
        <v>1182</v>
      </c>
      <c r="AN1068" s="100" t="s">
        <v>171</v>
      </c>
      <c r="AO1068" s="81">
        <v>796</v>
      </c>
      <c r="AP1068" s="79" t="s">
        <v>419</v>
      </c>
      <c r="AQ1068" s="77">
        <v>1</v>
      </c>
      <c r="AR1068" s="101" t="s">
        <v>1176</v>
      </c>
      <c r="AS1068" s="83" t="s">
        <v>547</v>
      </c>
      <c r="AT1068" s="78">
        <v>41690</v>
      </c>
      <c r="AU1068" s="52">
        <v>41690</v>
      </c>
      <c r="AV1068" s="52">
        <v>42004</v>
      </c>
      <c r="AW1068" s="79">
        <v>2014</v>
      </c>
      <c r="AX1068" s="80"/>
      <c r="AY1068" s="135"/>
      <c r="AZ1068" s="80"/>
      <c r="BA1068" s="79"/>
      <c r="BB1068" s="79"/>
      <c r="BC1068" s="80"/>
      <c r="BD1068" s="80"/>
      <c r="BE1068" s="239"/>
      <c r="BF1068" s="239"/>
      <c r="BG1068" s="239"/>
      <c r="BH1068" s="239"/>
      <c r="BI1068" s="239"/>
      <c r="BJ1068" s="240"/>
      <c r="BK1068" s="235"/>
    </row>
    <row r="1069" spans="1:63" s="605" customFormat="1" ht="112.5">
      <c r="A1069" s="380">
        <v>3</v>
      </c>
      <c r="B1069" s="100" t="s">
        <v>1186</v>
      </c>
      <c r="C1069" s="100" t="s">
        <v>83</v>
      </c>
      <c r="D1069" s="100" t="s">
        <v>3360</v>
      </c>
      <c r="E1069" s="38" t="s">
        <v>250</v>
      </c>
      <c r="F1069" s="318" t="s">
        <v>816</v>
      </c>
      <c r="G1069" s="318">
        <v>7422090</v>
      </c>
      <c r="H1069" s="160">
        <v>641330</v>
      </c>
      <c r="I1069" s="99" t="s">
        <v>1187</v>
      </c>
      <c r="J1069" s="99" t="s">
        <v>1048</v>
      </c>
      <c r="K1069" s="99" t="s">
        <v>4724</v>
      </c>
      <c r="L1069" s="16" t="s">
        <v>180</v>
      </c>
      <c r="M1069" s="191" t="s">
        <v>1184</v>
      </c>
      <c r="N1069" s="16" t="s">
        <v>5900</v>
      </c>
      <c r="O1069" s="83" t="s">
        <v>3312</v>
      </c>
      <c r="P1069" s="85">
        <v>4500</v>
      </c>
      <c r="Q1069" s="85">
        <f t="shared" si="141"/>
        <v>5310</v>
      </c>
      <c r="R1069" s="76"/>
      <c r="S1069" s="84"/>
      <c r="T1069" s="110"/>
      <c r="U1069" s="110"/>
      <c r="V1069" s="110"/>
      <c r="W1069" s="110"/>
      <c r="X1069" s="85"/>
      <c r="Y1069" s="85">
        <v>4500</v>
      </c>
      <c r="Z1069" s="85">
        <f t="shared" si="142"/>
        <v>5310</v>
      </c>
      <c r="AA1069" s="36" t="s">
        <v>132</v>
      </c>
      <c r="AB1069" s="36" t="s">
        <v>132</v>
      </c>
      <c r="AC1069" s="85">
        <v>4500</v>
      </c>
      <c r="AD1069" s="85">
        <f t="shared" si="143"/>
        <v>5310</v>
      </c>
      <c r="AE1069" s="38" t="s">
        <v>173</v>
      </c>
      <c r="AF1069" s="38" t="s">
        <v>83</v>
      </c>
      <c r="AG1069" s="96" t="s">
        <v>83</v>
      </c>
      <c r="AH1069" s="96" t="s">
        <v>90</v>
      </c>
      <c r="AI1069" s="381">
        <v>41625</v>
      </c>
      <c r="AJ1069" s="320">
        <v>41670</v>
      </c>
      <c r="AK1069" s="80"/>
      <c r="AL1069" s="80"/>
      <c r="AM1069" s="80" t="s">
        <v>1187</v>
      </c>
      <c r="AN1069" s="100" t="s">
        <v>171</v>
      </c>
      <c r="AO1069" s="81">
        <v>796</v>
      </c>
      <c r="AP1069" s="79" t="s">
        <v>419</v>
      </c>
      <c r="AQ1069" s="77">
        <v>1</v>
      </c>
      <c r="AR1069" s="101" t="s">
        <v>1176</v>
      </c>
      <c r="AS1069" s="83" t="s">
        <v>547</v>
      </c>
      <c r="AT1069" s="78">
        <v>41690</v>
      </c>
      <c r="AU1069" s="52">
        <v>41690</v>
      </c>
      <c r="AV1069" s="52">
        <v>42004</v>
      </c>
      <c r="AW1069" s="79">
        <v>2014</v>
      </c>
      <c r="AX1069" s="80"/>
      <c r="AY1069" s="135"/>
      <c r="AZ1069" s="80"/>
      <c r="BA1069" s="79"/>
      <c r="BB1069" s="79"/>
      <c r="BC1069" s="80"/>
      <c r="BD1069" s="80"/>
      <c r="BE1069" s="239"/>
      <c r="BF1069" s="239"/>
      <c r="BG1069" s="239"/>
      <c r="BH1069" s="239"/>
      <c r="BI1069" s="239"/>
      <c r="BJ1069" s="240"/>
      <c r="BK1069" s="239"/>
    </row>
    <row r="1070" spans="1:63" s="605" customFormat="1" ht="112.5">
      <c r="A1070" s="380">
        <v>3</v>
      </c>
      <c r="B1070" s="100" t="s">
        <v>1188</v>
      </c>
      <c r="C1070" s="100" t="s">
        <v>83</v>
      </c>
      <c r="D1070" s="100" t="s">
        <v>3360</v>
      </c>
      <c r="E1070" s="38" t="s">
        <v>250</v>
      </c>
      <c r="F1070" s="318" t="s">
        <v>1185</v>
      </c>
      <c r="G1070" s="318">
        <v>9430000</v>
      </c>
      <c r="H1070" s="160">
        <v>641324</v>
      </c>
      <c r="I1070" s="99" t="s">
        <v>1189</v>
      </c>
      <c r="J1070" s="99" t="s">
        <v>1190</v>
      </c>
      <c r="K1070" s="194" t="s">
        <v>4724</v>
      </c>
      <c r="L1070" s="16" t="s">
        <v>180</v>
      </c>
      <c r="M1070" s="191" t="s">
        <v>1184</v>
      </c>
      <c r="N1070" s="16" t="s">
        <v>5900</v>
      </c>
      <c r="O1070" s="83" t="s">
        <v>3312</v>
      </c>
      <c r="P1070" s="85">
        <v>4000</v>
      </c>
      <c r="Q1070" s="85">
        <f t="shared" si="141"/>
        <v>4720</v>
      </c>
      <c r="R1070" s="76">
        <v>3715.1510055523077</v>
      </c>
      <c r="S1070" s="29" t="s">
        <v>974</v>
      </c>
      <c r="T1070" s="110">
        <v>1.0840000000000001</v>
      </c>
      <c r="U1070" s="110">
        <v>1.0509999999999999</v>
      </c>
      <c r="V1070" s="110">
        <v>1.0669999999999999</v>
      </c>
      <c r="W1070" s="110">
        <v>1.0529999999999999</v>
      </c>
      <c r="X1070" s="319">
        <v>0.9</v>
      </c>
      <c r="Y1070" s="76">
        <v>4280</v>
      </c>
      <c r="Z1070" s="76">
        <f t="shared" si="142"/>
        <v>5050.3999999999996</v>
      </c>
      <c r="AA1070" s="36" t="s">
        <v>132</v>
      </c>
      <c r="AB1070" s="36" t="s">
        <v>132</v>
      </c>
      <c r="AC1070" s="76">
        <v>4000</v>
      </c>
      <c r="AD1070" s="76">
        <f>Q1070</f>
        <v>4720</v>
      </c>
      <c r="AE1070" s="38" t="s">
        <v>173</v>
      </c>
      <c r="AF1070" s="38" t="s">
        <v>83</v>
      </c>
      <c r="AG1070" s="96" t="s">
        <v>83</v>
      </c>
      <c r="AH1070" s="96" t="s">
        <v>90</v>
      </c>
      <c r="AI1070" s="381">
        <v>41625</v>
      </c>
      <c r="AJ1070" s="320">
        <v>41670</v>
      </c>
      <c r="AK1070" s="80"/>
      <c r="AL1070" s="80"/>
      <c r="AM1070" s="80" t="s">
        <v>1189</v>
      </c>
      <c r="AN1070" s="100" t="s">
        <v>171</v>
      </c>
      <c r="AO1070" s="82">
        <v>6</v>
      </c>
      <c r="AP1070" s="79" t="s">
        <v>717</v>
      </c>
      <c r="AQ1070" s="77">
        <v>1</v>
      </c>
      <c r="AR1070" s="101" t="s">
        <v>1176</v>
      </c>
      <c r="AS1070" s="83" t="s">
        <v>547</v>
      </c>
      <c r="AT1070" s="78">
        <v>41690</v>
      </c>
      <c r="AU1070" s="52">
        <v>41690</v>
      </c>
      <c r="AV1070" s="52">
        <v>42004</v>
      </c>
      <c r="AW1070" s="79">
        <v>2014</v>
      </c>
      <c r="AX1070" s="80"/>
      <c r="AY1070" s="135"/>
      <c r="AZ1070" s="80"/>
      <c r="BA1070" s="79"/>
      <c r="BB1070" s="79"/>
      <c r="BC1070" s="80"/>
      <c r="BD1070" s="80"/>
      <c r="BE1070" s="239"/>
      <c r="BF1070" s="239"/>
      <c r="BG1070" s="239"/>
      <c r="BH1070" s="239"/>
      <c r="BI1070" s="239"/>
      <c r="BJ1070" s="240"/>
      <c r="BK1070" s="239"/>
    </row>
    <row r="1071" spans="1:63" s="605" customFormat="1" ht="75">
      <c r="A1071" s="380">
        <v>3</v>
      </c>
      <c r="B1071" s="100" t="s">
        <v>1196</v>
      </c>
      <c r="C1071" s="100" t="s">
        <v>83</v>
      </c>
      <c r="D1071" s="100" t="s">
        <v>3357</v>
      </c>
      <c r="E1071" s="38" t="s">
        <v>250</v>
      </c>
      <c r="F1071" s="318" t="s">
        <v>816</v>
      </c>
      <c r="G1071" s="318">
        <v>7422090</v>
      </c>
      <c r="H1071" s="160">
        <v>641303</v>
      </c>
      <c r="I1071" s="99" t="s">
        <v>1197</v>
      </c>
      <c r="J1071" s="99" t="s">
        <v>1198</v>
      </c>
      <c r="K1071" s="194" t="s">
        <v>4724</v>
      </c>
      <c r="L1071" s="16" t="s">
        <v>180</v>
      </c>
      <c r="M1071" s="191" t="s">
        <v>1175</v>
      </c>
      <c r="N1071" s="16" t="s">
        <v>5931</v>
      </c>
      <c r="O1071" s="83" t="s">
        <v>3312</v>
      </c>
      <c r="P1071" s="85">
        <v>1500</v>
      </c>
      <c r="Q1071" s="85">
        <f t="shared" si="141"/>
        <v>1770</v>
      </c>
      <c r="R1071" s="76">
        <v>1393.18</v>
      </c>
      <c r="S1071" s="29" t="s">
        <v>974</v>
      </c>
      <c r="T1071" s="110">
        <v>1.0840000000000001</v>
      </c>
      <c r="U1071" s="110">
        <v>1.0509999999999999</v>
      </c>
      <c r="V1071" s="110">
        <v>1.0669999999999999</v>
      </c>
      <c r="W1071" s="110">
        <v>1.0529999999999999</v>
      </c>
      <c r="X1071" s="319">
        <v>0.9</v>
      </c>
      <c r="Y1071" s="76">
        <v>1605</v>
      </c>
      <c r="Z1071" s="76">
        <f t="shared" si="142"/>
        <v>1893.8999999999999</v>
      </c>
      <c r="AA1071" s="36" t="s">
        <v>132</v>
      </c>
      <c r="AB1071" s="36" t="s">
        <v>132</v>
      </c>
      <c r="AC1071" s="76">
        <v>1500</v>
      </c>
      <c r="AD1071" s="76">
        <f>AC1071*1.18</f>
        <v>1770</v>
      </c>
      <c r="AE1071" s="38" t="s">
        <v>173</v>
      </c>
      <c r="AF1071" s="38" t="s">
        <v>83</v>
      </c>
      <c r="AG1071" s="96" t="s">
        <v>83</v>
      </c>
      <c r="AH1071" s="96" t="s">
        <v>90</v>
      </c>
      <c r="AI1071" s="97">
        <v>41818</v>
      </c>
      <c r="AJ1071" s="78">
        <v>41863</v>
      </c>
      <c r="AK1071" s="80"/>
      <c r="AL1071" s="80"/>
      <c r="AM1071" s="80" t="s">
        <v>1197</v>
      </c>
      <c r="AN1071" s="100" t="s">
        <v>171</v>
      </c>
      <c r="AO1071" s="81">
        <v>796</v>
      </c>
      <c r="AP1071" s="79" t="s">
        <v>419</v>
      </c>
      <c r="AQ1071" s="77">
        <v>1</v>
      </c>
      <c r="AR1071" s="101" t="s">
        <v>1176</v>
      </c>
      <c r="AS1071" s="83" t="s">
        <v>547</v>
      </c>
      <c r="AT1071" s="78">
        <v>41883</v>
      </c>
      <c r="AU1071" s="78">
        <v>41883</v>
      </c>
      <c r="AV1071" s="51">
        <v>42247</v>
      </c>
      <c r="AW1071" s="79" t="s">
        <v>99</v>
      </c>
      <c r="AX1071" s="80"/>
      <c r="AY1071" s="135"/>
      <c r="AZ1071" s="80"/>
      <c r="BA1071" s="79"/>
      <c r="BB1071" s="79"/>
      <c r="BC1071" s="80"/>
      <c r="BD1071" s="80"/>
      <c r="BE1071" s="239"/>
      <c r="BF1071" s="239"/>
      <c r="BG1071" s="239"/>
      <c r="BH1071" s="239"/>
      <c r="BI1071" s="239"/>
      <c r="BJ1071" s="240"/>
      <c r="BK1071" s="239"/>
    </row>
    <row r="1072" spans="1:63" s="605" customFormat="1" ht="93.75">
      <c r="A1072" s="380">
        <v>3</v>
      </c>
      <c r="B1072" s="100" t="s">
        <v>1199</v>
      </c>
      <c r="C1072" s="100" t="s">
        <v>83</v>
      </c>
      <c r="D1072" s="100" t="s">
        <v>3357</v>
      </c>
      <c r="E1072" s="38" t="s">
        <v>250</v>
      </c>
      <c r="F1072" s="318" t="s">
        <v>816</v>
      </c>
      <c r="G1072" s="318">
        <v>7422090</v>
      </c>
      <c r="H1072" s="160">
        <v>641299</v>
      </c>
      <c r="I1072" s="99" t="s">
        <v>1200</v>
      </c>
      <c r="J1072" s="99" t="s">
        <v>1078</v>
      </c>
      <c r="K1072" s="194" t="s">
        <v>4724</v>
      </c>
      <c r="L1072" s="16" t="s">
        <v>180</v>
      </c>
      <c r="M1072" s="191" t="s">
        <v>1175</v>
      </c>
      <c r="N1072" s="16" t="s">
        <v>5931</v>
      </c>
      <c r="O1072" s="83" t="s">
        <v>3312</v>
      </c>
      <c r="P1072" s="85">
        <v>2605.4290000000001</v>
      </c>
      <c r="Q1072" s="85">
        <f t="shared" si="141"/>
        <v>3074.4062199999998</v>
      </c>
      <c r="R1072" s="76"/>
      <c r="S1072" s="84"/>
      <c r="T1072" s="110"/>
      <c r="U1072" s="110"/>
      <c r="V1072" s="110"/>
      <c r="W1072" s="110"/>
      <c r="X1072" s="85"/>
      <c r="Y1072" s="76">
        <v>2605.4290000000001</v>
      </c>
      <c r="Z1072" s="76">
        <f>Y1072*1.18</f>
        <v>3074.4062199999998</v>
      </c>
      <c r="AA1072" s="36" t="s">
        <v>132</v>
      </c>
      <c r="AB1072" s="36" t="s">
        <v>132</v>
      </c>
      <c r="AC1072" s="76">
        <v>2605.4290000000001</v>
      </c>
      <c r="AD1072" s="76">
        <f>AC1072*1.18</f>
        <v>3074.4062199999998</v>
      </c>
      <c r="AE1072" s="38" t="s">
        <v>173</v>
      </c>
      <c r="AF1072" s="38" t="s">
        <v>83</v>
      </c>
      <c r="AG1072" s="96" t="s">
        <v>83</v>
      </c>
      <c r="AH1072" s="96" t="s">
        <v>90</v>
      </c>
      <c r="AI1072" s="97">
        <v>41818</v>
      </c>
      <c r="AJ1072" s="78">
        <v>41863</v>
      </c>
      <c r="AK1072" s="80"/>
      <c r="AL1072" s="80"/>
      <c r="AM1072" s="80" t="s">
        <v>1200</v>
      </c>
      <c r="AN1072" s="100" t="s">
        <v>171</v>
      </c>
      <c r="AO1072" s="81">
        <v>796</v>
      </c>
      <c r="AP1072" s="79" t="s">
        <v>419</v>
      </c>
      <c r="AQ1072" s="77">
        <v>1</v>
      </c>
      <c r="AR1072" s="101" t="s">
        <v>1176</v>
      </c>
      <c r="AS1072" s="83" t="s">
        <v>547</v>
      </c>
      <c r="AT1072" s="78">
        <v>41883</v>
      </c>
      <c r="AU1072" s="78">
        <v>41883</v>
      </c>
      <c r="AV1072" s="51">
        <v>42247</v>
      </c>
      <c r="AW1072" s="79" t="s">
        <v>99</v>
      </c>
      <c r="AX1072" s="80"/>
      <c r="AY1072" s="135"/>
      <c r="AZ1072" s="80"/>
      <c r="BA1072" s="79"/>
      <c r="BB1072" s="79"/>
      <c r="BC1072" s="80"/>
      <c r="BD1072" s="80"/>
      <c r="BE1072" s="239"/>
      <c r="BF1072" s="239"/>
      <c r="BG1072" s="239"/>
      <c r="BH1072" s="239"/>
      <c r="BI1072" s="239"/>
      <c r="BJ1072" s="240"/>
      <c r="BK1072" s="235"/>
    </row>
    <row r="1073" spans="1:63" s="605" customFormat="1" ht="75">
      <c r="A1073" s="380">
        <v>3</v>
      </c>
      <c r="B1073" s="100" t="s">
        <v>1201</v>
      </c>
      <c r="C1073" s="100" t="s">
        <v>83</v>
      </c>
      <c r="D1073" s="100" t="s">
        <v>3357</v>
      </c>
      <c r="E1073" s="38" t="s">
        <v>250</v>
      </c>
      <c r="F1073" s="318" t="s">
        <v>816</v>
      </c>
      <c r="G1073" s="318">
        <v>7422090</v>
      </c>
      <c r="H1073" s="160">
        <v>641292</v>
      </c>
      <c r="I1073" s="99" t="s">
        <v>1202</v>
      </c>
      <c r="J1073" s="99" t="s">
        <v>1020</v>
      </c>
      <c r="K1073" s="194" t="s">
        <v>4724</v>
      </c>
      <c r="L1073" s="16" t="s">
        <v>180</v>
      </c>
      <c r="M1073" s="191" t="s">
        <v>1175</v>
      </c>
      <c r="N1073" s="16" t="s">
        <v>5931</v>
      </c>
      <c r="O1073" s="83" t="s">
        <v>3312</v>
      </c>
      <c r="P1073" s="85">
        <v>3000</v>
      </c>
      <c r="Q1073" s="85">
        <f t="shared" si="141"/>
        <v>3540</v>
      </c>
      <c r="R1073" s="76">
        <v>2786.36</v>
      </c>
      <c r="S1073" s="29" t="s">
        <v>974</v>
      </c>
      <c r="T1073" s="110">
        <v>1.0840000000000001</v>
      </c>
      <c r="U1073" s="110">
        <v>1.0509999999999999</v>
      </c>
      <c r="V1073" s="110">
        <v>1.0669999999999999</v>
      </c>
      <c r="W1073" s="110">
        <v>1.0529999999999999</v>
      </c>
      <c r="X1073" s="319">
        <v>0.9</v>
      </c>
      <c r="Y1073" s="76">
        <v>3210</v>
      </c>
      <c r="Z1073" s="76">
        <f t="shared" si="142"/>
        <v>3787.7999999999997</v>
      </c>
      <c r="AA1073" s="36" t="s">
        <v>132</v>
      </c>
      <c r="AB1073" s="36" t="s">
        <v>132</v>
      </c>
      <c r="AC1073" s="76">
        <v>3000</v>
      </c>
      <c r="AD1073" s="76">
        <f>AC1073*1.18</f>
        <v>3540</v>
      </c>
      <c r="AE1073" s="38" t="s">
        <v>173</v>
      </c>
      <c r="AF1073" s="38" t="s">
        <v>83</v>
      </c>
      <c r="AG1073" s="96" t="s">
        <v>83</v>
      </c>
      <c r="AH1073" s="96" t="s">
        <v>90</v>
      </c>
      <c r="AI1073" s="52">
        <v>41756</v>
      </c>
      <c r="AJ1073" s="78">
        <v>41801</v>
      </c>
      <c r="AK1073" s="80"/>
      <c r="AL1073" s="80"/>
      <c r="AM1073" s="80" t="s">
        <v>1202</v>
      </c>
      <c r="AN1073" s="100" t="s">
        <v>171</v>
      </c>
      <c r="AO1073" s="81">
        <v>796</v>
      </c>
      <c r="AP1073" s="79" t="s">
        <v>419</v>
      </c>
      <c r="AQ1073" s="77">
        <v>1</v>
      </c>
      <c r="AR1073" s="101" t="s">
        <v>1176</v>
      </c>
      <c r="AS1073" s="83" t="s">
        <v>547</v>
      </c>
      <c r="AT1073" s="52">
        <v>41821</v>
      </c>
      <c r="AU1073" s="52">
        <v>41821</v>
      </c>
      <c r="AV1073" s="78">
        <v>41943</v>
      </c>
      <c r="AW1073" s="79">
        <v>2014</v>
      </c>
      <c r="AX1073" s="80"/>
      <c r="AY1073" s="135"/>
      <c r="AZ1073" s="80"/>
      <c r="BA1073" s="79"/>
      <c r="BB1073" s="79"/>
      <c r="BC1073" s="80"/>
      <c r="BD1073" s="80"/>
      <c r="BE1073" s="239"/>
      <c r="BF1073" s="239"/>
      <c r="BG1073" s="239"/>
      <c r="BH1073" s="239"/>
      <c r="BI1073" s="239"/>
      <c r="BJ1073" s="240"/>
      <c r="BK1073" s="235"/>
    </row>
    <row r="1074" spans="1:63" s="605" customFormat="1" ht="75">
      <c r="A1074" s="380">
        <v>3</v>
      </c>
      <c r="B1074" s="100" t="s">
        <v>1203</v>
      </c>
      <c r="C1074" s="100" t="s">
        <v>83</v>
      </c>
      <c r="D1074" s="100" t="s">
        <v>3357</v>
      </c>
      <c r="E1074" s="38" t="s">
        <v>250</v>
      </c>
      <c r="F1074" s="318" t="s">
        <v>816</v>
      </c>
      <c r="G1074" s="318">
        <v>7422090</v>
      </c>
      <c r="H1074" s="160">
        <v>641298</v>
      </c>
      <c r="I1074" s="99" t="s">
        <v>1204</v>
      </c>
      <c r="J1074" s="99" t="s">
        <v>1198</v>
      </c>
      <c r="K1074" s="194" t="s">
        <v>4724</v>
      </c>
      <c r="L1074" s="16" t="s">
        <v>180</v>
      </c>
      <c r="M1074" s="191" t="s">
        <v>1175</v>
      </c>
      <c r="N1074" s="16" t="s">
        <v>5931</v>
      </c>
      <c r="O1074" s="83" t="s">
        <v>3312</v>
      </c>
      <c r="P1074" s="76">
        <v>2600</v>
      </c>
      <c r="Q1074" s="76">
        <f t="shared" si="141"/>
        <v>3068</v>
      </c>
      <c r="R1074" s="23"/>
      <c r="S1074" s="29"/>
      <c r="T1074" s="38"/>
      <c r="U1074" s="38"/>
      <c r="V1074" s="38"/>
      <c r="W1074" s="38"/>
      <c r="X1074" s="38"/>
      <c r="Y1074" s="85">
        <v>2600</v>
      </c>
      <c r="Z1074" s="85">
        <f t="shared" si="142"/>
        <v>3068</v>
      </c>
      <c r="AA1074" s="36" t="s">
        <v>132</v>
      </c>
      <c r="AB1074" s="36" t="s">
        <v>132</v>
      </c>
      <c r="AC1074" s="76">
        <v>2600</v>
      </c>
      <c r="AD1074" s="76">
        <f>AC1074*1.18</f>
        <v>3068</v>
      </c>
      <c r="AE1074" s="38" t="s">
        <v>173</v>
      </c>
      <c r="AF1074" s="38" t="s">
        <v>83</v>
      </c>
      <c r="AG1074" s="96" t="s">
        <v>83</v>
      </c>
      <c r="AH1074" s="96" t="s">
        <v>90</v>
      </c>
      <c r="AI1074" s="381">
        <v>41625</v>
      </c>
      <c r="AJ1074" s="320">
        <v>41670</v>
      </c>
      <c r="AK1074" s="80"/>
      <c r="AL1074" s="80"/>
      <c r="AM1074" s="80" t="s">
        <v>1204</v>
      </c>
      <c r="AN1074" s="100" t="s">
        <v>171</v>
      </c>
      <c r="AO1074" s="81">
        <v>796</v>
      </c>
      <c r="AP1074" s="79" t="s">
        <v>419</v>
      </c>
      <c r="AQ1074" s="77">
        <v>1</v>
      </c>
      <c r="AR1074" s="101" t="s">
        <v>1176</v>
      </c>
      <c r="AS1074" s="83" t="s">
        <v>547</v>
      </c>
      <c r="AT1074" s="78">
        <v>41690</v>
      </c>
      <c r="AU1074" s="52">
        <v>41690</v>
      </c>
      <c r="AV1074" s="52">
        <v>42004</v>
      </c>
      <c r="AW1074" s="79">
        <v>2014</v>
      </c>
      <c r="AX1074" s="80"/>
      <c r="AY1074" s="135"/>
      <c r="AZ1074" s="80"/>
      <c r="BA1074" s="79"/>
      <c r="BB1074" s="79"/>
      <c r="BC1074" s="80"/>
      <c r="BD1074" s="80"/>
      <c r="BE1074" s="239"/>
      <c r="BF1074" s="239"/>
      <c r="BG1074" s="239"/>
      <c r="BH1074" s="239"/>
      <c r="BI1074" s="239"/>
      <c r="BJ1074" s="240"/>
      <c r="BK1074" s="239"/>
    </row>
    <row r="1075" spans="1:63" s="605" customFormat="1" ht="75">
      <c r="A1075" s="380">
        <v>3</v>
      </c>
      <c r="B1075" s="100" t="s">
        <v>1205</v>
      </c>
      <c r="C1075" s="100" t="s">
        <v>83</v>
      </c>
      <c r="D1075" s="100" t="s">
        <v>3357</v>
      </c>
      <c r="E1075" s="38" t="s">
        <v>250</v>
      </c>
      <c r="F1075" s="318" t="s">
        <v>816</v>
      </c>
      <c r="G1075" s="318">
        <v>7422090</v>
      </c>
      <c r="H1075" s="160">
        <v>641283</v>
      </c>
      <c r="I1075" s="99" t="s">
        <v>1206</v>
      </c>
      <c r="J1075" s="99" t="s">
        <v>1023</v>
      </c>
      <c r="K1075" s="194" t="s">
        <v>4724</v>
      </c>
      <c r="L1075" s="16" t="s">
        <v>180</v>
      </c>
      <c r="M1075" s="191" t="s">
        <v>1175</v>
      </c>
      <c r="N1075" s="16" t="s">
        <v>5931</v>
      </c>
      <c r="O1075" s="83" t="s">
        <v>3312</v>
      </c>
      <c r="P1075" s="76">
        <v>18000</v>
      </c>
      <c r="Q1075" s="76">
        <f t="shared" si="141"/>
        <v>21240</v>
      </c>
      <c r="R1075" s="76">
        <f>Y1075/X1075/W1075/V1075/U1075/T1075</f>
        <v>16718.179524985386</v>
      </c>
      <c r="S1075" s="29" t="s">
        <v>974</v>
      </c>
      <c r="T1075" s="110">
        <v>1.0840000000000001</v>
      </c>
      <c r="U1075" s="110">
        <v>1.0509999999999999</v>
      </c>
      <c r="V1075" s="110">
        <v>1.0669999999999999</v>
      </c>
      <c r="W1075" s="110">
        <v>1.0529999999999999</v>
      </c>
      <c r="X1075" s="319">
        <v>0.9</v>
      </c>
      <c r="Y1075" s="76">
        <v>19260</v>
      </c>
      <c r="Z1075" s="76">
        <f t="shared" si="142"/>
        <v>22726.799999999999</v>
      </c>
      <c r="AA1075" s="36" t="s">
        <v>132</v>
      </c>
      <c r="AB1075" s="36" t="s">
        <v>132</v>
      </c>
      <c r="AC1075" s="76">
        <v>18000</v>
      </c>
      <c r="AD1075" s="76">
        <f t="shared" ref="AD1075" si="144">AC1075*1.18</f>
        <v>21240</v>
      </c>
      <c r="AE1075" s="38" t="s">
        <v>169</v>
      </c>
      <c r="AF1075" s="38" t="s">
        <v>83</v>
      </c>
      <c r="AG1075" s="96" t="s">
        <v>83</v>
      </c>
      <c r="AH1075" s="96" t="s">
        <v>90</v>
      </c>
      <c r="AI1075" s="97">
        <v>41803</v>
      </c>
      <c r="AJ1075" s="78">
        <v>41863</v>
      </c>
      <c r="AK1075" s="80"/>
      <c r="AL1075" s="80"/>
      <c r="AM1075" s="80" t="s">
        <v>1206</v>
      </c>
      <c r="AN1075" s="100" t="s">
        <v>171</v>
      </c>
      <c r="AO1075" s="81">
        <v>796</v>
      </c>
      <c r="AP1075" s="79" t="s">
        <v>419</v>
      </c>
      <c r="AQ1075" s="77">
        <v>1</v>
      </c>
      <c r="AR1075" s="101" t="s">
        <v>1176</v>
      </c>
      <c r="AS1075" s="83" t="s">
        <v>547</v>
      </c>
      <c r="AT1075" s="78">
        <v>41883</v>
      </c>
      <c r="AU1075" s="78">
        <v>41883</v>
      </c>
      <c r="AV1075" s="51">
        <v>42247</v>
      </c>
      <c r="AW1075" s="79" t="s">
        <v>99</v>
      </c>
      <c r="AX1075" s="80"/>
      <c r="AY1075" s="135"/>
      <c r="AZ1075" s="80"/>
      <c r="BA1075" s="79"/>
      <c r="BB1075" s="79"/>
      <c r="BC1075" s="80"/>
      <c r="BD1075" s="80"/>
      <c r="BE1075" s="239"/>
      <c r="BF1075" s="239"/>
      <c r="BG1075" s="239"/>
      <c r="BH1075" s="239"/>
      <c r="BI1075" s="239"/>
      <c r="BJ1075" s="240"/>
      <c r="BK1075" s="235"/>
    </row>
    <row r="1076" spans="1:63" s="605" customFormat="1" ht="131.25">
      <c r="A1076" s="380">
        <v>3</v>
      </c>
      <c r="B1076" s="100" t="s">
        <v>1207</v>
      </c>
      <c r="C1076" s="100" t="s">
        <v>83</v>
      </c>
      <c r="D1076" s="100" t="s">
        <v>3355</v>
      </c>
      <c r="E1076" s="38" t="s">
        <v>250</v>
      </c>
      <c r="F1076" s="318" t="s">
        <v>267</v>
      </c>
      <c r="G1076" s="318">
        <v>9010030</v>
      </c>
      <c r="H1076" s="160">
        <v>641275</v>
      </c>
      <c r="I1076" s="99" t="s">
        <v>4779</v>
      </c>
      <c r="J1076" s="99" t="s">
        <v>1209</v>
      </c>
      <c r="K1076" s="99" t="s">
        <v>4724</v>
      </c>
      <c r="L1076" s="16" t="s">
        <v>180</v>
      </c>
      <c r="M1076" s="191" t="s">
        <v>1210</v>
      </c>
      <c r="N1076" s="83" t="s">
        <v>5937</v>
      </c>
      <c r="O1076" s="83" t="s">
        <v>3312</v>
      </c>
      <c r="P1076" s="76">
        <v>6500</v>
      </c>
      <c r="Q1076" s="76">
        <f t="shared" si="141"/>
        <v>7670</v>
      </c>
      <c r="R1076" s="76"/>
      <c r="S1076" s="84"/>
      <c r="T1076" s="110"/>
      <c r="U1076" s="110"/>
      <c r="V1076" s="110"/>
      <c r="W1076" s="110"/>
      <c r="X1076" s="85"/>
      <c r="Y1076" s="76">
        <v>6500</v>
      </c>
      <c r="Z1076" s="76">
        <f t="shared" si="142"/>
        <v>7670</v>
      </c>
      <c r="AA1076" s="36" t="s">
        <v>132</v>
      </c>
      <c r="AB1076" s="36" t="s">
        <v>132</v>
      </c>
      <c r="AC1076" s="76">
        <v>6500</v>
      </c>
      <c r="AD1076" s="76">
        <f>Q1076</f>
        <v>7670</v>
      </c>
      <c r="AE1076" s="38" t="s">
        <v>173</v>
      </c>
      <c r="AF1076" s="38" t="s">
        <v>83</v>
      </c>
      <c r="AG1076" s="96" t="s">
        <v>83</v>
      </c>
      <c r="AH1076" s="96" t="s">
        <v>90</v>
      </c>
      <c r="AI1076" s="381">
        <v>41625</v>
      </c>
      <c r="AJ1076" s="320">
        <v>41685</v>
      </c>
      <c r="AK1076" s="80"/>
      <c r="AL1076" s="80"/>
      <c r="AM1076" s="80" t="s">
        <v>1208</v>
      </c>
      <c r="AN1076" s="100" t="s">
        <v>171</v>
      </c>
      <c r="AO1076" s="81">
        <v>796</v>
      </c>
      <c r="AP1076" s="79" t="s">
        <v>419</v>
      </c>
      <c r="AQ1076" s="77">
        <v>1</v>
      </c>
      <c r="AR1076" s="101" t="s">
        <v>1176</v>
      </c>
      <c r="AS1076" s="83" t="s">
        <v>547</v>
      </c>
      <c r="AT1076" s="78">
        <v>41705</v>
      </c>
      <c r="AU1076" s="52">
        <v>41705</v>
      </c>
      <c r="AV1076" s="52">
        <v>42004</v>
      </c>
      <c r="AW1076" s="79">
        <v>2014</v>
      </c>
      <c r="AX1076" s="80"/>
      <c r="AY1076" s="135"/>
      <c r="AZ1076" s="80"/>
      <c r="BA1076" s="79"/>
      <c r="BB1076" s="79"/>
      <c r="BC1076" s="80"/>
      <c r="BD1076" s="80"/>
      <c r="BE1076" s="239"/>
      <c r="BF1076" s="239"/>
      <c r="BG1076" s="239"/>
      <c r="BH1076" s="239"/>
      <c r="BI1076" s="239"/>
      <c r="BJ1076" s="240"/>
      <c r="BK1076" s="235"/>
    </row>
    <row r="1077" spans="1:63" s="605" customFormat="1" ht="131.25">
      <c r="A1077" s="380">
        <v>3</v>
      </c>
      <c r="B1077" s="100" t="s">
        <v>1216</v>
      </c>
      <c r="C1077" s="100" t="s">
        <v>83</v>
      </c>
      <c r="D1077" s="100" t="s">
        <v>3355</v>
      </c>
      <c r="E1077" s="38" t="s">
        <v>250</v>
      </c>
      <c r="F1077" s="318" t="s">
        <v>816</v>
      </c>
      <c r="G1077" s="318">
        <v>7422090</v>
      </c>
      <c r="H1077" s="160">
        <v>641288</v>
      </c>
      <c r="I1077" s="99" t="s">
        <v>1217</v>
      </c>
      <c r="J1077" s="99" t="s">
        <v>1218</v>
      </c>
      <c r="K1077" s="194" t="s">
        <v>4724</v>
      </c>
      <c r="L1077" s="16" t="s">
        <v>180</v>
      </c>
      <c r="M1077" s="191" t="s">
        <v>1175</v>
      </c>
      <c r="N1077" s="16" t="s">
        <v>5936</v>
      </c>
      <c r="O1077" s="83" t="s">
        <v>3312</v>
      </c>
      <c r="P1077" s="85">
        <v>6500</v>
      </c>
      <c r="Q1077" s="85">
        <f t="shared" si="141"/>
        <v>7670</v>
      </c>
      <c r="R1077" s="76"/>
      <c r="S1077" s="84"/>
      <c r="T1077" s="110"/>
      <c r="U1077" s="110"/>
      <c r="V1077" s="110"/>
      <c r="W1077" s="110"/>
      <c r="X1077" s="85"/>
      <c r="Y1077" s="76">
        <v>6500</v>
      </c>
      <c r="Z1077" s="76">
        <f t="shared" si="142"/>
        <v>7670</v>
      </c>
      <c r="AA1077" s="36" t="s">
        <v>132</v>
      </c>
      <c r="AB1077" s="36" t="s">
        <v>132</v>
      </c>
      <c r="AC1077" s="76">
        <v>6500</v>
      </c>
      <c r="AD1077" s="76">
        <f>Q1077</f>
        <v>7670</v>
      </c>
      <c r="AE1077" s="38" t="s">
        <v>173</v>
      </c>
      <c r="AF1077" s="38" t="s">
        <v>83</v>
      </c>
      <c r="AG1077" s="96" t="s">
        <v>83</v>
      </c>
      <c r="AH1077" s="96" t="s">
        <v>90</v>
      </c>
      <c r="AI1077" s="381">
        <v>41625</v>
      </c>
      <c r="AJ1077" s="320">
        <v>41685</v>
      </c>
      <c r="AK1077" s="80"/>
      <c r="AL1077" s="80"/>
      <c r="AM1077" s="80" t="s">
        <v>1217</v>
      </c>
      <c r="AN1077" s="100" t="s">
        <v>171</v>
      </c>
      <c r="AO1077" s="81">
        <v>796</v>
      </c>
      <c r="AP1077" s="79" t="s">
        <v>419</v>
      </c>
      <c r="AQ1077" s="77">
        <v>1</v>
      </c>
      <c r="AR1077" s="101" t="s">
        <v>1176</v>
      </c>
      <c r="AS1077" s="83" t="s">
        <v>547</v>
      </c>
      <c r="AT1077" s="78">
        <v>41705</v>
      </c>
      <c r="AU1077" s="52">
        <v>41705</v>
      </c>
      <c r="AV1077" s="52">
        <v>42004</v>
      </c>
      <c r="AW1077" s="79">
        <v>2014</v>
      </c>
      <c r="AX1077" s="80"/>
      <c r="AY1077" s="135"/>
      <c r="AZ1077" s="80"/>
      <c r="BA1077" s="79"/>
      <c r="BB1077" s="79"/>
      <c r="BC1077" s="80"/>
      <c r="BD1077" s="80"/>
      <c r="BE1077" s="239"/>
      <c r="BF1077" s="239"/>
      <c r="BG1077" s="239"/>
      <c r="BH1077" s="239"/>
      <c r="BI1077" s="239"/>
      <c r="BJ1077" s="240"/>
      <c r="BK1077" s="235"/>
    </row>
    <row r="1078" spans="1:63" s="605" customFormat="1" ht="75">
      <c r="A1078" s="380">
        <v>3</v>
      </c>
      <c r="B1078" s="100" t="s">
        <v>1225</v>
      </c>
      <c r="C1078" s="100" t="s">
        <v>83</v>
      </c>
      <c r="D1078" s="100" t="s">
        <v>3357</v>
      </c>
      <c r="E1078" s="38" t="s">
        <v>250</v>
      </c>
      <c r="F1078" s="318" t="s">
        <v>816</v>
      </c>
      <c r="G1078" s="318">
        <v>9010030</v>
      </c>
      <c r="H1078" s="160">
        <v>641305</v>
      </c>
      <c r="I1078" s="99" t="s">
        <v>1226</v>
      </c>
      <c r="J1078" s="99" t="s">
        <v>1026</v>
      </c>
      <c r="K1078" s="99" t="s">
        <v>4724</v>
      </c>
      <c r="L1078" s="16" t="s">
        <v>180</v>
      </c>
      <c r="M1078" s="191" t="s">
        <v>1175</v>
      </c>
      <c r="N1078" s="16" t="s">
        <v>825</v>
      </c>
      <c r="O1078" s="83" t="s">
        <v>3312</v>
      </c>
      <c r="P1078" s="76">
        <v>1318.6980000000001</v>
      </c>
      <c r="Q1078" s="85">
        <f t="shared" si="141"/>
        <v>1556.0636400000001</v>
      </c>
      <c r="R1078" s="76">
        <v>1201.94</v>
      </c>
      <c r="S1078" s="29" t="s">
        <v>974</v>
      </c>
      <c r="T1078" s="110">
        <v>1.0840000000000001</v>
      </c>
      <c r="U1078" s="110">
        <v>1.0509999999999999</v>
      </c>
      <c r="V1078" s="110">
        <v>1.0669999999999999</v>
      </c>
      <c r="W1078" s="110">
        <v>1.0529999999999999</v>
      </c>
      <c r="X1078" s="319">
        <v>0.9</v>
      </c>
      <c r="Y1078" s="76">
        <v>1384.6821279436069</v>
      </c>
      <c r="Z1078" s="76">
        <f t="shared" si="142"/>
        <v>1633.924910973456</v>
      </c>
      <c r="AA1078" s="36" t="s">
        <v>132</v>
      </c>
      <c r="AB1078" s="36" t="s">
        <v>132</v>
      </c>
      <c r="AC1078" s="76">
        <v>1318.6980000000001</v>
      </c>
      <c r="AD1078" s="76">
        <f>AC1078*1.18</f>
        <v>1556.0636400000001</v>
      </c>
      <c r="AE1078" s="38" t="s">
        <v>173</v>
      </c>
      <c r="AF1078" s="38" t="s">
        <v>83</v>
      </c>
      <c r="AG1078" s="96" t="s">
        <v>83</v>
      </c>
      <c r="AH1078" s="96" t="s">
        <v>90</v>
      </c>
      <c r="AI1078" s="314">
        <v>41695</v>
      </c>
      <c r="AJ1078" s="78">
        <v>41740</v>
      </c>
      <c r="AK1078" s="80"/>
      <c r="AL1078" s="80"/>
      <c r="AM1078" s="80" t="s">
        <v>1226</v>
      </c>
      <c r="AN1078" s="100" t="s">
        <v>171</v>
      </c>
      <c r="AO1078" s="82">
        <v>113</v>
      </c>
      <c r="AP1078" s="79" t="s">
        <v>902</v>
      </c>
      <c r="AQ1078" s="77">
        <v>1</v>
      </c>
      <c r="AR1078" s="101" t="s">
        <v>1176</v>
      </c>
      <c r="AS1078" s="83" t="s">
        <v>547</v>
      </c>
      <c r="AT1078" s="78">
        <v>41760</v>
      </c>
      <c r="AU1078" s="78">
        <v>41760</v>
      </c>
      <c r="AV1078" s="52">
        <v>42004</v>
      </c>
      <c r="AW1078" s="79">
        <v>2014</v>
      </c>
      <c r="AX1078" s="80"/>
      <c r="AY1078" s="135"/>
      <c r="AZ1078" s="80"/>
      <c r="BA1078" s="79"/>
      <c r="BB1078" s="79"/>
      <c r="BC1078" s="80"/>
      <c r="BD1078" s="80"/>
      <c r="BE1078" s="239"/>
      <c r="BF1078" s="239"/>
      <c r="BG1078" s="239"/>
      <c r="BH1078" s="239"/>
      <c r="BI1078" s="239"/>
      <c r="BJ1078" s="240"/>
      <c r="BK1078" s="235"/>
    </row>
    <row r="1079" spans="1:63" s="605" customFormat="1" ht="56.25">
      <c r="A1079" s="382">
        <v>3</v>
      </c>
      <c r="B1079" s="383" t="s">
        <v>4709</v>
      </c>
      <c r="C1079" s="383" t="s">
        <v>83</v>
      </c>
      <c r="D1079" s="383" t="s">
        <v>4711</v>
      </c>
      <c r="E1079" s="172" t="s">
        <v>250</v>
      </c>
      <c r="F1079" s="167" t="s">
        <v>1185</v>
      </c>
      <c r="G1079" s="167">
        <v>9430000</v>
      </c>
      <c r="H1079" s="384">
        <v>641291</v>
      </c>
      <c r="I1079" s="385" t="s">
        <v>4712</v>
      </c>
      <c r="J1079" s="385" t="s">
        <v>4713</v>
      </c>
      <c r="K1079" s="386" t="s">
        <v>4717</v>
      </c>
      <c r="L1079" s="226" t="s">
        <v>180</v>
      </c>
      <c r="M1079" s="188" t="s">
        <v>1249</v>
      </c>
      <c r="N1079" s="168" t="s">
        <v>768</v>
      </c>
      <c r="O1079" s="168" t="s">
        <v>3312</v>
      </c>
      <c r="P1079" s="169">
        <v>27526.89</v>
      </c>
      <c r="Q1079" s="169">
        <f t="shared" si="141"/>
        <v>32481.730199999998</v>
      </c>
      <c r="R1079" s="169">
        <v>26672.639999999999</v>
      </c>
      <c r="S1079" s="230" t="s">
        <v>974</v>
      </c>
      <c r="T1079" s="170">
        <v>1.0840000000000001</v>
      </c>
      <c r="U1079" s="170">
        <v>1.0509999999999999</v>
      </c>
      <c r="V1079" s="170">
        <v>1.0669999999999999</v>
      </c>
      <c r="W1079" s="170">
        <v>1.0529999999999999</v>
      </c>
      <c r="X1079" s="171">
        <v>0.9</v>
      </c>
      <c r="Y1079" s="169">
        <v>30727.919999999998</v>
      </c>
      <c r="Z1079" s="169">
        <f t="shared" si="142"/>
        <v>36258.945599999999</v>
      </c>
      <c r="AA1079" s="225" t="s">
        <v>132</v>
      </c>
      <c r="AB1079" s="225" t="s">
        <v>132</v>
      </c>
      <c r="AC1079" s="169">
        <v>27526.89</v>
      </c>
      <c r="AD1079" s="169">
        <f>Q1079</f>
        <v>32481.730199999998</v>
      </c>
      <c r="AE1079" s="172" t="s">
        <v>169</v>
      </c>
      <c r="AF1079" s="172" t="s">
        <v>83</v>
      </c>
      <c r="AG1079" s="387" t="s">
        <v>83</v>
      </c>
      <c r="AH1079" s="387" t="s">
        <v>90</v>
      </c>
      <c r="AI1079" s="173">
        <v>41650</v>
      </c>
      <c r="AJ1079" s="174">
        <v>41710</v>
      </c>
      <c r="AK1079" s="175"/>
      <c r="AL1079" s="175"/>
      <c r="AM1079" s="175" t="s">
        <v>4712</v>
      </c>
      <c r="AN1079" s="383" t="s">
        <v>171</v>
      </c>
      <c r="AO1079" s="176">
        <v>796</v>
      </c>
      <c r="AP1079" s="177" t="s">
        <v>419</v>
      </c>
      <c r="AQ1079" s="178">
        <v>1</v>
      </c>
      <c r="AR1079" s="179" t="s">
        <v>1176</v>
      </c>
      <c r="AS1079" s="168" t="s">
        <v>547</v>
      </c>
      <c r="AT1079" s="174">
        <v>41730</v>
      </c>
      <c r="AU1079" s="174">
        <v>41730</v>
      </c>
      <c r="AV1079" s="761">
        <v>41912</v>
      </c>
      <c r="AW1079" s="177">
        <v>2014</v>
      </c>
      <c r="AX1079" s="175"/>
      <c r="AY1079" s="181"/>
      <c r="AZ1079" s="175"/>
      <c r="BA1079" s="177"/>
      <c r="BB1079" s="177"/>
      <c r="BC1079" s="175"/>
      <c r="BD1079" s="175"/>
      <c r="BE1079" s="231"/>
      <c r="BF1079" s="231"/>
      <c r="BG1079" s="231"/>
      <c r="BH1079" s="231"/>
      <c r="BI1079" s="231"/>
      <c r="BJ1079" s="388"/>
      <c r="BK1079" s="232"/>
    </row>
    <row r="1080" spans="1:63" s="605" customFormat="1" ht="75">
      <c r="A1080" s="389">
        <v>3</v>
      </c>
      <c r="B1080" s="185" t="s">
        <v>1246</v>
      </c>
      <c r="C1080" s="185" t="s">
        <v>4710</v>
      </c>
      <c r="D1080" s="185" t="s">
        <v>3358</v>
      </c>
      <c r="E1080" s="42" t="s">
        <v>250</v>
      </c>
      <c r="F1080" s="145" t="s">
        <v>1185</v>
      </c>
      <c r="G1080" s="145">
        <v>9430000</v>
      </c>
      <c r="H1080" s="390">
        <v>641291</v>
      </c>
      <c r="I1080" s="391" t="s">
        <v>1247</v>
      </c>
      <c r="J1080" s="391" t="s">
        <v>1248</v>
      </c>
      <c r="K1080" s="195" t="s">
        <v>4717</v>
      </c>
      <c r="L1080" s="13" t="s">
        <v>180</v>
      </c>
      <c r="M1080" s="189" t="s">
        <v>1249</v>
      </c>
      <c r="N1080" s="146" t="s">
        <v>768</v>
      </c>
      <c r="O1080" s="146" t="s">
        <v>3312</v>
      </c>
      <c r="P1080" s="104">
        <v>11995.96</v>
      </c>
      <c r="Q1080" s="104">
        <f t="shared" si="141"/>
        <v>14155.232799999998</v>
      </c>
      <c r="R1080" s="105">
        <v>11141.71</v>
      </c>
      <c r="S1080" s="201" t="s">
        <v>974</v>
      </c>
      <c r="T1080" s="163">
        <v>1.0840000000000001</v>
      </c>
      <c r="U1080" s="163">
        <v>1.0509999999999999</v>
      </c>
      <c r="V1080" s="163">
        <v>1.0669999999999999</v>
      </c>
      <c r="W1080" s="163">
        <v>1.0529999999999999</v>
      </c>
      <c r="X1080" s="164">
        <v>0.9</v>
      </c>
      <c r="Y1080" s="105">
        <v>12835.68</v>
      </c>
      <c r="Z1080" s="105">
        <f t="shared" si="142"/>
        <v>15146.1024</v>
      </c>
      <c r="AA1080" s="225" t="s">
        <v>132</v>
      </c>
      <c r="AB1080" s="225" t="s">
        <v>132</v>
      </c>
      <c r="AC1080" s="105">
        <v>11995.96</v>
      </c>
      <c r="AD1080" s="105">
        <f>Q1080</f>
        <v>14155.232799999998</v>
      </c>
      <c r="AE1080" s="42" t="s">
        <v>169</v>
      </c>
      <c r="AF1080" s="42" t="s">
        <v>83</v>
      </c>
      <c r="AG1080" s="392" t="s">
        <v>83</v>
      </c>
      <c r="AH1080" s="392" t="s">
        <v>90</v>
      </c>
      <c r="AI1080" s="50">
        <v>41650</v>
      </c>
      <c r="AJ1080" s="165">
        <v>41710</v>
      </c>
      <c r="AK1080" s="147"/>
      <c r="AL1080" s="147"/>
      <c r="AM1080" s="147" t="s">
        <v>1247</v>
      </c>
      <c r="AN1080" s="185" t="s">
        <v>171</v>
      </c>
      <c r="AO1080" s="166">
        <v>796</v>
      </c>
      <c r="AP1080" s="149" t="s">
        <v>419</v>
      </c>
      <c r="AQ1080" s="150">
        <v>1</v>
      </c>
      <c r="AR1080" s="151" t="s">
        <v>1176</v>
      </c>
      <c r="AS1080" s="146" t="s">
        <v>547</v>
      </c>
      <c r="AT1080" s="165">
        <v>41730</v>
      </c>
      <c r="AU1080" s="165">
        <v>41730</v>
      </c>
      <c r="AV1080" s="762">
        <v>41912</v>
      </c>
      <c r="AW1080" s="149">
        <v>2014</v>
      </c>
      <c r="AX1080" s="201" t="s">
        <v>132</v>
      </c>
      <c r="AY1080" s="117"/>
      <c r="AZ1080" s="201" t="s">
        <v>132</v>
      </c>
      <c r="BA1080" s="42" t="s">
        <v>132</v>
      </c>
      <c r="BB1080" s="42" t="s">
        <v>132</v>
      </c>
      <c r="BC1080" s="147"/>
      <c r="BD1080" s="147"/>
      <c r="BE1080" s="233"/>
      <c r="BF1080" s="233"/>
      <c r="BG1080" s="233"/>
      <c r="BH1080" s="233"/>
      <c r="BI1080" s="233"/>
      <c r="BJ1080" s="393"/>
      <c r="BK1080" s="234"/>
    </row>
    <row r="1081" spans="1:63" s="605" customFormat="1" ht="112.5" customHeight="1">
      <c r="A1081" s="389">
        <v>3</v>
      </c>
      <c r="B1081" s="185" t="s">
        <v>3422</v>
      </c>
      <c r="C1081" s="185" t="s">
        <v>4710</v>
      </c>
      <c r="D1081" s="185" t="s">
        <v>3423</v>
      </c>
      <c r="E1081" s="42" t="s">
        <v>250</v>
      </c>
      <c r="F1081" s="145" t="s">
        <v>3424</v>
      </c>
      <c r="G1081" s="145">
        <v>2911160</v>
      </c>
      <c r="H1081" s="390">
        <v>825104</v>
      </c>
      <c r="I1081" s="391" t="s">
        <v>3425</v>
      </c>
      <c r="J1081" s="391" t="s">
        <v>3426</v>
      </c>
      <c r="K1081" s="195" t="s">
        <v>4717</v>
      </c>
      <c r="L1081" s="13" t="s">
        <v>180</v>
      </c>
      <c r="M1081" s="189">
        <v>2010201</v>
      </c>
      <c r="N1081" s="146" t="s">
        <v>768</v>
      </c>
      <c r="O1081" s="146" t="s">
        <v>271</v>
      </c>
      <c r="P1081" s="104">
        <v>15530.932000000001</v>
      </c>
      <c r="Q1081" s="104">
        <f t="shared" si="141"/>
        <v>18326.499759999999</v>
      </c>
      <c r="R1081" s="105">
        <v>15530.93</v>
      </c>
      <c r="S1081" s="201" t="s">
        <v>255</v>
      </c>
      <c r="T1081" s="163">
        <v>1.0840000000000001</v>
      </c>
      <c r="U1081" s="163">
        <v>1.0509999999999999</v>
      </c>
      <c r="V1081" s="163">
        <v>1.0669999999999999</v>
      </c>
      <c r="W1081" s="163">
        <v>1.0529999999999999</v>
      </c>
      <c r="X1081" s="164">
        <v>0.9</v>
      </c>
      <c r="Y1081" s="105">
        <v>17892.241876751923</v>
      </c>
      <c r="Z1081" s="105">
        <f t="shared" si="142"/>
        <v>21112.845414567269</v>
      </c>
      <c r="AA1081" s="225" t="s">
        <v>132</v>
      </c>
      <c r="AB1081" s="225" t="s">
        <v>132</v>
      </c>
      <c r="AC1081" s="105">
        <v>15530.932000000001</v>
      </c>
      <c r="AD1081" s="105">
        <f>AC1081*1.18</f>
        <v>18326.499759999999</v>
      </c>
      <c r="AE1081" s="42" t="s">
        <v>169</v>
      </c>
      <c r="AF1081" s="42" t="s">
        <v>83</v>
      </c>
      <c r="AG1081" s="392" t="s">
        <v>83</v>
      </c>
      <c r="AH1081" s="392" t="s">
        <v>90</v>
      </c>
      <c r="AI1081" s="50">
        <v>41715</v>
      </c>
      <c r="AJ1081" s="165">
        <v>41730</v>
      </c>
      <c r="AK1081" s="147"/>
      <c r="AL1081" s="147"/>
      <c r="AM1081" s="147" t="s">
        <v>3425</v>
      </c>
      <c r="AN1081" s="185" t="s">
        <v>171</v>
      </c>
      <c r="AO1081" s="166">
        <v>168</v>
      </c>
      <c r="AP1081" s="149" t="s">
        <v>3427</v>
      </c>
      <c r="AQ1081" s="150" t="s">
        <v>3428</v>
      </c>
      <c r="AR1081" s="151">
        <v>46460</v>
      </c>
      <c r="AS1081" s="146" t="s">
        <v>258</v>
      </c>
      <c r="AT1081" s="165">
        <v>41750</v>
      </c>
      <c r="AU1081" s="165">
        <v>41750</v>
      </c>
      <c r="AV1081" s="165">
        <v>41913</v>
      </c>
      <c r="AW1081" s="149">
        <v>2014</v>
      </c>
      <c r="AX1081" s="201" t="s">
        <v>132</v>
      </c>
      <c r="AY1081" s="117"/>
      <c r="AZ1081" s="201" t="s">
        <v>132</v>
      </c>
      <c r="BA1081" s="42" t="s">
        <v>132</v>
      </c>
      <c r="BB1081" s="42" t="s">
        <v>132</v>
      </c>
      <c r="BC1081" s="147"/>
      <c r="BD1081" s="147"/>
      <c r="BE1081" s="233"/>
      <c r="BF1081" s="233"/>
      <c r="BG1081" s="233"/>
      <c r="BH1081" s="233"/>
      <c r="BI1081" s="233"/>
      <c r="BJ1081" s="393"/>
      <c r="BK1081" s="234"/>
    </row>
    <row r="1082" spans="1:63" s="605" customFormat="1" ht="75">
      <c r="A1082" s="382">
        <v>3</v>
      </c>
      <c r="B1082" s="383" t="s">
        <v>4714</v>
      </c>
      <c r="C1082" s="383" t="s">
        <v>83</v>
      </c>
      <c r="D1082" s="383" t="s">
        <v>4711</v>
      </c>
      <c r="E1082" s="172" t="s">
        <v>250</v>
      </c>
      <c r="F1082" s="167" t="s">
        <v>1185</v>
      </c>
      <c r="G1082" s="167">
        <v>9430000</v>
      </c>
      <c r="H1082" s="384">
        <v>641291</v>
      </c>
      <c r="I1082" s="385" t="s">
        <v>4716</v>
      </c>
      <c r="J1082" s="385" t="s">
        <v>3121</v>
      </c>
      <c r="K1082" s="385" t="s">
        <v>4717</v>
      </c>
      <c r="L1082" s="226" t="s">
        <v>180</v>
      </c>
      <c r="M1082" s="188" t="s">
        <v>1249</v>
      </c>
      <c r="N1082" s="168" t="s">
        <v>768</v>
      </c>
      <c r="O1082" s="168" t="s">
        <v>3312</v>
      </c>
      <c r="P1082" s="169">
        <v>88000</v>
      </c>
      <c r="Q1082" s="169">
        <f t="shared" si="141"/>
        <v>103840</v>
      </c>
      <c r="R1082" s="169">
        <v>88000</v>
      </c>
      <c r="S1082" s="230" t="s">
        <v>974</v>
      </c>
      <c r="T1082" s="170">
        <v>1.0840000000000001</v>
      </c>
      <c r="U1082" s="170">
        <v>1.0509999999999999</v>
      </c>
      <c r="V1082" s="170">
        <v>1.0669999999999999</v>
      </c>
      <c r="W1082" s="170">
        <v>1.0529999999999999</v>
      </c>
      <c r="X1082" s="171">
        <v>0.9</v>
      </c>
      <c r="Y1082" s="169">
        <v>88000</v>
      </c>
      <c r="Z1082" s="169">
        <f t="shared" si="142"/>
        <v>103840</v>
      </c>
      <c r="AA1082" s="225" t="s">
        <v>132</v>
      </c>
      <c r="AB1082" s="225" t="s">
        <v>132</v>
      </c>
      <c r="AC1082" s="169">
        <v>88000</v>
      </c>
      <c r="AD1082" s="169">
        <f>Q1082</f>
        <v>103840</v>
      </c>
      <c r="AE1082" s="172" t="s">
        <v>169</v>
      </c>
      <c r="AF1082" s="172" t="s">
        <v>83</v>
      </c>
      <c r="AG1082" s="387" t="s">
        <v>83</v>
      </c>
      <c r="AH1082" s="387" t="s">
        <v>90</v>
      </c>
      <c r="AI1082" s="173">
        <v>41650</v>
      </c>
      <c r="AJ1082" s="174">
        <v>41710</v>
      </c>
      <c r="AK1082" s="175"/>
      <c r="AL1082" s="175"/>
      <c r="AM1082" s="175" t="s">
        <v>4712</v>
      </c>
      <c r="AN1082" s="383" t="s">
        <v>171</v>
      </c>
      <c r="AO1082" s="176">
        <v>796</v>
      </c>
      <c r="AP1082" s="177" t="s">
        <v>419</v>
      </c>
      <c r="AQ1082" s="178">
        <v>1</v>
      </c>
      <c r="AR1082" s="179" t="s">
        <v>1176</v>
      </c>
      <c r="AS1082" s="168" t="s">
        <v>547</v>
      </c>
      <c r="AT1082" s="174">
        <v>41730</v>
      </c>
      <c r="AU1082" s="174">
        <v>41730</v>
      </c>
      <c r="AV1082" s="761">
        <v>41912</v>
      </c>
      <c r="AW1082" s="177">
        <v>2014</v>
      </c>
      <c r="AX1082" s="175"/>
      <c r="AY1082" s="181"/>
      <c r="AZ1082" s="175"/>
      <c r="BA1082" s="177"/>
      <c r="BB1082" s="177"/>
      <c r="BC1082" s="175"/>
      <c r="BD1082" s="175"/>
      <c r="BE1082" s="231"/>
      <c r="BF1082" s="231"/>
      <c r="BG1082" s="231"/>
      <c r="BH1082" s="231"/>
      <c r="BI1082" s="231"/>
      <c r="BJ1082" s="388"/>
      <c r="BK1082" s="232"/>
    </row>
    <row r="1083" spans="1:63" s="268" customFormat="1" ht="69.95" customHeight="1">
      <c r="A1083" s="69">
        <v>3</v>
      </c>
      <c r="B1083" s="42" t="s">
        <v>3120</v>
      </c>
      <c r="C1083" s="140" t="s">
        <v>4715</v>
      </c>
      <c r="D1083" s="42" t="s">
        <v>3061</v>
      </c>
      <c r="E1083" s="42" t="s">
        <v>250</v>
      </c>
      <c r="F1083" s="42" t="s">
        <v>1378</v>
      </c>
      <c r="G1083" s="42">
        <v>4010412</v>
      </c>
      <c r="H1083" s="143">
        <v>842587</v>
      </c>
      <c r="I1083" s="13" t="s">
        <v>3121</v>
      </c>
      <c r="J1083" s="13" t="s">
        <v>3121</v>
      </c>
      <c r="K1083" s="120" t="s">
        <v>4717</v>
      </c>
      <c r="L1083" s="13" t="s">
        <v>180</v>
      </c>
      <c r="M1083" s="187" t="s">
        <v>1249</v>
      </c>
      <c r="N1083" s="113" t="s">
        <v>768</v>
      </c>
      <c r="O1083" s="13" t="s">
        <v>271</v>
      </c>
      <c r="P1083" s="373">
        <v>20000</v>
      </c>
      <c r="Q1083" s="373">
        <f t="shared" si="141"/>
        <v>23600</v>
      </c>
      <c r="R1083" s="21"/>
      <c r="S1083" s="201"/>
      <c r="T1083" s="69"/>
      <c r="U1083" s="69"/>
      <c r="V1083" s="69"/>
      <c r="W1083" s="69"/>
      <c r="X1083" s="69"/>
      <c r="Y1083" s="373">
        <v>20000</v>
      </c>
      <c r="Z1083" s="373">
        <f t="shared" si="142"/>
        <v>23600</v>
      </c>
      <c r="AA1083" s="225" t="s">
        <v>132</v>
      </c>
      <c r="AB1083" s="225" t="s">
        <v>132</v>
      </c>
      <c r="AC1083" s="374">
        <v>20000</v>
      </c>
      <c r="AD1083" s="374">
        <f>AC1083*1.18</f>
        <v>23600</v>
      </c>
      <c r="AE1083" s="42" t="s">
        <v>169</v>
      </c>
      <c r="AF1083" s="42" t="s">
        <v>83</v>
      </c>
      <c r="AG1083" s="140" t="s">
        <v>83</v>
      </c>
      <c r="AH1083" s="122" t="s">
        <v>90</v>
      </c>
      <c r="AI1083" s="50">
        <f>AJ1083-60</f>
        <v>41760</v>
      </c>
      <c r="AJ1083" s="50">
        <v>41820</v>
      </c>
      <c r="AK1083" s="57"/>
      <c r="AL1083" s="57"/>
      <c r="AM1083" s="123" t="s">
        <v>3122</v>
      </c>
      <c r="AN1083" s="123" t="s">
        <v>3052</v>
      </c>
      <c r="AO1083" s="70">
        <v>796</v>
      </c>
      <c r="AP1083" s="42" t="s">
        <v>419</v>
      </c>
      <c r="AQ1083" s="124">
        <v>1</v>
      </c>
      <c r="AR1083" s="42" t="s">
        <v>3053</v>
      </c>
      <c r="AS1083" s="13" t="s">
        <v>3054</v>
      </c>
      <c r="AT1083" s="50">
        <v>41840</v>
      </c>
      <c r="AU1083" s="50">
        <v>41840</v>
      </c>
      <c r="AV1083" s="115">
        <v>42216</v>
      </c>
      <c r="AW1083" s="42" t="s">
        <v>99</v>
      </c>
      <c r="AX1083" s="201" t="s">
        <v>132</v>
      </c>
      <c r="AY1083" s="117"/>
      <c r="AZ1083" s="201" t="s">
        <v>132</v>
      </c>
      <c r="BA1083" s="42" t="s">
        <v>132</v>
      </c>
      <c r="BB1083" s="42" t="s">
        <v>132</v>
      </c>
      <c r="BC1083" s="57" t="s">
        <v>132</v>
      </c>
      <c r="BD1083" s="57" t="s">
        <v>132</v>
      </c>
      <c r="BE1083" s="375" t="s">
        <v>132</v>
      </c>
      <c r="BF1083" s="375" t="s">
        <v>132</v>
      </c>
      <c r="BG1083" s="375" t="s">
        <v>132</v>
      </c>
      <c r="BH1083" s="375" t="s">
        <v>132</v>
      </c>
      <c r="BI1083" s="375" t="s">
        <v>132</v>
      </c>
      <c r="BJ1083" s="375" t="s">
        <v>132</v>
      </c>
      <c r="BK1083" s="368"/>
    </row>
    <row r="1084" spans="1:63" s="287" customFormat="1" ht="93.75">
      <c r="A1084" s="42">
        <v>3</v>
      </c>
      <c r="B1084" s="111" t="s">
        <v>965</v>
      </c>
      <c r="C1084" s="118" t="s">
        <v>4715</v>
      </c>
      <c r="D1084" s="42" t="s">
        <v>956</v>
      </c>
      <c r="E1084" s="42" t="s">
        <v>250</v>
      </c>
      <c r="F1084" s="42" t="s">
        <v>957</v>
      </c>
      <c r="G1084" s="42">
        <v>4000000</v>
      </c>
      <c r="H1084" s="112">
        <v>813075</v>
      </c>
      <c r="I1084" s="13" t="s">
        <v>966</v>
      </c>
      <c r="J1084" s="13" t="s">
        <v>967</v>
      </c>
      <c r="K1084" s="57" t="s">
        <v>4717</v>
      </c>
      <c r="L1084" s="13" t="s">
        <v>180</v>
      </c>
      <c r="M1084" s="182" t="s">
        <v>1249</v>
      </c>
      <c r="N1084" s="13" t="s">
        <v>959</v>
      </c>
      <c r="O1084" s="13" t="s">
        <v>960</v>
      </c>
      <c r="P1084" s="183">
        <v>25000</v>
      </c>
      <c r="Q1084" s="21">
        <f t="shared" si="141"/>
        <v>29500</v>
      </c>
      <c r="R1084" s="21"/>
      <c r="S1084" s="201"/>
      <c r="T1084" s="42"/>
      <c r="U1084" s="42"/>
      <c r="V1084" s="42"/>
      <c r="W1084" s="42"/>
      <c r="X1084" s="42"/>
      <c r="Y1084" s="114">
        <v>25000</v>
      </c>
      <c r="Z1084" s="35">
        <f t="shared" si="142"/>
        <v>29500</v>
      </c>
      <c r="AA1084" s="225" t="s">
        <v>132</v>
      </c>
      <c r="AB1084" s="225" t="s">
        <v>132</v>
      </c>
      <c r="AC1084" s="114">
        <v>25000</v>
      </c>
      <c r="AD1084" s="35">
        <f>AC1084*1.18</f>
        <v>29500</v>
      </c>
      <c r="AE1084" s="42" t="s">
        <v>169</v>
      </c>
      <c r="AF1084" s="42" t="s">
        <v>83</v>
      </c>
      <c r="AG1084" s="42" t="s">
        <v>83</v>
      </c>
      <c r="AH1084" s="42" t="s">
        <v>545</v>
      </c>
      <c r="AI1084" s="115">
        <v>41625</v>
      </c>
      <c r="AJ1084" s="115">
        <v>41685</v>
      </c>
      <c r="AK1084" s="57"/>
      <c r="AL1084" s="57"/>
      <c r="AM1084" s="13" t="s">
        <v>966</v>
      </c>
      <c r="AN1084" s="57" t="s">
        <v>353</v>
      </c>
      <c r="AO1084" s="9">
        <v>796</v>
      </c>
      <c r="AP1084" s="42" t="s">
        <v>419</v>
      </c>
      <c r="AQ1084" s="42">
        <v>1</v>
      </c>
      <c r="AR1084" s="42">
        <v>46434</v>
      </c>
      <c r="AS1084" s="13" t="s">
        <v>961</v>
      </c>
      <c r="AT1084" s="50">
        <v>41705</v>
      </c>
      <c r="AU1084" s="50">
        <v>41705</v>
      </c>
      <c r="AV1084" s="115">
        <v>42369</v>
      </c>
      <c r="AW1084" s="42" t="s">
        <v>99</v>
      </c>
      <c r="AX1084" s="201" t="s">
        <v>132</v>
      </c>
      <c r="AY1084" s="117"/>
      <c r="AZ1084" s="201" t="s">
        <v>132</v>
      </c>
      <c r="BA1084" s="42" t="s">
        <v>132</v>
      </c>
      <c r="BB1084" s="42" t="s">
        <v>132</v>
      </c>
      <c r="BC1084" s="57"/>
      <c r="BD1084" s="57"/>
      <c r="BE1084" s="368"/>
      <c r="BF1084" s="368"/>
      <c r="BG1084" s="368"/>
      <c r="BH1084" s="368"/>
      <c r="BI1084" s="368"/>
      <c r="BJ1084" s="368"/>
      <c r="BK1084" s="368"/>
    </row>
    <row r="1085" spans="1:63" s="268" customFormat="1" ht="75">
      <c r="A1085" s="119">
        <v>3</v>
      </c>
      <c r="B1085" s="9" t="s">
        <v>3930</v>
      </c>
      <c r="C1085" s="118" t="s">
        <v>4715</v>
      </c>
      <c r="D1085" s="42" t="s">
        <v>3690</v>
      </c>
      <c r="E1085" s="42" t="s">
        <v>250</v>
      </c>
      <c r="F1085" s="42" t="s">
        <v>1452</v>
      </c>
      <c r="G1085" s="42">
        <v>7422000</v>
      </c>
      <c r="H1085" s="9">
        <v>834297</v>
      </c>
      <c r="I1085" s="13" t="s">
        <v>3931</v>
      </c>
      <c r="J1085" s="13" t="s">
        <v>3750</v>
      </c>
      <c r="K1085" s="13" t="s">
        <v>4717</v>
      </c>
      <c r="L1085" s="13" t="s">
        <v>180</v>
      </c>
      <c r="M1085" s="182" t="s">
        <v>1249</v>
      </c>
      <c r="N1085" s="13" t="s">
        <v>5903</v>
      </c>
      <c r="O1085" s="13" t="s">
        <v>3660</v>
      </c>
      <c r="P1085" s="21">
        <v>43000</v>
      </c>
      <c r="Q1085" s="21">
        <f t="shared" si="141"/>
        <v>50740</v>
      </c>
      <c r="R1085" s="21"/>
      <c r="S1085" s="35"/>
      <c r="T1085" s="69"/>
      <c r="U1085" s="69"/>
      <c r="V1085" s="69"/>
      <c r="W1085" s="69"/>
      <c r="X1085" s="69"/>
      <c r="Y1085" s="21">
        <v>43000.000000000007</v>
      </c>
      <c r="Z1085" s="21">
        <f t="shared" si="142"/>
        <v>50740.000000000007</v>
      </c>
      <c r="AA1085" s="225" t="s">
        <v>132</v>
      </c>
      <c r="AB1085" s="225" t="s">
        <v>132</v>
      </c>
      <c r="AC1085" s="21">
        <v>43000</v>
      </c>
      <c r="AD1085" s="21">
        <f>AC1085*1.18</f>
        <v>50740</v>
      </c>
      <c r="AE1085" s="42" t="s">
        <v>169</v>
      </c>
      <c r="AF1085" s="42" t="s">
        <v>83</v>
      </c>
      <c r="AG1085" s="42" t="s">
        <v>83</v>
      </c>
      <c r="AH1085" s="42" t="s">
        <v>545</v>
      </c>
      <c r="AI1085" s="50">
        <v>41625</v>
      </c>
      <c r="AJ1085" s="115">
        <v>41685</v>
      </c>
      <c r="AK1085" s="57"/>
      <c r="AL1085" s="57"/>
      <c r="AM1085" s="57" t="s">
        <v>3931</v>
      </c>
      <c r="AN1085" s="57" t="s">
        <v>353</v>
      </c>
      <c r="AO1085" s="9">
        <v>796</v>
      </c>
      <c r="AP1085" s="42" t="s">
        <v>94</v>
      </c>
      <c r="AQ1085" s="42">
        <v>1</v>
      </c>
      <c r="AR1085" s="42">
        <v>46209</v>
      </c>
      <c r="AS1085" s="13" t="s">
        <v>3383</v>
      </c>
      <c r="AT1085" s="50">
        <v>41705</v>
      </c>
      <c r="AU1085" s="50">
        <v>41705</v>
      </c>
      <c r="AV1085" s="50">
        <v>42369</v>
      </c>
      <c r="AW1085" s="42" t="s">
        <v>99</v>
      </c>
      <c r="AX1085" s="201" t="s">
        <v>132</v>
      </c>
      <c r="AY1085" s="117"/>
      <c r="AZ1085" s="201" t="s">
        <v>132</v>
      </c>
      <c r="BA1085" s="42" t="s">
        <v>132</v>
      </c>
      <c r="BB1085" s="42" t="s">
        <v>132</v>
      </c>
      <c r="BC1085" s="57"/>
      <c r="BD1085" s="57"/>
      <c r="BE1085" s="371"/>
      <c r="BF1085" s="371"/>
      <c r="BG1085" s="371"/>
      <c r="BH1085" s="371"/>
      <c r="BI1085" s="371"/>
      <c r="BJ1085" s="368"/>
      <c r="BK1085" s="394"/>
    </row>
    <row r="1086" spans="1:63" s="268" customFormat="1" ht="131.25">
      <c r="A1086" s="321">
        <v>3</v>
      </c>
      <c r="B1086" s="11" t="s">
        <v>3867</v>
      </c>
      <c r="C1086" s="45" t="s">
        <v>83</v>
      </c>
      <c r="D1086" s="38" t="s">
        <v>555</v>
      </c>
      <c r="E1086" s="38" t="s">
        <v>190</v>
      </c>
      <c r="F1086" s="38" t="s">
        <v>816</v>
      </c>
      <c r="G1086" s="38">
        <v>9430000</v>
      </c>
      <c r="H1086" s="11">
        <v>625929</v>
      </c>
      <c r="I1086" s="16" t="s">
        <v>3868</v>
      </c>
      <c r="J1086" s="16" t="s">
        <v>773</v>
      </c>
      <c r="K1086" s="60" t="s">
        <v>4717</v>
      </c>
      <c r="L1086" s="16" t="s">
        <v>180</v>
      </c>
      <c r="M1086" s="134" t="s">
        <v>1249</v>
      </c>
      <c r="N1086" s="16" t="s">
        <v>5903</v>
      </c>
      <c r="O1086" s="16" t="s">
        <v>3312</v>
      </c>
      <c r="P1086" s="23">
        <v>18600</v>
      </c>
      <c r="Q1086" s="23">
        <f t="shared" si="141"/>
        <v>21948</v>
      </c>
      <c r="R1086" s="23"/>
      <c r="S1086" s="29"/>
      <c r="T1086" s="38"/>
      <c r="U1086" s="38"/>
      <c r="V1086" s="38"/>
      <c r="W1086" s="38"/>
      <c r="X1086" s="38"/>
      <c r="Y1086" s="23">
        <v>18600</v>
      </c>
      <c r="Z1086" s="23">
        <f t="shared" si="142"/>
        <v>21948</v>
      </c>
      <c r="AA1086" s="36" t="s">
        <v>132</v>
      </c>
      <c r="AB1086" s="36" t="s">
        <v>132</v>
      </c>
      <c r="AC1086" s="23">
        <v>18600</v>
      </c>
      <c r="AD1086" s="23">
        <v>21948</v>
      </c>
      <c r="AE1086" s="38" t="s">
        <v>169</v>
      </c>
      <c r="AF1086" s="38" t="s">
        <v>83</v>
      </c>
      <c r="AG1086" s="38" t="s">
        <v>83</v>
      </c>
      <c r="AH1086" s="38" t="s">
        <v>90</v>
      </c>
      <c r="AI1086" s="52">
        <v>41625</v>
      </c>
      <c r="AJ1086" s="51">
        <v>41685</v>
      </c>
      <c r="AK1086" s="60"/>
      <c r="AL1086" s="60"/>
      <c r="AM1086" s="60" t="s">
        <v>3866</v>
      </c>
      <c r="AN1086" s="60" t="s">
        <v>171</v>
      </c>
      <c r="AO1086" s="11">
        <v>796</v>
      </c>
      <c r="AP1086" s="38" t="s">
        <v>419</v>
      </c>
      <c r="AQ1086" s="38">
        <v>36</v>
      </c>
      <c r="AR1086" s="38" t="s">
        <v>1176</v>
      </c>
      <c r="AS1086" s="16" t="s">
        <v>547</v>
      </c>
      <c r="AT1086" s="52">
        <v>41705</v>
      </c>
      <c r="AU1086" s="52">
        <v>41705</v>
      </c>
      <c r="AV1086" s="52">
        <v>41991</v>
      </c>
      <c r="AW1086" s="38">
        <v>2014</v>
      </c>
      <c r="AX1086" s="60"/>
      <c r="AY1086" s="135"/>
      <c r="AZ1086" s="60"/>
      <c r="BA1086" s="38"/>
      <c r="BB1086" s="38"/>
      <c r="BC1086" s="60"/>
      <c r="BD1086" s="60"/>
      <c r="BE1086" s="238"/>
      <c r="BF1086" s="238"/>
      <c r="BG1086" s="238"/>
      <c r="BH1086" s="238"/>
      <c r="BI1086" s="238"/>
      <c r="BJ1086" s="304"/>
      <c r="BK1086" s="238"/>
    </row>
    <row r="1087" spans="1:63" s="268" customFormat="1" ht="112.5">
      <c r="A1087" s="321">
        <v>3</v>
      </c>
      <c r="B1087" s="38" t="s">
        <v>839</v>
      </c>
      <c r="C1087" s="60" t="s">
        <v>83</v>
      </c>
      <c r="D1087" s="38" t="s">
        <v>765</v>
      </c>
      <c r="E1087" s="38" t="s">
        <v>250</v>
      </c>
      <c r="F1087" s="38" t="s">
        <v>840</v>
      </c>
      <c r="G1087" s="38">
        <v>7422000</v>
      </c>
      <c r="H1087" s="63">
        <v>38499</v>
      </c>
      <c r="I1087" s="16" t="s">
        <v>841</v>
      </c>
      <c r="J1087" s="16" t="s">
        <v>842</v>
      </c>
      <c r="K1087" s="598" t="s">
        <v>4724</v>
      </c>
      <c r="L1087" s="16" t="s">
        <v>180</v>
      </c>
      <c r="M1087" s="134" t="s">
        <v>1175</v>
      </c>
      <c r="N1087" s="16" t="s">
        <v>5927</v>
      </c>
      <c r="O1087" s="16" t="s">
        <v>769</v>
      </c>
      <c r="P1087" s="23">
        <v>1055</v>
      </c>
      <c r="Q1087" s="352">
        <v>1055</v>
      </c>
      <c r="R1087" s="23"/>
      <c r="S1087" s="29"/>
      <c r="T1087" s="25"/>
      <c r="U1087" s="25"/>
      <c r="V1087" s="25"/>
      <c r="W1087" s="25"/>
      <c r="X1087" s="25"/>
      <c r="Y1087" s="23">
        <v>1055</v>
      </c>
      <c r="Z1087" s="352">
        <v>1055</v>
      </c>
      <c r="AA1087" s="36" t="s">
        <v>132</v>
      </c>
      <c r="AB1087" s="36" t="s">
        <v>132</v>
      </c>
      <c r="AC1087" s="23">
        <v>1055</v>
      </c>
      <c r="AD1087" s="352">
        <v>1055</v>
      </c>
      <c r="AE1087" s="38" t="s">
        <v>280</v>
      </c>
      <c r="AF1087" s="38" t="s">
        <v>83</v>
      </c>
      <c r="AG1087" s="38" t="s">
        <v>83</v>
      </c>
      <c r="AH1087" s="38" t="s">
        <v>281</v>
      </c>
      <c r="AI1087" s="52">
        <v>41625</v>
      </c>
      <c r="AJ1087" s="52">
        <v>41639</v>
      </c>
      <c r="AK1087" s="60" t="s">
        <v>843</v>
      </c>
      <c r="AL1087" s="60" t="s">
        <v>844</v>
      </c>
      <c r="AM1087" s="60" t="s">
        <v>845</v>
      </c>
      <c r="AN1087" s="60" t="s">
        <v>171</v>
      </c>
      <c r="AO1087" s="11">
        <v>796</v>
      </c>
      <c r="AP1087" s="38" t="s">
        <v>419</v>
      </c>
      <c r="AQ1087" s="38">
        <v>1</v>
      </c>
      <c r="AR1087" s="38">
        <v>45</v>
      </c>
      <c r="AS1087" s="16" t="s">
        <v>547</v>
      </c>
      <c r="AT1087" s="52">
        <v>41659</v>
      </c>
      <c r="AU1087" s="52">
        <v>41659</v>
      </c>
      <c r="AV1087" s="52">
        <v>42004</v>
      </c>
      <c r="AW1087" s="38">
        <v>2014</v>
      </c>
      <c r="AX1087" s="60"/>
      <c r="AY1087" s="135"/>
      <c r="AZ1087" s="60"/>
      <c r="BA1087" s="38"/>
      <c r="BB1087" s="38"/>
      <c r="BC1087" s="60"/>
      <c r="BD1087" s="60"/>
      <c r="BE1087" s="238"/>
      <c r="BF1087" s="238"/>
      <c r="BG1087" s="238"/>
      <c r="BH1087" s="238"/>
      <c r="BI1087" s="238"/>
      <c r="BJ1087" s="304"/>
      <c r="BK1087" s="378"/>
    </row>
    <row r="1088" spans="1:63" s="605" customFormat="1" ht="131.25">
      <c r="A1088" s="380">
        <v>3</v>
      </c>
      <c r="B1088" s="100" t="s">
        <v>1253</v>
      </c>
      <c r="C1088" s="100" t="s">
        <v>83</v>
      </c>
      <c r="D1088" s="100" t="s">
        <v>3355</v>
      </c>
      <c r="E1088" s="38" t="s">
        <v>250</v>
      </c>
      <c r="F1088" s="318" t="s">
        <v>816</v>
      </c>
      <c r="G1088" s="318">
        <v>7422090</v>
      </c>
      <c r="H1088" s="160">
        <v>641287</v>
      </c>
      <c r="I1088" s="99" t="s">
        <v>1254</v>
      </c>
      <c r="J1088" s="99" t="s">
        <v>1255</v>
      </c>
      <c r="K1088" s="194" t="s">
        <v>4724</v>
      </c>
      <c r="L1088" s="16" t="s">
        <v>180</v>
      </c>
      <c r="M1088" s="191" t="s">
        <v>675</v>
      </c>
      <c r="N1088" s="83" t="s">
        <v>676</v>
      </c>
      <c r="O1088" s="83" t="s">
        <v>3312</v>
      </c>
      <c r="P1088" s="76">
        <v>1188.9459999999999</v>
      </c>
      <c r="Q1088" s="85">
        <f t="shared" ref="Q1088:Q1151" si="145">P1088*1.18</f>
        <v>1402.9562799999999</v>
      </c>
      <c r="R1088" s="76"/>
      <c r="S1088" s="84"/>
      <c r="T1088" s="110"/>
      <c r="U1088" s="110"/>
      <c r="V1088" s="110"/>
      <c r="W1088" s="110"/>
      <c r="X1088" s="85"/>
      <c r="Y1088" s="76">
        <v>1188.9459999999999</v>
      </c>
      <c r="Z1088" s="76">
        <f>Y1088*1.18</f>
        <v>1402.9562799999999</v>
      </c>
      <c r="AA1088" s="36" t="s">
        <v>132</v>
      </c>
      <c r="AB1088" s="36" t="s">
        <v>132</v>
      </c>
      <c r="AC1088" s="76">
        <v>1188.9459999999999</v>
      </c>
      <c r="AD1088" s="76">
        <f>AC1088*1.18</f>
        <v>1402.9562799999999</v>
      </c>
      <c r="AE1088" s="38" t="s">
        <v>173</v>
      </c>
      <c r="AF1088" s="38" t="s">
        <v>83</v>
      </c>
      <c r="AG1088" s="96" t="s">
        <v>83</v>
      </c>
      <c r="AH1088" s="96" t="s">
        <v>90</v>
      </c>
      <c r="AI1088" s="97">
        <v>41575</v>
      </c>
      <c r="AJ1088" s="78">
        <v>41620</v>
      </c>
      <c r="AK1088" s="80"/>
      <c r="AL1088" s="80"/>
      <c r="AM1088" s="80" t="s">
        <v>1254</v>
      </c>
      <c r="AN1088" s="100" t="s">
        <v>171</v>
      </c>
      <c r="AO1088" s="81">
        <v>796</v>
      </c>
      <c r="AP1088" s="79" t="s">
        <v>419</v>
      </c>
      <c r="AQ1088" s="77">
        <v>1</v>
      </c>
      <c r="AR1088" s="101" t="s">
        <v>1176</v>
      </c>
      <c r="AS1088" s="83" t="s">
        <v>547</v>
      </c>
      <c r="AT1088" s="78">
        <v>41640</v>
      </c>
      <c r="AU1088" s="51">
        <v>41640</v>
      </c>
      <c r="AV1088" s="52">
        <v>42004</v>
      </c>
      <c r="AW1088" s="79">
        <v>2014</v>
      </c>
      <c r="AX1088" s="80"/>
      <c r="AY1088" s="135"/>
      <c r="AZ1088" s="80"/>
      <c r="BA1088" s="79"/>
      <c r="BB1088" s="79"/>
      <c r="BC1088" s="80"/>
      <c r="BD1088" s="80"/>
      <c r="BE1088" s="239"/>
      <c r="BF1088" s="239"/>
      <c r="BG1088" s="239"/>
      <c r="BH1088" s="239"/>
      <c r="BI1088" s="239"/>
      <c r="BJ1088" s="240"/>
      <c r="BK1088" s="235"/>
    </row>
    <row r="1089" spans="1:63" s="605" customFormat="1" ht="112.5">
      <c r="A1089" s="380">
        <v>3</v>
      </c>
      <c r="B1089" s="100" t="s">
        <v>1257</v>
      </c>
      <c r="C1089" s="100" t="s">
        <v>83</v>
      </c>
      <c r="D1089" s="100" t="s">
        <v>3360</v>
      </c>
      <c r="E1089" s="38" t="s">
        <v>250</v>
      </c>
      <c r="F1089" s="318" t="s">
        <v>840</v>
      </c>
      <c r="G1089" s="318">
        <v>7422090</v>
      </c>
      <c r="H1089" s="160">
        <v>641333</v>
      </c>
      <c r="I1089" s="99" t="s">
        <v>1258</v>
      </c>
      <c r="J1089" s="99" t="s">
        <v>1259</v>
      </c>
      <c r="K1089" s="194" t="s">
        <v>4724</v>
      </c>
      <c r="L1089" s="16" t="s">
        <v>180</v>
      </c>
      <c r="M1089" s="191" t="s">
        <v>1184</v>
      </c>
      <c r="N1089" s="16" t="s">
        <v>5900</v>
      </c>
      <c r="O1089" s="83" t="s">
        <v>3312</v>
      </c>
      <c r="P1089" s="85">
        <v>1900</v>
      </c>
      <c r="Q1089" s="85">
        <f t="shared" si="145"/>
        <v>2242</v>
      </c>
      <c r="R1089" s="76"/>
      <c r="S1089" s="84"/>
      <c r="T1089" s="110"/>
      <c r="U1089" s="110"/>
      <c r="V1089" s="110"/>
      <c r="W1089" s="110"/>
      <c r="X1089" s="85"/>
      <c r="Y1089" s="76">
        <v>1900</v>
      </c>
      <c r="Z1089" s="76">
        <f t="shared" ref="Z1089:Z1152" si="146">Y1089*1.18</f>
        <v>2242</v>
      </c>
      <c r="AA1089" s="36" t="s">
        <v>132</v>
      </c>
      <c r="AB1089" s="36" t="s">
        <v>132</v>
      </c>
      <c r="AC1089" s="76">
        <v>1900</v>
      </c>
      <c r="AD1089" s="76">
        <f>AC1089*1.18</f>
        <v>2242</v>
      </c>
      <c r="AE1089" s="38" t="s">
        <v>173</v>
      </c>
      <c r="AF1089" s="38" t="s">
        <v>83</v>
      </c>
      <c r="AG1089" s="96" t="s">
        <v>83</v>
      </c>
      <c r="AH1089" s="96" t="s">
        <v>90</v>
      </c>
      <c r="AI1089" s="381">
        <v>41625</v>
      </c>
      <c r="AJ1089" s="320">
        <v>41670</v>
      </c>
      <c r="AK1089" s="80"/>
      <c r="AL1089" s="80"/>
      <c r="AM1089" s="80" t="s">
        <v>1258</v>
      </c>
      <c r="AN1089" s="100" t="s">
        <v>171</v>
      </c>
      <c r="AO1089" s="81">
        <v>796</v>
      </c>
      <c r="AP1089" s="79" t="s">
        <v>419</v>
      </c>
      <c r="AQ1089" s="77">
        <v>1</v>
      </c>
      <c r="AR1089" s="101" t="s">
        <v>1176</v>
      </c>
      <c r="AS1089" s="83" t="s">
        <v>547</v>
      </c>
      <c r="AT1089" s="78">
        <v>41690</v>
      </c>
      <c r="AU1089" s="52">
        <v>41690</v>
      </c>
      <c r="AV1089" s="52">
        <v>42004</v>
      </c>
      <c r="AW1089" s="79">
        <v>2014</v>
      </c>
      <c r="AX1089" s="80"/>
      <c r="AY1089" s="135"/>
      <c r="AZ1089" s="80"/>
      <c r="BA1089" s="79"/>
      <c r="BB1089" s="79"/>
      <c r="BC1089" s="80"/>
      <c r="BD1089" s="80"/>
      <c r="BE1089" s="239"/>
      <c r="BF1089" s="239"/>
      <c r="BG1089" s="239"/>
      <c r="BH1089" s="239"/>
      <c r="BI1089" s="239"/>
      <c r="BJ1089" s="240"/>
      <c r="BK1089" s="239"/>
    </row>
    <row r="1090" spans="1:63" s="605" customFormat="1" ht="75">
      <c r="A1090" s="380">
        <v>3</v>
      </c>
      <c r="B1090" s="100" t="s">
        <v>1268</v>
      </c>
      <c r="C1090" s="100" t="s">
        <v>83</v>
      </c>
      <c r="D1090" s="100" t="s">
        <v>3357</v>
      </c>
      <c r="E1090" s="38" t="s">
        <v>250</v>
      </c>
      <c r="F1090" s="318" t="s">
        <v>1251</v>
      </c>
      <c r="G1090" s="318">
        <v>7493010</v>
      </c>
      <c r="H1090" s="160">
        <v>641300</v>
      </c>
      <c r="I1090" s="99" t="s">
        <v>1269</v>
      </c>
      <c r="J1090" s="99" t="s">
        <v>1198</v>
      </c>
      <c r="K1090" s="194" t="s">
        <v>4724</v>
      </c>
      <c r="L1090" s="16" t="s">
        <v>180</v>
      </c>
      <c r="M1090" s="191" t="s">
        <v>1210</v>
      </c>
      <c r="N1090" s="16" t="s">
        <v>5937</v>
      </c>
      <c r="O1090" s="83" t="s">
        <v>3312</v>
      </c>
      <c r="P1090" s="85">
        <v>2000</v>
      </c>
      <c r="Q1090" s="85">
        <f t="shared" si="145"/>
        <v>2360</v>
      </c>
      <c r="R1090" s="23"/>
      <c r="S1090" s="29"/>
      <c r="T1090" s="38"/>
      <c r="U1090" s="38"/>
      <c r="V1090" s="38"/>
      <c r="W1090" s="38"/>
      <c r="X1090" s="38"/>
      <c r="Y1090" s="85">
        <v>2000</v>
      </c>
      <c r="Z1090" s="85">
        <f t="shared" si="146"/>
        <v>2360</v>
      </c>
      <c r="AA1090" s="36" t="s">
        <v>132</v>
      </c>
      <c r="AB1090" s="36" t="s">
        <v>132</v>
      </c>
      <c r="AC1090" s="76">
        <v>2000</v>
      </c>
      <c r="AD1090" s="76">
        <f>Q1090</f>
        <v>2360</v>
      </c>
      <c r="AE1090" s="38" t="s">
        <v>173</v>
      </c>
      <c r="AF1090" s="38" t="s">
        <v>83</v>
      </c>
      <c r="AG1090" s="96" t="s">
        <v>83</v>
      </c>
      <c r="AH1090" s="96" t="s">
        <v>90</v>
      </c>
      <c r="AI1090" s="52">
        <v>41665</v>
      </c>
      <c r="AJ1090" s="78">
        <v>41710</v>
      </c>
      <c r="AK1090" s="80"/>
      <c r="AL1090" s="80"/>
      <c r="AM1090" s="80" t="s">
        <v>1269</v>
      </c>
      <c r="AN1090" s="100" t="s">
        <v>171</v>
      </c>
      <c r="AO1090" s="82">
        <v>55</v>
      </c>
      <c r="AP1090" s="79" t="s">
        <v>737</v>
      </c>
      <c r="AQ1090" s="77">
        <v>120</v>
      </c>
      <c r="AR1090" s="101" t="s">
        <v>1176</v>
      </c>
      <c r="AS1090" s="83" t="s">
        <v>547</v>
      </c>
      <c r="AT1090" s="78">
        <v>41730</v>
      </c>
      <c r="AU1090" s="78">
        <v>41730</v>
      </c>
      <c r="AV1090" s="599">
        <v>42094</v>
      </c>
      <c r="AW1090" s="79" t="s">
        <v>99</v>
      </c>
      <c r="AX1090" s="80"/>
      <c r="AY1090" s="135"/>
      <c r="AZ1090" s="80"/>
      <c r="BA1090" s="79"/>
      <c r="BB1090" s="79"/>
      <c r="BC1090" s="80"/>
      <c r="BD1090" s="80"/>
      <c r="BE1090" s="239"/>
      <c r="BF1090" s="239"/>
      <c r="BG1090" s="239"/>
      <c r="BH1090" s="239"/>
      <c r="BI1090" s="239"/>
      <c r="BJ1090" s="240"/>
      <c r="BK1090" s="239"/>
    </row>
    <row r="1091" spans="1:63" s="605" customFormat="1" ht="131.25">
      <c r="A1091" s="380">
        <v>3</v>
      </c>
      <c r="B1091" s="100" t="s">
        <v>1270</v>
      </c>
      <c r="C1091" s="100" t="s">
        <v>83</v>
      </c>
      <c r="D1091" s="100" t="s">
        <v>3355</v>
      </c>
      <c r="E1091" s="38" t="s">
        <v>250</v>
      </c>
      <c r="F1091" s="318" t="s">
        <v>840</v>
      </c>
      <c r="G1091" s="318">
        <v>7422090</v>
      </c>
      <c r="H1091" s="160">
        <v>641290</v>
      </c>
      <c r="I1091" s="99" t="s">
        <v>4651</v>
      </c>
      <c r="J1091" s="99" t="s">
        <v>862</v>
      </c>
      <c r="K1091" s="194" t="s">
        <v>4724</v>
      </c>
      <c r="L1091" s="16" t="s">
        <v>180</v>
      </c>
      <c r="M1091" s="191" t="s">
        <v>1175</v>
      </c>
      <c r="N1091" s="16" t="s">
        <v>5936</v>
      </c>
      <c r="O1091" s="83" t="s">
        <v>3312</v>
      </c>
      <c r="P1091" s="85">
        <v>1199.847</v>
      </c>
      <c r="Q1091" s="76">
        <f>P1091*1.18</f>
        <v>1415.8194599999999</v>
      </c>
      <c r="R1091" s="76"/>
      <c r="S1091" s="84"/>
      <c r="T1091" s="110"/>
      <c r="U1091" s="110"/>
      <c r="V1091" s="110"/>
      <c r="W1091" s="110"/>
      <c r="X1091" s="85"/>
      <c r="Y1091" s="85">
        <v>1199.847</v>
      </c>
      <c r="Z1091" s="76">
        <f>Y1091*1.18</f>
        <v>1415.8194599999999</v>
      </c>
      <c r="AA1091" s="36" t="s">
        <v>132</v>
      </c>
      <c r="AB1091" s="36" t="s">
        <v>132</v>
      </c>
      <c r="AC1091" s="85">
        <v>1199.847</v>
      </c>
      <c r="AD1091" s="76">
        <f>AC1091*1.18</f>
        <v>1415.8194599999999</v>
      </c>
      <c r="AE1091" s="38" t="s">
        <v>173</v>
      </c>
      <c r="AF1091" s="38" t="s">
        <v>83</v>
      </c>
      <c r="AG1091" s="96" t="s">
        <v>83</v>
      </c>
      <c r="AH1091" s="96" t="s">
        <v>90</v>
      </c>
      <c r="AI1091" s="381">
        <v>41625</v>
      </c>
      <c r="AJ1091" s="320">
        <v>41670</v>
      </c>
      <c r="AK1091" s="80"/>
      <c r="AL1091" s="80"/>
      <c r="AM1091" s="80" t="s">
        <v>1271</v>
      </c>
      <c r="AN1091" s="100" t="s">
        <v>171</v>
      </c>
      <c r="AO1091" s="81">
        <v>796</v>
      </c>
      <c r="AP1091" s="79" t="s">
        <v>419</v>
      </c>
      <c r="AQ1091" s="77">
        <v>1</v>
      </c>
      <c r="AR1091" s="101" t="s">
        <v>1176</v>
      </c>
      <c r="AS1091" s="83" t="s">
        <v>547</v>
      </c>
      <c r="AT1091" s="78">
        <v>41690</v>
      </c>
      <c r="AU1091" s="52">
        <v>41690</v>
      </c>
      <c r="AV1091" s="52">
        <v>42004</v>
      </c>
      <c r="AW1091" s="79">
        <v>2014</v>
      </c>
      <c r="AX1091" s="80"/>
      <c r="AY1091" s="135"/>
      <c r="AZ1091" s="80"/>
      <c r="BA1091" s="79"/>
      <c r="BB1091" s="79"/>
      <c r="BC1091" s="80"/>
      <c r="BD1091" s="80"/>
      <c r="BE1091" s="239"/>
      <c r="BF1091" s="239"/>
      <c r="BG1091" s="239"/>
      <c r="BH1091" s="239"/>
      <c r="BI1091" s="239"/>
      <c r="BJ1091" s="240"/>
      <c r="BK1091" s="235"/>
    </row>
    <row r="1092" spans="1:63" s="605" customFormat="1" ht="115.5" customHeight="1">
      <c r="A1092" s="380">
        <v>3</v>
      </c>
      <c r="B1092" s="100" t="s">
        <v>1277</v>
      </c>
      <c r="C1092" s="100" t="s">
        <v>83</v>
      </c>
      <c r="D1092" s="100" t="s">
        <v>3361</v>
      </c>
      <c r="E1092" s="38" t="s">
        <v>250</v>
      </c>
      <c r="F1092" s="318" t="s">
        <v>1278</v>
      </c>
      <c r="G1092" s="318">
        <v>7422090</v>
      </c>
      <c r="H1092" s="160">
        <v>641327</v>
      </c>
      <c r="I1092" s="99" t="s">
        <v>1279</v>
      </c>
      <c r="J1092" s="99" t="s">
        <v>1053</v>
      </c>
      <c r="K1092" s="194" t="s">
        <v>4724</v>
      </c>
      <c r="L1092" s="16" t="s">
        <v>180</v>
      </c>
      <c r="M1092" s="191" t="s">
        <v>1175</v>
      </c>
      <c r="N1092" s="16" t="s">
        <v>5917</v>
      </c>
      <c r="O1092" s="83" t="s">
        <v>3312</v>
      </c>
      <c r="P1092" s="76">
        <v>1442.874</v>
      </c>
      <c r="Q1092" s="76">
        <f t="shared" si="145"/>
        <v>1702.59132</v>
      </c>
      <c r="R1092" s="76">
        <v>1315.07</v>
      </c>
      <c r="S1092" s="29" t="s">
        <v>974</v>
      </c>
      <c r="T1092" s="110">
        <v>1.0840000000000001</v>
      </c>
      <c r="U1092" s="110">
        <v>1.0509999999999999</v>
      </c>
      <c r="V1092" s="110">
        <v>1.0669999999999999</v>
      </c>
      <c r="W1092" s="110">
        <v>1.0529999999999999</v>
      </c>
      <c r="X1092" s="319">
        <v>0.9</v>
      </c>
      <c r="Y1092" s="76">
        <v>1515.0123350539955</v>
      </c>
      <c r="Z1092" s="76">
        <f t="shared" si="146"/>
        <v>1787.7145553637145</v>
      </c>
      <c r="AA1092" s="36" t="s">
        <v>132</v>
      </c>
      <c r="AB1092" s="36" t="s">
        <v>132</v>
      </c>
      <c r="AC1092" s="76">
        <v>1442.874</v>
      </c>
      <c r="AD1092" s="76">
        <f>AC1092*1.18</f>
        <v>1702.59132</v>
      </c>
      <c r="AE1092" s="38" t="s">
        <v>173</v>
      </c>
      <c r="AF1092" s="38" t="s">
        <v>83</v>
      </c>
      <c r="AG1092" s="96" t="s">
        <v>83</v>
      </c>
      <c r="AH1092" s="96" t="s">
        <v>90</v>
      </c>
      <c r="AI1092" s="97">
        <v>41575</v>
      </c>
      <c r="AJ1092" s="78">
        <v>41620</v>
      </c>
      <c r="AK1092" s="80"/>
      <c r="AL1092" s="80"/>
      <c r="AM1092" s="80" t="s">
        <v>1279</v>
      </c>
      <c r="AN1092" s="100" t="s">
        <v>171</v>
      </c>
      <c r="AO1092" s="81">
        <v>796</v>
      </c>
      <c r="AP1092" s="79" t="s">
        <v>419</v>
      </c>
      <c r="AQ1092" s="77">
        <v>930</v>
      </c>
      <c r="AR1092" s="101" t="s">
        <v>1176</v>
      </c>
      <c r="AS1092" s="83" t="s">
        <v>547</v>
      </c>
      <c r="AT1092" s="78">
        <v>41640</v>
      </c>
      <c r="AU1092" s="51">
        <v>41640</v>
      </c>
      <c r="AV1092" s="52">
        <v>42004</v>
      </c>
      <c r="AW1092" s="79">
        <v>2014</v>
      </c>
      <c r="AX1092" s="80"/>
      <c r="AY1092" s="135"/>
      <c r="AZ1092" s="80"/>
      <c r="BA1092" s="79"/>
      <c r="BB1092" s="79"/>
      <c r="BC1092" s="80"/>
      <c r="BD1092" s="80"/>
      <c r="BE1092" s="239"/>
      <c r="BF1092" s="239"/>
      <c r="BG1092" s="239"/>
      <c r="BH1092" s="239"/>
      <c r="BI1092" s="239"/>
      <c r="BJ1092" s="240"/>
      <c r="BK1092" s="235"/>
    </row>
    <row r="1093" spans="1:63" s="605" customFormat="1" ht="106.5" customHeight="1">
      <c r="A1093" s="380">
        <v>3</v>
      </c>
      <c r="B1093" s="100" t="s">
        <v>1280</v>
      </c>
      <c r="C1093" s="100" t="s">
        <v>83</v>
      </c>
      <c r="D1093" s="100" t="s">
        <v>3361</v>
      </c>
      <c r="E1093" s="38" t="s">
        <v>250</v>
      </c>
      <c r="F1093" s="318" t="s">
        <v>1278</v>
      </c>
      <c r="G1093" s="318">
        <v>7422090</v>
      </c>
      <c r="H1093" s="160">
        <v>641328</v>
      </c>
      <c r="I1093" s="99" t="s">
        <v>1281</v>
      </c>
      <c r="J1093" s="99" t="s">
        <v>1282</v>
      </c>
      <c r="K1093" s="194" t="s">
        <v>4724</v>
      </c>
      <c r="L1093" s="16" t="s">
        <v>180</v>
      </c>
      <c r="M1093" s="191" t="s">
        <v>1175</v>
      </c>
      <c r="N1093" s="16" t="s">
        <v>5917</v>
      </c>
      <c r="O1093" s="83" t="s">
        <v>3312</v>
      </c>
      <c r="P1093" s="85">
        <v>744.03</v>
      </c>
      <c r="Q1093" s="85">
        <f t="shared" si="145"/>
        <v>877.95539999999994</v>
      </c>
      <c r="R1093" s="76">
        <v>691.04</v>
      </c>
      <c r="S1093" s="29" t="s">
        <v>974</v>
      </c>
      <c r="T1093" s="110">
        <v>1.0840000000000001</v>
      </c>
      <c r="U1093" s="110">
        <v>1.0509999999999999</v>
      </c>
      <c r="V1093" s="110">
        <v>1.0669999999999999</v>
      </c>
      <c r="W1093" s="110">
        <v>1.0529999999999999</v>
      </c>
      <c r="X1093" s="319">
        <v>0.9</v>
      </c>
      <c r="Y1093" s="76">
        <v>796.11</v>
      </c>
      <c r="Z1093" s="76">
        <f t="shared" si="146"/>
        <v>939.40980000000002</v>
      </c>
      <c r="AA1093" s="36" t="s">
        <v>132</v>
      </c>
      <c r="AB1093" s="36" t="s">
        <v>132</v>
      </c>
      <c r="AC1093" s="76">
        <v>744.03</v>
      </c>
      <c r="AD1093" s="76">
        <f>Q1093</f>
        <v>877.95539999999994</v>
      </c>
      <c r="AE1093" s="38" t="s">
        <v>173</v>
      </c>
      <c r="AF1093" s="38" t="s">
        <v>83</v>
      </c>
      <c r="AG1093" s="96" t="s">
        <v>83</v>
      </c>
      <c r="AH1093" s="96" t="s">
        <v>90</v>
      </c>
      <c r="AI1093" s="97">
        <v>41575</v>
      </c>
      <c r="AJ1093" s="78">
        <v>41620</v>
      </c>
      <c r="AK1093" s="80"/>
      <c r="AL1093" s="80"/>
      <c r="AM1093" s="80" t="s">
        <v>1281</v>
      </c>
      <c r="AN1093" s="100" t="s">
        <v>171</v>
      </c>
      <c r="AO1093" s="81">
        <v>796</v>
      </c>
      <c r="AP1093" s="79" t="s">
        <v>419</v>
      </c>
      <c r="AQ1093" s="77">
        <v>90</v>
      </c>
      <c r="AR1093" s="101" t="s">
        <v>1176</v>
      </c>
      <c r="AS1093" s="83" t="s">
        <v>547</v>
      </c>
      <c r="AT1093" s="78">
        <v>41640</v>
      </c>
      <c r="AU1093" s="51">
        <v>41640</v>
      </c>
      <c r="AV1093" s="52">
        <v>42004</v>
      </c>
      <c r="AW1093" s="79">
        <v>2014</v>
      </c>
      <c r="AX1093" s="80"/>
      <c r="AY1093" s="135"/>
      <c r="AZ1093" s="80"/>
      <c r="BA1093" s="79"/>
      <c r="BB1093" s="79"/>
      <c r="BC1093" s="80"/>
      <c r="BD1093" s="80"/>
      <c r="BE1093" s="239"/>
      <c r="BF1093" s="239"/>
      <c r="BG1093" s="239"/>
      <c r="BH1093" s="239"/>
      <c r="BI1093" s="239"/>
      <c r="BJ1093" s="240"/>
      <c r="BK1093" s="235"/>
    </row>
    <row r="1094" spans="1:63" s="605" customFormat="1" ht="95.25" customHeight="1">
      <c r="A1094" s="380">
        <v>3</v>
      </c>
      <c r="B1094" s="100" t="s">
        <v>1283</v>
      </c>
      <c r="C1094" s="100" t="s">
        <v>83</v>
      </c>
      <c r="D1094" s="100" t="s">
        <v>3361</v>
      </c>
      <c r="E1094" s="38" t="s">
        <v>250</v>
      </c>
      <c r="F1094" s="318" t="s">
        <v>840</v>
      </c>
      <c r="G1094" s="318">
        <v>7422090</v>
      </c>
      <c r="H1094" s="160">
        <v>641325</v>
      </c>
      <c r="I1094" s="99" t="s">
        <v>1284</v>
      </c>
      <c r="J1094" s="99" t="s">
        <v>1218</v>
      </c>
      <c r="K1094" s="194" t="s">
        <v>4724</v>
      </c>
      <c r="L1094" s="16" t="s">
        <v>180</v>
      </c>
      <c r="M1094" s="191" t="s">
        <v>1175</v>
      </c>
      <c r="N1094" s="16" t="s">
        <v>5931</v>
      </c>
      <c r="O1094" s="83" t="s">
        <v>3312</v>
      </c>
      <c r="P1094" s="85">
        <v>3023.52</v>
      </c>
      <c r="Q1094" s="85">
        <f t="shared" si="145"/>
        <v>3567.7536</v>
      </c>
      <c r="R1094" s="76">
        <v>2808.21</v>
      </c>
      <c r="S1094" s="29" t="s">
        <v>974</v>
      </c>
      <c r="T1094" s="110">
        <v>1.0840000000000001</v>
      </c>
      <c r="U1094" s="110">
        <v>1.0509999999999999</v>
      </c>
      <c r="V1094" s="110">
        <v>1.0669999999999999</v>
      </c>
      <c r="W1094" s="110">
        <v>1.0529999999999999</v>
      </c>
      <c r="X1094" s="319">
        <v>0.9</v>
      </c>
      <c r="Y1094" s="76">
        <v>3235.17</v>
      </c>
      <c r="Z1094" s="76">
        <f t="shared" si="146"/>
        <v>3817.5005999999998</v>
      </c>
      <c r="AA1094" s="36" t="s">
        <v>132</v>
      </c>
      <c r="AB1094" s="36" t="s">
        <v>132</v>
      </c>
      <c r="AC1094" s="76">
        <v>2268.75</v>
      </c>
      <c r="AD1094" s="76">
        <f>AC1094*1.18</f>
        <v>2677.125</v>
      </c>
      <c r="AE1094" s="38" t="s">
        <v>173</v>
      </c>
      <c r="AF1094" s="38" t="s">
        <v>83</v>
      </c>
      <c r="AG1094" s="96" t="s">
        <v>83</v>
      </c>
      <c r="AH1094" s="96" t="s">
        <v>90</v>
      </c>
      <c r="AI1094" s="97">
        <v>41695</v>
      </c>
      <c r="AJ1094" s="78">
        <v>41740</v>
      </c>
      <c r="AK1094" s="80"/>
      <c r="AL1094" s="80"/>
      <c r="AM1094" s="80" t="s">
        <v>1284</v>
      </c>
      <c r="AN1094" s="100" t="s">
        <v>171</v>
      </c>
      <c r="AO1094" s="81">
        <v>796</v>
      </c>
      <c r="AP1094" s="79" t="s">
        <v>419</v>
      </c>
      <c r="AQ1094" s="77">
        <v>15</v>
      </c>
      <c r="AR1094" s="101" t="s">
        <v>1176</v>
      </c>
      <c r="AS1094" s="83" t="s">
        <v>547</v>
      </c>
      <c r="AT1094" s="78">
        <v>41760</v>
      </c>
      <c r="AU1094" s="78">
        <v>41760</v>
      </c>
      <c r="AV1094" s="78">
        <v>41897</v>
      </c>
      <c r="AW1094" s="79">
        <v>2014</v>
      </c>
      <c r="AX1094" s="80"/>
      <c r="AY1094" s="135"/>
      <c r="AZ1094" s="80"/>
      <c r="BA1094" s="79"/>
      <c r="BB1094" s="79"/>
      <c r="BC1094" s="80"/>
      <c r="BD1094" s="80"/>
      <c r="BE1094" s="239"/>
      <c r="BF1094" s="239"/>
      <c r="BG1094" s="239"/>
      <c r="BH1094" s="239"/>
      <c r="BI1094" s="239"/>
      <c r="BJ1094" s="240"/>
      <c r="BK1094" s="235"/>
    </row>
    <row r="1095" spans="1:63" s="605" customFormat="1" ht="131.25">
      <c r="A1095" s="380">
        <v>3</v>
      </c>
      <c r="B1095" s="100" t="s">
        <v>1285</v>
      </c>
      <c r="C1095" s="100" t="s">
        <v>83</v>
      </c>
      <c r="D1095" s="100" t="s">
        <v>3355</v>
      </c>
      <c r="E1095" s="38" t="s">
        <v>250</v>
      </c>
      <c r="F1095" s="318" t="s">
        <v>1286</v>
      </c>
      <c r="G1095" s="318">
        <v>9430000</v>
      </c>
      <c r="H1095" s="160">
        <v>641295</v>
      </c>
      <c r="I1095" s="99" t="s">
        <v>1287</v>
      </c>
      <c r="J1095" s="99" t="s">
        <v>773</v>
      </c>
      <c r="K1095" s="194" t="s">
        <v>4717</v>
      </c>
      <c r="L1095" s="16" t="s">
        <v>180</v>
      </c>
      <c r="M1095" s="191" t="s">
        <v>1249</v>
      </c>
      <c r="N1095" s="83" t="s">
        <v>768</v>
      </c>
      <c r="O1095" s="83" t="s">
        <v>3312</v>
      </c>
      <c r="P1095" s="76">
        <v>5000</v>
      </c>
      <c r="Q1095" s="76">
        <f t="shared" si="145"/>
        <v>5900</v>
      </c>
      <c r="R1095" s="76"/>
      <c r="S1095" s="84"/>
      <c r="T1095" s="110"/>
      <c r="U1095" s="110"/>
      <c r="V1095" s="110"/>
      <c r="W1095" s="110"/>
      <c r="X1095" s="85"/>
      <c r="Y1095" s="76">
        <v>5000</v>
      </c>
      <c r="Z1095" s="76">
        <f t="shared" si="146"/>
        <v>5900</v>
      </c>
      <c r="AA1095" s="36" t="s">
        <v>132</v>
      </c>
      <c r="AB1095" s="36" t="s">
        <v>132</v>
      </c>
      <c r="AC1095" s="76">
        <v>5000</v>
      </c>
      <c r="AD1095" s="76">
        <f t="shared" ref="AD1095:AD1103" si="147">AC1095*1.18</f>
        <v>5900</v>
      </c>
      <c r="AE1095" s="38" t="s">
        <v>173</v>
      </c>
      <c r="AF1095" s="38" t="s">
        <v>83</v>
      </c>
      <c r="AG1095" s="96" t="s">
        <v>83</v>
      </c>
      <c r="AH1095" s="96" t="s">
        <v>90</v>
      </c>
      <c r="AI1095" s="381">
        <v>41625</v>
      </c>
      <c r="AJ1095" s="320">
        <v>41685</v>
      </c>
      <c r="AK1095" s="80"/>
      <c r="AL1095" s="80"/>
      <c r="AM1095" s="80" t="s">
        <v>1287</v>
      </c>
      <c r="AN1095" s="100" t="s">
        <v>171</v>
      </c>
      <c r="AO1095" s="81">
        <v>796</v>
      </c>
      <c r="AP1095" s="79" t="s">
        <v>419</v>
      </c>
      <c r="AQ1095" s="77">
        <v>1</v>
      </c>
      <c r="AR1095" s="101" t="s">
        <v>1176</v>
      </c>
      <c r="AS1095" s="83" t="s">
        <v>547</v>
      </c>
      <c r="AT1095" s="78">
        <v>41705</v>
      </c>
      <c r="AU1095" s="52">
        <v>41705</v>
      </c>
      <c r="AV1095" s="52">
        <v>42004</v>
      </c>
      <c r="AW1095" s="79">
        <v>2014</v>
      </c>
      <c r="AX1095" s="80"/>
      <c r="AY1095" s="135"/>
      <c r="AZ1095" s="80"/>
      <c r="BA1095" s="79"/>
      <c r="BB1095" s="79"/>
      <c r="BC1095" s="80"/>
      <c r="BD1095" s="80"/>
      <c r="BE1095" s="239"/>
      <c r="BF1095" s="239"/>
      <c r="BG1095" s="239"/>
      <c r="BH1095" s="239"/>
      <c r="BI1095" s="239"/>
      <c r="BJ1095" s="240"/>
      <c r="BK1095" s="235"/>
    </row>
    <row r="1096" spans="1:63" s="605" customFormat="1" ht="131.25">
      <c r="A1096" s="380">
        <v>3</v>
      </c>
      <c r="B1096" s="100" t="s">
        <v>1288</v>
      </c>
      <c r="C1096" s="100" t="s">
        <v>83</v>
      </c>
      <c r="D1096" s="100" t="s">
        <v>3355</v>
      </c>
      <c r="E1096" s="38" t="s">
        <v>250</v>
      </c>
      <c r="F1096" s="318" t="s">
        <v>1286</v>
      </c>
      <c r="G1096" s="318">
        <v>9430000</v>
      </c>
      <c r="H1096" s="160">
        <v>641297</v>
      </c>
      <c r="I1096" s="99" t="s">
        <v>1289</v>
      </c>
      <c r="J1096" s="99" t="s">
        <v>773</v>
      </c>
      <c r="K1096" s="194" t="s">
        <v>4717</v>
      </c>
      <c r="L1096" s="16" t="s">
        <v>180</v>
      </c>
      <c r="M1096" s="191" t="s">
        <v>1249</v>
      </c>
      <c r="N1096" s="83" t="s">
        <v>768</v>
      </c>
      <c r="O1096" s="83" t="s">
        <v>3312</v>
      </c>
      <c r="P1096" s="76">
        <v>45338</v>
      </c>
      <c r="Q1096" s="76">
        <f t="shared" si="145"/>
        <v>53498.84</v>
      </c>
      <c r="R1096" s="23"/>
      <c r="S1096" s="29"/>
      <c r="T1096" s="38"/>
      <c r="U1096" s="38"/>
      <c r="V1096" s="38"/>
      <c r="W1096" s="38"/>
      <c r="X1096" s="38"/>
      <c r="Y1096" s="76">
        <v>45338</v>
      </c>
      <c r="Z1096" s="76">
        <f t="shared" si="146"/>
        <v>53498.84</v>
      </c>
      <c r="AA1096" s="36" t="s">
        <v>132</v>
      </c>
      <c r="AB1096" s="36" t="s">
        <v>132</v>
      </c>
      <c r="AC1096" s="76">
        <v>45338</v>
      </c>
      <c r="AD1096" s="76">
        <f t="shared" si="147"/>
        <v>53498.84</v>
      </c>
      <c r="AE1096" s="38" t="s">
        <v>169</v>
      </c>
      <c r="AF1096" s="38" t="s">
        <v>83</v>
      </c>
      <c r="AG1096" s="96" t="s">
        <v>83</v>
      </c>
      <c r="AH1096" s="96" t="s">
        <v>90</v>
      </c>
      <c r="AI1096" s="381">
        <v>41625</v>
      </c>
      <c r="AJ1096" s="320">
        <v>41685</v>
      </c>
      <c r="AK1096" s="80"/>
      <c r="AL1096" s="80"/>
      <c r="AM1096" s="80" t="s">
        <v>1289</v>
      </c>
      <c r="AN1096" s="100" t="s">
        <v>171</v>
      </c>
      <c r="AO1096" s="81">
        <v>796</v>
      </c>
      <c r="AP1096" s="79" t="s">
        <v>419</v>
      </c>
      <c r="AQ1096" s="77">
        <v>1</v>
      </c>
      <c r="AR1096" s="101" t="s">
        <v>1176</v>
      </c>
      <c r="AS1096" s="83" t="s">
        <v>547</v>
      </c>
      <c r="AT1096" s="78">
        <v>41705</v>
      </c>
      <c r="AU1096" s="52">
        <v>41705</v>
      </c>
      <c r="AV1096" s="52">
        <v>42004</v>
      </c>
      <c r="AW1096" s="79">
        <v>2014</v>
      </c>
      <c r="AX1096" s="80"/>
      <c r="AY1096" s="135"/>
      <c r="AZ1096" s="80"/>
      <c r="BA1096" s="79"/>
      <c r="BB1096" s="79"/>
      <c r="BC1096" s="80"/>
      <c r="BD1096" s="80"/>
      <c r="BE1096" s="239"/>
      <c r="BF1096" s="239"/>
      <c r="BG1096" s="239"/>
      <c r="BH1096" s="239"/>
      <c r="BI1096" s="239"/>
      <c r="BJ1096" s="240"/>
      <c r="BK1096" s="235"/>
    </row>
    <row r="1097" spans="1:63" s="605" customFormat="1" ht="75">
      <c r="A1097" s="380">
        <v>3</v>
      </c>
      <c r="B1097" s="100" t="s">
        <v>1293</v>
      </c>
      <c r="C1097" s="100" t="s">
        <v>83</v>
      </c>
      <c r="D1097" s="100" t="s">
        <v>3357</v>
      </c>
      <c r="E1097" s="38" t="s">
        <v>250</v>
      </c>
      <c r="F1097" s="318" t="s">
        <v>816</v>
      </c>
      <c r="G1097" s="318">
        <v>9430000</v>
      </c>
      <c r="H1097" s="160">
        <v>641340</v>
      </c>
      <c r="I1097" s="99" t="s">
        <v>1294</v>
      </c>
      <c r="J1097" s="99" t="s">
        <v>813</v>
      </c>
      <c r="K1097" s="194" t="s">
        <v>4717</v>
      </c>
      <c r="L1097" s="16" t="s">
        <v>180</v>
      </c>
      <c r="M1097" s="191" t="s">
        <v>1249</v>
      </c>
      <c r="N1097" s="83" t="s">
        <v>768</v>
      </c>
      <c r="O1097" s="83" t="s">
        <v>3312</v>
      </c>
      <c r="P1097" s="76">
        <v>5000</v>
      </c>
      <c r="Q1097" s="76">
        <f t="shared" si="145"/>
        <v>5900</v>
      </c>
      <c r="R1097" s="76"/>
      <c r="S1097" s="84"/>
      <c r="T1097" s="110"/>
      <c r="U1097" s="110"/>
      <c r="V1097" s="110"/>
      <c r="W1097" s="110"/>
      <c r="X1097" s="85"/>
      <c r="Y1097" s="76">
        <v>5000</v>
      </c>
      <c r="Z1097" s="76">
        <f t="shared" si="146"/>
        <v>5900</v>
      </c>
      <c r="AA1097" s="36" t="s">
        <v>132</v>
      </c>
      <c r="AB1097" s="36" t="s">
        <v>132</v>
      </c>
      <c r="AC1097" s="76">
        <v>5000</v>
      </c>
      <c r="AD1097" s="76">
        <f t="shared" si="147"/>
        <v>5900</v>
      </c>
      <c r="AE1097" s="38" t="s">
        <v>173</v>
      </c>
      <c r="AF1097" s="38" t="s">
        <v>83</v>
      </c>
      <c r="AG1097" s="96" t="s">
        <v>83</v>
      </c>
      <c r="AH1097" s="96" t="s">
        <v>90</v>
      </c>
      <c r="AI1097" s="381">
        <v>41625</v>
      </c>
      <c r="AJ1097" s="320">
        <v>41685</v>
      </c>
      <c r="AK1097" s="80"/>
      <c r="AL1097" s="80"/>
      <c r="AM1097" s="80" t="s">
        <v>1294</v>
      </c>
      <c r="AN1097" s="100" t="s">
        <v>171</v>
      </c>
      <c r="AO1097" s="82">
        <v>6</v>
      </c>
      <c r="AP1097" s="79" t="s">
        <v>717</v>
      </c>
      <c r="AQ1097" s="77">
        <v>1</v>
      </c>
      <c r="AR1097" s="101" t="s">
        <v>1176</v>
      </c>
      <c r="AS1097" s="83" t="s">
        <v>547</v>
      </c>
      <c r="AT1097" s="78">
        <v>41705</v>
      </c>
      <c r="AU1097" s="52">
        <v>41705</v>
      </c>
      <c r="AV1097" s="52">
        <v>42004</v>
      </c>
      <c r="AW1097" s="79">
        <v>2014</v>
      </c>
      <c r="AX1097" s="80" t="s">
        <v>4174</v>
      </c>
      <c r="AY1097" s="135"/>
      <c r="AZ1097" s="80"/>
      <c r="BA1097" s="79"/>
      <c r="BB1097" s="79"/>
      <c r="BC1097" s="80"/>
      <c r="BD1097" s="80"/>
      <c r="BE1097" s="239"/>
      <c r="BF1097" s="239"/>
      <c r="BG1097" s="239"/>
      <c r="BH1097" s="239"/>
      <c r="BI1097" s="239"/>
      <c r="BJ1097" s="240"/>
      <c r="BK1097" s="80"/>
    </row>
    <row r="1098" spans="1:63" s="605" customFormat="1" ht="93.75">
      <c r="A1098" s="380">
        <v>3</v>
      </c>
      <c r="B1098" s="100" t="s">
        <v>1295</v>
      </c>
      <c r="C1098" s="100" t="s">
        <v>83</v>
      </c>
      <c r="D1098" s="100" t="s">
        <v>3357</v>
      </c>
      <c r="E1098" s="38" t="s">
        <v>250</v>
      </c>
      <c r="F1098" s="318" t="s">
        <v>1296</v>
      </c>
      <c r="G1098" s="318">
        <v>9430000</v>
      </c>
      <c r="H1098" s="160">
        <v>641342</v>
      </c>
      <c r="I1098" s="99" t="s">
        <v>1297</v>
      </c>
      <c r="J1098" s="99" t="s">
        <v>1298</v>
      </c>
      <c r="K1098" s="194" t="s">
        <v>4717</v>
      </c>
      <c r="L1098" s="16" t="s">
        <v>180</v>
      </c>
      <c r="M1098" s="191" t="s">
        <v>1249</v>
      </c>
      <c r="N1098" s="83" t="s">
        <v>768</v>
      </c>
      <c r="O1098" s="83" t="s">
        <v>3312</v>
      </c>
      <c r="P1098" s="76">
        <v>23420.515090000001</v>
      </c>
      <c r="Q1098" s="76">
        <f t="shared" si="145"/>
        <v>27636.2078062</v>
      </c>
      <c r="R1098" s="76"/>
      <c r="S1098" s="84"/>
      <c r="T1098" s="110"/>
      <c r="U1098" s="110"/>
      <c r="V1098" s="110"/>
      <c r="W1098" s="110"/>
      <c r="X1098" s="85"/>
      <c r="Y1098" s="76">
        <v>23420.515090000001</v>
      </c>
      <c r="Z1098" s="76">
        <f t="shared" si="146"/>
        <v>27636.2078062</v>
      </c>
      <c r="AA1098" s="36" t="s">
        <v>132</v>
      </c>
      <c r="AB1098" s="36" t="s">
        <v>132</v>
      </c>
      <c r="AC1098" s="76">
        <v>23420.515090000001</v>
      </c>
      <c r="AD1098" s="76">
        <f t="shared" si="147"/>
        <v>27636.2078062</v>
      </c>
      <c r="AE1098" s="38" t="s">
        <v>169</v>
      </c>
      <c r="AF1098" s="38" t="s">
        <v>83</v>
      </c>
      <c r="AG1098" s="96" t="s">
        <v>83</v>
      </c>
      <c r="AH1098" s="96" t="s">
        <v>90</v>
      </c>
      <c r="AI1098" s="97">
        <v>41560</v>
      </c>
      <c r="AJ1098" s="78">
        <v>41620</v>
      </c>
      <c r="AK1098" s="80"/>
      <c r="AL1098" s="80"/>
      <c r="AM1098" s="80" t="s">
        <v>1297</v>
      </c>
      <c r="AN1098" s="100" t="s">
        <v>171</v>
      </c>
      <c r="AO1098" s="81">
        <v>796</v>
      </c>
      <c r="AP1098" s="79" t="s">
        <v>419</v>
      </c>
      <c r="AQ1098" s="77">
        <v>1</v>
      </c>
      <c r="AR1098" s="101" t="s">
        <v>1176</v>
      </c>
      <c r="AS1098" s="83" t="s">
        <v>547</v>
      </c>
      <c r="AT1098" s="78">
        <v>41640</v>
      </c>
      <c r="AU1098" s="51">
        <v>41640</v>
      </c>
      <c r="AV1098" s="52">
        <v>42004</v>
      </c>
      <c r="AW1098" s="79">
        <v>2014</v>
      </c>
      <c r="AX1098" s="80"/>
      <c r="AY1098" s="135"/>
      <c r="AZ1098" s="80"/>
      <c r="BA1098" s="79"/>
      <c r="BB1098" s="79"/>
      <c r="BC1098" s="80"/>
      <c r="BD1098" s="80"/>
      <c r="BE1098" s="239"/>
      <c r="BF1098" s="239"/>
      <c r="BG1098" s="239"/>
      <c r="BH1098" s="239"/>
      <c r="BI1098" s="239"/>
      <c r="BJ1098" s="240"/>
      <c r="BK1098" s="239"/>
    </row>
    <row r="1099" spans="1:63" s="605" customFormat="1" ht="75">
      <c r="A1099" s="380">
        <v>3</v>
      </c>
      <c r="B1099" s="100" t="s">
        <v>1299</v>
      </c>
      <c r="C1099" s="100" t="s">
        <v>83</v>
      </c>
      <c r="D1099" s="100" t="s">
        <v>3357</v>
      </c>
      <c r="E1099" s="38" t="s">
        <v>250</v>
      </c>
      <c r="F1099" s="318" t="s">
        <v>816</v>
      </c>
      <c r="G1099" s="318">
        <v>9430000</v>
      </c>
      <c r="H1099" s="160">
        <v>641341</v>
      </c>
      <c r="I1099" s="99" t="s">
        <v>1300</v>
      </c>
      <c r="J1099" s="99" t="s">
        <v>1301</v>
      </c>
      <c r="K1099" s="194" t="s">
        <v>4717</v>
      </c>
      <c r="L1099" s="16" t="s">
        <v>180</v>
      </c>
      <c r="M1099" s="191" t="s">
        <v>1249</v>
      </c>
      <c r="N1099" s="83" t="s">
        <v>768</v>
      </c>
      <c r="O1099" s="83" t="s">
        <v>3312</v>
      </c>
      <c r="P1099" s="76">
        <v>36109.150079999999</v>
      </c>
      <c r="Q1099" s="76">
        <f t="shared" si="145"/>
        <v>42608.797094399997</v>
      </c>
      <c r="R1099" s="76">
        <v>38718.660000000003</v>
      </c>
      <c r="S1099" s="29" t="s">
        <v>974</v>
      </c>
      <c r="T1099" s="110">
        <v>1.0840000000000001</v>
      </c>
      <c r="U1099" s="110">
        <v>1.0509999999999999</v>
      </c>
      <c r="V1099" s="110">
        <v>1.0669999999999999</v>
      </c>
      <c r="W1099" s="110">
        <v>1.0529999999999999</v>
      </c>
      <c r="X1099" s="319">
        <v>0.9</v>
      </c>
      <c r="Y1099" s="76">
        <v>44605.41</v>
      </c>
      <c r="Z1099" s="76">
        <f t="shared" si="146"/>
        <v>52634.383800000003</v>
      </c>
      <c r="AA1099" s="36" t="s">
        <v>132</v>
      </c>
      <c r="AB1099" s="36" t="s">
        <v>132</v>
      </c>
      <c r="AC1099" s="76">
        <v>36109.150079999999</v>
      </c>
      <c r="AD1099" s="76">
        <f t="shared" si="147"/>
        <v>42608.797094399997</v>
      </c>
      <c r="AE1099" s="38" t="s">
        <v>169</v>
      </c>
      <c r="AF1099" s="38" t="s">
        <v>83</v>
      </c>
      <c r="AG1099" s="96" t="s">
        <v>83</v>
      </c>
      <c r="AH1099" s="96" t="s">
        <v>90</v>
      </c>
      <c r="AI1099" s="97">
        <v>41560</v>
      </c>
      <c r="AJ1099" s="78">
        <v>41620</v>
      </c>
      <c r="AK1099" s="80"/>
      <c r="AL1099" s="80"/>
      <c r="AM1099" s="80" t="s">
        <v>1300</v>
      </c>
      <c r="AN1099" s="100" t="s">
        <v>171</v>
      </c>
      <c r="AO1099" s="81">
        <v>796</v>
      </c>
      <c r="AP1099" s="79" t="s">
        <v>419</v>
      </c>
      <c r="AQ1099" s="77">
        <v>1</v>
      </c>
      <c r="AR1099" s="101" t="s">
        <v>1176</v>
      </c>
      <c r="AS1099" s="83" t="s">
        <v>547</v>
      </c>
      <c r="AT1099" s="78">
        <v>41640</v>
      </c>
      <c r="AU1099" s="51">
        <v>41640</v>
      </c>
      <c r="AV1099" s="52">
        <v>42004</v>
      </c>
      <c r="AW1099" s="79">
        <v>2014</v>
      </c>
      <c r="AX1099" s="80"/>
      <c r="AY1099" s="135"/>
      <c r="AZ1099" s="80"/>
      <c r="BA1099" s="79"/>
      <c r="BB1099" s="79"/>
      <c r="BC1099" s="80"/>
      <c r="BD1099" s="80"/>
      <c r="BE1099" s="239"/>
      <c r="BF1099" s="239"/>
      <c r="BG1099" s="239"/>
      <c r="BH1099" s="239"/>
      <c r="BI1099" s="239"/>
      <c r="BJ1099" s="240"/>
      <c r="BK1099" s="235"/>
    </row>
    <row r="1100" spans="1:63" s="605" customFormat="1" ht="93.75">
      <c r="A1100" s="380">
        <v>3</v>
      </c>
      <c r="B1100" s="100" t="s">
        <v>1302</v>
      </c>
      <c r="C1100" s="100" t="s">
        <v>83</v>
      </c>
      <c r="D1100" s="100" t="s">
        <v>3357</v>
      </c>
      <c r="E1100" s="38" t="s">
        <v>250</v>
      </c>
      <c r="F1100" s="318" t="s">
        <v>816</v>
      </c>
      <c r="G1100" s="318">
        <v>9430000</v>
      </c>
      <c r="H1100" s="160">
        <v>641343</v>
      </c>
      <c r="I1100" s="99" t="s">
        <v>1303</v>
      </c>
      <c r="J1100" s="99" t="s">
        <v>1304</v>
      </c>
      <c r="K1100" s="194" t="s">
        <v>4717</v>
      </c>
      <c r="L1100" s="16" t="s">
        <v>180</v>
      </c>
      <c r="M1100" s="191" t="s">
        <v>1249</v>
      </c>
      <c r="N1100" s="83" t="s">
        <v>768</v>
      </c>
      <c r="O1100" s="83" t="s">
        <v>3312</v>
      </c>
      <c r="P1100" s="76">
        <v>5000</v>
      </c>
      <c r="Q1100" s="76">
        <f t="shared" si="145"/>
        <v>5900</v>
      </c>
      <c r="R1100" s="76"/>
      <c r="S1100" s="84"/>
      <c r="T1100" s="110"/>
      <c r="U1100" s="110"/>
      <c r="V1100" s="110"/>
      <c r="W1100" s="110"/>
      <c r="X1100" s="85"/>
      <c r="Y1100" s="76">
        <v>5000</v>
      </c>
      <c r="Z1100" s="76">
        <f t="shared" si="146"/>
        <v>5900</v>
      </c>
      <c r="AA1100" s="36" t="s">
        <v>132</v>
      </c>
      <c r="AB1100" s="36" t="s">
        <v>132</v>
      </c>
      <c r="AC1100" s="76">
        <v>5000</v>
      </c>
      <c r="AD1100" s="76">
        <f t="shared" si="147"/>
        <v>5900</v>
      </c>
      <c r="AE1100" s="38" t="s">
        <v>173</v>
      </c>
      <c r="AF1100" s="38" t="s">
        <v>83</v>
      </c>
      <c r="AG1100" s="96" t="s">
        <v>83</v>
      </c>
      <c r="AH1100" s="96" t="s">
        <v>90</v>
      </c>
      <c r="AI1100" s="381">
        <v>41625</v>
      </c>
      <c r="AJ1100" s="320">
        <v>41685</v>
      </c>
      <c r="AK1100" s="80"/>
      <c r="AL1100" s="80"/>
      <c r="AM1100" s="80" t="s">
        <v>1303</v>
      </c>
      <c r="AN1100" s="100" t="s">
        <v>171</v>
      </c>
      <c r="AO1100" s="81">
        <v>796</v>
      </c>
      <c r="AP1100" s="79" t="s">
        <v>419</v>
      </c>
      <c r="AQ1100" s="77">
        <v>1</v>
      </c>
      <c r="AR1100" s="101" t="s">
        <v>1176</v>
      </c>
      <c r="AS1100" s="83" t="s">
        <v>547</v>
      </c>
      <c r="AT1100" s="78">
        <v>41705</v>
      </c>
      <c r="AU1100" s="52">
        <v>41705</v>
      </c>
      <c r="AV1100" s="52">
        <v>42004</v>
      </c>
      <c r="AW1100" s="79">
        <v>2014</v>
      </c>
      <c r="AX1100" s="80"/>
      <c r="AY1100" s="135"/>
      <c r="AZ1100" s="80"/>
      <c r="BA1100" s="79"/>
      <c r="BB1100" s="79"/>
      <c r="BC1100" s="80"/>
      <c r="BD1100" s="80"/>
      <c r="BE1100" s="239"/>
      <c r="BF1100" s="239"/>
      <c r="BG1100" s="239"/>
      <c r="BH1100" s="239"/>
      <c r="BI1100" s="239"/>
      <c r="BJ1100" s="240"/>
      <c r="BK1100" s="235"/>
    </row>
    <row r="1101" spans="1:63" s="605" customFormat="1" ht="75">
      <c r="A1101" s="380">
        <v>3</v>
      </c>
      <c r="B1101" s="100" t="s">
        <v>1305</v>
      </c>
      <c r="C1101" s="100" t="s">
        <v>83</v>
      </c>
      <c r="D1101" s="100" t="s">
        <v>3357</v>
      </c>
      <c r="E1101" s="38" t="s">
        <v>250</v>
      </c>
      <c r="F1101" s="318" t="s">
        <v>816</v>
      </c>
      <c r="G1101" s="318">
        <v>9430000</v>
      </c>
      <c r="H1101" s="160">
        <v>641344</v>
      </c>
      <c r="I1101" s="99" t="s">
        <v>1306</v>
      </c>
      <c r="J1101" s="99" t="s">
        <v>1307</v>
      </c>
      <c r="K1101" s="194" t="s">
        <v>4717</v>
      </c>
      <c r="L1101" s="16" t="s">
        <v>180</v>
      </c>
      <c r="M1101" s="191" t="s">
        <v>1249</v>
      </c>
      <c r="N1101" s="83" t="s">
        <v>768</v>
      </c>
      <c r="O1101" s="83" t="s">
        <v>3312</v>
      </c>
      <c r="P1101" s="76">
        <v>29416.472740000001</v>
      </c>
      <c r="Q1101" s="76">
        <f t="shared" si="145"/>
        <v>34711.437833199998</v>
      </c>
      <c r="R1101" s="76">
        <v>26814.2</v>
      </c>
      <c r="S1101" s="29" t="s">
        <v>974</v>
      </c>
      <c r="T1101" s="110">
        <v>1.0840000000000001</v>
      </c>
      <c r="U1101" s="110">
        <v>1.0509999999999999</v>
      </c>
      <c r="V1101" s="110">
        <v>1.0669999999999999</v>
      </c>
      <c r="W1101" s="110">
        <v>1.0529999999999999</v>
      </c>
      <c r="X1101" s="319">
        <v>0.9</v>
      </c>
      <c r="Y1101" s="76">
        <v>30891</v>
      </c>
      <c r="Z1101" s="76">
        <f t="shared" si="146"/>
        <v>36451.379999999997</v>
      </c>
      <c r="AA1101" s="36" t="s">
        <v>132</v>
      </c>
      <c r="AB1101" s="36" t="s">
        <v>132</v>
      </c>
      <c r="AC1101" s="76">
        <v>29416.472740000001</v>
      </c>
      <c r="AD1101" s="76">
        <f t="shared" si="147"/>
        <v>34711.437833199998</v>
      </c>
      <c r="AE1101" s="38" t="s">
        <v>169</v>
      </c>
      <c r="AF1101" s="38" t="s">
        <v>83</v>
      </c>
      <c r="AG1101" s="96" t="s">
        <v>83</v>
      </c>
      <c r="AH1101" s="96" t="s">
        <v>90</v>
      </c>
      <c r="AI1101" s="51">
        <v>41554</v>
      </c>
      <c r="AJ1101" s="51">
        <v>41609</v>
      </c>
      <c r="AK1101" s="80"/>
      <c r="AL1101" s="80"/>
      <c r="AM1101" s="80" t="s">
        <v>1306</v>
      </c>
      <c r="AN1101" s="100" t="s">
        <v>171</v>
      </c>
      <c r="AO1101" s="81">
        <v>796</v>
      </c>
      <c r="AP1101" s="79" t="s">
        <v>419</v>
      </c>
      <c r="AQ1101" s="77">
        <v>1</v>
      </c>
      <c r="AR1101" s="101" t="s">
        <v>1176</v>
      </c>
      <c r="AS1101" s="83" t="s">
        <v>547</v>
      </c>
      <c r="AT1101" s="78">
        <v>41730</v>
      </c>
      <c r="AU1101" s="78">
        <v>41730</v>
      </c>
      <c r="AV1101" s="52">
        <v>42004</v>
      </c>
      <c r="AW1101" s="79">
        <v>2014</v>
      </c>
      <c r="AX1101" s="80"/>
      <c r="AY1101" s="135"/>
      <c r="AZ1101" s="80"/>
      <c r="BA1101" s="79"/>
      <c r="BB1101" s="79"/>
      <c r="BC1101" s="80"/>
      <c r="BD1101" s="80"/>
      <c r="BE1101" s="239"/>
      <c r="BF1101" s="239"/>
      <c r="BG1101" s="239"/>
      <c r="BH1101" s="239"/>
      <c r="BI1101" s="239"/>
      <c r="BJ1101" s="240"/>
      <c r="BK1101" s="239"/>
    </row>
    <row r="1102" spans="1:63" s="605" customFormat="1" ht="75">
      <c r="A1102" s="380">
        <v>3</v>
      </c>
      <c r="B1102" s="100" t="s">
        <v>1308</v>
      </c>
      <c r="C1102" s="100" t="s">
        <v>83</v>
      </c>
      <c r="D1102" s="100" t="s">
        <v>3357</v>
      </c>
      <c r="E1102" s="38" t="s">
        <v>250</v>
      </c>
      <c r="F1102" s="318" t="s">
        <v>816</v>
      </c>
      <c r="G1102" s="318">
        <v>9430000</v>
      </c>
      <c r="H1102" s="160">
        <v>641345</v>
      </c>
      <c r="I1102" s="99" t="s">
        <v>1309</v>
      </c>
      <c r="J1102" s="99" t="s">
        <v>1310</v>
      </c>
      <c r="K1102" s="194" t="s">
        <v>4717</v>
      </c>
      <c r="L1102" s="16" t="s">
        <v>180</v>
      </c>
      <c r="M1102" s="191" t="s">
        <v>1249</v>
      </c>
      <c r="N1102" s="83" t="s">
        <v>768</v>
      </c>
      <c r="O1102" s="83" t="s">
        <v>3312</v>
      </c>
      <c r="P1102" s="85">
        <v>1360</v>
      </c>
      <c r="Q1102" s="85">
        <f t="shared" si="145"/>
        <v>1604.8</v>
      </c>
      <c r="R1102" s="76">
        <v>1239.54</v>
      </c>
      <c r="S1102" s="29" t="s">
        <v>974</v>
      </c>
      <c r="T1102" s="110">
        <v>1.0840000000000001</v>
      </c>
      <c r="U1102" s="110">
        <v>1.0509999999999999</v>
      </c>
      <c r="V1102" s="110">
        <v>1.0669999999999999</v>
      </c>
      <c r="W1102" s="110">
        <v>1.0529999999999999</v>
      </c>
      <c r="X1102" s="319">
        <v>0.9</v>
      </c>
      <c r="Y1102" s="76">
        <v>1428</v>
      </c>
      <c r="Z1102" s="76">
        <f t="shared" si="146"/>
        <v>1685.04</v>
      </c>
      <c r="AA1102" s="36" t="s">
        <v>132</v>
      </c>
      <c r="AB1102" s="36" t="s">
        <v>132</v>
      </c>
      <c r="AC1102" s="76">
        <v>1358.33</v>
      </c>
      <c r="AD1102" s="76">
        <f t="shared" si="147"/>
        <v>1602.8293999999999</v>
      </c>
      <c r="AE1102" s="38" t="s">
        <v>173</v>
      </c>
      <c r="AF1102" s="38" t="s">
        <v>83</v>
      </c>
      <c r="AG1102" s="96" t="s">
        <v>83</v>
      </c>
      <c r="AH1102" s="96" t="s">
        <v>90</v>
      </c>
      <c r="AI1102" s="97">
        <v>41575</v>
      </c>
      <c r="AJ1102" s="78">
        <v>41620</v>
      </c>
      <c r="AK1102" s="80"/>
      <c r="AL1102" s="80"/>
      <c r="AM1102" s="80" t="s">
        <v>1309</v>
      </c>
      <c r="AN1102" s="100" t="s">
        <v>171</v>
      </c>
      <c r="AO1102" s="81">
        <v>796</v>
      </c>
      <c r="AP1102" s="79" t="s">
        <v>419</v>
      </c>
      <c r="AQ1102" s="77">
        <v>4</v>
      </c>
      <c r="AR1102" s="101" t="s">
        <v>1176</v>
      </c>
      <c r="AS1102" s="83" t="s">
        <v>547</v>
      </c>
      <c r="AT1102" s="78">
        <v>41640</v>
      </c>
      <c r="AU1102" s="51">
        <v>41640</v>
      </c>
      <c r="AV1102" s="52">
        <v>42004</v>
      </c>
      <c r="AW1102" s="79">
        <v>2014</v>
      </c>
      <c r="AX1102" s="80"/>
      <c r="AY1102" s="135"/>
      <c r="AZ1102" s="80"/>
      <c r="BA1102" s="79"/>
      <c r="BB1102" s="79"/>
      <c r="BC1102" s="80"/>
      <c r="BD1102" s="80"/>
      <c r="BE1102" s="239"/>
      <c r="BF1102" s="239"/>
      <c r="BG1102" s="239"/>
      <c r="BH1102" s="239"/>
      <c r="BI1102" s="239"/>
      <c r="BJ1102" s="240"/>
      <c r="BK1102" s="239"/>
    </row>
    <row r="1103" spans="1:63" s="605" customFormat="1" ht="75">
      <c r="A1103" s="380">
        <v>3</v>
      </c>
      <c r="B1103" s="100" t="s">
        <v>1311</v>
      </c>
      <c r="C1103" s="100" t="s">
        <v>83</v>
      </c>
      <c r="D1103" s="100" t="s">
        <v>3357</v>
      </c>
      <c r="E1103" s="38" t="s">
        <v>250</v>
      </c>
      <c r="F1103" s="318" t="s">
        <v>816</v>
      </c>
      <c r="G1103" s="318">
        <v>9430000</v>
      </c>
      <c r="H1103" s="160">
        <v>641346</v>
      </c>
      <c r="I1103" s="99" t="s">
        <v>1312</v>
      </c>
      <c r="J1103" s="99" t="s">
        <v>1313</v>
      </c>
      <c r="K1103" s="194" t="s">
        <v>4717</v>
      </c>
      <c r="L1103" s="16" t="s">
        <v>180</v>
      </c>
      <c r="M1103" s="191" t="s">
        <v>1249</v>
      </c>
      <c r="N1103" s="83" t="s">
        <v>768</v>
      </c>
      <c r="O1103" s="83" t="s">
        <v>3312</v>
      </c>
      <c r="P1103" s="85">
        <v>7294.6958199999999</v>
      </c>
      <c r="Q1103" s="85">
        <f t="shared" si="145"/>
        <v>8607.7410676</v>
      </c>
      <c r="R1103" s="76">
        <v>6648.86</v>
      </c>
      <c r="S1103" s="29" t="s">
        <v>974</v>
      </c>
      <c r="T1103" s="110">
        <v>1.0840000000000001</v>
      </c>
      <c r="U1103" s="110">
        <v>1.0509999999999999</v>
      </c>
      <c r="V1103" s="110">
        <v>1.0669999999999999</v>
      </c>
      <c r="W1103" s="110">
        <v>1.0529999999999999</v>
      </c>
      <c r="X1103" s="319">
        <v>0.9</v>
      </c>
      <c r="Y1103" s="76">
        <v>7659.75</v>
      </c>
      <c r="Z1103" s="76">
        <f t="shared" si="146"/>
        <v>9038.5049999999992</v>
      </c>
      <c r="AA1103" s="36" t="s">
        <v>132</v>
      </c>
      <c r="AB1103" s="36" t="s">
        <v>132</v>
      </c>
      <c r="AC1103" s="85">
        <v>7294.6958199999999</v>
      </c>
      <c r="AD1103" s="34">
        <f t="shared" si="147"/>
        <v>8607.7410676</v>
      </c>
      <c r="AE1103" s="38" t="s">
        <v>173</v>
      </c>
      <c r="AF1103" s="38" t="s">
        <v>83</v>
      </c>
      <c r="AG1103" s="96" t="s">
        <v>83</v>
      </c>
      <c r="AH1103" s="96" t="s">
        <v>90</v>
      </c>
      <c r="AI1103" s="97">
        <v>41560</v>
      </c>
      <c r="AJ1103" s="78">
        <v>41620</v>
      </c>
      <c r="AK1103" s="80"/>
      <c r="AL1103" s="80"/>
      <c r="AM1103" s="80" t="s">
        <v>1312</v>
      </c>
      <c r="AN1103" s="100" t="s">
        <v>171</v>
      </c>
      <c r="AO1103" s="81">
        <v>796</v>
      </c>
      <c r="AP1103" s="79" t="s">
        <v>419</v>
      </c>
      <c r="AQ1103" s="77">
        <v>25</v>
      </c>
      <c r="AR1103" s="101" t="s">
        <v>1176</v>
      </c>
      <c r="AS1103" s="83" t="s">
        <v>547</v>
      </c>
      <c r="AT1103" s="78">
        <v>41640</v>
      </c>
      <c r="AU1103" s="51">
        <v>41640</v>
      </c>
      <c r="AV1103" s="52">
        <v>42004</v>
      </c>
      <c r="AW1103" s="79">
        <v>2014</v>
      </c>
      <c r="AX1103" s="80"/>
      <c r="AY1103" s="135"/>
      <c r="AZ1103" s="80"/>
      <c r="BA1103" s="79"/>
      <c r="BB1103" s="79"/>
      <c r="BC1103" s="80"/>
      <c r="BD1103" s="80"/>
      <c r="BE1103" s="239"/>
      <c r="BF1103" s="239"/>
      <c r="BG1103" s="239"/>
      <c r="BH1103" s="239"/>
      <c r="BI1103" s="239"/>
      <c r="BJ1103" s="240"/>
      <c r="BK1103" s="239"/>
    </row>
    <row r="1104" spans="1:63" s="605" customFormat="1" ht="75">
      <c r="A1104" s="380">
        <v>3</v>
      </c>
      <c r="B1104" s="100" t="s">
        <v>1314</v>
      </c>
      <c r="C1104" s="100" t="s">
        <v>83</v>
      </c>
      <c r="D1104" s="100" t="s">
        <v>3357</v>
      </c>
      <c r="E1104" s="38" t="s">
        <v>250</v>
      </c>
      <c r="F1104" s="318" t="s">
        <v>816</v>
      </c>
      <c r="G1104" s="318">
        <v>9430000</v>
      </c>
      <c r="H1104" s="160">
        <v>641347</v>
      </c>
      <c r="I1104" s="99" t="s">
        <v>1315</v>
      </c>
      <c r="J1104" s="99" t="s">
        <v>984</v>
      </c>
      <c r="K1104" s="194" t="s">
        <v>4717</v>
      </c>
      <c r="L1104" s="16" t="s">
        <v>180</v>
      </c>
      <c r="M1104" s="191" t="s">
        <v>1249</v>
      </c>
      <c r="N1104" s="83" t="s">
        <v>768</v>
      </c>
      <c r="O1104" s="83" t="s">
        <v>3312</v>
      </c>
      <c r="P1104" s="85">
        <v>1050</v>
      </c>
      <c r="Q1104" s="85">
        <f t="shared" si="145"/>
        <v>1239</v>
      </c>
      <c r="R1104" s="76">
        <v>957</v>
      </c>
      <c r="S1104" s="29" t="s">
        <v>974</v>
      </c>
      <c r="T1104" s="110">
        <v>1.0840000000000001</v>
      </c>
      <c r="U1104" s="110">
        <v>1.0509999999999999</v>
      </c>
      <c r="V1104" s="110">
        <v>1.0669999999999999</v>
      </c>
      <c r="W1104" s="110">
        <v>1.0529999999999999</v>
      </c>
      <c r="X1104" s="319">
        <v>0.9</v>
      </c>
      <c r="Y1104" s="76">
        <v>1102.5</v>
      </c>
      <c r="Z1104" s="76">
        <f t="shared" si="146"/>
        <v>1300.9499999999998</v>
      </c>
      <c r="AA1104" s="36" t="s">
        <v>132</v>
      </c>
      <c r="AB1104" s="36" t="s">
        <v>132</v>
      </c>
      <c r="AC1104" s="76">
        <v>1050</v>
      </c>
      <c r="AD1104" s="76">
        <v>1239</v>
      </c>
      <c r="AE1104" s="38" t="s">
        <v>173</v>
      </c>
      <c r="AF1104" s="38" t="s">
        <v>83</v>
      </c>
      <c r="AG1104" s="96" t="s">
        <v>83</v>
      </c>
      <c r="AH1104" s="96" t="s">
        <v>90</v>
      </c>
      <c r="AI1104" s="52">
        <v>41665</v>
      </c>
      <c r="AJ1104" s="78">
        <v>41710</v>
      </c>
      <c r="AK1104" s="80"/>
      <c r="AL1104" s="80"/>
      <c r="AM1104" s="80" t="s">
        <v>1315</v>
      </c>
      <c r="AN1104" s="100" t="s">
        <v>171</v>
      </c>
      <c r="AO1104" s="81">
        <v>796</v>
      </c>
      <c r="AP1104" s="79" t="s">
        <v>419</v>
      </c>
      <c r="AQ1104" s="77">
        <v>5</v>
      </c>
      <c r="AR1104" s="101" t="s">
        <v>1176</v>
      </c>
      <c r="AS1104" s="83" t="s">
        <v>547</v>
      </c>
      <c r="AT1104" s="78">
        <v>41730</v>
      </c>
      <c r="AU1104" s="78">
        <v>41730</v>
      </c>
      <c r="AV1104" s="52">
        <v>42004</v>
      </c>
      <c r="AW1104" s="79">
        <v>2014</v>
      </c>
      <c r="AX1104" s="80"/>
      <c r="AY1104" s="135"/>
      <c r="AZ1104" s="80"/>
      <c r="BA1104" s="79"/>
      <c r="BB1104" s="79"/>
      <c r="BC1104" s="80"/>
      <c r="BD1104" s="80"/>
      <c r="BE1104" s="239"/>
      <c r="BF1104" s="239"/>
      <c r="BG1104" s="239"/>
      <c r="BH1104" s="239"/>
      <c r="BI1104" s="239"/>
      <c r="BJ1104" s="240"/>
      <c r="BK1104" s="239"/>
    </row>
    <row r="1105" spans="1:63" s="605" customFormat="1" ht="75">
      <c r="A1105" s="380">
        <v>3</v>
      </c>
      <c r="B1105" s="96" t="s">
        <v>1316</v>
      </c>
      <c r="C1105" s="100" t="s">
        <v>83</v>
      </c>
      <c r="D1105" s="100" t="s">
        <v>3357</v>
      </c>
      <c r="E1105" s="38" t="s">
        <v>250</v>
      </c>
      <c r="F1105" s="318" t="s">
        <v>816</v>
      </c>
      <c r="G1105" s="318">
        <v>9430000</v>
      </c>
      <c r="H1105" s="160">
        <v>641348</v>
      </c>
      <c r="I1105" s="99" t="s">
        <v>1317</v>
      </c>
      <c r="J1105" s="99" t="s">
        <v>1318</v>
      </c>
      <c r="K1105" s="194" t="s">
        <v>4717</v>
      </c>
      <c r="L1105" s="16" t="s">
        <v>180</v>
      </c>
      <c r="M1105" s="191" t="s">
        <v>1249</v>
      </c>
      <c r="N1105" s="83" t="s">
        <v>768</v>
      </c>
      <c r="O1105" s="83" t="s">
        <v>3312</v>
      </c>
      <c r="P1105" s="85">
        <v>5052.3686600000001</v>
      </c>
      <c r="Q1105" s="85">
        <f t="shared" si="145"/>
        <v>5961.7950187999995</v>
      </c>
      <c r="R1105" s="76">
        <v>4604.87</v>
      </c>
      <c r="S1105" s="29" t="s">
        <v>974</v>
      </c>
      <c r="T1105" s="110">
        <v>1.0840000000000001</v>
      </c>
      <c r="U1105" s="110">
        <v>1.0509999999999999</v>
      </c>
      <c r="V1105" s="110">
        <v>1.0669999999999999</v>
      </c>
      <c r="W1105" s="110">
        <v>1.0529999999999999</v>
      </c>
      <c r="X1105" s="319">
        <v>0.9</v>
      </c>
      <c r="Y1105" s="76">
        <v>5304.9870899999996</v>
      </c>
      <c r="Z1105" s="76">
        <f t="shared" si="146"/>
        <v>6259.8847661999989</v>
      </c>
      <c r="AA1105" s="36" t="s">
        <v>132</v>
      </c>
      <c r="AB1105" s="36" t="s">
        <v>132</v>
      </c>
      <c r="AC1105" s="76">
        <v>5052.3686600000001</v>
      </c>
      <c r="AD1105" s="34">
        <f>AC1105*1.18</f>
        <v>5961.7950187999995</v>
      </c>
      <c r="AE1105" s="38" t="s">
        <v>173</v>
      </c>
      <c r="AF1105" s="38" t="s">
        <v>83</v>
      </c>
      <c r="AG1105" s="96" t="s">
        <v>83</v>
      </c>
      <c r="AH1105" s="96" t="s">
        <v>90</v>
      </c>
      <c r="AI1105" s="51">
        <v>41554</v>
      </c>
      <c r="AJ1105" s="51">
        <v>41609</v>
      </c>
      <c r="AK1105" s="80"/>
      <c r="AL1105" s="80"/>
      <c r="AM1105" s="80" t="s">
        <v>1317</v>
      </c>
      <c r="AN1105" s="100" t="s">
        <v>171</v>
      </c>
      <c r="AO1105" s="81">
        <v>796</v>
      </c>
      <c r="AP1105" s="79" t="s">
        <v>419</v>
      </c>
      <c r="AQ1105" s="77">
        <v>12</v>
      </c>
      <c r="AR1105" s="101" t="s">
        <v>1176</v>
      </c>
      <c r="AS1105" s="83" t="s">
        <v>547</v>
      </c>
      <c r="AT1105" s="78">
        <v>41730</v>
      </c>
      <c r="AU1105" s="78">
        <v>41730</v>
      </c>
      <c r="AV1105" s="52">
        <v>42004</v>
      </c>
      <c r="AW1105" s="79">
        <v>2014</v>
      </c>
      <c r="AX1105" s="80"/>
      <c r="AY1105" s="135"/>
      <c r="AZ1105" s="80"/>
      <c r="BA1105" s="79"/>
      <c r="BB1105" s="79"/>
      <c r="BC1105" s="80"/>
      <c r="BD1105" s="80"/>
      <c r="BE1105" s="239"/>
      <c r="BF1105" s="239"/>
      <c r="BG1105" s="239"/>
      <c r="BH1105" s="239"/>
      <c r="BI1105" s="239"/>
      <c r="BJ1105" s="240"/>
      <c r="BK1105" s="239"/>
    </row>
    <row r="1106" spans="1:63" s="605" customFormat="1" ht="75">
      <c r="A1106" s="380">
        <v>3</v>
      </c>
      <c r="B1106" s="100" t="s">
        <v>1319</v>
      </c>
      <c r="C1106" s="100" t="s">
        <v>83</v>
      </c>
      <c r="D1106" s="100" t="s">
        <v>3357</v>
      </c>
      <c r="E1106" s="38" t="s">
        <v>250</v>
      </c>
      <c r="F1106" s="318" t="s">
        <v>816</v>
      </c>
      <c r="G1106" s="318">
        <v>9430000</v>
      </c>
      <c r="H1106" s="160">
        <v>641349</v>
      </c>
      <c r="I1106" s="99" t="s">
        <v>1320</v>
      </c>
      <c r="J1106" s="99" t="s">
        <v>1321</v>
      </c>
      <c r="K1106" s="194" t="s">
        <v>4717</v>
      </c>
      <c r="L1106" s="16" t="s">
        <v>180</v>
      </c>
      <c r="M1106" s="191" t="s">
        <v>1249</v>
      </c>
      <c r="N1106" s="83" t="s">
        <v>768</v>
      </c>
      <c r="O1106" s="83" t="s">
        <v>3312</v>
      </c>
      <c r="P1106" s="76">
        <v>20000</v>
      </c>
      <c r="Q1106" s="76">
        <f t="shared" si="145"/>
        <v>23600</v>
      </c>
      <c r="R1106" s="76">
        <v>18575.755027761534</v>
      </c>
      <c r="S1106" s="29" t="s">
        <v>974</v>
      </c>
      <c r="T1106" s="110">
        <v>1.0840000000000001</v>
      </c>
      <c r="U1106" s="110">
        <v>1.0509999999999999</v>
      </c>
      <c r="V1106" s="110">
        <v>1.0669999999999999</v>
      </c>
      <c r="W1106" s="110">
        <v>1.0529999999999999</v>
      </c>
      <c r="X1106" s="319">
        <v>0.9</v>
      </c>
      <c r="Y1106" s="76">
        <v>21400</v>
      </c>
      <c r="Z1106" s="76">
        <f t="shared" si="146"/>
        <v>25252</v>
      </c>
      <c r="AA1106" s="36" t="s">
        <v>132</v>
      </c>
      <c r="AB1106" s="36" t="s">
        <v>132</v>
      </c>
      <c r="AC1106" s="76">
        <v>20000</v>
      </c>
      <c r="AD1106" s="76">
        <f t="shared" ref="AD1106" si="148">AC1106*1.18</f>
        <v>23600</v>
      </c>
      <c r="AE1106" s="38" t="s">
        <v>169</v>
      </c>
      <c r="AF1106" s="38" t="s">
        <v>83</v>
      </c>
      <c r="AG1106" s="96" t="s">
        <v>83</v>
      </c>
      <c r="AH1106" s="96" t="s">
        <v>90</v>
      </c>
      <c r="AI1106" s="52">
        <v>41650</v>
      </c>
      <c r="AJ1106" s="78">
        <v>41710</v>
      </c>
      <c r="AK1106" s="80"/>
      <c r="AL1106" s="80"/>
      <c r="AM1106" s="80" t="s">
        <v>1320</v>
      </c>
      <c r="AN1106" s="100" t="s">
        <v>171</v>
      </c>
      <c r="AO1106" s="81">
        <v>796</v>
      </c>
      <c r="AP1106" s="79" t="s">
        <v>419</v>
      </c>
      <c r="AQ1106" s="77">
        <v>3</v>
      </c>
      <c r="AR1106" s="101" t="s">
        <v>1176</v>
      </c>
      <c r="AS1106" s="83" t="s">
        <v>547</v>
      </c>
      <c r="AT1106" s="78">
        <v>41730</v>
      </c>
      <c r="AU1106" s="78">
        <v>41730</v>
      </c>
      <c r="AV1106" s="52">
        <v>42004</v>
      </c>
      <c r="AW1106" s="79">
        <v>2014</v>
      </c>
      <c r="AX1106" s="80"/>
      <c r="AY1106" s="135"/>
      <c r="AZ1106" s="80"/>
      <c r="BA1106" s="79"/>
      <c r="BB1106" s="79"/>
      <c r="BC1106" s="80"/>
      <c r="BD1106" s="80"/>
      <c r="BE1106" s="239"/>
      <c r="BF1106" s="239"/>
      <c r="BG1106" s="239"/>
      <c r="BH1106" s="239"/>
      <c r="BI1106" s="239"/>
      <c r="BJ1106" s="240"/>
      <c r="BK1106" s="235"/>
    </row>
    <row r="1107" spans="1:63" s="605" customFormat="1" ht="206.25">
      <c r="A1107" s="380">
        <v>3</v>
      </c>
      <c r="B1107" s="100" t="s">
        <v>1322</v>
      </c>
      <c r="C1107" s="100" t="s">
        <v>83</v>
      </c>
      <c r="D1107" s="100" t="s">
        <v>3363</v>
      </c>
      <c r="E1107" s="38" t="s">
        <v>250</v>
      </c>
      <c r="F1107" s="318" t="s">
        <v>1323</v>
      </c>
      <c r="G1107" s="318">
        <v>7424000</v>
      </c>
      <c r="H1107" s="160">
        <v>641336</v>
      </c>
      <c r="I1107" s="99" t="s">
        <v>1324</v>
      </c>
      <c r="J1107" s="99" t="s">
        <v>1042</v>
      </c>
      <c r="K1107" s="194" t="s">
        <v>4724</v>
      </c>
      <c r="L1107" s="16" t="s">
        <v>180</v>
      </c>
      <c r="M1107" s="191" t="s">
        <v>1325</v>
      </c>
      <c r="N1107" s="16" t="s">
        <v>5921</v>
      </c>
      <c r="O1107" s="83" t="s">
        <v>3312</v>
      </c>
      <c r="P1107" s="76">
        <v>7232.2759999999998</v>
      </c>
      <c r="Q1107" s="85">
        <f t="shared" si="145"/>
        <v>8534.0856800000001</v>
      </c>
      <c r="R1107" s="76">
        <v>6593.43</v>
      </c>
      <c r="S1107" s="29" t="s">
        <v>974</v>
      </c>
      <c r="T1107" s="110">
        <v>1.0840000000000001</v>
      </c>
      <c r="U1107" s="110">
        <v>1.0509999999999999</v>
      </c>
      <c r="V1107" s="110">
        <v>1.0669999999999999</v>
      </c>
      <c r="W1107" s="110">
        <v>1.0529999999999999</v>
      </c>
      <c r="X1107" s="319">
        <v>0.9</v>
      </c>
      <c r="Y1107" s="76">
        <v>7595.89</v>
      </c>
      <c r="Z1107" s="76">
        <f t="shared" si="146"/>
        <v>8963.1502</v>
      </c>
      <c r="AA1107" s="36" t="s">
        <v>132</v>
      </c>
      <c r="AB1107" s="36" t="s">
        <v>132</v>
      </c>
      <c r="AC1107" s="76">
        <v>7232.2759999999998</v>
      </c>
      <c r="AD1107" s="76">
        <f>AC1107*1.18</f>
        <v>8534.0856800000001</v>
      </c>
      <c r="AE1107" s="38" t="s">
        <v>173</v>
      </c>
      <c r="AF1107" s="38" t="s">
        <v>83</v>
      </c>
      <c r="AG1107" s="96" t="s">
        <v>83</v>
      </c>
      <c r="AH1107" s="96" t="s">
        <v>90</v>
      </c>
      <c r="AI1107" s="97">
        <v>41579</v>
      </c>
      <c r="AJ1107" s="78">
        <v>41639</v>
      </c>
      <c r="AK1107" s="80"/>
      <c r="AL1107" s="80"/>
      <c r="AM1107" s="80" t="s">
        <v>1324</v>
      </c>
      <c r="AN1107" s="100" t="s">
        <v>171</v>
      </c>
      <c r="AO1107" s="81">
        <v>796</v>
      </c>
      <c r="AP1107" s="79" t="s">
        <v>419</v>
      </c>
      <c r="AQ1107" s="77">
        <v>1</v>
      </c>
      <c r="AR1107" s="101" t="s">
        <v>1176</v>
      </c>
      <c r="AS1107" s="83" t="s">
        <v>547</v>
      </c>
      <c r="AT1107" s="78">
        <v>41659</v>
      </c>
      <c r="AU1107" s="78">
        <v>41659</v>
      </c>
      <c r="AV1107" s="52">
        <v>42004</v>
      </c>
      <c r="AW1107" s="79">
        <v>2014</v>
      </c>
      <c r="AX1107" s="80"/>
      <c r="AY1107" s="135"/>
      <c r="AZ1107" s="80"/>
      <c r="BA1107" s="79"/>
      <c r="BB1107" s="79"/>
      <c r="BC1107" s="80"/>
      <c r="BD1107" s="80"/>
      <c r="BE1107" s="239"/>
      <c r="BF1107" s="239"/>
      <c r="BG1107" s="239"/>
      <c r="BH1107" s="239"/>
      <c r="BI1107" s="239"/>
      <c r="BJ1107" s="240"/>
      <c r="BK1107" s="235"/>
    </row>
    <row r="1108" spans="1:63" s="605" customFormat="1" ht="75">
      <c r="A1108" s="380">
        <v>3</v>
      </c>
      <c r="B1108" s="100" t="s">
        <v>1327</v>
      </c>
      <c r="C1108" s="100" t="s">
        <v>83</v>
      </c>
      <c r="D1108" s="100" t="s">
        <v>3363</v>
      </c>
      <c r="E1108" s="38" t="s">
        <v>250</v>
      </c>
      <c r="F1108" s="318" t="s">
        <v>860</v>
      </c>
      <c r="G1108" s="318">
        <v>7424000</v>
      </c>
      <c r="H1108" s="160">
        <v>641338</v>
      </c>
      <c r="I1108" s="99" t="s">
        <v>4761</v>
      </c>
      <c r="J1108" s="99" t="s">
        <v>1045</v>
      </c>
      <c r="K1108" s="194" t="s">
        <v>4724</v>
      </c>
      <c r="L1108" s="16" t="s">
        <v>180</v>
      </c>
      <c r="M1108" s="191" t="s">
        <v>1325</v>
      </c>
      <c r="N1108" s="16" t="s">
        <v>5921</v>
      </c>
      <c r="O1108" s="83" t="s">
        <v>3312</v>
      </c>
      <c r="P1108" s="23">
        <v>7330.7</v>
      </c>
      <c r="Q1108" s="23">
        <f t="shared" si="145"/>
        <v>8650.2259999999987</v>
      </c>
      <c r="R1108" s="76">
        <v>6507.78</v>
      </c>
      <c r="S1108" s="29" t="s">
        <v>974</v>
      </c>
      <c r="T1108" s="110">
        <v>1.0840000000000001</v>
      </c>
      <c r="U1108" s="110">
        <v>1.0509999999999999</v>
      </c>
      <c r="V1108" s="110">
        <v>1.0669999999999999</v>
      </c>
      <c r="W1108" s="110">
        <v>1.0529999999999999</v>
      </c>
      <c r="X1108" s="319">
        <v>0.9</v>
      </c>
      <c r="Y1108" s="76">
        <v>7497.22</v>
      </c>
      <c r="Z1108" s="76">
        <f t="shared" si="146"/>
        <v>8846.7196000000004</v>
      </c>
      <c r="AA1108" s="36" t="s">
        <v>132</v>
      </c>
      <c r="AB1108" s="36" t="s">
        <v>132</v>
      </c>
      <c r="AC1108" s="23">
        <v>7330.7</v>
      </c>
      <c r="AD1108" s="23">
        <f t="shared" ref="AD1108:AD1171" si="149">AC1108*1.18</f>
        <v>8650.2259999999987</v>
      </c>
      <c r="AE1108" s="38" t="s">
        <v>173</v>
      </c>
      <c r="AF1108" s="38" t="s">
        <v>83</v>
      </c>
      <c r="AG1108" s="96" t="s">
        <v>83</v>
      </c>
      <c r="AH1108" s="96" t="s">
        <v>90</v>
      </c>
      <c r="AI1108" s="381">
        <v>41625</v>
      </c>
      <c r="AJ1108" s="320">
        <v>41670</v>
      </c>
      <c r="AK1108" s="80"/>
      <c r="AL1108" s="80"/>
      <c r="AM1108" s="80" t="s">
        <v>1328</v>
      </c>
      <c r="AN1108" s="100" t="s">
        <v>171</v>
      </c>
      <c r="AO1108" s="81">
        <v>796</v>
      </c>
      <c r="AP1108" s="79" t="s">
        <v>419</v>
      </c>
      <c r="AQ1108" s="77">
        <v>1</v>
      </c>
      <c r="AR1108" s="101" t="s">
        <v>1176</v>
      </c>
      <c r="AS1108" s="83" t="s">
        <v>547</v>
      </c>
      <c r="AT1108" s="78">
        <v>41690</v>
      </c>
      <c r="AU1108" s="78">
        <v>41690</v>
      </c>
      <c r="AV1108" s="52">
        <v>42004</v>
      </c>
      <c r="AW1108" s="79">
        <v>2014</v>
      </c>
      <c r="AX1108" s="80"/>
      <c r="AY1108" s="135"/>
      <c r="AZ1108" s="80"/>
      <c r="BA1108" s="79"/>
      <c r="BB1108" s="79"/>
      <c r="BC1108" s="80"/>
      <c r="BD1108" s="80"/>
      <c r="BE1108" s="239"/>
      <c r="BF1108" s="239"/>
      <c r="BG1108" s="239"/>
      <c r="BH1108" s="239"/>
      <c r="BI1108" s="239"/>
      <c r="BJ1108" s="240"/>
      <c r="BK1108" s="235"/>
    </row>
    <row r="1109" spans="1:63" s="605" customFormat="1" ht="75">
      <c r="A1109" s="380">
        <v>3</v>
      </c>
      <c r="B1109" s="100" t="s">
        <v>1331</v>
      </c>
      <c r="C1109" s="100" t="s">
        <v>83</v>
      </c>
      <c r="D1109" s="100" t="s">
        <v>3362</v>
      </c>
      <c r="E1109" s="38" t="s">
        <v>250</v>
      </c>
      <c r="F1109" s="318" t="s">
        <v>816</v>
      </c>
      <c r="G1109" s="318">
        <v>9430000</v>
      </c>
      <c r="H1109" s="160">
        <v>641309</v>
      </c>
      <c r="I1109" s="99" t="s">
        <v>1332</v>
      </c>
      <c r="J1109" s="99" t="s">
        <v>1006</v>
      </c>
      <c r="K1109" s="194" t="s">
        <v>4717</v>
      </c>
      <c r="L1109" s="16" t="s">
        <v>180</v>
      </c>
      <c r="M1109" s="191" t="s">
        <v>1249</v>
      </c>
      <c r="N1109" s="83" t="s">
        <v>768</v>
      </c>
      <c r="O1109" s="83" t="s">
        <v>3312</v>
      </c>
      <c r="P1109" s="85">
        <v>1514.7249999999999</v>
      </c>
      <c r="Q1109" s="85">
        <f t="shared" si="145"/>
        <v>1787.3754999999999</v>
      </c>
      <c r="R1109" s="76">
        <v>1380.57</v>
      </c>
      <c r="S1109" s="29" t="s">
        <v>974</v>
      </c>
      <c r="T1109" s="110">
        <v>1.0840000000000001</v>
      </c>
      <c r="U1109" s="110">
        <v>1.0509999999999999</v>
      </c>
      <c r="V1109" s="110">
        <v>1.0669999999999999</v>
      </c>
      <c r="W1109" s="110">
        <v>1.0529999999999999</v>
      </c>
      <c r="X1109" s="319">
        <v>0.9</v>
      </c>
      <c r="Y1109" s="76">
        <v>1590.47</v>
      </c>
      <c r="Z1109" s="76">
        <f t="shared" si="146"/>
        <v>1876.7546</v>
      </c>
      <c r="AA1109" s="36" t="s">
        <v>132</v>
      </c>
      <c r="AB1109" s="36" t="s">
        <v>132</v>
      </c>
      <c r="AC1109" s="76">
        <v>1514.7249999999999</v>
      </c>
      <c r="AD1109" s="76">
        <f t="shared" si="149"/>
        <v>1787.3754999999999</v>
      </c>
      <c r="AE1109" s="38" t="s">
        <v>173</v>
      </c>
      <c r="AF1109" s="38" t="s">
        <v>83</v>
      </c>
      <c r="AG1109" s="96" t="s">
        <v>83</v>
      </c>
      <c r="AH1109" s="96" t="s">
        <v>90</v>
      </c>
      <c r="AI1109" s="51">
        <v>41554</v>
      </c>
      <c r="AJ1109" s="51">
        <v>41609</v>
      </c>
      <c r="AK1109" s="80"/>
      <c r="AL1109" s="80"/>
      <c r="AM1109" s="80" t="s">
        <v>1332</v>
      </c>
      <c r="AN1109" s="100" t="s">
        <v>171</v>
      </c>
      <c r="AO1109" s="81">
        <v>796</v>
      </c>
      <c r="AP1109" s="79" t="s">
        <v>419</v>
      </c>
      <c r="AQ1109" s="77">
        <v>6</v>
      </c>
      <c r="AR1109" s="101" t="s">
        <v>1176</v>
      </c>
      <c r="AS1109" s="83" t="s">
        <v>547</v>
      </c>
      <c r="AT1109" s="78">
        <v>41652</v>
      </c>
      <c r="AU1109" s="78">
        <v>41652</v>
      </c>
      <c r="AV1109" s="52">
        <v>42004</v>
      </c>
      <c r="AW1109" s="79">
        <v>2014</v>
      </c>
      <c r="AX1109" s="80"/>
      <c r="AY1109" s="135"/>
      <c r="AZ1109" s="80"/>
      <c r="BA1109" s="79"/>
      <c r="BB1109" s="79"/>
      <c r="BC1109" s="80"/>
      <c r="BD1109" s="80"/>
      <c r="BE1109" s="239"/>
      <c r="BF1109" s="239"/>
      <c r="BG1109" s="239"/>
      <c r="BH1109" s="239"/>
      <c r="BI1109" s="239"/>
      <c r="BJ1109" s="240"/>
      <c r="BK1109" s="235"/>
    </row>
    <row r="1110" spans="1:63" s="605" customFormat="1" ht="75">
      <c r="A1110" s="380">
        <v>3</v>
      </c>
      <c r="B1110" s="100" t="s">
        <v>1333</v>
      </c>
      <c r="C1110" s="100" t="s">
        <v>83</v>
      </c>
      <c r="D1110" s="100" t="s">
        <v>3362</v>
      </c>
      <c r="E1110" s="38" t="s">
        <v>250</v>
      </c>
      <c r="F1110" s="318" t="s">
        <v>816</v>
      </c>
      <c r="G1110" s="318">
        <v>9430000</v>
      </c>
      <c r="H1110" s="160">
        <v>641310</v>
      </c>
      <c r="I1110" s="99" t="s">
        <v>1334</v>
      </c>
      <c r="J1110" s="99" t="s">
        <v>1006</v>
      </c>
      <c r="K1110" s="194" t="s">
        <v>4717</v>
      </c>
      <c r="L1110" s="16" t="s">
        <v>180</v>
      </c>
      <c r="M1110" s="191" t="s">
        <v>1249</v>
      </c>
      <c r="N1110" s="83" t="s">
        <v>768</v>
      </c>
      <c r="O1110" s="83" t="s">
        <v>3312</v>
      </c>
      <c r="P1110" s="85">
        <v>1315</v>
      </c>
      <c r="Q1110" s="85">
        <f t="shared" si="145"/>
        <v>1551.6999999999998</v>
      </c>
      <c r="R1110" s="76">
        <v>1198.53</v>
      </c>
      <c r="S1110" s="29" t="s">
        <v>974</v>
      </c>
      <c r="T1110" s="110">
        <v>1.0840000000000001</v>
      </c>
      <c r="U1110" s="110">
        <v>1.0509999999999999</v>
      </c>
      <c r="V1110" s="110">
        <v>1.0669999999999999</v>
      </c>
      <c r="W1110" s="110">
        <v>1.0529999999999999</v>
      </c>
      <c r="X1110" s="319">
        <v>0.9</v>
      </c>
      <c r="Y1110" s="76">
        <v>1380.75</v>
      </c>
      <c r="Z1110" s="76">
        <f t="shared" si="146"/>
        <v>1629.2849999999999</v>
      </c>
      <c r="AA1110" s="36" t="s">
        <v>132</v>
      </c>
      <c r="AB1110" s="36" t="s">
        <v>132</v>
      </c>
      <c r="AC1110" s="76">
        <v>1315</v>
      </c>
      <c r="AD1110" s="76">
        <f t="shared" si="149"/>
        <v>1551.6999999999998</v>
      </c>
      <c r="AE1110" s="38" t="s">
        <v>173</v>
      </c>
      <c r="AF1110" s="38" t="s">
        <v>83</v>
      </c>
      <c r="AG1110" s="96" t="s">
        <v>83</v>
      </c>
      <c r="AH1110" s="96" t="s">
        <v>90</v>
      </c>
      <c r="AI1110" s="97">
        <v>41587</v>
      </c>
      <c r="AJ1110" s="78">
        <v>41632</v>
      </c>
      <c r="AK1110" s="80"/>
      <c r="AL1110" s="80"/>
      <c r="AM1110" s="80" t="s">
        <v>1334</v>
      </c>
      <c r="AN1110" s="100" t="s">
        <v>171</v>
      </c>
      <c r="AO1110" s="81">
        <v>796</v>
      </c>
      <c r="AP1110" s="79" t="s">
        <v>419</v>
      </c>
      <c r="AQ1110" s="77">
        <v>1</v>
      </c>
      <c r="AR1110" s="101" t="s">
        <v>1176</v>
      </c>
      <c r="AS1110" s="83" t="s">
        <v>547</v>
      </c>
      <c r="AT1110" s="78">
        <v>41652</v>
      </c>
      <c r="AU1110" s="78">
        <v>41652</v>
      </c>
      <c r="AV1110" s="52">
        <v>42004</v>
      </c>
      <c r="AW1110" s="79">
        <v>2014</v>
      </c>
      <c r="AX1110" s="80"/>
      <c r="AY1110" s="135"/>
      <c r="AZ1110" s="80"/>
      <c r="BA1110" s="79"/>
      <c r="BB1110" s="79"/>
      <c r="BC1110" s="80"/>
      <c r="BD1110" s="80"/>
      <c r="BE1110" s="239"/>
      <c r="BF1110" s="239"/>
      <c r="BG1110" s="239"/>
      <c r="BH1110" s="239"/>
      <c r="BI1110" s="239"/>
      <c r="BJ1110" s="240"/>
      <c r="BK1110" s="239"/>
    </row>
    <row r="1111" spans="1:63" s="605" customFormat="1" ht="75">
      <c r="A1111" s="380">
        <v>3</v>
      </c>
      <c r="B1111" s="100" t="s">
        <v>1335</v>
      </c>
      <c r="C1111" s="100" t="s">
        <v>83</v>
      </c>
      <c r="D1111" s="100" t="s">
        <v>3364</v>
      </c>
      <c r="E1111" s="38" t="s">
        <v>250</v>
      </c>
      <c r="F1111" s="318" t="s">
        <v>816</v>
      </c>
      <c r="G1111" s="318">
        <v>9430000</v>
      </c>
      <c r="H1111" s="160">
        <v>641351</v>
      </c>
      <c r="I1111" s="99" t="s">
        <v>1336</v>
      </c>
      <c r="J1111" s="99" t="s">
        <v>1337</v>
      </c>
      <c r="K1111" s="100" t="s">
        <v>4717</v>
      </c>
      <c r="L1111" s="16" t="s">
        <v>180</v>
      </c>
      <c r="M1111" s="191" t="s">
        <v>1249</v>
      </c>
      <c r="N1111" s="83" t="s">
        <v>768</v>
      </c>
      <c r="O1111" s="83" t="s">
        <v>3312</v>
      </c>
      <c r="P1111" s="76">
        <v>6670.4040000000005</v>
      </c>
      <c r="Q1111" s="76">
        <f t="shared" si="145"/>
        <v>7871.07672</v>
      </c>
      <c r="R1111" s="76">
        <v>6079.79</v>
      </c>
      <c r="S1111" s="29" t="s">
        <v>974</v>
      </c>
      <c r="T1111" s="110">
        <v>1.0840000000000001</v>
      </c>
      <c r="U1111" s="110">
        <v>1.0509999999999999</v>
      </c>
      <c r="V1111" s="110">
        <v>1.0669999999999999</v>
      </c>
      <c r="W1111" s="110">
        <v>1.0529999999999999</v>
      </c>
      <c r="X1111" s="319">
        <v>0.9</v>
      </c>
      <c r="Y1111" s="76">
        <v>7004.1570749374023</v>
      </c>
      <c r="Z1111" s="76">
        <f t="shared" si="146"/>
        <v>8264.9053484261349</v>
      </c>
      <c r="AA1111" s="36" t="s">
        <v>132</v>
      </c>
      <c r="AB1111" s="36" t="s">
        <v>132</v>
      </c>
      <c r="AC1111" s="76">
        <v>6670.4040000000005</v>
      </c>
      <c r="AD1111" s="76">
        <f t="shared" si="149"/>
        <v>7871.07672</v>
      </c>
      <c r="AE1111" s="38" t="s">
        <v>173</v>
      </c>
      <c r="AF1111" s="38" t="s">
        <v>83</v>
      </c>
      <c r="AG1111" s="96" t="s">
        <v>83</v>
      </c>
      <c r="AH1111" s="96" t="s">
        <v>90</v>
      </c>
      <c r="AI1111" s="52">
        <v>41650</v>
      </c>
      <c r="AJ1111" s="78">
        <v>41710</v>
      </c>
      <c r="AK1111" s="80"/>
      <c r="AL1111" s="80"/>
      <c r="AM1111" s="80" t="s">
        <v>1336</v>
      </c>
      <c r="AN1111" s="100" t="s">
        <v>171</v>
      </c>
      <c r="AO1111" s="82">
        <v>6</v>
      </c>
      <c r="AP1111" s="79" t="s">
        <v>717</v>
      </c>
      <c r="AQ1111" s="77">
        <v>1</v>
      </c>
      <c r="AR1111" s="101" t="s">
        <v>1176</v>
      </c>
      <c r="AS1111" s="83" t="s">
        <v>547</v>
      </c>
      <c r="AT1111" s="78">
        <v>41730</v>
      </c>
      <c r="AU1111" s="78">
        <v>41730</v>
      </c>
      <c r="AV1111" s="78">
        <v>41943</v>
      </c>
      <c r="AW1111" s="79">
        <v>2014</v>
      </c>
      <c r="AX1111" s="80"/>
      <c r="AY1111" s="135"/>
      <c r="AZ1111" s="80"/>
      <c r="BA1111" s="79"/>
      <c r="BB1111" s="79"/>
      <c r="BC1111" s="80"/>
      <c r="BD1111" s="80"/>
      <c r="BE1111" s="239"/>
      <c r="BF1111" s="239"/>
      <c r="BG1111" s="239"/>
      <c r="BH1111" s="239"/>
      <c r="BI1111" s="239"/>
      <c r="BJ1111" s="240"/>
      <c r="BK1111" s="235"/>
    </row>
    <row r="1112" spans="1:63" s="605" customFormat="1" ht="131.25">
      <c r="A1112" s="380">
        <v>3</v>
      </c>
      <c r="B1112" s="100" t="s">
        <v>5968</v>
      </c>
      <c r="C1112" s="100" t="s">
        <v>83</v>
      </c>
      <c r="D1112" s="100" t="s">
        <v>3357</v>
      </c>
      <c r="E1112" s="38" t="s">
        <v>250</v>
      </c>
      <c r="F1112" s="318" t="s">
        <v>816</v>
      </c>
      <c r="G1112" s="318">
        <v>9430000</v>
      </c>
      <c r="H1112" s="160">
        <v>641263</v>
      </c>
      <c r="I1112" s="99" t="s">
        <v>5969</v>
      </c>
      <c r="J1112" s="99" t="s">
        <v>1292</v>
      </c>
      <c r="K1112" s="100" t="s">
        <v>768</v>
      </c>
      <c r="L1112" s="16" t="s">
        <v>180</v>
      </c>
      <c r="M1112" s="191" t="s">
        <v>1249</v>
      </c>
      <c r="N1112" s="83" t="s">
        <v>768</v>
      </c>
      <c r="O1112" s="83" t="s">
        <v>3312</v>
      </c>
      <c r="P1112" s="76">
        <v>30000</v>
      </c>
      <c r="Q1112" s="76">
        <f t="shared" si="145"/>
        <v>35400</v>
      </c>
      <c r="R1112" s="76"/>
      <c r="S1112" s="29"/>
      <c r="T1112" s="110"/>
      <c r="U1112" s="110"/>
      <c r="V1112" s="110"/>
      <c r="W1112" s="110"/>
      <c r="X1112" s="319"/>
      <c r="Y1112" s="76">
        <v>30000</v>
      </c>
      <c r="Z1112" s="76">
        <f t="shared" si="146"/>
        <v>35400</v>
      </c>
      <c r="AA1112" s="36" t="s">
        <v>132</v>
      </c>
      <c r="AB1112" s="36" t="s">
        <v>132</v>
      </c>
      <c r="AC1112" s="76">
        <v>30000</v>
      </c>
      <c r="AD1112" s="76">
        <f t="shared" si="149"/>
        <v>35400</v>
      </c>
      <c r="AE1112" s="38" t="s">
        <v>169</v>
      </c>
      <c r="AF1112" s="38" t="s">
        <v>83</v>
      </c>
      <c r="AG1112" s="96" t="s">
        <v>83</v>
      </c>
      <c r="AH1112" s="96" t="s">
        <v>90</v>
      </c>
      <c r="AI1112" s="52">
        <v>41650</v>
      </c>
      <c r="AJ1112" s="78">
        <v>41710</v>
      </c>
      <c r="AK1112" s="80"/>
      <c r="AL1112" s="80"/>
      <c r="AM1112" s="80" t="s">
        <v>5969</v>
      </c>
      <c r="AN1112" s="100" t="s">
        <v>171</v>
      </c>
      <c r="AO1112" s="82">
        <v>6</v>
      </c>
      <c r="AP1112" s="79" t="s">
        <v>717</v>
      </c>
      <c r="AQ1112" s="77">
        <v>1</v>
      </c>
      <c r="AR1112" s="101" t="s">
        <v>1176</v>
      </c>
      <c r="AS1112" s="83" t="s">
        <v>547</v>
      </c>
      <c r="AT1112" s="78">
        <v>41730</v>
      </c>
      <c r="AU1112" s="78">
        <v>41730</v>
      </c>
      <c r="AV1112" s="78">
        <v>41759</v>
      </c>
      <c r="AW1112" s="79" t="s">
        <v>99</v>
      </c>
      <c r="AX1112" s="80"/>
      <c r="AY1112" s="135"/>
      <c r="AZ1112" s="80"/>
      <c r="BA1112" s="79"/>
      <c r="BB1112" s="79"/>
      <c r="BC1112" s="80"/>
      <c r="BD1112" s="80"/>
      <c r="BE1112" s="239"/>
      <c r="BF1112" s="239"/>
      <c r="BG1112" s="239"/>
      <c r="BH1112" s="239"/>
      <c r="BI1112" s="239"/>
      <c r="BJ1112" s="240"/>
      <c r="BK1112" s="235"/>
    </row>
    <row r="1113" spans="1:63" s="605" customFormat="1" ht="206.25">
      <c r="A1113" s="380">
        <v>3</v>
      </c>
      <c r="B1113" s="100" t="s">
        <v>4767</v>
      </c>
      <c r="C1113" s="100" t="s">
        <v>83</v>
      </c>
      <c r="D1113" s="100" t="s">
        <v>7460</v>
      </c>
      <c r="E1113" s="38" t="s">
        <v>250</v>
      </c>
      <c r="F1113" s="79" t="s">
        <v>349</v>
      </c>
      <c r="G1113" s="79">
        <v>7422090</v>
      </c>
      <c r="H1113" s="160">
        <v>626686</v>
      </c>
      <c r="I1113" s="99" t="s">
        <v>4768</v>
      </c>
      <c r="J1113" s="99" t="s">
        <v>1256</v>
      </c>
      <c r="K1113" s="194" t="s">
        <v>4724</v>
      </c>
      <c r="L1113" s="16" t="s">
        <v>180</v>
      </c>
      <c r="M1113" s="191" t="s">
        <v>1184</v>
      </c>
      <c r="N1113" s="83" t="s">
        <v>5900</v>
      </c>
      <c r="O1113" s="83" t="s">
        <v>3312</v>
      </c>
      <c r="P1113" s="76">
        <v>14955.32884</v>
      </c>
      <c r="Q1113" s="76">
        <f t="shared" si="145"/>
        <v>17647.288031199998</v>
      </c>
      <c r="R1113" s="76"/>
      <c r="S1113" s="84"/>
      <c r="T1113" s="110"/>
      <c r="U1113" s="110"/>
      <c r="V1113" s="110"/>
      <c r="W1113" s="110"/>
      <c r="X1113" s="85"/>
      <c r="Y1113" s="76">
        <v>14955.32884</v>
      </c>
      <c r="Z1113" s="76">
        <f t="shared" si="146"/>
        <v>17647.288031199998</v>
      </c>
      <c r="AA1113" s="36" t="s">
        <v>132</v>
      </c>
      <c r="AB1113" s="36" t="s">
        <v>132</v>
      </c>
      <c r="AC1113" s="76">
        <v>14955.32884</v>
      </c>
      <c r="AD1113" s="76">
        <f t="shared" si="149"/>
        <v>17647.288031199998</v>
      </c>
      <c r="AE1113" s="38" t="s">
        <v>169</v>
      </c>
      <c r="AF1113" s="38" t="s">
        <v>83</v>
      </c>
      <c r="AG1113" s="96" t="s">
        <v>83</v>
      </c>
      <c r="AH1113" s="96" t="s">
        <v>90</v>
      </c>
      <c r="AI1113" s="381">
        <v>41625</v>
      </c>
      <c r="AJ1113" s="320">
        <v>41670</v>
      </c>
      <c r="AK1113" s="80"/>
      <c r="AL1113" s="80"/>
      <c r="AM1113" s="80" t="s">
        <v>4770</v>
      </c>
      <c r="AN1113" s="100" t="s">
        <v>171</v>
      </c>
      <c r="AO1113" s="81">
        <v>796</v>
      </c>
      <c r="AP1113" s="79" t="s">
        <v>419</v>
      </c>
      <c r="AQ1113" s="77">
        <v>8</v>
      </c>
      <c r="AR1113" s="101" t="s">
        <v>4771</v>
      </c>
      <c r="AS1113" s="83" t="s">
        <v>185</v>
      </c>
      <c r="AT1113" s="78">
        <v>41690</v>
      </c>
      <c r="AU1113" s="52">
        <v>41690</v>
      </c>
      <c r="AV1113" s="52">
        <v>42004</v>
      </c>
      <c r="AW1113" s="79">
        <v>2014</v>
      </c>
      <c r="AX1113" s="80"/>
      <c r="AY1113" s="135"/>
      <c r="AZ1113" s="80"/>
      <c r="BA1113" s="79"/>
      <c r="BB1113" s="79"/>
      <c r="BC1113" s="80"/>
      <c r="BD1113" s="80"/>
      <c r="BE1113" s="239"/>
      <c r="BF1113" s="239"/>
      <c r="BG1113" s="239"/>
      <c r="BH1113" s="239"/>
      <c r="BI1113" s="239"/>
      <c r="BJ1113" s="240"/>
      <c r="BK1113" s="235"/>
    </row>
    <row r="1114" spans="1:63" s="605" customFormat="1" ht="93.75">
      <c r="A1114" s="380">
        <v>3</v>
      </c>
      <c r="B1114" s="100" t="s">
        <v>3367</v>
      </c>
      <c r="C1114" s="100" t="s">
        <v>83</v>
      </c>
      <c r="D1114" s="100" t="s">
        <v>3357</v>
      </c>
      <c r="E1114" s="38" t="s">
        <v>250</v>
      </c>
      <c r="F1114" s="318" t="s">
        <v>1296</v>
      </c>
      <c r="G1114" s="318">
        <v>9430000</v>
      </c>
      <c r="H1114" s="160">
        <v>641380</v>
      </c>
      <c r="I1114" s="99" t="s">
        <v>4760</v>
      </c>
      <c r="J1114" s="99" t="s">
        <v>3368</v>
      </c>
      <c r="K1114" s="100" t="s">
        <v>4717</v>
      </c>
      <c r="L1114" s="16" t="s">
        <v>180</v>
      </c>
      <c r="M1114" s="191" t="s">
        <v>1249</v>
      </c>
      <c r="N1114" s="83" t="s">
        <v>768</v>
      </c>
      <c r="O1114" s="83" t="s">
        <v>3312</v>
      </c>
      <c r="P1114" s="76">
        <v>5573.1</v>
      </c>
      <c r="Q1114" s="76">
        <f t="shared" si="145"/>
        <v>6576.2579999999998</v>
      </c>
      <c r="R1114" s="76"/>
      <c r="S1114" s="84"/>
      <c r="T1114" s="110"/>
      <c r="U1114" s="110"/>
      <c r="V1114" s="110"/>
      <c r="W1114" s="110"/>
      <c r="X1114" s="85"/>
      <c r="Y1114" s="76">
        <v>5573.1</v>
      </c>
      <c r="Z1114" s="76">
        <f t="shared" si="146"/>
        <v>6576.2579999999998</v>
      </c>
      <c r="AA1114" s="36" t="s">
        <v>132</v>
      </c>
      <c r="AB1114" s="36" t="s">
        <v>132</v>
      </c>
      <c r="AC1114" s="76">
        <v>5573.1</v>
      </c>
      <c r="AD1114" s="76">
        <f t="shared" si="149"/>
        <v>6576.2579999999998</v>
      </c>
      <c r="AE1114" s="38" t="s">
        <v>173</v>
      </c>
      <c r="AF1114" s="38" t="s">
        <v>83</v>
      </c>
      <c r="AG1114" s="96" t="s">
        <v>83</v>
      </c>
      <c r="AH1114" s="96" t="s">
        <v>90</v>
      </c>
      <c r="AI1114" s="97">
        <v>41695</v>
      </c>
      <c r="AJ1114" s="78">
        <v>41740</v>
      </c>
      <c r="AK1114" s="80"/>
      <c r="AL1114" s="80"/>
      <c r="AM1114" s="80" t="s">
        <v>1297</v>
      </c>
      <c r="AN1114" s="100" t="s">
        <v>171</v>
      </c>
      <c r="AO1114" s="81">
        <v>796</v>
      </c>
      <c r="AP1114" s="79" t="s">
        <v>419</v>
      </c>
      <c r="AQ1114" s="77">
        <v>1</v>
      </c>
      <c r="AR1114" s="101" t="s">
        <v>1176</v>
      </c>
      <c r="AS1114" s="83" t="s">
        <v>547</v>
      </c>
      <c r="AT1114" s="78">
        <v>41760</v>
      </c>
      <c r="AU1114" s="78">
        <v>41760</v>
      </c>
      <c r="AV1114" s="52">
        <v>42004</v>
      </c>
      <c r="AW1114" s="79">
        <v>2014</v>
      </c>
      <c r="AX1114" s="80"/>
      <c r="AY1114" s="135"/>
      <c r="AZ1114" s="80"/>
      <c r="BA1114" s="79"/>
      <c r="BB1114" s="79"/>
      <c r="BC1114" s="80"/>
      <c r="BD1114" s="80"/>
      <c r="BE1114" s="239"/>
      <c r="BF1114" s="239"/>
      <c r="BG1114" s="239"/>
      <c r="BH1114" s="239"/>
      <c r="BI1114" s="239"/>
      <c r="BJ1114" s="240"/>
      <c r="BK1114" s="235"/>
    </row>
    <row r="1115" spans="1:63" s="268" customFormat="1" ht="93.75">
      <c r="A1115" s="321">
        <v>3</v>
      </c>
      <c r="B1115" s="38" t="s">
        <v>764</v>
      </c>
      <c r="C1115" s="38" t="s">
        <v>83</v>
      </c>
      <c r="D1115" s="38" t="s">
        <v>765</v>
      </c>
      <c r="E1115" s="38" t="s">
        <v>250</v>
      </c>
      <c r="F1115" s="38" t="s">
        <v>349</v>
      </c>
      <c r="G1115" s="38">
        <v>4500000</v>
      </c>
      <c r="H1115" s="63">
        <v>38528</v>
      </c>
      <c r="I1115" s="18" t="s">
        <v>766</v>
      </c>
      <c r="J1115" s="18" t="s">
        <v>767</v>
      </c>
      <c r="K1115" s="60" t="s">
        <v>4717</v>
      </c>
      <c r="L1115" s="16" t="s">
        <v>180</v>
      </c>
      <c r="M1115" s="134" t="s">
        <v>1249</v>
      </c>
      <c r="N1115" s="16" t="s">
        <v>5926</v>
      </c>
      <c r="O1115" s="16" t="s">
        <v>769</v>
      </c>
      <c r="P1115" s="23">
        <v>21000</v>
      </c>
      <c r="Q1115" s="23">
        <f t="shared" si="145"/>
        <v>24780</v>
      </c>
      <c r="R1115" s="23"/>
      <c r="S1115" s="29"/>
      <c r="T1115" s="25"/>
      <c r="U1115" s="25"/>
      <c r="V1115" s="25"/>
      <c r="W1115" s="25"/>
      <c r="X1115" s="25"/>
      <c r="Y1115" s="23">
        <v>21000</v>
      </c>
      <c r="Z1115" s="23">
        <f t="shared" si="146"/>
        <v>24780</v>
      </c>
      <c r="AA1115" s="36" t="s">
        <v>132</v>
      </c>
      <c r="AB1115" s="36" t="s">
        <v>132</v>
      </c>
      <c r="AC1115" s="23">
        <v>21000</v>
      </c>
      <c r="AD1115" s="23">
        <f t="shared" si="149"/>
        <v>24780</v>
      </c>
      <c r="AE1115" s="38" t="s">
        <v>169</v>
      </c>
      <c r="AF1115" s="38" t="s">
        <v>83</v>
      </c>
      <c r="AG1115" s="38" t="s">
        <v>83</v>
      </c>
      <c r="AH1115" s="38" t="s">
        <v>90</v>
      </c>
      <c r="AI1115" s="52">
        <v>41579</v>
      </c>
      <c r="AJ1115" s="52">
        <v>41609</v>
      </c>
      <c r="AK1115" s="60"/>
      <c r="AL1115" s="60"/>
      <c r="AM1115" s="60" t="s">
        <v>770</v>
      </c>
      <c r="AN1115" s="60" t="s">
        <v>171</v>
      </c>
      <c r="AO1115" s="11">
        <v>796</v>
      </c>
      <c r="AP1115" s="38" t="s">
        <v>419</v>
      </c>
      <c r="AQ1115" s="38">
        <v>1</v>
      </c>
      <c r="AR1115" s="38">
        <v>45</v>
      </c>
      <c r="AS1115" s="16" t="s">
        <v>547</v>
      </c>
      <c r="AT1115" s="51">
        <v>41640</v>
      </c>
      <c r="AU1115" s="51">
        <v>41640</v>
      </c>
      <c r="AV1115" s="52">
        <v>42004</v>
      </c>
      <c r="AW1115" s="38">
        <v>2014</v>
      </c>
      <c r="AX1115" s="60"/>
      <c r="AY1115" s="135"/>
      <c r="AZ1115" s="60"/>
      <c r="BA1115" s="38"/>
      <c r="BB1115" s="38"/>
      <c r="BC1115" s="60"/>
      <c r="BD1115" s="60"/>
      <c r="BE1115" s="238"/>
      <c r="BF1115" s="238"/>
      <c r="BG1115" s="238"/>
      <c r="BH1115" s="238"/>
      <c r="BI1115" s="238"/>
      <c r="BJ1115" s="238"/>
      <c r="BK1115" s="378"/>
    </row>
    <row r="1116" spans="1:63" s="268" customFormat="1" ht="75">
      <c r="A1116" s="136">
        <v>3</v>
      </c>
      <c r="B1116" s="127" t="s">
        <v>771</v>
      </c>
      <c r="C1116" s="127" t="s">
        <v>83</v>
      </c>
      <c r="D1116" s="127" t="s">
        <v>765</v>
      </c>
      <c r="E1116" s="127" t="s">
        <v>250</v>
      </c>
      <c r="F1116" s="127" t="s">
        <v>349</v>
      </c>
      <c r="G1116" s="127">
        <v>4500000</v>
      </c>
      <c r="H1116" s="395">
        <v>38529</v>
      </c>
      <c r="I1116" s="130" t="s">
        <v>772</v>
      </c>
      <c r="J1116" s="130" t="s">
        <v>773</v>
      </c>
      <c r="K1116" s="130" t="s">
        <v>4717</v>
      </c>
      <c r="L1116" s="137" t="s">
        <v>180</v>
      </c>
      <c r="M1116" s="370" t="s">
        <v>1249</v>
      </c>
      <c r="N1116" s="229" t="s">
        <v>5926</v>
      </c>
      <c r="O1116" s="137" t="s">
        <v>769</v>
      </c>
      <c r="P1116" s="152">
        <v>48261.019</v>
      </c>
      <c r="Q1116" s="152">
        <f t="shared" si="145"/>
        <v>56948.002419999997</v>
      </c>
      <c r="R1116" s="152"/>
      <c r="S1116" s="153"/>
      <c r="T1116" s="154"/>
      <c r="U1116" s="154"/>
      <c r="V1116" s="154"/>
      <c r="W1116" s="154"/>
      <c r="X1116" s="154"/>
      <c r="Y1116" s="152">
        <v>48261.019</v>
      </c>
      <c r="Z1116" s="152">
        <f t="shared" si="146"/>
        <v>56948.002419999997</v>
      </c>
      <c r="AA1116" s="36" t="s">
        <v>132</v>
      </c>
      <c r="AB1116" s="36" t="s">
        <v>132</v>
      </c>
      <c r="AC1116" s="152">
        <v>48261.019</v>
      </c>
      <c r="AD1116" s="152">
        <f t="shared" si="149"/>
        <v>56948.002419999997</v>
      </c>
      <c r="AE1116" s="127" t="s">
        <v>169</v>
      </c>
      <c r="AF1116" s="127" t="s">
        <v>83</v>
      </c>
      <c r="AG1116" s="127" t="s">
        <v>83</v>
      </c>
      <c r="AH1116" s="127" t="s">
        <v>90</v>
      </c>
      <c r="AI1116" s="128">
        <v>41554</v>
      </c>
      <c r="AJ1116" s="128">
        <v>41609</v>
      </c>
      <c r="AK1116" s="366"/>
      <c r="AL1116" s="366"/>
      <c r="AM1116" s="366" t="s">
        <v>774</v>
      </c>
      <c r="AN1116" s="366" t="s">
        <v>171</v>
      </c>
      <c r="AO1116" s="133">
        <v>796</v>
      </c>
      <c r="AP1116" s="127" t="s">
        <v>419</v>
      </c>
      <c r="AQ1116" s="127">
        <v>1</v>
      </c>
      <c r="AR1116" s="127">
        <v>45</v>
      </c>
      <c r="AS1116" s="137" t="s">
        <v>547</v>
      </c>
      <c r="AT1116" s="396">
        <v>41640</v>
      </c>
      <c r="AU1116" s="128">
        <v>41699</v>
      </c>
      <c r="AV1116" s="49">
        <v>42004</v>
      </c>
      <c r="AW1116" s="127">
        <v>2014</v>
      </c>
      <c r="AX1116" s="366"/>
      <c r="AY1116" s="129"/>
      <c r="AZ1116" s="366"/>
      <c r="BA1116" s="127"/>
      <c r="BB1116" s="127"/>
      <c r="BC1116" s="366"/>
      <c r="BD1116" s="366"/>
      <c r="BE1116" s="397"/>
      <c r="BF1116" s="397"/>
      <c r="BG1116" s="397"/>
      <c r="BH1116" s="397"/>
      <c r="BI1116" s="397"/>
      <c r="BJ1116" s="397"/>
      <c r="BK1116" s="398"/>
    </row>
    <row r="1117" spans="1:63" s="268" customFormat="1" ht="78" customHeight="1">
      <c r="A1117" s="119">
        <v>3</v>
      </c>
      <c r="B1117" s="42" t="s">
        <v>775</v>
      </c>
      <c r="C1117" s="42" t="s">
        <v>4269</v>
      </c>
      <c r="D1117" s="42" t="s">
        <v>765</v>
      </c>
      <c r="E1117" s="42" t="s">
        <v>250</v>
      </c>
      <c r="F1117" s="42" t="s">
        <v>349</v>
      </c>
      <c r="G1117" s="42">
        <v>4500000</v>
      </c>
      <c r="H1117" s="143">
        <v>38530</v>
      </c>
      <c r="I1117" s="120" t="s">
        <v>776</v>
      </c>
      <c r="J1117" s="120" t="s">
        <v>777</v>
      </c>
      <c r="K1117" s="120" t="s">
        <v>4717</v>
      </c>
      <c r="L1117" s="13" t="s">
        <v>180</v>
      </c>
      <c r="M1117" s="182" t="s">
        <v>1249</v>
      </c>
      <c r="N1117" s="57" t="s">
        <v>5926</v>
      </c>
      <c r="O1117" s="13" t="s">
        <v>769</v>
      </c>
      <c r="P1117" s="21">
        <v>33402.57862</v>
      </c>
      <c r="Q1117" s="21">
        <f t="shared" si="145"/>
        <v>39415.042771599998</v>
      </c>
      <c r="R1117" s="21"/>
      <c r="S1117" s="201"/>
      <c r="T1117" s="69"/>
      <c r="U1117" s="69"/>
      <c r="V1117" s="69"/>
      <c r="W1117" s="69"/>
      <c r="X1117" s="69"/>
      <c r="Y1117" s="21">
        <v>33402.57862</v>
      </c>
      <c r="Z1117" s="21">
        <f t="shared" si="146"/>
        <v>39415.042771599998</v>
      </c>
      <c r="AA1117" s="36" t="s">
        <v>132</v>
      </c>
      <c r="AB1117" s="36" t="s">
        <v>132</v>
      </c>
      <c r="AC1117" s="21">
        <v>33402.57862</v>
      </c>
      <c r="AD1117" s="21">
        <f t="shared" si="149"/>
        <v>39415.042771599998</v>
      </c>
      <c r="AE1117" s="42" t="s">
        <v>169</v>
      </c>
      <c r="AF1117" s="42" t="s">
        <v>83</v>
      </c>
      <c r="AG1117" s="42" t="s">
        <v>83</v>
      </c>
      <c r="AH1117" s="42" t="s">
        <v>90</v>
      </c>
      <c r="AI1117" s="115">
        <v>41554</v>
      </c>
      <c r="AJ1117" s="115">
        <v>41609</v>
      </c>
      <c r="AK1117" s="57"/>
      <c r="AL1117" s="57"/>
      <c r="AM1117" s="57" t="s">
        <v>777</v>
      </c>
      <c r="AN1117" s="57" t="s">
        <v>171</v>
      </c>
      <c r="AO1117" s="9">
        <v>796</v>
      </c>
      <c r="AP1117" s="42" t="s">
        <v>419</v>
      </c>
      <c r="AQ1117" s="42">
        <v>1</v>
      </c>
      <c r="AR1117" s="42">
        <v>45</v>
      </c>
      <c r="AS1117" s="13" t="s">
        <v>547</v>
      </c>
      <c r="AT1117" s="50" t="s">
        <v>132</v>
      </c>
      <c r="AU1117" s="115">
        <v>41699</v>
      </c>
      <c r="AV1117" s="49">
        <v>42004</v>
      </c>
      <c r="AW1117" s="42">
        <v>2014</v>
      </c>
      <c r="AX1117" s="201" t="s">
        <v>132</v>
      </c>
      <c r="AY1117" s="117"/>
      <c r="AZ1117" s="201" t="s">
        <v>132</v>
      </c>
      <c r="BA1117" s="42" t="s">
        <v>132</v>
      </c>
      <c r="BB1117" s="42" t="s">
        <v>132</v>
      </c>
      <c r="BC1117" s="57"/>
      <c r="BD1117" s="57"/>
      <c r="BE1117" s="371"/>
      <c r="BF1117" s="371"/>
      <c r="BG1117" s="371"/>
      <c r="BH1117" s="371"/>
      <c r="BI1117" s="371"/>
      <c r="BJ1117" s="371"/>
      <c r="BK1117" s="394"/>
    </row>
    <row r="1118" spans="1:63" s="268" customFormat="1" ht="75">
      <c r="A1118" s="119">
        <v>3</v>
      </c>
      <c r="B1118" s="42" t="s">
        <v>778</v>
      </c>
      <c r="C1118" s="42" t="s">
        <v>4269</v>
      </c>
      <c r="D1118" s="42" t="s">
        <v>765</v>
      </c>
      <c r="E1118" s="42" t="s">
        <v>250</v>
      </c>
      <c r="F1118" s="42" t="s">
        <v>349</v>
      </c>
      <c r="G1118" s="42">
        <v>4500000</v>
      </c>
      <c r="H1118" s="143">
        <v>38531</v>
      </c>
      <c r="I1118" s="120" t="s">
        <v>779</v>
      </c>
      <c r="J1118" s="120" t="s">
        <v>773</v>
      </c>
      <c r="K1118" s="120" t="s">
        <v>4717</v>
      </c>
      <c r="L1118" s="13" t="s">
        <v>180</v>
      </c>
      <c r="M1118" s="182" t="s">
        <v>1249</v>
      </c>
      <c r="N1118" s="57" t="s">
        <v>5926</v>
      </c>
      <c r="O1118" s="13" t="s">
        <v>769</v>
      </c>
      <c r="P1118" s="21">
        <v>6048.86</v>
      </c>
      <c r="Q1118" s="21">
        <f t="shared" si="145"/>
        <v>7137.6547999999993</v>
      </c>
      <c r="R1118" s="21"/>
      <c r="S1118" s="201"/>
      <c r="T1118" s="69"/>
      <c r="U1118" s="69"/>
      <c r="V1118" s="69"/>
      <c r="W1118" s="69"/>
      <c r="X1118" s="69"/>
      <c r="Y1118" s="21">
        <v>6048.86</v>
      </c>
      <c r="Z1118" s="21">
        <f t="shared" si="146"/>
        <v>7137.6547999999993</v>
      </c>
      <c r="AA1118" s="36" t="s">
        <v>132</v>
      </c>
      <c r="AB1118" s="36" t="s">
        <v>132</v>
      </c>
      <c r="AC1118" s="21">
        <v>6048.86</v>
      </c>
      <c r="AD1118" s="21">
        <f t="shared" si="149"/>
        <v>7137.6547999999993</v>
      </c>
      <c r="AE1118" s="42" t="s">
        <v>173</v>
      </c>
      <c r="AF1118" s="42" t="s">
        <v>83</v>
      </c>
      <c r="AG1118" s="42" t="s">
        <v>83</v>
      </c>
      <c r="AH1118" s="42" t="s">
        <v>90</v>
      </c>
      <c r="AI1118" s="115">
        <v>41554</v>
      </c>
      <c r="AJ1118" s="115">
        <v>41609</v>
      </c>
      <c r="AK1118" s="57"/>
      <c r="AL1118" s="57"/>
      <c r="AM1118" s="57" t="s">
        <v>780</v>
      </c>
      <c r="AN1118" s="57" t="s">
        <v>171</v>
      </c>
      <c r="AO1118" s="9">
        <v>796</v>
      </c>
      <c r="AP1118" s="42" t="s">
        <v>419</v>
      </c>
      <c r="AQ1118" s="42">
        <v>1</v>
      </c>
      <c r="AR1118" s="42">
        <v>45</v>
      </c>
      <c r="AS1118" s="13" t="s">
        <v>547</v>
      </c>
      <c r="AT1118" s="50" t="s">
        <v>132</v>
      </c>
      <c r="AU1118" s="115">
        <v>41699</v>
      </c>
      <c r="AV1118" s="49">
        <v>42004</v>
      </c>
      <c r="AW1118" s="42">
        <v>2014</v>
      </c>
      <c r="AX1118" s="201" t="s">
        <v>132</v>
      </c>
      <c r="AY1118" s="117"/>
      <c r="AZ1118" s="201" t="s">
        <v>132</v>
      </c>
      <c r="BA1118" s="42" t="s">
        <v>132</v>
      </c>
      <c r="BB1118" s="42" t="s">
        <v>132</v>
      </c>
      <c r="BC1118" s="57"/>
      <c r="BD1118" s="57"/>
      <c r="BE1118" s="371"/>
      <c r="BF1118" s="371"/>
      <c r="BG1118" s="371"/>
      <c r="BH1118" s="371"/>
      <c r="BI1118" s="371"/>
      <c r="BJ1118" s="371"/>
      <c r="BK1118" s="394"/>
    </row>
    <row r="1119" spans="1:63" s="268" customFormat="1" ht="75">
      <c r="A1119" s="119">
        <v>3</v>
      </c>
      <c r="B1119" s="42" t="s">
        <v>781</v>
      </c>
      <c r="C1119" s="42" t="s">
        <v>4269</v>
      </c>
      <c r="D1119" s="42" t="s">
        <v>765</v>
      </c>
      <c r="E1119" s="42" t="s">
        <v>250</v>
      </c>
      <c r="F1119" s="42" t="s">
        <v>349</v>
      </c>
      <c r="G1119" s="42">
        <v>4500000</v>
      </c>
      <c r="H1119" s="143">
        <v>38532</v>
      </c>
      <c r="I1119" s="120" t="s">
        <v>782</v>
      </c>
      <c r="J1119" s="120" t="s">
        <v>773</v>
      </c>
      <c r="K1119" s="120" t="s">
        <v>4717</v>
      </c>
      <c r="L1119" s="13" t="s">
        <v>180</v>
      </c>
      <c r="M1119" s="182" t="s">
        <v>1249</v>
      </c>
      <c r="N1119" s="57" t="s">
        <v>5926</v>
      </c>
      <c r="O1119" s="13" t="s">
        <v>769</v>
      </c>
      <c r="P1119" s="21">
        <v>749.36</v>
      </c>
      <c r="Q1119" s="21">
        <f t="shared" si="145"/>
        <v>884.24479999999994</v>
      </c>
      <c r="R1119" s="21"/>
      <c r="S1119" s="201"/>
      <c r="T1119" s="69"/>
      <c r="U1119" s="69"/>
      <c r="V1119" s="69"/>
      <c r="W1119" s="69"/>
      <c r="X1119" s="69"/>
      <c r="Y1119" s="21">
        <v>749.36</v>
      </c>
      <c r="Z1119" s="21">
        <f t="shared" si="146"/>
        <v>884.24479999999994</v>
      </c>
      <c r="AA1119" s="36" t="s">
        <v>132</v>
      </c>
      <c r="AB1119" s="36" t="s">
        <v>132</v>
      </c>
      <c r="AC1119" s="21">
        <v>749.36</v>
      </c>
      <c r="AD1119" s="21">
        <f t="shared" si="149"/>
        <v>884.24479999999994</v>
      </c>
      <c r="AE1119" s="42" t="s">
        <v>173</v>
      </c>
      <c r="AF1119" s="42" t="s">
        <v>83</v>
      </c>
      <c r="AG1119" s="42" t="s">
        <v>83</v>
      </c>
      <c r="AH1119" s="42" t="s">
        <v>90</v>
      </c>
      <c r="AI1119" s="115">
        <v>41554</v>
      </c>
      <c r="AJ1119" s="115">
        <v>41609</v>
      </c>
      <c r="AK1119" s="57"/>
      <c r="AL1119" s="57"/>
      <c r="AM1119" s="57" t="s">
        <v>783</v>
      </c>
      <c r="AN1119" s="57" t="s">
        <v>171</v>
      </c>
      <c r="AO1119" s="9">
        <v>796</v>
      </c>
      <c r="AP1119" s="42" t="s">
        <v>419</v>
      </c>
      <c r="AQ1119" s="42">
        <v>1</v>
      </c>
      <c r="AR1119" s="42">
        <v>45</v>
      </c>
      <c r="AS1119" s="13" t="s">
        <v>547</v>
      </c>
      <c r="AT1119" s="50" t="s">
        <v>132</v>
      </c>
      <c r="AU1119" s="115">
        <v>41699</v>
      </c>
      <c r="AV1119" s="49">
        <v>42004</v>
      </c>
      <c r="AW1119" s="42">
        <v>2014</v>
      </c>
      <c r="AX1119" s="201" t="s">
        <v>132</v>
      </c>
      <c r="AY1119" s="117"/>
      <c r="AZ1119" s="201" t="s">
        <v>132</v>
      </c>
      <c r="BA1119" s="42" t="s">
        <v>132</v>
      </c>
      <c r="BB1119" s="42" t="s">
        <v>132</v>
      </c>
      <c r="BC1119" s="57"/>
      <c r="BD1119" s="57"/>
      <c r="BE1119" s="371"/>
      <c r="BF1119" s="371"/>
      <c r="BG1119" s="371"/>
      <c r="BH1119" s="371"/>
      <c r="BI1119" s="371"/>
      <c r="BJ1119" s="371"/>
      <c r="BK1119" s="394"/>
    </row>
    <row r="1120" spans="1:63" s="268" customFormat="1" ht="56.25">
      <c r="A1120" s="321">
        <v>3</v>
      </c>
      <c r="B1120" s="38" t="s">
        <v>784</v>
      </c>
      <c r="C1120" s="38" t="s">
        <v>83</v>
      </c>
      <c r="D1120" s="38" t="s">
        <v>765</v>
      </c>
      <c r="E1120" s="38" t="s">
        <v>250</v>
      </c>
      <c r="F1120" s="38" t="s">
        <v>349</v>
      </c>
      <c r="G1120" s="38">
        <v>4500000</v>
      </c>
      <c r="H1120" s="63">
        <v>38533</v>
      </c>
      <c r="I1120" s="18" t="s">
        <v>785</v>
      </c>
      <c r="J1120" s="18" t="s">
        <v>773</v>
      </c>
      <c r="K1120" s="60" t="s">
        <v>4717</v>
      </c>
      <c r="L1120" s="16" t="s">
        <v>180</v>
      </c>
      <c r="M1120" s="134" t="s">
        <v>1249</v>
      </c>
      <c r="N1120" s="60" t="s">
        <v>5926</v>
      </c>
      <c r="O1120" s="16" t="s">
        <v>769</v>
      </c>
      <c r="P1120" s="23">
        <v>4451.2299999999996</v>
      </c>
      <c r="Q1120" s="23">
        <f t="shared" si="145"/>
        <v>5252.451399999999</v>
      </c>
      <c r="R1120" s="23"/>
      <c r="S1120" s="29"/>
      <c r="T1120" s="25"/>
      <c r="U1120" s="25"/>
      <c r="V1120" s="25"/>
      <c r="W1120" s="25"/>
      <c r="X1120" s="25"/>
      <c r="Y1120" s="23">
        <v>4451.2299999999996</v>
      </c>
      <c r="Z1120" s="23">
        <f t="shared" si="146"/>
        <v>5252.451399999999</v>
      </c>
      <c r="AA1120" s="36" t="s">
        <v>132</v>
      </c>
      <c r="AB1120" s="36" t="s">
        <v>132</v>
      </c>
      <c r="AC1120" s="23">
        <v>4451.2299999999996</v>
      </c>
      <c r="AD1120" s="23">
        <f t="shared" si="149"/>
        <v>5252.451399999999</v>
      </c>
      <c r="AE1120" s="38" t="s">
        <v>173</v>
      </c>
      <c r="AF1120" s="38" t="s">
        <v>83</v>
      </c>
      <c r="AG1120" s="38" t="s">
        <v>83</v>
      </c>
      <c r="AH1120" s="38" t="s">
        <v>90</v>
      </c>
      <c r="AI1120" s="51">
        <v>41554</v>
      </c>
      <c r="AJ1120" s="51">
        <v>41609</v>
      </c>
      <c r="AK1120" s="60"/>
      <c r="AL1120" s="60"/>
      <c r="AM1120" s="60" t="s">
        <v>786</v>
      </c>
      <c r="AN1120" s="60" t="s">
        <v>171</v>
      </c>
      <c r="AO1120" s="11">
        <v>796</v>
      </c>
      <c r="AP1120" s="38" t="s">
        <v>419</v>
      </c>
      <c r="AQ1120" s="38">
        <v>1</v>
      </c>
      <c r="AR1120" s="38">
        <v>45</v>
      </c>
      <c r="AS1120" s="16" t="s">
        <v>547</v>
      </c>
      <c r="AT1120" s="51">
        <v>41640</v>
      </c>
      <c r="AU1120" s="51">
        <v>41699</v>
      </c>
      <c r="AV1120" s="52">
        <v>42004</v>
      </c>
      <c r="AW1120" s="38">
        <v>2014</v>
      </c>
      <c r="AX1120" s="60"/>
      <c r="AY1120" s="135"/>
      <c r="AZ1120" s="60"/>
      <c r="BA1120" s="38"/>
      <c r="BB1120" s="38"/>
      <c r="BC1120" s="60"/>
      <c r="BD1120" s="60"/>
      <c r="BE1120" s="238"/>
      <c r="BF1120" s="238"/>
      <c r="BG1120" s="238"/>
      <c r="BH1120" s="238"/>
      <c r="BI1120" s="238"/>
      <c r="BJ1120" s="238"/>
      <c r="BK1120" s="238"/>
    </row>
    <row r="1121" spans="1:63" s="268" customFormat="1" ht="56.25">
      <c r="A1121" s="321">
        <v>3</v>
      </c>
      <c r="B1121" s="38" t="s">
        <v>787</v>
      </c>
      <c r="C1121" s="38" t="s">
        <v>83</v>
      </c>
      <c r="D1121" s="38" t="s">
        <v>765</v>
      </c>
      <c r="E1121" s="38" t="s">
        <v>250</v>
      </c>
      <c r="F1121" s="38" t="s">
        <v>349</v>
      </c>
      <c r="G1121" s="38">
        <v>4500000</v>
      </c>
      <c r="H1121" s="63">
        <v>38534</v>
      </c>
      <c r="I1121" s="18" t="s">
        <v>788</v>
      </c>
      <c r="J1121" s="18" t="s">
        <v>773</v>
      </c>
      <c r="K1121" s="60" t="s">
        <v>4717</v>
      </c>
      <c r="L1121" s="16" t="s">
        <v>180</v>
      </c>
      <c r="M1121" s="134" t="s">
        <v>1249</v>
      </c>
      <c r="N1121" s="60" t="s">
        <v>5926</v>
      </c>
      <c r="O1121" s="16" t="s">
        <v>769</v>
      </c>
      <c r="P1121" s="23">
        <v>1704.2566099999999</v>
      </c>
      <c r="Q1121" s="23">
        <f t="shared" si="145"/>
        <v>2011.0227997999998</v>
      </c>
      <c r="R1121" s="23"/>
      <c r="S1121" s="29"/>
      <c r="T1121" s="25"/>
      <c r="U1121" s="25"/>
      <c r="V1121" s="25"/>
      <c r="W1121" s="25"/>
      <c r="X1121" s="25"/>
      <c r="Y1121" s="23">
        <v>1704.2566099999999</v>
      </c>
      <c r="Z1121" s="23">
        <f t="shared" si="146"/>
        <v>2011.0227997999998</v>
      </c>
      <c r="AA1121" s="36" t="s">
        <v>132</v>
      </c>
      <c r="AB1121" s="36" t="s">
        <v>132</v>
      </c>
      <c r="AC1121" s="23">
        <v>1704.2566099999999</v>
      </c>
      <c r="AD1121" s="23">
        <f t="shared" si="149"/>
        <v>2011.0227997999998</v>
      </c>
      <c r="AE1121" s="38" t="s">
        <v>173</v>
      </c>
      <c r="AF1121" s="38" t="s">
        <v>83</v>
      </c>
      <c r="AG1121" s="38" t="s">
        <v>83</v>
      </c>
      <c r="AH1121" s="38" t="s">
        <v>90</v>
      </c>
      <c r="AI1121" s="52">
        <v>41609</v>
      </c>
      <c r="AJ1121" s="52">
        <v>41621</v>
      </c>
      <c r="AK1121" s="60"/>
      <c r="AL1121" s="60"/>
      <c r="AM1121" s="60" t="s">
        <v>789</v>
      </c>
      <c r="AN1121" s="60" t="s">
        <v>171</v>
      </c>
      <c r="AO1121" s="11">
        <v>796</v>
      </c>
      <c r="AP1121" s="38" t="s">
        <v>419</v>
      </c>
      <c r="AQ1121" s="38">
        <v>1</v>
      </c>
      <c r="AR1121" s="38">
        <v>45</v>
      </c>
      <c r="AS1121" s="16" t="s">
        <v>547</v>
      </c>
      <c r="AT1121" s="51">
        <v>41640</v>
      </c>
      <c r="AU1121" s="52">
        <v>41671</v>
      </c>
      <c r="AV1121" s="52">
        <v>42004</v>
      </c>
      <c r="AW1121" s="38">
        <v>2014</v>
      </c>
      <c r="AX1121" s="60"/>
      <c r="AY1121" s="135"/>
      <c r="AZ1121" s="60"/>
      <c r="BA1121" s="38"/>
      <c r="BB1121" s="38"/>
      <c r="BC1121" s="60"/>
      <c r="BD1121" s="60"/>
      <c r="BE1121" s="238"/>
      <c r="BF1121" s="238"/>
      <c r="BG1121" s="238"/>
      <c r="BH1121" s="238"/>
      <c r="BI1121" s="238"/>
      <c r="BJ1121" s="238"/>
      <c r="BK1121" s="378"/>
    </row>
    <row r="1122" spans="1:63" s="268" customFormat="1" ht="93" customHeight="1">
      <c r="A1122" s="321">
        <v>3</v>
      </c>
      <c r="B1122" s="38" t="s">
        <v>790</v>
      </c>
      <c r="C1122" s="38" t="s">
        <v>83</v>
      </c>
      <c r="D1122" s="38" t="s">
        <v>765</v>
      </c>
      <c r="E1122" s="38" t="s">
        <v>250</v>
      </c>
      <c r="F1122" s="38" t="s">
        <v>349</v>
      </c>
      <c r="G1122" s="38">
        <v>4500000</v>
      </c>
      <c r="H1122" s="63">
        <v>38535</v>
      </c>
      <c r="I1122" s="18" t="s">
        <v>791</v>
      </c>
      <c r="J1122" s="18" t="s">
        <v>792</v>
      </c>
      <c r="K1122" s="60" t="s">
        <v>4717</v>
      </c>
      <c r="L1122" s="16" t="s">
        <v>180</v>
      </c>
      <c r="M1122" s="134" t="s">
        <v>1249</v>
      </c>
      <c r="N1122" s="60" t="s">
        <v>5926</v>
      </c>
      <c r="O1122" s="16" t="s">
        <v>769</v>
      </c>
      <c r="P1122" s="23">
        <v>841.39</v>
      </c>
      <c r="Q1122" s="23">
        <f t="shared" si="145"/>
        <v>992.84019999999998</v>
      </c>
      <c r="R1122" s="23"/>
      <c r="S1122" s="29"/>
      <c r="T1122" s="25"/>
      <c r="U1122" s="25"/>
      <c r="V1122" s="25"/>
      <c r="W1122" s="25"/>
      <c r="X1122" s="25"/>
      <c r="Y1122" s="23">
        <v>841.39</v>
      </c>
      <c r="Z1122" s="23">
        <f t="shared" si="146"/>
        <v>992.84019999999998</v>
      </c>
      <c r="AA1122" s="36" t="s">
        <v>132</v>
      </c>
      <c r="AB1122" s="36" t="s">
        <v>132</v>
      </c>
      <c r="AC1122" s="23">
        <v>841.39300000000003</v>
      </c>
      <c r="AD1122" s="23">
        <f t="shared" si="149"/>
        <v>992.84374000000003</v>
      </c>
      <c r="AE1122" s="38" t="s">
        <v>173</v>
      </c>
      <c r="AF1122" s="38" t="s">
        <v>83</v>
      </c>
      <c r="AG1122" s="38" t="s">
        <v>83</v>
      </c>
      <c r="AH1122" s="38" t="s">
        <v>90</v>
      </c>
      <c r="AI1122" s="51">
        <v>41554</v>
      </c>
      <c r="AJ1122" s="51">
        <v>41609</v>
      </c>
      <c r="AK1122" s="60"/>
      <c r="AL1122" s="60"/>
      <c r="AM1122" s="60" t="s">
        <v>793</v>
      </c>
      <c r="AN1122" s="60" t="s">
        <v>171</v>
      </c>
      <c r="AO1122" s="11">
        <v>796</v>
      </c>
      <c r="AP1122" s="38" t="s">
        <v>419</v>
      </c>
      <c r="AQ1122" s="38">
        <v>1</v>
      </c>
      <c r="AR1122" s="38">
        <v>45</v>
      </c>
      <c r="AS1122" s="16" t="s">
        <v>547</v>
      </c>
      <c r="AT1122" s="51">
        <v>41640</v>
      </c>
      <c r="AU1122" s="51">
        <v>41699</v>
      </c>
      <c r="AV1122" s="52">
        <v>42004</v>
      </c>
      <c r="AW1122" s="38">
        <v>2014</v>
      </c>
      <c r="AX1122" s="60"/>
      <c r="AY1122" s="135"/>
      <c r="AZ1122" s="60"/>
      <c r="BA1122" s="38"/>
      <c r="BB1122" s="38"/>
      <c r="BC1122" s="60"/>
      <c r="BD1122" s="60"/>
      <c r="BE1122" s="238"/>
      <c r="BF1122" s="238"/>
      <c r="BG1122" s="238"/>
      <c r="BH1122" s="238"/>
      <c r="BI1122" s="238"/>
      <c r="BJ1122" s="238"/>
      <c r="BK1122" s="238"/>
    </row>
    <row r="1123" spans="1:63" s="268" customFormat="1" ht="56.25">
      <c r="A1123" s="321">
        <v>3</v>
      </c>
      <c r="B1123" s="38" t="s">
        <v>794</v>
      </c>
      <c r="C1123" s="38" t="s">
        <v>83</v>
      </c>
      <c r="D1123" s="38" t="s">
        <v>765</v>
      </c>
      <c r="E1123" s="38" t="s">
        <v>250</v>
      </c>
      <c r="F1123" s="38" t="s">
        <v>349</v>
      </c>
      <c r="G1123" s="38">
        <v>4500000</v>
      </c>
      <c r="H1123" s="63">
        <v>38541</v>
      </c>
      <c r="I1123" s="18" t="s">
        <v>795</v>
      </c>
      <c r="J1123" s="18" t="s">
        <v>773</v>
      </c>
      <c r="K1123" s="60" t="s">
        <v>4717</v>
      </c>
      <c r="L1123" s="16" t="s">
        <v>180</v>
      </c>
      <c r="M1123" s="134" t="s">
        <v>1249</v>
      </c>
      <c r="N1123" s="60" t="s">
        <v>5926</v>
      </c>
      <c r="O1123" s="16" t="s">
        <v>769</v>
      </c>
      <c r="P1123" s="23">
        <v>4360.1301899999999</v>
      </c>
      <c r="Q1123" s="23">
        <f t="shared" si="145"/>
        <v>5144.9536241999995</v>
      </c>
      <c r="R1123" s="23"/>
      <c r="S1123" s="29"/>
      <c r="T1123" s="25"/>
      <c r="U1123" s="25"/>
      <c r="V1123" s="25"/>
      <c r="W1123" s="25"/>
      <c r="X1123" s="25"/>
      <c r="Y1123" s="23">
        <v>4360.1301899999999</v>
      </c>
      <c r="Z1123" s="23">
        <f t="shared" si="146"/>
        <v>5144.9536241999995</v>
      </c>
      <c r="AA1123" s="36" t="s">
        <v>132</v>
      </c>
      <c r="AB1123" s="36" t="s">
        <v>132</v>
      </c>
      <c r="AC1123" s="23">
        <v>4360.1301899999999</v>
      </c>
      <c r="AD1123" s="23">
        <f t="shared" si="149"/>
        <v>5144.9536241999995</v>
      </c>
      <c r="AE1123" s="38" t="s">
        <v>173</v>
      </c>
      <c r="AF1123" s="38" t="s">
        <v>83</v>
      </c>
      <c r="AG1123" s="38" t="s">
        <v>83</v>
      </c>
      <c r="AH1123" s="38" t="s">
        <v>90</v>
      </c>
      <c r="AI1123" s="52">
        <v>41609</v>
      </c>
      <c r="AJ1123" s="52">
        <v>41621</v>
      </c>
      <c r="AK1123" s="60"/>
      <c r="AL1123" s="60"/>
      <c r="AM1123" s="60" t="s">
        <v>796</v>
      </c>
      <c r="AN1123" s="60" t="s">
        <v>171</v>
      </c>
      <c r="AO1123" s="11">
        <v>796</v>
      </c>
      <c r="AP1123" s="38" t="s">
        <v>419</v>
      </c>
      <c r="AQ1123" s="38">
        <v>1</v>
      </c>
      <c r="AR1123" s="38">
        <v>45</v>
      </c>
      <c r="AS1123" s="16" t="s">
        <v>547</v>
      </c>
      <c r="AT1123" s="51">
        <v>41640</v>
      </c>
      <c r="AU1123" s="51">
        <v>41699</v>
      </c>
      <c r="AV1123" s="52">
        <v>42004</v>
      </c>
      <c r="AW1123" s="38">
        <v>2014</v>
      </c>
      <c r="AX1123" s="60"/>
      <c r="AY1123" s="135"/>
      <c r="AZ1123" s="60"/>
      <c r="BA1123" s="38"/>
      <c r="BB1123" s="38"/>
      <c r="BC1123" s="60"/>
      <c r="BD1123" s="60"/>
      <c r="BE1123" s="238"/>
      <c r="BF1123" s="238"/>
      <c r="BG1123" s="238"/>
      <c r="BH1123" s="238"/>
      <c r="BI1123" s="238"/>
      <c r="BJ1123" s="238"/>
      <c r="BK1123" s="378"/>
    </row>
    <row r="1124" spans="1:63" s="268" customFormat="1" ht="56.25">
      <c r="A1124" s="321">
        <v>3</v>
      </c>
      <c r="B1124" s="38" t="s">
        <v>797</v>
      </c>
      <c r="C1124" s="38" t="s">
        <v>83</v>
      </c>
      <c r="D1124" s="38" t="s">
        <v>765</v>
      </c>
      <c r="E1124" s="38" t="s">
        <v>250</v>
      </c>
      <c r="F1124" s="38" t="s">
        <v>349</v>
      </c>
      <c r="G1124" s="38">
        <v>4500000</v>
      </c>
      <c r="H1124" s="63">
        <v>38542</v>
      </c>
      <c r="I1124" s="18" t="s">
        <v>798</v>
      </c>
      <c r="J1124" s="18" t="s">
        <v>773</v>
      </c>
      <c r="K1124" s="60" t="s">
        <v>4717</v>
      </c>
      <c r="L1124" s="16" t="s">
        <v>180</v>
      </c>
      <c r="M1124" s="134" t="s">
        <v>1249</v>
      </c>
      <c r="N1124" s="60" t="s">
        <v>5926</v>
      </c>
      <c r="O1124" s="16" t="s">
        <v>769</v>
      </c>
      <c r="P1124" s="23">
        <v>2525.4520000000002</v>
      </c>
      <c r="Q1124" s="23">
        <f t="shared" si="145"/>
        <v>2980.0333599999999</v>
      </c>
      <c r="R1124" s="23"/>
      <c r="S1124" s="29"/>
      <c r="T1124" s="25"/>
      <c r="U1124" s="25"/>
      <c r="V1124" s="25"/>
      <c r="W1124" s="25"/>
      <c r="X1124" s="25"/>
      <c r="Y1124" s="23">
        <v>2525.4499999999998</v>
      </c>
      <c r="Z1124" s="23">
        <f t="shared" si="146"/>
        <v>2980.0309999999995</v>
      </c>
      <c r="AA1124" s="36" t="s">
        <v>132</v>
      </c>
      <c r="AB1124" s="36" t="s">
        <v>132</v>
      </c>
      <c r="AC1124" s="23">
        <v>2525.4499999999998</v>
      </c>
      <c r="AD1124" s="23">
        <f t="shared" si="149"/>
        <v>2980.0309999999995</v>
      </c>
      <c r="AE1124" s="38" t="s">
        <v>173</v>
      </c>
      <c r="AF1124" s="38" t="s">
        <v>83</v>
      </c>
      <c r="AG1124" s="38" t="s">
        <v>83</v>
      </c>
      <c r="AH1124" s="38" t="s">
        <v>90</v>
      </c>
      <c r="AI1124" s="52">
        <v>41609</v>
      </c>
      <c r="AJ1124" s="52">
        <v>41621</v>
      </c>
      <c r="AK1124" s="60"/>
      <c r="AL1124" s="60"/>
      <c r="AM1124" s="60" t="s">
        <v>799</v>
      </c>
      <c r="AN1124" s="60" t="s">
        <v>171</v>
      </c>
      <c r="AO1124" s="11">
        <v>796</v>
      </c>
      <c r="AP1124" s="38" t="s">
        <v>419</v>
      </c>
      <c r="AQ1124" s="38">
        <v>1</v>
      </c>
      <c r="AR1124" s="38">
        <v>45</v>
      </c>
      <c r="AS1124" s="16" t="s">
        <v>547</v>
      </c>
      <c r="AT1124" s="51">
        <v>41640</v>
      </c>
      <c r="AU1124" s="51">
        <v>41699</v>
      </c>
      <c r="AV1124" s="52">
        <v>42004</v>
      </c>
      <c r="AW1124" s="38">
        <v>2014</v>
      </c>
      <c r="AX1124" s="60"/>
      <c r="AY1124" s="135"/>
      <c r="AZ1124" s="60"/>
      <c r="BA1124" s="38"/>
      <c r="BB1124" s="38"/>
      <c r="BC1124" s="60"/>
      <c r="BD1124" s="60"/>
      <c r="BE1124" s="238"/>
      <c r="BF1124" s="238"/>
      <c r="BG1124" s="238"/>
      <c r="BH1124" s="238"/>
      <c r="BI1124" s="238"/>
      <c r="BJ1124" s="238"/>
      <c r="BK1124" s="378"/>
    </row>
    <row r="1125" spans="1:63" s="268" customFormat="1" ht="56.25">
      <c r="A1125" s="321">
        <v>3</v>
      </c>
      <c r="B1125" s="38" t="s">
        <v>800</v>
      </c>
      <c r="C1125" s="38" t="s">
        <v>83</v>
      </c>
      <c r="D1125" s="38" t="s">
        <v>765</v>
      </c>
      <c r="E1125" s="38" t="s">
        <v>250</v>
      </c>
      <c r="F1125" s="38" t="s">
        <v>349</v>
      </c>
      <c r="G1125" s="38">
        <v>4500000</v>
      </c>
      <c r="H1125" s="63">
        <v>38536</v>
      </c>
      <c r="I1125" s="18" t="s">
        <v>801</v>
      </c>
      <c r="J1125" s="18" t="s">
        <v>773</v>
      </c>
      <c r="K1125" s="60" t="s">
        <v>4717</v>
      </c>
      <c r="L1125" s="16" t="s">
        <v>180</v>
      </c>
      <c r="M1125" s="134" t="s">
        <v>1249</v>
      </c>
      <c r="N1125" s="60" t="s">
        <v>5926</v>
      </c>
      <c r="O1125" s="16" t="s">
        <v>769</v>
      </c>
      <c r="P1125" s="23">
        <v>4169.8999999999996</v>
      </c>
      <c r="Q1125" s="23">
        <f t="shared" si="145"/>
        <v>4920.4819999999991</v>
      </c>
      <c r="R1125" s="23"/>
      <c r="S1125" s="29"/>
      <c r="T1125" s="25"/>
      <c r="U1125" s="25"/>
      <c r="V1125" s="25"/>
      <c r="W1125" s="25"/>
      <c r="X1125" s="25"/>
      <c r="Y1125" s="23">
        <v>4169.8999999999996</v>
      </c>
      <c r="Z1125" s="23">
        <f t="shared" si="146"/>
        <v>4920.4819999999991</v>
      </c>
      <c r="AA1125" s="36" t="s">
        <v>132</v>
      </c>
      <c r="AB1125" s="36" t="s">
        <v>132</v>
      </c>
      <c r="AC1125" s="23">
        <v>4169.8999999999996</v>
      </c>
      <c r="AD1125" s="23">
        <f t="shared" si="149"/>
        <v>4920.4819999999991</v>
      </c>
      <c r="AE1125" s="38" t="s">
        <v>173</v>
      </c>
      <c r="AF1125" s="38" t="s">
        <v>83</v>
      </c>
      <c r="AG1125" s="38" t="s">
        <v>83</v>
      </c>
      <c r="AH1125" s="38" t="s">
        <v>90</v>
      </c>
      <c r="AI1125" s="51">
        <v>41554</v>
      </c>
      <c r="AJ1125" s="51">
        <v>41609</v>
      </c>
      <c r="AK1125" s="60"/>
      <c r="AL1125" s="60"/>
      <c r="AM1125" s="60" t="s">
        <v>802</v>
      </c>
      <c r="AN1125" s="60" t="s">
        <v>171</v>
      </c>
      <c r="AO1125" s="11">
        <v>796</v>
      </c>
      <c r="AP1125" s="38" t="s">
        <v>419</v>
      </c>
      <c r="AQ1125" s="38">
        <v>1</v>
      </c>
      <c r="AR1125" s="38">
        <v>45</v>
      </c>
      <c r="AS1125" s="16" t="s">
        <v>547</v>
      </c>
      <c r="AT1125" s="51">
        <v>41640</v>
      </c>
      <c r="AU1125" s="51">
        <v>41760</v>
      </c>
      <c r="AV1125" s="52">
        <v>41851</v>
      </c>
      <c r="AW1125" s="38">
        <v>2014</v>
      </c>
      <c r="AX1125" s="60"/>
      <c r="AY1125" s="135"/>
      <c r="AZ1125" s="60"/>
      <c r="BA1125" s="38"/>
      <c r="BB1125" s="38"/>
      <c r="BC1125" s="60"/>
      <c r="BD1125" s="60"/>
      <c r="BE1125" s="238"/>
      <c r="BF1125" s="238"/>
      <c r="BG1125" s="238"/>
      <c r="BH1125" s="238"/>
      <c r="BI1125" s="238"/>
      <c r="BJ1125" s="238"/>
      <c r="BK1125" s="238"/>
    </row>
    <row r="1126" spans="1:63" s="268" customFormat="1" ht="56.25">
      <c r="A1126" s="321">
        <v>3</v>
      </c>
      <c r="B1126" s="38" t="s">
        <v>803</v>
      </c>
      <c r="C1126" s="38" t="s">
        <v>83</v>
      </c>
      <c r="D1126" s="38" t="s">
        <v>765</v>
      </c>
      <c r="E1126" s="38" t="s">
        <v>250</v>
      </c>
      <c r="F1126" s="38" t="s">
        <v>349</v>
      </c>
      <c r="G1126" s="38">
        <v>4500000</v>
      </c>
      <c r="H1126" s="63">
        <v>38543</v>
      </c>
      <c r="I1126" s="18" t="s">
        <v>804</v>
      </c>
      <c r="J1126" s="18" t="s">
        <v>773</v>
      </c>
      <c r="K1126" s="60" t="s">
        <v>4717</v>
      </c>
      <c r="L1126" s="16" t="s">
        <v>180</v>
      </c>
      <c r="M1126" s="134" t="s">
        <v>1249</v>
      </c>
      <c r="N1126" s="60" t="s">
        <v>5926</v>
      </c>
      <c r="O1126" s="16" t="s">
        <v>769</v>
      </c>
      <c r="P1126" s="23">
        <v>1170.579</v>
      </c>
      <c r="Q1126" s="23">
        <f t="shared" si="145"/>
        <v>1381.2832199999998</v>
      </c>
      <c r="R1126" s="23"/>
      <c r="S1126" s="29"/>
      <c r="T1126" s="25"/>
      <c r="U1126" s="25"/>
      <c r="V1126" s="25"/>
      <c r="W1126" s="25"/>
      <c r="X1126" s="25"/>
      <c r="Y1126" s="23">
        <v>1170.579</v>
      </c>
      <c r="Z1126" s="23">
        <f t="shared" si="146"/>
        <v>1381.2832199999998</v>
      </c>
      <c r="AA1126" s="36" t="s">
        <v>132</v>
      </c>
      <c r="AB1126" s="36" t="s">
        <v>132</v>
      </c>
      <c r="AC1126" s="23">
        <v>1170.579</v>
      </c>
      <c r="AD1126" s="23">
        <f t="shared" si="149"/>
        <v>1381.2832199999998</v>
      </c>
      <c r="AE1126" s="38" t="s">
        <v>173</v>
      </c>
      <c r="AF1126" s="38" t="s">
        <v>83</v>
      </c>
      <c r="AG1126" s="38" t="s">
        <v>83</v>
      </c>
      <c r="AH1126" s="38" t="s">
        <v>90</v>
      </c>
      <c r="AI1126" s="52">
        <v>41609</v>
      </c>
      <c r="AJ1126" s="52">
        <v>41624</v>
      </c>
      <c r="AK1126" s="60"/>
      <c r="AL1126" s="60"/>
      <c r="AM1126" s="60" t="s">
        <v>804</v>
      </c>
      <c r="AN1126" s="60" t="s">
        <v>171</v>
      </c>
      <c r="AO1126" s="11">
        <v>796</v>
      </c>
      <c r="AP1126" s="38" t="s">
        <v>419</v>
      </c>
      <c r="AQ1126" s="38">
        <v>1</v>
      </c>
      <c r="AR1126" s="38">
        <v>45</v>
      </c>
      <c r="AS1126" s="16" t="s">
        <v>547</v>
      </c>
      <c r="AT1126" s="51">
        <v>41640</v>
      </c>
      <c r="AU1126" s="52">
        <v>41730</v>
      </c>
      <c r="AV1126" s="224">
        <v>41912</v>
      </c>
      <c r="AW1126" s="38">
        <v>2014</v>
      </c>
      <c r="AX1126" s="60"/>
      <c r="AY1126" s="135"/>
      <c r="AZ1126" s="60"/>
      <c r="BA1126" s="38"/>
      <c r="BB1126" s="38"/>
      <c r="BC1126" s="60"/>
      <c r="BD1126" s="60"/>
      <c r="BE1126" s="238"/>
      <c r="BF1126" s="238"/>
      <c r="BG1126" s="238"/>
      <c r="BH1126" s="238"/>
      <c r="BI1126" s="238"/>
      <c r="BJ1126" s="238"/>
      <c r="BK1126" s="378"/>
    </row>
    <row r="1127" spans="1:63" s="268" customFormat="1" ht="56.25">
      <c r="A1127" s="321">
        <v>3</v>
      </c>
      <c r="B1127" s="38" t="s">
        <v>805</v>
      </c>
      <c r="C1127" s="38" t="s">
        <v>83</v>
      </c>
      <c r="D1127" s="38" t="s">
        <v>765</v>
      </c>
      <c r="E1127" s="38" t="s">
        <v>250</v>
      </c>
      <c r="F1127" s="38" t="s">
        <v>349</v>
      </c>
      <c r="G1127" s="38">
        <v>4500000</v>
      </c>
      <c r="H1127" s="63">
        <v>38537</v>
      </c>
      <c r="I1127" s="18" t="s">
        <v>806</v>
      </c>
      <c r="J1127" s="18" t="s">
        <v>773</v>
      </c>
      <c r="K1127" s="60" t="s">
        <v>4717</v>
      </c>
      <c r="L1127" s="16" t="s">
        <v>180</v>
      </c>
      <c r="M1127" s="134" t="s">
        <v>1249</v>
      </c>
      <c r="N1127" s="60" t="s">
        <v>5926</v>
      </c>
      <c r="O1127" s="16" t="s">
        <v>769</v>
      </c>
      <c r="P1127" s="23">
        <v>2525.41</v>
      </c>
      <c r="Q1127" s="23">
        <f t="shared" si="145"/>
        <v>2979.9837999999995</v>
      </c>
      <c r="R1127" s="23"/>
      <c r="S1127" s="29"/>
      <c r="T1127" s="25"/>
      <c r="U1127" s="25"/>
      <c r="V1127" s="25"/>
      <c r="W1127" s="25"/>
      <c r="X1127" s="25"/>
      <c r="Y1127" s="23">
        <v>2525.41</v>
      </c>
      <c r="Z1127" s="23">
        <f t="shared" si="146"/>
        <v>2979.9837999999995</v>
      </c>
      <c r="AA1127" s="36" t="s">
        <v>132</v>
      </c>
      <c r="AB1127" s="36" t="s">
        <v>132</v>
      </c>
      <c r="AC1127" s="23">
        <v>2525.41</v>
      </c>
      <c r="AD1127" s="23">
        <f t="shared" si="149"/>
        <v>2979.9837999999995</v>
      </c>
      <c r="AE1127" s="38" t="s">
        <v>173</v>
      </c>
      <c r="AF1127" s="38" t="s">
        <v>83</v>
      </c>
      <c r="AG1127" s="38" t="s">
        <v>83</v>
      </c>
      <c r="AH1127" s="38" t="s">
        <v>90</v>
      </c>
      <c r="AI1127" s="51">
        <v>41554</v>
      </c>
      <c r="AJ1127" s="51">
        <v>41609</v>
      </c>
      <c r="AK1127" s="60"/>
      <c r="AL1127" s="60"/>
      <c r="AM1127" s="60" t="s">
        <v>806</v>
      </c>
      <c r="AN1127" s="60" t="s">
        <v>171</v>
      </c>
      <c r="AO1127" s="11">
        <v>796</v>
      </c>
      <c r="AP1127" s="38" t="s">
        <v>419</v>
      </c>
      <c r="AQ1127" s="38">
        <v>1</v>
      </c>
      <c r="AR1127" s="38">
        <v>45</v>
      </c>
      <c r="AS1127" s="16" t="s">
        <v>547</v>
      </c>
      <c r="AT1127" s="51">
        <v>41640</v>
      </c>
      <c r="AU1127" s="51">
        <v>41730</v>
      </c>
      <c r="AV1127" s="52">
        <v>42004</v>
      </c>
      <c r="AW1127" s="38">
        <v>2014</v>
      </c>
      <c r="AX1127" s="60"/>
      <c r="AY1127" s="135"/>
      <c r="AZ1127" s="60"/>
      <c r="BA1127" s="38"/>
      <c r="BB1127" s="38"/>
      <c r="BC1127" s="60"/>
      <c r="BD1127" s="60"/>
      <c r="BE1127" s="238"/>
      <c r="BF1127" s="238"/>
      <c r="BG1127" s="238"/>
      <c r="BH1127" s="238"/>
      <c r="BI1127" s="238"/>
      <c r="BJ1127" s="238"/>
      <c r="BK1127" s="238"/>
    </row>
    <row r="1128" spans="1:63" s="268" customFormat="1" ht="56.25">
      <c r="A1128" s="321">
        <v>3</v>
      </c>
      <c r="B1128" s="38" t="s">
        <v>807</v>
      </c>
      <c r="C1128" s="38" t="s">
        <v>83</v>
      </c>
      <c r="D1128" s="38" t="s">
        <v>765</v>
      </c>
      <c r="E1128" s="38" t="s">
        <v>250</v>
      </c>
      <c r="F1128" s="38" t="s">
        <v>349</v>
      </c>
      <c r="G1128" s="38">
        <v>4500000</v>
      </c>
      <c r="H1128" s="63">
        <v>38538</v>
      </c>
      <c r="I1128" s="18" t="s">
        <v>808</v>
      </c>
      <c r="J1128" s="18" t="s">
        <v>773</v>
      </c>
      <c r="K1128" s="60" t="s">
        <v>4717</v>
      </c>
      <c r="L1128" s="16" t="s">
        <v>180</v>
      </c>
      <c r="M1128" s="134" t="s">
        <v>1249</v>
      </c>
      <c r="N1128" s="60" t="s">
        <v>5926</v>
      </c>
      <c r="O1128" s="16" t="s">
        <v>769</v>
      </c>
      <c r="P1128" s="23">
        <v>8074.49</v>
      </c>
      <c r="Q1128" s="23">
        <f t="shared" si="145"/>
        <v>9527.8981999999996</v>
      </c>
      <c r="R1128" s="23"/>
      <c r="S1128" s="29"/>
      <c r="T1128" s="25"/>
      <c r="U1128" s="25"/>
      <c r="V1128" s="25"/>
      <c r="W1128" s="25"/>
      <c r="X1128" s="25"/>
      <c r="Y1128" s="23">
        <v>8074.49</v>
      </c>
      <c r="Z1128" s="23">
        <f t="shared" si="146"/>
        <v>9527.8981999999996</v>
      </c>
      <c r="AA1128" s="36" t="s">
        <v>132</v>
      </c>
      <c r="AB1128" s="36" t="s">
        <v>132</v>
      </c>
      <c r="AC1128" s="23">
        <v>8074.49</v>
      </c>
      <c r="AD1128" s="23">
        <f t="shared" si="149"/>
        <v>9527.8981999999996</v>
      </c>
      <c r="AE1128" s="38" t="s">
        <v>173</v>
      </c>
      <c r="AF1128" s="38" t="s">
        <v>83</v>
      </c>
      <c r="AG1128" s="38" t="s">
        <v>83</v>
      </c>
      <c r="AH1128" s="38" t="s">
        <v>90</v>
      </c>
      <c r="AI1128" s="51">
        <v>41554</v>
      </c>
      <c r="AJ1128" s="51">
        <v>41609</v>
      </c>
      <c r="AK1128" s="60"/>
      <c r="AL1128" s="60"/>
      <c r="AM1128" s="60" t="s">
        <v>808</v>
      </c>
      <c r="AN1128" s="60" t="s">
        <v>171</v>
      </c>
      <c r="AO1128" s="11">
        <v>796</v>
      </c>
      <c r="AP1128" s="38" t="s">
        <v>419</v>
      </c>
      <c r="AQ1128" s="38">
        <v>1</v>
      </c>
      <c r="AR1128" s="38">
        <v>45</v>
      </c>
      <c r="AS1128" s="16" t="s">
        <v>547</v>
      </c>
      <c r="AT1128" s="51">
        <v>41640</v>
      </c>
      <c r="AU1128" s="51">
        <v>41760</v>
      </c>
      <c r="AV1128" s="52">
        <v>42004</v>
      </c>
      <c r="AW1128" s="38">
        <v>2014</v>
      </c>
      <c r="AX1128" s="60"/>
      <c r="AY1128" s="135"/>
      <c r="AZ1128" s="60"/>
      <c r="BA1128" s="38"/>
      <c r="BB1128" s="38"/>
      <c r="BC1128" s="60"/>
      <c r="BD1128" s="60"/>
      <c r="BE1128" s="238"/>
      <c r="BF1128" s="238"/>
      <c r="BG1128" s="238"/>
      <c r="BH1128" s="238"/>
      <c r="BI1128" s="238"/>
      <c r="BJ1128" s="238"/>
      <c r="BK1128" s="238"/>
    </row>
    <row r="1129" spans="1:63" s="268" customFormat="1" ht="56.25">
      <c r="A1129" s="321">
        <v>3</v>
      </c>
      <c r="B1129" s="38" t="s">
        <v>809</v>
      </c>
      <c r="C1129" s="38" t="s">
        <v>83</v>
      </c>
      <c r="D1129" s="38" t="s">
        <v>765</v>
      </c>
      <c r="E1129" s="38" t="s">
        <v>250</v>
      </c>
      <c r="F1129" s="38" t="s">
        <v>349</v>
      </c>
      <c r="G1129" s="38">
        <v>4500000</v>
      </c>
      <c r="H1129" s="63">
        <v>38539</v>
      </c>
      <c r="I1129" s="18" t="s">
        <v>810</v>
      </c>
      <c r="J1129" s="18" t="s">
        <v>773</v>
      </c>
      <c r="K1129" s="60" t="s">
        <v>4717</v>
      </c>
      <c r="L1129" s="16" t="s">
        <v>180</v>
      </c>
      <c r="M1129" s="134" t="s">
        <v>1249</v>
      </c>
      <c r="N1129" s="60" t="s">
        <v>5926</v>
      </c>
      <c r="O1129" s="16" t="s">
        <v>769</v>
      </c>
      <c r="P1129" s="23">
        <v>6312.43</v>
      </c>
      <c r="Q1129" s="23">
        <f t="shared" si="145"/>
        <v>7448.6674000000003</v>
      </c>
      <c r="R1129" s="23"/>
      <c r="S1129" s="29"/>
      <c r="T1129" s="25"/>
      <c r="U1129" s="25"/>
      <c r="V1129" s="25"/>
      <c r="W1129" s="25"/>
      <c r="X1129" s="25"/>
      <c r="Y1129" s="23">
        <v>6312.43</v>
      </c>
      <c r="Z1129" s="23">
        <f t="shared" si="146"/>
        <v>7448.6674000000003</v>
      </c>
      <c r="AA1129" s="36" t="s">
        <v>132</v>
      </c>
      <c r="AB1129" s="36" t="s">
        <v>132</v>
      </c>
      <c r="AC1129" s="23">
        <v>6312.43</v>
      </c>
      <c r="AD1129" s="23">
        <f t="shared" si="149"/>
        <v>7448.6674000000003</v>
      </c>
      <c r="AE1129" s="38" t="s">
        <v>173</v>
      </c>
      <c r="AF1129" s="38" t="s">
        <v>83</v>
      </c>
      <c r="AG1129" s="38" t="s">
        <v>83</v>
      </c>
      <c r="AH1129" s="38" t="s">
        <v>90</v>
      </c>
      <c r="AI1129" s="51">
        <v>41554</v>
      </c>
      <c r="AJ1129" s="51">
        <v>41609</v>
      </c>
      <c r="AK1129" s="60"/>
      <c r="AL1129" s="60"/>
      <c r="AM1129" s="60" t="s">
        <v>810</v>
      </c>
      <c r="AN1129" s="60" t="s">
        <v>171</v>
      </c>
      <c r="AO1129" s="11">
        <v>796</v>
      </c>
      <c r="AP1129" s="38" t="s">
        <v>419</v>
      </c>
      <c r="AQ1129" s="38">
        <v>1</v>
      </c>
      <c r="AR1129" s="38">
        <v>45</v>
      </c>
      <c r="AS1129" s="16" t="s">
        <v>547</v>
      </c>
      <c r="AT1129" s="51">
        <v>41640</v>
      </c>
      <c r="AU1129" s="51">
        <v>41760</v>
      </c>
      <c r="AV1129" s="52">
        <v>41943</v>
      </c>
      <c r="AW1129" s="38">
        <v>2014</v>
      </c>
      <c r="AX1129" s="60"/>
      <c r="AY1129" s="135"/>
      <c r="AZ1129" s="60"/>
      <c r="BA1129" s="38"/>
      <c r="BB1129" s="38"/>
      <c r="BC1129" s="60"/>
      <c r="BD1129" s="60"/>
      <c r="BE1129" s="238"/>
      <c r="BF1129" s="238"/>
      <c r="BG1129" s="238"/>
      <c r="BH1129" s="238"/>
      <c r="BI1129" s="238"/>
      <c r="BJ1129" s="238"/>
      <c r="BK1129" s="238"/>
    </row>
    <row r="1130" spans="1:63" s="268" customFormat="1" ht="56.25">
      <c r="A1130" s="321">
        <v>3</v>
      </c>
      <c r="B1130" s="38" t="s">
        <v>811</v>
      </c>
      <c r="C1130" s="38" t="s">
        <v>83</v>
      </c>
      <c r="D1130" s="38" t="s">
        <v>765</v>
      </c>
      <c r="E1130" s="38" t="s">
        <v>250</v>
      </c>
      <c r="F1130" s="38" t="s">
        <v>349</v>
      </c>
      <c r="G1130" s="38">
        <v>4500000</v>
      </c>
      <c r="H1130" s="63">
        <v>38540</v>
      </c>
      <c r="I1130" s="18" t="s">
        <v>812</v>
      </c>
      <c r="J1130" s="18" t="s">
        <v>813</v>
      </c>
      <c r="K1130" s="60" t="s">
        <v>4717</v>
      </c>
      <c r="L1130" s="16" t="s">
        <v>180</v>
      </c>
      <c r="M1130" s="134" t="s">
        <v>1249</v>
      </c>
      <c r="N1130" s="60" t="s">
        <v>5926</v>
      </c>
      <c r="O1130" s="16" t="s">
        <v>769</v>
      </c>
      <c r="P1130" s="23">
        <v>42540.466</v>
      </c>
      <c r="Q1130" s="23">
        <f t="shared" si="145"/>
        <v>50197.749879999996</v>
      </c>
      <c r="R1130" s="23">
        <v>43558.600453934945</v>
      </c>
      <c r="S1130" s="29"/>
      <c r="T1130" s="110">
        <v>1.0840000000000001</v>
      </c>
      <c r="U1130" s="110">
        <v>1.0509999999999999</v>
      </c>
      <c r="V1130" s="110">
        <v>1.0669999999999999</v>
      </c>
      <c r="W1130" s="110">
        <v>1.0529999999999999</v>
      </c>
      <c r="X1130" s="319">
        <v>0.9</v>
      </c>
      <c r="Y1130" s="23">
        <v>50181.22</v>
      </c>
      <c r="Z1130" s="23">
        <f t="shared" si="146"/>
        <v>59213.839599999999</v>
      </c>
      <c r="AA1130" s="36" t="s">
        <v>132</v>
      </c>
      <c r="AB1130" s="36" t="s">
        <v>132</v>
      </c>
      <c r="AC1130" s="23">
        <v>42540.466</v>
      </c>
      <c r="AD1130" s="23">
        <f t="shared" si="149"/>
        <v>50197.749879999996</v>
      </c>
      <c r="AE1130" s="38" t="s">
        <v>169</v>
      </c>
      <c r="AF1130" s="38" t="s">
        <v>83</v>
      </c>
      <c r="AG1130" s="38" t="s">
        <v>83</v>
      </c>
      <c r="AH1130" s="38" t="s">
        <v>90</v>
      </c>
      <c r="AI1130" s="52">
        <v>41625</v>
      </c>
      <c r="AJ1130" s="51">
        <v>41713</v>
      </c>
      <c r="AK1130" s="60"/>
      <c r="AL1130" s="60"/>
      <c r="AM1130" s="60" t="s">
        <v>812</v>
      </c>
      <c r="AN1130" s="60" t="s">
        <v>171</v>
      </c>
      <c r="AO1130" s="11">
        <v>796</v>
      </c>
      <c r="AP1130" s="38" t="s">
        <v>419</v>
      </c>
      <c r="AQ1130" s="38">
        <v>1</v>
      </c>
      <c r="AR1130" s="38">
        <v>45</v>
      </c>
      <c r="AS1130" s="16" t="s">
        <v>547</v>
      </c>
      <c r="AT1130" s="52">
        <v>41761</v>
      </c>
      <c r="AU1130" s="52">
        <v>41761</v>
      </c>
      <c r="AV1130" s="52">
        <v>42125</v>
      </c>
      <c r="AW1130" s="38" t="s">
        <v>99</v>
      </c>
      <c r="AX1130" s="60"/>
      <c r="AY1130" s="135"/>
      <c r="AZ1130" s="60"/>
      <c r="BA1130" s="38"/>
      <c r="BB1130" s="38"/>
      <c r="BC1130" s="60"/>
      <c r="BD1130" s="60"/>
      <c r="BE1130" s="238"/>
      <c r="BF1130" s="238"/>
      <c r="BG1130" s="238"/>
      <c r="BH1130" s="238"/>
      <c r="BI1130" s="238"/>
      <c r="BJ1130" s="238"/>
      <c r="BK1130" s="378"/>
    </row>
    <row r="1131" spans="1:63" s="268" customFormat="1" ht="131.25">
      <c r="A1131" s="321">
        <v>3</v>
      </c>
      <c r="B1131" s="38" t="s">
        <v>814</v>
      </c>
      <c r="C1131" s="38" t="s">
        <v>83</v>
      </c>
      <c r="D1131" s="38" t="s">
        <v>815</v>
      </c>
      <c r="E1131" s="38" t="s">
        <v>250</v>
      </c>
      <c r="F1131" s="38" t="s">
        <v>816</v>
      </c>
      <c r="G1131" s="38">
        <v>4560249</v>
      </c>
      <c r="H1131" s="63">
        <v>38491</v>
      </c>
      <c r="I1131" s="16" t="s">
        <v>817</v>
      </c>
      <c r="J1131" s="16" t="s">
        <v>818</v>
      </c>
      <c r="K1131" s="60" t="s">
        <v>4772</v>
      </c>
      <c r="L1131" s="16" t="s">
        <v>180</v>
      </c>
      <c r="M1131" s="134" t="s">
        <v>1184</v>
      </c>
      <c r="N1131" s="16" t="s">
        <v>5928</v>
      </c>
      <c r="O1131" s="16" t="s">
        <v>769</v>
      </c>
      <c r="P1131" s="23">
        <v>2220</v>
      </c>
      <c r="Q1131" s="23">
        <f t="shared" si="145"/>
        <v>2619.6</v>
      </c>
      <c r="R1131" s="23"/>
      <c r="S1131" s="29"/>
      <c r="T1131" s="25"/>
      <c r="U1131" s="25"/>
      <c r="V1131" s="25"/>
      <c r="W1131" s="25"/>
      <c r="X1131" s="25"/>
      <c r="Y1131" s="23">
        <v>2220</v>
      </c>
      <c r="Z1131" s="23">
        <f t="shared" si="146"/>
        <v>2619.6</v>
      </c>
      <c r="AA1131" s="36" t="s">
        <v>132</v>
      </c>
      <c r="AB1131" s="36" t="s">
        <v>132</v>
      </c>
      <c r="AC1131" s="23">
        <v>2220</v>
      </c>
      <c r="AD1131" s="23">
        <f t="shared" si="149"/>
        <v>2619.6</v>
      </c>
      <c r="AE1131" s="38" t="s">
        <v>173</v>
      </c>
      <c r="AF1131" s="38" t="s">
        <v>83</v>
      </c>
      <c r="AG1131" s="38" t="s">
        <v>83</v>
      </c>
      <c r="AH1131" s="38" t="s">
        <v>90</v>
      </c>
      <c r="AI1131" s="51">
        <v>41554</v>
      </c>
      <c r="AJ1131" s="51">
        <v>41609</v>
      </c>
      <c r="AK1131" s="60"/>
      <c r="AL1131" s="60"/>
      <c r="AM1131" s="60" t="s">
        <v>819</v>
      </c>
      <c r="AN1131" s="60" t="s">
        <v>171</v>
      </c>
      <c r="AO1131" s="11">
        <v>796</v>
      </c>
      <c r="AP1131" s="38" t="s">
        <v>419</v>
      </c>
      <c r="AQ1131" s="38">
        <v>54</v>
      </c>
      <c r="AR1131" s="38">
        <v>45</v>
      </c>
      <c r="AS1131" s="16" t="s">
        <v>547</v>
      </c>
      <c r="AT1131" s="51">
        <v>41640</v>
      </c>
      <c r="AU1131" s="51">
        <v>41730</v>
      </c>
      <c r="AV1131" s="52">
        <v>42094</v>
      </c>
      <c r="AW1131" s="38" t="s">
        <v>99</v>
      </c>
      <c r="AX1131" s="60"/>
      <c r="AY1131" s="135"/>
      <c r="AZ1131" s="60"/>
      <c r="BA1131" s="38"/>
      <c r="BB1131" s="38"/>
      <c r="BC1131" s="60"/>
      <c r="BD1131" s="60"/>
      <c r="BE1131" s="238"/>
      <c r="BF1131" s="238"/>
      <c r="BG1131" s="238"/>
      <c r="BH1131" s="238"/>
      <c r="BI1131" s="238"/>
      <c r="BJ1131" s="304"/>
      <c r="BK1131" s="238"/>
    </row>
    <row r="1132" spans="1:63" s="268" customFormat="1" ht="131.25">
      <c r="A1132" s="321">
        <v>3</v>
      </c>
      <c r="B1132" s="38" t="s">
        <v>820</v>
      </c>
      <c r="C1132" s="38" t="s">
        <v>83</v>
      </c>
      <c r="D1132" s="38" t="s">
        <v>821</v>
      </c>
      <c r="E1132" s="38" t="s">
        <v>250</v>
      </c>
      <c r="F1132" s="38" t="s">
        <v>822</v>
      </c>
      <c r="G1132" s="38">
        <v>4521000</v>
      </c>
      <c r="H1132" s="63">
        <v>38492</v>
      </c>
      <c r="I1132" s="16" t="s">
        <v>823</v>
      </c>
      <c r="J1132" s="16" t="s">
        <v>824</v>
      </c>
      <c r="K1132" s="60" t="s">
        <v>4772</v>
      </c>
      <c r="L1132" s="16" t="s">
        <v>180</v>
      </c>
      <c r="M1132" s="134" t="s">
        <v>1175</v>
      </c>
      <c r="N1132" s="16" t="s">
        <v>5929</v>
      </c>
      <c r="O1132" s="16" t="s">
        <v>769</v>
      </c>
      <c r="P1132" s="23">
        <v>1434.49</v>
      </c>
      <c r="Q1132" s="23">
        <f t="shared" si="145"/>
        <v>1692.6981999999998</v>
      </c>
      <c r="R1132" s="23"/>
      <c r="S1132" s="29"/>
      <c r="T1132" s="25"/>
      <c r="U1132" s="25"/>
      <c r="V1132" s="25"/>
      <c r="W1132" s="25"/>
      <c r="X1132" s="25"/>
      <c r="Y1132" s="23">
        <v>1434.49</v>
      </c>
      <c r="Z1132" s="23">
        <f t="shared" si="146"/>
        <v>1692.6981999999998</v>
      </c>
      <c r="AA1132" s="36" t="s">
        <v>132</v>
      </c>
      <c r="AB1132" s="36" t="s">
        <v>132</v>
      </c>
      <c r="AC1132" s="23">
        <v>1434.49</v>
      </c>
      <c r="AD1132" s="23">
        <f t="shared" si="149"/>
        <v>1692.6981999999998</v>
      </c>
      <c r="AE1132" s="38" t="s">
        <v>173</v>
      </c>
      <c r="AF1132" s="38" t="s">
        <v>83</v>
      </c>
      <c r="AG1132" s="38" t="s">
        <v>83</v>
      </c>
      <c r="AH1132" s="38" t="s">
        <v>90</v>
      </c>
      <c r="AI1132" s="52">
        <v>41579</v>
      </c>
      <c r="AJ1132" s="52">
        <v>41609</v>
      </c>
      <c r="AK1132" s="60"/>
      <c r="AL1132" s="60"/>
      <c r="AM1132" s="60" t="s">
        <v>826</v>
      </c>
      <c r="AN1132" s="60" t="s">
        <v>171</v>
      </c>
      <c r="AO1132" s="11">
        <v>796</v>
      </c>
      <c r="AP1132" s="38" t="s">
        <v>419</v>
      </c>
      <c r="AQ1132" s="38">
        <v>92</v>
      </c>
      <c r="AR1132" s="38">
        <v>45</v>
      </c>
      <c r="AS1132" s="16" t="s">
        <v>547</v>
      </c>
      <c r="AT1132" s="51">
        <v>41640</v>
      </c>
      <c r="AU1132" s="51">
        <v>41730</v>
      </c>
      <c r="AV1132" s="224">
        <v>41912</v>
      </c>
      <c r="AW1132" s="38">
        <v>2014</v>
      </c>
      <c r="AX1132" s="60"/>
      <c r="AY1132" s="135"/>
      <c r="AZ1132" s="60"/>
      <c r="BA1132" s="38"/>
      <c r="BB1132" s="38"/>
      <c r="BC1132" s="60"/>
      <c r="BD1132" s="60"/>
      <c r="BE1132" s="238"/>
      <c r="BF1132" s="238"/>
      <c r="BG1132" s="238"/>
      <c r="BH1132" s="238"/>
      <c r="BI1132" s="238"/>
      <c r="BJ1132" s="304"/>
      <c r="BK1132" s="238"/>
    </row>
    <row r="1133" spans="1:63" s="268" customFormat="1" ht="73.5" customHeight="1">
      <c r="A1133" s="321">
        <v>3</v>
      </c>
      <c r="B1133" s="38" t="s">
        <v>827</v>
      </c>
      <c r="C1133" s="38" t="s">
        <v>83</v>
      </c>
      <c r="D1133" s="38" t="s">
        <v>828</v>
      </c>
      <c r="E1133" s="38" t="s">
        <v>250</v>
      </c>
      <c r="F1133" s="38" t="s">
        <v>829</v>
      </c>
      <c r="G1133" s="38">
        <v>4527341</v>
      </c>
      <c r="H1133" s="63">
        <v>38493</v>
      </c>
      <c r="I1133" s="16" t="s">
        <v>830</v>
      </c>
      <c r="J1133" s="16" t="s">
        <v>831</v>
      </c>
      <c r="K1133" s="598" t="s">
        <v>4724</v>
      </c>
      <c r="L1133" s="16" t="s">
        <v>180</v>
      </c>
      <c r="M1133" s="134" t="s">
        <v>1175</v>
      </c>
      <c r="N1133" s="16" t="s">
        <v>5929</v>
      </c>
      <c r="O1133" s="16" t="s">
        <v>769</v>
      </c>
      <c r="P1133" s="23">
        <v>1243</v>
      </c>
      <c r="Q1133" s="23">
        <f t="shared" si="145"/>
        <v>1466.74</v>
      </c>
      <c r="R1133" s="23"/>
      <c r="S1133" s="29"/>
      <c r="T1133" s="25"/>
      <c r="U1133" s="25"/>
      <c r="V1133" s="25"/>
      <c r="W1133" s="25"/>
      <c r="X1133" s="25"/>
      <c r="Y1133" s="23">
        <v>1243</v>
      </c>
      <c r="Z1133" s="23">
        <f t="shared" si="146"/>
        <v>1466.74</v>
      </c>
      <c r="AA1133" s="36" t="s">
        <v>132</v>
      </c>
      <c r="AB1133" s="36" t="s">
        <v>132</v>
      </c>
      <c r="AC1133" s="23">
        <v>1243</v>
      </c>
      <c r="AD1133" s="23">
        <f t="shared" si="149"/>
        <v>1466.74</v>
      </c>
      <c r="AE1133" s="38" t="s">
        <v>173</v>
      </c>
      <c r="AF1133" s="38" t="s">
        <v>83</v>
      </c>
      <c r="AG1133" s="38" t="s">
        <v>83</v>
      </c>
      <c r="AH1133" s="38" t="s">
        <v>90</v>
      </c>
      <c r="AI1133" s="52">
        <v>41579</v>
      </c>
      <c r="AJ1133" s="52">
        <v>41609</v>
      </c>
      <c r="AK1133" s="60"/>
      <c r="AL1133" s="60"/>
      <c r="AM1133" s="60" t="s">
        <v>831</v>
      </c>
      <c r="AN1133" s="60" t="s">
        <v>171</v>
      </c>
      <c r="AO1133" s="11">
        <v>642</v>
      </c>
      <c r="AP1133" s="38" t="s">
        <v>738</v>
      </c>
      <c r="AQ1133" s="38">
        <v>11</v>
      </c>
      <c r="AR1133" s="38">
        <v>45</v>
      </c>
      <c r="AS1133" s="16" t="s">
        <v>547</v>
      </c>
      <c r="AT1133" s="51">
        <v>41640</v>
      </c>
      <c r="AU1133" s="51">
        <v>41760</v>
      </c>
      <c r="AV1133" s="52">
        <v>41852</v>
      </c>
      <c r="AW1133" s="38">
        <v>2014</v>
      </c>
      <c r="AX1133" s="60"/>
      <c r="AY1133" s="135"/>
      <c r="AZ1133" s="60"/>
      <c r="BA1133" s="38"/>
      <c r="BB1133" s="38"/>
      <c r="BC1133" s="60"/>
      <c r="BD1133" s="60"/>
      <c r="BE1133" s="238"/>
      <c r="BF1133" s="238"/>
      <c r="BG1133" s="238"/>
      <c r="BH1133" s="238"/>
      <c r="BI1133" s="238"/>
      <c r="BJ1133" s="304"/>
      <c r="BK1133" s="238"/>
    </row>
    <row r="1134" spans="1:63" s="268" customFormat="1" ht="131.25">
      <c r="A1134" s="321">
        <v>3</v>
      </c>
      <c r="B1134" s="38" t="s">
        <v>832</v>
      </c>
      <c r="C1134" s="38" t="s">
        <v>83</v>
      </c>
      <c r="D1134" s="38" t="s">
        <v>833</v>
      </c>
      <c r="E1134" s="38" t="s">
        <v>250</v>
      </c>
      <c r="F1134" s="38" t="s">
        <v>834</v>
      </c>
      <c r="G1134" s="38">
        <v>2915260</v>
      </c>
      <c r="H1134" s="63">
        <v>38494</v>
      </c>
      <c r="I1134" s="16" t="s">
        <v>835</v>
      </c>
      <c r="J1134" s="16" t="s">
        <v>836</v>
      </c>
      <c r="K1134" s="60" t="s">
        <v>4724</v>
      </c>
      <c r="L1134" s="16" t="s">
        <v>180</v>
      </c>
      <c r="M1134" s="134" t="s">
        <v>1184</v>
      </c>
      <c r="N1134" s="16" t="s">
        <v>5928</v>
      </c>
      <c r="O1134" s="16" t="s">
        <v>769</v>
      </c>
      <c r="P1134" s="23">
        <v>900</v>
      </c>
      <c r="Q1134" s="23">
        <f t="shared" si="145"/>
        <v>1062</v>
      </c>
      <c r="R1134" s="23"/>
      <c r="S1134" s="29"/>
      <c r="T1134" s="25"/>
      <c r="U1134" s="25"/>
      <c r="V1134" s="25"/>
      <c r="W1134" s="25"/>
      <c r="X1134" s="25"/>
      <c r="Y1134" s="23">
        <v>900</v>
      </c>
      <c r="Z1134" s="23">
        <f t="shared" si="146"/>
        <v>1062</v>
      </c>
      <c r="AA1134" s="36" t="s">
        <v>132</v>
      </c>
      <c r="AB1134" s="36" t="s">
        <v>132</v>
      </c>
      <c r="AC1134" s="23">
        <v>900</v>
      </c>
      <c r="AD1134" s="23">
        <f t="shared" si="149"/>
        <v>1062</v>
      </c>
      <c r="AE1134" s="38" t="s">
        <v>173</v>
      </c>
      <c r="AF1134" s="38" t="s">
        <v>83</v>
      </c>
      <c r="AG1134" s="38" t="s">
        <v>83</v>
      </c>
      <c r="AH1134" s="38" t="s">
        <v>90</v>
      </c>
      <c r="AI1134" s="51">
        <v>41554</v>
      </c>
      <c r="AJ1134" s="51">
        <v>41609</v>
      </c>
      <c r="AK1134" s="60"/>
      <c r="AL1134" s="60"/>
      <c r="AM1134" s="60" t="s">
        <v>836</v>
      </c>
      <c r="AN1134" s="60" t="s">
        <v>171</v>
      </c>
      <c r="AO1134" s="11">
        <v>796</v>
      </c>
      <c r="AP1134" s="38" t="s">
        <v>419</v>
      </c>
      <c r="AQ1134" s="38">
        <v>8</v>
      </c>
      <c r="AR1134" s="38">
        <v>45</v>
      </c>
      <c r="AS1134" s="16" t="s">
        <v>547</v>
      </c>
      <c r="AT1134" s="51">
        <v>41640</v>
      </c>
      <c r="AU1134" s="51">
        <v>41791</v>
      </c>
      <c r="AV1134" s="52">
        <v>42155</v>
      </c>
      <c r="AW1134" s="38" t="s">
        <v>99</v>
      </c>
      <c r="AX1134" s="60"/>
      <c r="AY1134" s="135"/>
      <c r="AZ1134" s="60"/>
      <c r="BA1134" s="38"/>
      <c r="BB1134" s="38"/>
      <c r="BC1134" s="60"/>
      <c r="BD1134" s="60"/>
      <c r="BE1134" s="238"/>
      <c r="BF1134" s="238"/>
      <c r="BG1134" s="238"/>
      <c r="BH1134" s="238"/>
      <c r="BI1134" s="238"/>
      <c r="BJ1134" s="304"/>
      <c r="BK1134" s="238"/>
    </row>
    <row r="1135" spans="1:63" s="268" customFormat="1" ht="59.25" customHeight="1">
      <c r="A1135" s="321">
        <v>3</v>
      </c>
      <c r="B1135" s="38" t="s">
        <v>854</v>
      </c>
      <c r="C1135" s="38" t="s">
        <v>83</v>
      </c>
      <c r="D1135" s="38" t="s">
        <v>855</v>
      </c>
      <c r="E1135" s="38" t="s">
        <v>214</v>
      </c>
      <c r="F1135" s="38" t="s">
        <v>816</v>
      </c>
      <c r="G1135" s="38">
        <v>3319271</v>
      </c>
      <c r="H1135" s="63">
        <v>38513</v>
      </c>
      <c r="I1135" s="16" t="s">
        <v>856</v>
      </c>
      <c r="J1135" s="16" t="s">
        <v>818</v>
      </c>
      <c r="K1135" s="16" t="s">
        <v>4724</v>
      </c>
      <c r="L1135" s="16" t="s">
        <v>180</v>
      </c>
      <c r="M1135" s="134" t="s">
        <v>5961</v>
      </c>
      <c r="N1135" s="16" t="s">
        <v>220</v>
      </c>
      <c r="O1135" s="16" t="s">
        <v>769</v>
      </c>
      <c r="P1135" s="23">
        <v>2031.36</v>
      </c>
      <c r="Q1135" s="23">
        <f t="shared" si="145"/>
        <v>2397.0047999999997</v>
      </c>
      <c r="R1135" s="23"/>
      <c r="S1135" s="29"/>
      <c r="T1135" s="25"/>
      <c r="U1135" s="25"/>
      <c r="V1135" s="25"/>
      <c r="W1135" s="25"/>
      <c r="X1135" s="25"/>
      <c r="Y1135" s="23">
        <v>2031.36</v>
      </c>
      <c r="Z1135" s="23">
        <f t="shared" si="146"/>
        <v>2397.0047999999997</v>
      </c>
      <c r="AA1135" s="36" t="s">
        <v>132</v>
      </c>
      <c r="AB1135" s="36" t="s">
        <v>132</v>
      </c>
      <c r="AC1135" s="23">
        <v>2031.36</v>
      </c>
      <c r="AD1135" s="23">
        <f t="shared" si="149"/>
        <v>2397.0047999999997</v>
      </c>
      <c r="AE1135" s="38" t="s">
        <v>173</v>
      </c>
      <c r="AF1135" s="38" t="s">
        <v>83</v>
      </c>
      <c r="AG1135" s="38" t="s">
        <v>83</v>
      </c>
      <c r="AH1135" s="38" t="s">
        <v>90</v>
      </c>
      <c r="AI1135" s="52">
        <v>41625</v>
      </c>
      <c r="AJ1135" s="51">
        <v>41670</v>
      </c>
      <c r="AK1135" s="60"/>
      <c r="AL1135" s="60"/>
      <c r="AM1135" s="60" t="s">
        <v>857</v>
      </c>
      <c r="AN1135" s="60" t="s">
        <v>171</v>
      </c>
      <c r="AO1135" s="11">
        <v>796</v>
      </c>
      <c r="AP1135" s="38" t="s">
        <v>419</v>
      </c>
      <c r="AQ1135" s="38">
        <v>1</v>
      </c>
      <c r="AR1135" s="38">
        <v>45</v>
      </c>
      <c r="AS1135" s="16" t="s">
        <v>547</v>
      </c>
      <c r="AT1135" s="52">
        <v>41640</v>
      </c>
      <c r="AU1135" s="52">
        <v>41640</v>
      </c>
      <c r="AV1135" s="52">
        <v>42004</v>
      </c>
      <c r="AW1135" s="38">
        <v>2014</v>
      </c>
      <c r="AX1135" s="60"/>
      <c r="AY1135" s="135"/>
      <c r="AZ1135" s="60"/>
      <c r="BA1135" s="38"/>
      <c r="BB1135" s="38"/>
      <c r="BC1135" s="60"/>
      <c r="BD1135" s="60"/>
      <c r="BE1135" s="238"/>
      <c r="BF1135" s="238"/>
      <c r="BG1135" s="238"/>
      <c r="BH1135" s="238"/>
      <c r="BI1135" s="238"/>
      <c r="BJ1135" s="304"/>
      <c r="BK1135" s="378"/>
    </row>
    <row r="1136" spans="1:63" s="268" customFormat="1" ht="150">
      <c r="A1136" s="321">
        <v>3</v>
      </c>
      <c r="B1136" s="38" t="s">
        <v>858</v>
      </c>
      <c r="C1136" s="38" t="s">
        <v>83</v>
      </c>
      <c r="D1136" s="38" t="s">
        <v>859</v>
      </c>
      <c r="E1136" s="38" t="s">
        <v>190</v>
      </c>
      <c r="F1136" s="38" t="s">
        <v>860</v>
      </c>
      <c r="G1136" s="38">
        <v>4522885</v>
      </c>
      <c r="H1136" s="63">
        <v>38515</v>
      </c>
      <c r="I1136" s="16" t="s">
        <v>861</v>
      </c>
      <c r="J1136" s="16" t="s">
        <v>862</v>
      </c>
      <c r="K1136" s="60" t="s">
        <v>4724</v>
      </c>
      <c r="L1136" s="16" t="s">
        <v>180</v>
      </c>
      <c r="M1136" s="134" t="s">
        <v>5962</v>
      </c>
      <c r="N1136" s="16" t="s">
        <v>5941</v>
      </c>
      <c r="O1136" s="16" t="s">
        <v>769</v>
      </c>
      <c r="P1136" s="23">
        <v>1200.001</v>
      </c>
      <c r="Q1136" s="23">
        <f t="shared" si="145"/>
        <v>1416.00118</v>
      </c>
      <c r="R1136" s="23"/>
      <c r="S1136" s="29"/>
      <c r="T1136" s="25"/>
      <c r="U1136" s="25"/>
      <c r="V1136" s="25"/>
      <c r="W1136" s="25"/>
      <c r="X1136" s="25"/>
      <c r="Y1136" s="23">
        <v>1200.001</v>
      </c>
      <c r="Z1136" s="23">
        <f t="shared" si="146"/>
        <v>1416.00118</v>
      </c>
      <c r="AA1136" s="36" t="s">
        <v>132</v>
      </c>
      <c r="AB1136" s="36" t="s">
        <v>132</v>
      </c>
      <c r="AC1136" s="23">
        <v>1200.001</v>
      </c>
      <c r="AD1136" s="23">
        <f t="shared" si="149"/>
        <v>1416.00118</v>
      </c>
      <c r="AE1136" s="38" t="s">
        <v>173</v>
      </c>
      <c r="AF1136" s="38" t="s">
        <v>83</v>
      </c>
      <c r="AG1136" s="38" t="s">
        <v>83</v>
      </c>
      <c r="AH1136" s="38" t="s">
        <v>90</v>
      </c>
      <c r="AI1136" s="52">
        <v>41548</v>
      </c>
      <c r="AJ1136" s="52">
        <v>41579</v>
      </c>
      <c r="AK1136" s="60"/>
      <c r="AL1136" s="60"/>
      <c r="AM1136" s="60" t="s">
        <v>863</v>
      </c>
      <c r="AN1136" s="60" t="s">
        <v>171</v>
      </c>
      <c r="AO1136" s="11">
        <v>796</v>
      </c>
      <c r="AP1136" s="38" t="s">
        <v>419</v>
      </c>
      <c r="AQ1136" s="38">
        <v>100</v>
      </c>
      <c r="AR1136" s="38">
        <v>45</v>
      </c>
      <c r="AS1136" s="16" t="s">
        <v>547</v>
      </c>
      <c r="AT1136" s="51">
        <v>41640</v>
      </c>
      <c r="AU1136" s="51">
        <v>41640</v>
      </c>
      <c r="AV1136" s="52">
        <v>42004</v>
      </c>
      <c r="AW1136" s="38">
        <v>2014</v>
      </c>
      <c r="AX1136" s="60"/>
      <c r="AY1136" s="135"/>
      <c r="AZ1136" s="60"/>
      <c r="BA1136" s="38"/>
      <c r="BB1136" s="38"/>
      <c r="BC1136" s="60"/>
      <c r="BD1136" s="60"/>
      <c r="BE1136" s="238"/>
      <c r="BF1136" s="238"/>
      <c r="BG1136" s="238"/>
      <c r="BH1136" s="238"/>
      <c r="BI1136" s="238"/>
      <c r="BJ1136" s="304"/>
      <c r="BK1136" s="238"/>
    </row>
    <row r="1137" spans="1:63" s="268" customFormat="1" ht="173.25" customHeight="1">
      <c r="A1137" s="321">
        <v>3</v>
      </c>
      <c r="B1137" s="38" t="s">
        <v>3429</v>
      </c>
      <c r="C1137" s="38" t="s">
        <v>83</v>
      </c>
      <c r="D1137" s="38" t="s">
        <v>3423</v>
      </c>
      <c r="E1137" s="38" t="s">
        <v>250</v>
      </c>
      <c r="F1137" s="38" t="s">
        <v>3430</v>
      </c>
      <c r="G1137" s="38">
        <v>2911160</v>
      </c>
      <c r="H1137" s="63">
        <v>825105</v>
      </c>
      <c r="I1137" s="16" t="s">
        <v>3431</v>
      </c>
      <c r="J1137" s="16" t="s">
        <v>3432</v>
      </c>
      <c r="K1137" s="60" t="s">
        <v>4717</v>
      </c>
      <c r="L1137" s="16" t="s">
        <v>180</v>
      </c>
      <c r="M1137" s="134" t="s">
        <v>1358</v>
      </c>
      <c r="N1137" s="16" t="s">
        <v>768</v>
      </c>
      <c r="O1137" s="16" t="s">
        <v>271</v>
      </c>
      <c r="P1137" s="23">
        <v>7763.8711199999998</v>
      </c>
      <c r="Q1137" s="23">
        <f t="shared" si="145"/>
        <v>9161.3679216</v>
      </c>
      <c r="R1137" s="34">
        <v>7800</v>
      </c>
      <c r="S1137" s="134" t="s">
        <v>255</v>
      </c>
      <c r="T1137" s="25">
        <v>1.0840000000000001</v>
      </c>
      <c r="U1137" s="25">
        <v>1.0509999999999999</v>
      </c>
      <c r="V1137" s="25">
        <v>1.0669999999999999</v>
      </c>
      <c r="W1137" s="25">
        <v>1.0529999999999999</v>
      </c>
      <c r="X1137" s="25">
        <v>0.9</v>
      </c>
      <c r="Y1137" s="23">
        <v>8943.9795302399998</v>
      </c>
      <c r="Z1137" s="23">
        <f t="shared" si="146"/>
        <v>10553.895845683199</v>
      </c>
      <c r="AA1137" s="36" t="s">
        <v>132</v>
      </c>
      <c r="AB1137" s="36" t="s">
        <v>132</v>
      </c>
      <c r="AC1137" s="23">
        <v>7763.8711199999998</v>
      </c>
      <c r="AD1137" s="23">
        <f t="shared" si="149"/>
        <v>9161.3679216</v>
      </c>
      <c r="AE1137" s="38" t="s">
        <v>173</v>
      </c>
      <c r="AF1137" s="38" t="s">
        <v>83</v>
      </c>
      <c r="AG1137" s="38" t="s">
        <v>83</v>
      </c>
      <c r="AH1137" s="45" t="s">
        <v>90</v>
      </c>
      <c r="AI1137" s="51">
        <v>41554</v>
      </c>
      <c r="AJ1137" s="51">
        <v>41609</v>
      </c>
      <c r="AK1137" s="60"/>
      <c r="AL1137" s="60"/>
      <c r="AM1137" s="60" t="s">
        <v>3431</v>
      </c>
      <c r="AN1137" s="60" t="s">
        <v>171</v>
      </c>
      <c r="AO1137" s="11">
        <v>59</v>
      </c>
      <c r="AP1137" s="38" t="s">
        <v>1191</v>
      </c>
      <c r="AQ1137" s="38" t="s">
        <v>3433</v>
      </c>
      <c r="AR1137" s="38">
        <v>46460</v>
      </c>
      <c r="AS1137" s="16" t="s">
        <v>258</v>
      </c>
      <c r="AT1137" s="52">
        <v>41730</v>
      </c>
      <c r="AU1137" s="51">
        <v>41730</v>
      </c>
      <c r="AV1137" s="52">
        <v>41944</v>
      </c>
      <c r="AW1137" s="38">
        <v>2014</v>
      </c>
      <c r="AX1137" s="60"/>
      <c r="AY1137" s="135"/>
      <c r="AZ1137" s="60"/>
      <c r="BA1137" s="38"/>
      <c r="BB1137" s="38"/>
      <c r="BC1137" s="60"/>
      <c r="BD1137" s="60"/>
      <c r="BE1137" s="238"/>
      <c r="BF1137" s="238"/>
      <c r="BG1137" s="238"/>
      <c r="BH1137" s="238"/>
      <c r="BI1137" s="238"/>
      <c r="BJ1137" s="304"/>
      <c r="BK1137" s="238"/>
    </row>
    <row r="1138" spans="1:63" s="268" customFormat="1" ht="145.5" customHeight="1">
      <c r="A1138" s="321">
        <v>3</v>
      </c>
      <c r="B1138" s="38" t="s">
        <v>3434</v>
      </c>
      <c r="C1138" s="38" t="s">
        <v>83</v>
      </c>
      <c r="D1138" s="38" t="s">
        <v>3423</v>
      </c>
      <c r="E1138" s="38" t="s">
        <v>250</v>
      </c>
      <c r="F1138" s="38" t="s">
        <v>3435</v>
      </c>
      <c r="G1138" s="38">
        <v>2911160</v>
      </c>
      <c r="H1138" s="63">
        <v>825107</v>
      </c>
      <c r="I1138" s="16" t="s">
        <v>3436</v>
      </c>
      <c r="J1138" s="16" t="s">
        <v>3437</v>
      </c>
      <c r="K1138" s="60" t="s">
        <v>4717</v>
      </c>
      <c r="L1138" s="16" t="s">
        <v>180</v>
      </c>
      <c r="M1138" s="134" t="s">
        <v>1358</v>
      </c>
      <c r="N1138" s="16" t="s">
        <v>768</v>
      </c>
      <c r="O1138" s="16" t="s">
        <v>271</v>
      </c>
      <c r="P1138" s="23">
        <v>30290.278999999999</v>
      </c>
      <c r="Q1138" s="23">
        <f t="shared" si="145"/>
        <v>35742.529219999997</v>
      </c>
      <c r="R1138" s="34">
        <v>30290.278999999999</v>
      </c>
      <c r="S1138" s="134" t="s">
        <v>255</v>
      </c>
      <c r="T1138" s="25">
        <v>1.0840000000000001</v>
      </c>
      <c r="U1138" s="25">
        <v>1.0509999999999999</v>
      </c>
      <c r="V1138" s="25">
        <v>1.0669999999999999</v>
      </c>
      <c r="W1138" s="25">
        <v>1.0529999999999999</v>
      </c>
      <c r="X1138" s="25">
        <v>0.9</v>
      </c>
      <c r="Y1138" s="23">
        <v>34894.401407999998</v>
      </c>
      <c r="Z1138" s="23">
        <f t="shared" si="146"/>
        <v>41175.393661439994</v>
      </c>
      <c r="AA1138" s="36" t="s">
        <v>132</v>
      </c>
      <c r="AB1138" s="36" t="s">
        <v>132</v>
      </c>
      <c r="AC1138" s="23">
        <v>30290.278999999999</v>
      </c>
      <c r="AD1138" s="23">
        <f t="shared" si="149"/>
        <v>35742.529219999997</v>
      </c>
      <c r="AE1138" s="38" t="s">
        <v>169</v>
      </c>
      <c r="AF1138" s="38" t="s">
        <v>83</v>
      </c>
      <c r="AG1138" s="38" t="s">
        <v>83</v>
      </c>
      <c r="AH1138" s="45" t="s">
        <v>90</v>
      </c>
      <c r="AI1138" s="52">
        <v>41746</v>
      </c>
      <c r="AJ1138" s="52">
        <v>41760</v>
      </c>
      <c r="AK1138" s="60"/>
      <c r="AL1138" s="60"/>
      <c r="AM1138" s="60" t="s">
        <v>3436</v>
      </c>
      <c r="AN1138" s="60" t="s">
        <v>171</v>
      </c>
      <c r="AO1138" s="11">
        <v>8</v>
      </c>
      <c r="AP1138" s="38" t="s">
        <v>82</v>
      </c>
      <c r="AQ1138" s="38" t="s">
        <v>3438</v>
      </c>
      <c r="AR1138" s="38">
        <v>46460</v>
      </c>
      <c r="AS1138" s="16" t="s">
        <v>258</v>
      </c>
      <c r="AT1138" s="52">
        <v>41780</v>
      </c>
      <c r="AU1138" s="52">
        <v>41780</v>
      </c>
      <c r="AV1138" s="52">
        <v>41852</v>
      </c>
      <c r="AW1138" s="38">
        <v>2014</v>
      </c>
      <c r="AX1138" s="60"/>
      <c r="AY1138" s="135"/>
      <c r="AZ1138" s="60"/>
      <c r="BA1138" s="38"/>
      <c r="BB1138" s="38"/>
      <c r="BC1138" s="60"/>
      <c r="BD1138" s="60"/>
      <c r="BE1138" s="238"/>
      <c r="BF1138" s="238"/>
      <c r="BG1138" s="238"/>
      <c r="BH1138" s="238"/>
      <c r="BI1138" s="238"/>
      <c r="BJ1138" s="304"/>
      <c r="BK1138" s="378"/>
    </row>
    <row r="1139" spans="1:63" s="268" customFormat="1" ht="135" customHeight="1">
      <c r="A1139" s="321">
        <v>3</v>
      </c>
      <c r="B1139" s="38" t="s">
        <v>3441</v>
      </c>
      <c r="C1139" s="38" t="s">
        <v>83</v>
      </c>
      <c r="D1139" s="38" t="s">
        <v>3423</v>
      </c>
      <c r="E1139" s="38" t="s">
        <v>250</v>
      </c>
      <c r="F1139" s="38" t="s">
        <v>3442</v>
      </c>
      <c r="G1139" s="38">
        <v>2911160</v>
      </c>
      <c r="H1139" s="63">
        <v>825106</v>
      </c>
      <c r="I1139" s="16" t="s">
        <v>3443</v>
      </c>
      <c r="J1139" s="16" t="s">
        <v>3444</v>
      </c>
      <c r="K1139" s="60" t="s">
        <v>4717</v>
      </c>
      <c r="L1139" s="16" t="s">
        <v>180</v>
      </c>
      <c r="M1139" s="134" t="s">
        <v>1358</v>
      </c>
      <c r="N1139" s="16" t="s">
        <v>768</v>
      </c>
      <c r="O1139" s="16" t="s">
        <v>271</v>
      </c>
      <c r="P1139" s="23">
        <v>2889.4818399999999</v>
      </c>
      <c r="Q1139" s="23">
        <f t="shared" si="145"/>
        <v>3409.5885711999999</v>
      </c>
      <c r="R1139" s="34">
        <v>2900</v>
      </c>
      <c r="S1139" s="134" t="s">
        <v>255</v>
      </c>
      <c r="T1139" s="25">
        <v>1.0840000000000001</v>
      </c>
      <c r="U1139" s="25">
        <v>1.0509999999999999</v>
      </c>
      <c r="V1139" s="25">
        <v>1.0669999999999999</v>
      </c>
      <c r="W1139" s="25">
        <v>1.0529999999999999</v>
      </c>
      <c r="X1139" s="25">
        <v>0.9</v>
      </c>
      <c r="Y1139" s="23">
        <v>3328.6830796799995</v>
      </c>
      <c r="Z1139" s="23">
        <f t="shared" si="146"/>
        <v>3927.8460340223992</v>
      </c>
      <c r="AA1139" s="36" t="s">
        <v>132</v>
      </c>
      <c r="AB1139" s="36" t="s">
        <v>132</v>
      </c>
      <c r="AC1139" s="23">
        <v>2889.4818399999999</v>
      </c>
      <c r="AD1139" s="23">
        <f t="shared" si="149"/>
        <v>3409.5885711999999</v>
      </c>
      <c r="AE1139" s="38" t="s">
        <v>173</v>
      </c>
      <c r="AF1139" s="38" t="s">
        <v>83</v>
      </c>
      <c r="AG1139" s="38" t="s">
        <v>83</v>
      </c>
      <c r="AH1139" s="45" t="s">
        <v>90</v>
      </c>
      <c r="AI1139" s="51">
        <v>41554</v>
      </c>
      <c r="AJ1139" s="51">
        <v>41609</v>
      </c>
      <c r="AK1139" s="60"/>
      <c r="AL1139" s="60"/>
      <c r="AM1139" s="60" t="s">
        <v>3443</v>
      </c>
      <c r="AN1139" s="60" t="s">
        <v>171</v>
      </c>
      <c r="AO1139" s="11">
        <v>796</v>
      </c>
      <c r="AP1139" s="38" t="s">
        <v>256</v>
      </c>
      <c r="AQ1139" s="38" t="s">
        <v>3445</v>
      </c>
      <c r="AR1139" s="38">
        <v>46460</v>
      </c>
      <c r="AS1139" s="16" t="s">
        <v>258</v>
      </c>
      <c r="AT1139" s="52">
        <v>41730</v>
      </c>
      <c r="AU1139" s="51">
        <v>41730</v>
      </c>
      <c r="AV1139" s="52">
        <v>42004</v>
      </c>
      <c r="AW1139" s="38">
        <v>2014</v>
      </c>
      <c r="AX1139" s="60"/>
      <c r="AY1139" s="135"/>
      <c r="AZ1139" s="60"/>
      <c r="BA1139" s="38"/>
      <c r="BB1139" s="38"/>
      <c r="BC1139" s="60"/>
      <c r="BD1139" s="60"/>
      <c r="BE1139" s="238"/>
      <c r="BF1139" s="238"/>
      <c r="BG1139" s="238"/>
      <c r="BH1139" s="238"/>
      <c r="BI1139" s="238"/>
      <c r="BJ1139" s="304"/>
      <c r="BK1139" s="238"/>
    </row>
    <row r="1140" spans="1:63" s="268" customFormat="1" ht="159.75" customHeight="1">
      <c r="A1140" s="321">
        <v>3</v>
      </c>
      <c r="B1140" s="38" t="s">
        <v>3449</v>
      </c>
      <c r="C1140" s="38" t="s">
        <v>83</v>
      </c>
      <c r="D1140" s="38" t="s">
        <v>3423</v>
      </c>
      <c r="E1140" s="38" t="s">
        <v>250</v>
      </c>
      <c r="F1140" s="38" t="s">
        <v>3446</v>
      </c>
      <c r="G1140" s="38">
        <v>2911160</v>
      </c>
      <c r="H1140" s="63">
        <v>825108</v>
      </c>
      <c r="I1140" s="16" t="s">
        <v>3447</v>
      </c>
      <c r="J1140" s="16" t="s">
        <v>984</v>
      </c>
      <c r="K1140" s="60" t="s">
        <v>4717</v>
      </c>
      <c r="L1140" s="16" t="s">
        <v>180</v>
      </c>
      <c r="M1140" s="134" t="s">
        <v>1358</v>
      </c>
      <c r="N1140" s="16" t="s">
        <v>768</v>
      </c>
      <c r="O1140" s="16" t="s">
        <v>271</v>
      </c>
      <c r="P1140" s="23">
        <v>6899.5879999999997</v>
      </c>
      <c r="Q1140" s="23">
        <f t="shared" si="145"/>
        <v>8141.5138399999996</v>
      </c>
      <c r="R1140" s="34">
        <v>3919.9999999999995</v>
      </c>
      <c r="S1140" s="134" t="s">
        <v>255</v>
      </c>
      <c r="T1140" s="25">
        <v>1.0840000000000001</v>
      </c>
      <c r="U1140" s="25">
        <v>1.0509999999999999</v>
      </c>
      <c r="V1140" s="25">
        <v>1.0669999999999999</v>
      </c>
      <c r="W1140" s="25">
        <v>1.0529999999999999</v>
      </c>
      <c r="X1140" s="25">
        <v>0.9</v>
      </c>
      <c r="Y1140" s="23">
        <v>7948.3253759999989</v>
      </c>
      <c r="Z1140" s="23">
        <f t="shared" si="146"/>
        <v>9379.0239436799984</v>
      </c>
      <c r="AA1140" s="36" t="s">
        <v>132</v>
      </c>
      <c r="AB1140" s="36" t="s">
        <v>132</v>
      </c>
      <c r="AC1140" s="23">
        <v>6899.5879999999997</v>
      </c>
      <c r="AD1140" s="23">
        <f t="shared" si="149"/>
        <v>8141.5138399999996</v>
      </c>
      <c r="AE1140" s="38" t="s">
        <v>173</v>
      </c>
      <c r="AF1140" s="38" t="s">
        <v>83</v>
      </c>
      <c r="AG1140" s="38" t="s">
        <v>83</v>
      </c>
      <c r="AH1140" s="45" t="s">
        <v>90</v>
      </c>
      <c r="AI1140" s="52">
        <v>41715</v>
      </c>
      <c r="AJ1140" s="52">
        <v>41760</v>
      </c>
      <c r="AK1140" s="60"/>
      <c r="AL1140" s="60"/>
      <c r="AM1140" s="60" t="s">
        <v>3447</v>
      </c>
      <c r="AN1140" s="60" t="s">
        <v>171</v>
      </c>
      <c r="AO1140" s="11">
        <v>796</v>
      </c>
      <c r="AP1140" s="38" t="s">
        <v>256</v>
      </c>
      <c r="AQ1140" s="38" t="s">
        <v>3448</v>
      </c>
      <c r="AR1140" s="38">
        <v>46460</v>
      </c>
      <c r="AS1140" s="16" t="s">
        <v>258</v>
      </c>
      <c r="AT1140" s="52">
        <v>41760</v>
      </c>
      <c r="AU1140" s="51">
        <v>41760</v>
      </c>
      <c r="AV1140" s="52">
        <v>41913</v>
      </c>
      <c r="AW1140" s="38">
        <v>2014</v>
      </c>
      <c r="AX1140" s="60"/>
      <c r="AY1140" s="135"/>
      <c r="AZ1140" s="60"/>
      <c r="BA1140" s="38"/>
      <c r="BB1140" s="38"/>
      <c r="BC1140" s="60"/>
      <c r="BD1140" s="60"/>
      <c r="BE1140" s="238"/>
      <c r="BF1140" s="238"/>
      <c r="BG1140" s="238"/>
      <c r="BH1140" s="238"/>
      <c r="BI1140" s="238"/>
      <c r="BJ1140" s="304"/>
      <c r="BK1140" s="378"/>
    </row>
    <row r="1141" spans="1:63" s="268" customFormat="1" ht="122.25" customHeight="1">
      <c r="A1141" s="321">
        <v>3</v>
      </c>
      <c r="B1141" s="38" t="s">
        <v>3885</v>
      </c>
      <c r="C1141" s="38" t="s">
        <v>83</v>
      </c>
      <c r="D1141" s="38" t="s">
        <v>3423</v>
      </c>
      <c r="E1141" s="38" t="s">
        <v>250</v>
      </c>
      <c r="F1141" s="38" t="s">
        <v>3450</v>
      </c>
      <c r="G1141" s="38">
        <v>2911160</v>
      </c>
      <c r="H1141" s="63">
        <v>825109</v>
      </c>
      <c r="I1141" s="16" t="s">
        <v>3451</v>
      </c>
      <c r="J1141" s="16" t="s">
        <v>3452</v>
      </c>
      <c r="K1141" s="60" t="s">
        <v>4717</v>
      </c>
      <c r="L1141" s="16" t="s">
        <v>180</v>
      </c>
      <c r="M1141" s="134" t="s">
        <v>1358</v>
      </c>
      <c r="N1141" s="16" t="s">
        <v>768</v>
      </c>
      <c r="O1141" s="16" t="s">
        <v>271</v>
      </c>
      <c r="P1141" s="23">
        <v>86659.03</v>
      </c>
      <c r="Q1141" s="23">
        <f t="shared" si="145"/>
        <v>102257.65539999999</v>
      </c>
      <c r="R1141" s="34">
        <v>84750</v>
      </c>
      <c r="S1141" s="134" t="s">
        <v>255</v>
      </c>
      <c r="T1141" s="25">
        <v>1.0840000000000001</v>
      </c>
      <c r="U1141" s="25">
        <v>1.0509999999999999</v>
      </c>
      <c r="V1141" s="25">
        <v>1.0669999999999999</v>
      </c>
      <c r="W1141" s="25">
        <v>1.0529999999999999</v>
      </c>
      <c r="X1141" s="25">
        <v>0.9</v>
      </c>
      <c r="Y1141" s="23">
        <v>99831.202559999991</v>
      </c>
      <c r="Z1141" s="23">
        <f t="shared" si="146"/>
        <v>117800.81902079999</v>
      </c>
      <c r="AA1141" s="36" t="s">
        <v>132</v>
      </c>
      <c r="AB1141" s="36" t="s">
        <v>132</v>
      </c>
      <c r="AC1141" s="23">
        <v>86659.03</v>
      </c>
      <c r="AD1141" s="23">
        <f t="shared" si="149"/>
        <v>102257.65539999999</v>
      </c>
      <c r="AE1141" s="38" t="s">
        <v>169</v>
      </c>
      <c r="AF1141" s="38" t="s">
        <v>83</v>
      </c>
      <c r="AG1141" s="38" t="s">
        <v>83</v>
      </c>
      <c r="AH1141" s="45" t="s">
        <v>90</v>
      </c>
      <c r="AI1141" s="52">
        <v>41685</v>
      </c>
      <c r="AJ1141" s="52">
        <v>41699</v>
      </c>
      <c r="AK1141" s="60"/>
      <c r="AL1141" s="60"/>
      <c r="AM1141" s="60" t="s">
        <v>3451</v>
      </c>
      <c r="AN1141" s="60" t="s">
        <v>171</v>
      </c>
      <c r="AO1141" s="11">
        <v>796</v>
      </c>
      <c r="AP1141" s="38" t="s">
        <v>256</v>
      </c>
      <c r="AQ1141" s="38" t="s">
        <v>3453</v>
      </c>
      <c r="AR1141" s="38">
        <v>46460</v>
      </c>
      <c r="AS1141" s="16" t="s">
        <v>258</v>
      </c>
      <c r="AT1141" s="52">
        <v>41730</v>
      </c>
      <c r="AU1141" s="51">
        <v>41730</v>
      </c>
      <c r="AV1141" s="52">
        <v>41913</v>
      </c>
      <c r="AW1141" s="38">
        <v>2014</v>
      </c>
      <c r="AX1141" s="60"/>
      <c r="AY1141" s="135"/>
      <c r="AZ1141" s="60"/>
      <c r="BA1141" s="38"/>
      <c r="BB1141" s="38"/>
      <c r="BC1141" s="60"/>
      <c r="BD1141" s="60"/>
      <c r="BE1141" s="238"/>
      <c r="BF1141" s="238"/>
      <c r="BG1141" s="238"/>
      <c r="BH1141" s="238"/>
      <c r="BI1141" s="238"/>
      <c r="BJ1141" s="304"/>
      <c r="BK1141" s="378"/>
    </row>
    <row r="1142" spans="1:63" s="268" customFormat="1" ht="56.25">
      <c r="A1142" s="321">
        <v>3</v>
      </c>
      <c r="B1142" s="38" t="s">
        <v>3454</v>
      </c>
      <c r="C1142" s="38" t="s">
        <v>83</v>
      </c>
      <c r="D1142" s="38" t="s">
        <v>3423</v>
      </c>
      <c r="E1142" s="38" t="s">
        <v>250</v>
      </c>
      <c r="F1142" s="38" t="s">
        <v>3455</v>
      </c>
      <c r="G1142" s="38">
        <v>2911160</v>
      </c>
      <c r="H1142" s="63">
        <v>825110</v>
      </c>
      <c r="I1142" s="16" t="s">
        <v>3456</v>
      </c>
      <c r="J1142" s="16" t="s">
        <v>3457</v>
      </c>
      <c r="K1142" s="60" t="s">
        <v>4717</v>
      </c>
      <c r="L1142" s="16" t="s">
        <v>180</v>
      </c>
      <c r="M1142" s="134" t="s">
        <v>1358</v>
      </c>
      <c r="N1142" s="16" t="s">
        <v>768</v>
      </c>
      <c r="O1142" s="16" t="s">
        <v>271</v>
      </c>
      <c r="P1142" s="23">
        <v>1255.8209999999999</v>
      </c>
      <c r="Q1142" s="23">
        <f t="shared" si="145"/>
        <v>1481.8687799999998</v>
      </c>
      <c r="R1142" s="134"/>
      <c r="S1142" s="134"/>
      <c r="T1142" s="25"/>
      <c r="U1142" s="25"/>
      <c r="V1142" s="25"/>
      <c r="W1142" s="25"/>
      <c r="X1142" s="25"/>
      <c r="Y1142" s="23">
        <v>1255.8209999999999</v>
      </c>
      <c r="Z1142" s="23">
        <f t="shared" si="146"/>
        <v>1481.8687799999998</v>
      </c>
      <c r="AA1142" s="36" t="s">
        <v>132</v>
      </c>
      <c r="AB1142" s="36" t="s">
        <v>132</v>
      </c>
      <c r="AC1142" s="23">
        <v>1255.8209999999999</v>
      </c>
      <c r="AD1142" s="23">
        <f t="shared" si="149"/>
        <v>1481.8687799999998</v>
      </c>
      <c r="AE1142" s="38" t="s">
        <v>173</v>
      </c>
      <c r="AF1142" s="38" t="s">
        <v>83</v>
      </c>
      <c r="AG1142" s="38" t="s">
        <v>83</v>
      </c>
      <c r="AH1142" s="45" t="s">
        <v>90</v>
      </c>
      <c r="AI1142" s="52">
        <v>41665</v>
      </c>
      <c r="AJ1142" s="52">
        <v>41710</v>
      </c>
      <c r="AK1142" s="60"/>
      <c r="AL1142" s="60"/>
      <c r="AM1142" s="60" t="s">
        <v>3456</v>
      </c>
      <c r="AN1142" s="60" t="s">
        <v>171</v>
      </c>
      <c r="AO1142" s="11">
        <v>796</v>
      </c>
      <c r="AP1142" s="38" t="s">
        <v>256</v>
      </c>
      <c r="AQ1142" s="38" t="s">
        <v>3458</v>
      </c>
      <c r="AR1142" s="38">
        <v>46460</v>
      </c>
      <c r="AS1142" s="16" t="s">
        <v>258</v>
      </c>
      <c r="AT1142" s="52">
        <v>41730</v>
      </c>
      <c r="AU1142" s="52">
        <v>41730</v>
      </c>
      <c r="AV1142" s="52">
        <v>41913</v>
      </c>
      <c r="AW1142" s="38">
        <v>2014</v>
      </c>
      <c r="AX1142" s="60"/>
      <c r="AY1142" s="135"/>
      <c r="AZ1142" s="60"/>
      <c r="BA1142" s="38"/>
      <c r="BB1142" s="38"/>
      <c r="BC1142" s="60"/>
      <c r="BD1142" s="60"/>
      <c r="BE1142" s="238"/>
      <c r="BF1142" s="238"/>
      <c r="BG1142" s="238"/>
      <c r="BH1142" s="238"/>
      <c r="BI1142" s="238"/>
      <c r="BJ1142" s="304"/>
      <c r="BK1142" s="378"/>
    </row>
    <row r="1143" spans="1:63" s="268" customFormat="1" ht="186.75" customHeight="1">
      <c r="A1143" s="321">
        <v>3</v>
      </c>
      <c r="B1143" s="38" t="s">
        <v>3464</v>
      </c>
      <c r="C1143" s="38" t="s">
        <v>83</v>
      </c>
      <c r="D1143" s="38" t="s">
        <v>3423</v>
      </c>
      <c r="E1143" s="38" t="s">
        <v>250</v>
      </c>
      <c r="F1143" s="38" t="s">
        <v>3465</v>
      </c>
      <c r="G1143" s="38">
        <v>2911160</v>
      </c>
      <c r="H1143" s="63">
        <v>825112</v>
      </c>
      <c r="I1143" s="16" t="s">
        <v>3466</v>
      </c>
      <c r="J1143" s="16" t="s">
        <v>3444</v>
      </c>
      <c r="K1143" s="60" t="s">
        <v>4717</v>
      </c>
      <c r="L1143" s="16" t="s">
        <v>180</v>
      </c>
      <c r="M1143" s="134" t="s">
        <v>1358</v>
      </c>
      <c r="N1143" s="16" t="s">
        <v>768</v>
      </c>
      <c r="O1143" s="16" t="s">
        <v>271</v>
      </c>
      <c r="P1143" s="23">
        <v>6861.1509999999998</v>
      </c>
      <c r="Q1143" s="23">
        <f t="shared" si="145"/>
        <v>8096.1581799999994</v>
      </c>
      <c r="R1143" s="23">
        <v>6861.1509999999998</v>
      </c>
      <c r="S1143" s="134" t="s">
        <v>255</v>
      </c>
      <c r="T1143" s="25">
        <v>1.0840000000000001</v>
      </c>
      <c r="U1143" s="25">
        <v>1.0509999999999999</v>
      </c>
      <c r="V1143" s="25">
        <v>1.0669999999999999</v>
      </c>
      <c r="W1143" s="25">
        <v>1.0529999999999999</v>
      </c>
      <c r="X1143" s="25">
        <v>0.9</v>
      </c>
      <c r="Y1143" s="23">
        <v>7904.3156620317213</v>
      </c>
      <c r="Z1143" s="23">
        <f t="shared" si="146"/>
        <v>9327.092481197431</v>
      </c>
      <c r="AA1143" s="36" t="s">
        <v>132</v>
      </c>
      <c r="AB1143" s="36" t="s">
        <v>132</v>
      </c>
      <c r="AC1143" s="23">
        <v>6861.1509999999998</v>
      </c>
      <c r="AD1143" s="23">
        <f t="shared" si="149"/>
        <v>8096.1581799999994</v>
      </c>
      <c r="AE1143" s="38" t="s">
        <v>173</v>
      </c>
      <c r="AF1143" s="38" t="s">
        <v>83</v>
      </c>
      <c r="AG1143" s="38" t="s">
        <v>83</v>
      </c>
      <c r="AH1143" s="45" t="s">
        <v>90</v>
      </c>
      <c r="AI1143" s="52">
        <v>41625</v>
      </c>
      <c r="AJ1143" s="51">
        <v>41670</v>
      </c>
      <c r="AK1143" s="60"/>
      <c r="AL1143" s="60"/>
      <c r="AM1143" s="60" t="s">
        <v>3466</v>
      </c>
      <c r="AN1143" s="60" t="s">
        <v>171</v>
      </c>
      <c r="AO1143" s="11">
        <v>796</v>
      </c>
      <c r="AP1143" s="38" t="s">
        <v>256</v>
      </c>
      <c r="AQ1143" s="38" t="s">
        <v>3467</v>
      </c>
      <c r="AR1143" s="38">
        <v>46460</v>
      </c>
      <c r="AS1143" s="16" t="s">
        <v>258</v>
      </c>
      <c r="AT1143" s="52">
        <v>41690</v>
      </c>
      <c r="AU1143" s="52">
        <v>41690</v>
      </c>
      <c r="AV1143" s="52">
        <v>41913</v>
      </c>
      <c r="AW1143" s="38">
        <v>2014</v>
      </c>
      <c r="AX1143" s="60"/>
      <c r="AY1143" s="135"/>
      <c r="AZ1143" s="60"/>
      <c r="BA1143" s="38"/>
      <c r="BB1143" s="38"/>
      <c r="BC1143" s="60"/>
      <c r="BD1143" s="60"/>
      <c r="BE1143" s="238"/>
      <c r="BF1143" s="238"/>
      <c r="BG1143" s="238"/>
      <c r="BH1143" s="238"/>
      <c r="BI1143" s="238"/>
      <c r="BJ1143" s="304"/>
      <c r="BK1143" s="378"/>
    </row>
    <row r="1144" spans="1:63" s="268" customFormat="1" ht="174.75" customHeight="1">
      <c r="A1144" s="321">
        <v>3</v>
      </c>
      <c r="B1144" s="38" t="s">
        <v>3468</v>
      </c>
      <c r="C1144" s="38" t="s">
        <v>83</v>
      </c>
      <c r="D1144" s="38" t="s">
        <v>3423</v>
      </c>
      <c r="E1144" s="38" t="s">
        <v>250</v>
      </c>
      <c r="F1144" s="38" t="s">
        <v>3469</v>
      </c>
      <c r="G1144" s="38">
        <v>2911160</v>
      </c>
      <c r="H1144" s="63">
        <v>825113</v>
      </c>
      <c r="I1144" s="16" t="s">
        <v>4926</v>
      </c>
      <c r="J1144" s="16" t="s">
        <v>3444</v>
      </c>
      <c r="K1144" s="60" t="s">
        <v>4717</v>
      </c>
      <c r="L1144" s="16" t="s">
        <v>180</v>
      </c>
      <c r="M1144" s="134" t="s">
        <v>1358</v>
      </c>
      <c r="N1144" s="16" t="s">
        <v>768</v>
      </c>
      <c r="O1144" s="16" t="s">
        <v>271</v>
      </c>
      <c r="P1144" s="23">
        <v>24500</v>
      </c>
      <c r="Q1144" s="23">
        <f t="shared" si="145"/>
        <v>28910</v>
      </c>
      <c r="R1144" s="75">
        <v>24500</v>
      </c>
      <c r="S1144" s="134" t="s">
        <v>255</v>
      </c>
      <c r="T1144" s="25">
        <v>1.0840000000000001</v>
      </c>
      <c r="U1144" s="25">
        <v>1.0509999999999999</v>
      </c>
      <c r="V1144" s="25">
        <v>1.0669999999999999</v>
      </c>
      <c r="W1144" s="25">
        <v>1.0529999999999999</v>
      </c>
      <c r="X1144" s="25">
        <v>0.9</v>
      </c>
      <c r="Y1144" s="23">
        <v>28223.999999999996</v>
      </c>
      <c r="Z1144" s="23">
        <f t="shared" si="146"/>
        <v>33304.319999999992</v>
      </c>
      <c r="AA1144" s="36" t="s">
        <v>132</v>
      </c>
      <c r="AB1144" s="36" t="s">
        <v>132</v>
      </c>
      <c r="AC1144" s="23">
        <v>24500</v>
      </c>
      <c r="AD1144" s="23">
        <f t="shared" si="149"/>
        <v>28910</v>
      </c>
      <c r="AE1144" s="38" t="s">
        <v>169</v>
      </c>
      <c r="AF1144" s="38" t="s">
        <v>83</v>
      </c>
      <c r="AG1144" s="38" t="s">
        <v>83</v>
      </c>
      <c r="AH1144" s="45" t="s">
        <v>90</v>
      </c>
      <c r="AI1144" s="52">
        <v>41654</v>
      </c>
      <c r="AJ1144" s="52">
        <v>41671</v>
      </c>
      <c r="AK1144" s="60"/>
      <c r="AL1144" s="60"/>
      <c r="AM1144" s="60" t="s">
        <v>3470</v>
      </c>
      <c r="AN1144" s="60" t="s">
        <v>171</v>
      </c>
      <c r="AO1144" s="11">
        <v>796</v>
      </c>
      <c r="AP1144" s="38" t="s">
        <v>256</v>
      </c>
      <c r="AQ1144" s="38" t="s">
        <v>3471</v>
      </c>
      <c r="AR1144" s="38">
        <v>46460</v>
      </c>
      <c r="AS1144" s="16" t="s">
        <v>258</v>
      </c>
      <c r="AT1144" s="52">
        <v>41691</v>
      </c>
      <c r="AU1144" s="52">
        <v>41691</v>
      </c>
      <c r="AV1144" s="52">
        <v>41913</v>
      </c>
      <c r="AW1144" s="38">
        <v>2014</v>
      </c>
      <c r="AX1144" s="60"/>
      <c r="AY1144" s="135"/>
      <c r="AZ1144" s="60"/>
      <c r="BA1144" s="38"/>
      <c r="BB1144" s="38"/>
      <c r="BC1144" s="60"/>
      <c r="BD1144" s="60"/>
      <c r="BE1144" s="238"/>
      <c r="BF1144" s="238"/>
      <c r="BG1144" s="238"/>
      <c r="BH1144" s="238"/>
      <c r="BI1144" s="238"/>
      <c r="BJ1144" s="304"/>
      <c r="BK1144" s="378"/>
    </row>
    <row r="1145" spans="1:63" s="268" customFormat="1" ht="213" customHeight="1">
      <c r="A1145" s="321">
        <v>3</v>
      </c>
      <c r="B1145" s="38" t="s">
        <v>3472</v>
      </c>
      <c r="C1145" s="38" t="s">
        <v>83</v>
      </c>
      <c r="D1145" s="38" t="s">
        <v>3423</v>
      </c>
      <c r="E1145" s="38" t="s">
        <v>250</v>
      </c>
      <c r="F1145" s="38" t="s">
        <v>3473</v>
      </c>
      <c r="G1145" s="38">
        <v>2911160</v>
      </c>
      <c r="H1145" s="63">
        <v>825114</v>
      </c>
      <c r="I1145" s="16" t="s">
        <v>3474</v>
      </c>
      <c r="J1145" s="16" t="s">
        <v>3475</v>
      </c>
      <c r="K1145" s="60" t="s">
        <v>4717</v>
      </c>
      <c r="L1145" s="16" t="s">
        <v>180</v>
      </c>
      <c r="M1145" s="134" t="s">
        <v>1358</v>
      </c>
      <c r="N1145" s="16" t="s">
        <v>768</v>
      </c>
      <c r="O1145" s="16" t="s">
        <v>271</v>
      </c>
      <c r="P1145" s="23">
        <v>12941.06</v>
      </c>
      <c r="Q1145" s="23">
        <f t="shared" si="145"/>
        <v>15270.450799999999</v>
      </c>
      <c r="R1145" s="34">
        <v>12941.06</v>
      </c>
      <c r="S1145" s="134" t="s">
        <v>255</v>
      </c>
      <c r="T1145" s="25">
        <v>1.0840000000000001</v>
      </c>
      <c r="U1145" s="25">
        <v>1.0509999999999999</v>
      </c>
      <c r="V1145" s="25">
        <v>1.0669999999999999</v>
      </c>
      <c r="W1145" s="25">
        <v>1.0529999999999999</v>
      </c>
      <c r="X1145" s="25">
        <v>0.9</v>
      </c>
      <c r="Y1145" s="23">
        <v>14908.101119999998</v>
      </c>
      <c r="Z1145" s="23">
        <f t="shared" si="146"/>
        <v>17591.559321599998</v>
      </c>
      <c r="AA1145" s="36" t="s">
        <v>132</v>
      </c>
      <c r="AB1145" s="36" t="s">
        <v>132</v>
      </c>
      <c r="AC1145" s="23">
        <v>12941.06</v>
      </c>
      <c r="AD1145" s="23">
        <f t="shared" si="149"/>
        <v>15270.450799999999</v>
      </c>
      <c r="AE1145" s="38" t="s">
        <v>169</v>
      </c>
      <c r="AF1145" s="38" t="s">
        <v>83</v>
      </c>
      <c r="AG1145" s="38" t="s">
        <v>83</v>
      </c>
      <c r="AH1145" s="45" t="s">
        <v>90</v>
      </c>
      <c r="AI1145" s="52">
        <v>41631</v>
      </c>
      <c r="AJ1145" s="52">
        <v>41691</v>
      </c>
      <c r="AK1145" s="60"/>
      <c r="AL1145" s="60"/>
      <c r="AM1145" s="60" t="s">
        <v>3474</v>
      </c>
      <c r="AN1145" s="60" t="s">
        <v>171</v>
      </c>
      <c r="AO1145" s="11">
        <v>796</v>
      </c>
      <c r="AP1145" s="38" t="s">
        <v>368</v>
      </c>
      <c r="AQ1145" s="38">
        <v>1</v>
      </c>
      <c r="AR1145" s="38">
        <v>46460</v>
      </c>
      <c r="AS1145" s="16" t="s">
        <v>258</v>
      </c>
      <c r="AT1145" s="52">
        <v>41730</v>
      </c>
      <c r="AU1145" s="51">
        <v>41730</v>
      </c>
      <c r="AV1145" s="52">
        <v>41913</v>
      </c>
      <c r="AW1145" s="38">
        <v>2014</v>
      </c>
      <c r="AX1145" s="60"/>
      <c r="AY1145" s="135"/>
      <c r="AZ1145" s="60"/>
      <c r="BA1145" s="38"/>
      <c r="BB1145" s="38"/>
      <c r="BC1145" s="60"/>
      <c r="BD1145" s="60"/>
      <c r="BE1145" s="238"/>
      <c r="BF1145" s="238"/>
      <c r="BG1145" s="238"/>
      <c r="BH1145" s="238"/>
      <c r="BI1145" s="238"/>
      <c r="BJ1145" s="304"/>
      <c r="BK1145" s="378"/>
    </row>
    <row r="1146" spans="1:63" s="268" customFormat="1" ht="112.5">
      <c r="A1146" s="321">
        <v>3</v>
      </c>
      <c r="B1146" s="38" t="s">
        <v>3478</v>
      </c>
      <c r="C1146" s="38" t="s">
        <v>83</v>
      </c>
      <c r="D1146" s="38" t="s">
        <v>3423</v>
      </c>
      <c r="E1146" s="38" t="s">
        <v>250</v>
      </c>
      <c r="F1146" s="38" t="s">
        <v>3479</v>
      </c>
      <c r="G1146" s="38">
        <v>2911160</v>
      </c>
      <c r="H1146" s="63">
        <v>825116</v>
      </c>
      <c r="I1146" s="16" t="s">
        <v>3480</v>
      </c>
      <c r="J1146" s="16" t="s">
        <v>1292</v>
      </c>
      <c r="K1146" s="60" t="s">
        <v>4717</v>
      </c>
      <c r="L1146" s="16" t="s">
        <v>180</v>
      </c>
      <c r="M1146" s="134" t="s">
        <v>1358</v>
      </c>
      <c r="N1146" s="16" t="s">
        <v>768</v>
      </c>
      <c r="O1146" s="16" t="s">
        <v>271</v>
      </c>
      <c r="P1146" s="23">
        <v>69900</v>
      </c>
      <c r="Q1146" s="23">
        <f t="shared" si="145"/>
        <v>82482</v>
      </c>
      <c r="R1146" s="134" t="s">
        <v>1759</v>
      </c>
      <c r="S1146" s="134"/>
      <c r="T1146" s="25"/>
      <c r="U1146" s="25"/>
      <c r="V1146" s="25"/>
      <c r="W1146" s="25"/>
      <c r="X1146" s="25"/>
      <c r="Y1146" s="23">
        <v>69900</v>
      </c>
      <c r="Z1146" s="23">
        <f t="shared" si="146"/>
        <v>82482</v>
      </c>
      <c r="AA1146" s="36" t="s">
        <v>132</v>
      </c>
      <c r="AB1146" s="36" t="s">
        <v>132</v>
      </c>
      <c r="AC1146" s="23">
        <v>69900</v>
      </c>
      <c r="AD1146" s="23">
        <f t="shared" si="149"/>
        <v>82482</v>
      </c>
      <c r="AE1146" s="38" t="s">
        <v>169</v>
      </c>
      <c r="AF1146" s="38" t="s">
        <v>83</v>
      </c>
      <c r="AG1146" s="38" t="s">
        <v>83</v>
      </c>
      <c r="AH1146" s="45" t="s">
        <v>90</v>
      </c>
      <c r="AI1146" s="52">
        <v>41625</v>
      </c>
      <c r="AJ1146" s="51">
        <v>41685</v>
      </c>
      <c r="AK1146" s="60"/>
      <c r="AL1146" s="60"/>
      <c r="AM1146" s="60" t="s">
        <v>3480</v>
      </c>
      <c r="AN1146" s="60" t="s">
        <v>171</v>
      </c>
      <c r="AO1146" s="11">
        <v>796</v>
      </c>
      <c r="AP1146" s="38" t="s">
        <v>368</v>
      </c>
      <c r="AQ1146" s="38">
        <v>1</v>
      </c>
      <c r="AR1146" s="38">
        <v>46460</v>
      </c>
      <c r="AS1146" s="16" t="s">
        <v>258</v>
      </c>
      <c r="AT1146" s="52">
        <v>41705</v>
      </c>
      <c r="AU1146" s="52">
        <v>41705</v>
      </c>
      <c r="AV1146" s="52">
        <v>42369</v>
      </c>
      <c r="AW1146" s="38" t="s">
        <v>99</v>
      </c>
      <c r="AX1146" s="60"/>
      <c r="AY1146" s="135"/>
      <c r="AZ1146" s="60"/>
      <c r="BA1146" s="38"/>
      <c r="BB1146" s="38"/>
      <c r="BC1146" s="60"/>
      <c r="BD1146" s="60"/>
      <c r="BE1146" s="238"/>
      <c r="BF1146" s="238"/>
      <c r="BG1146" s="238"/>
      <c r="BH1146" s="238"/>
      <c r="BI1146" s="238"/>
      <c r="BJ1146" s="304"/>
      <c r="BK1146" s="238"/>
    </row>
    <row r="1147" spans="1:63" s="268" customFormat="1" ht="262.5">
      <c r="A1147" s="321">
        <v>3</v>
      </c>
      <c r="B1147" s="38" t="s">
        <v>3481</v>
      </c>
      <c r="C1147" s="38" t="s">
        <v>83</v>
      </c>
      <c r="D1147" s="38" t="s">
        <v>3423</v>
      </c>
      <c r="E1147" s="38" t="s">
        <v>250</v>
      </c>
      <c r="F1147" s="38" t="s">
        <v>3482</v>
      </c>
      <c r="G1147" s="38">
        <v>2911160</v>
      </c>
      <c r="H1147" s="63">
        <v>825117</v>
      </c>
      <c r="I1147" s="16" t="s">
        <v>3483</v>
      </c>
      <c r="J1147" s="16" t="s">
        <v>979</v>
      </c>
      <c r="K1147" s="60" t="s">
        <v>4717</v>
      </c>
      <c r="L1147" s="16" t="s">
        <v>180</v>
      </c>
      <c r="M1147" s="134" t="s">
        <v>1358</v>
      </c>
      <c r="N1147" s="16" t="s">
        <v>768</v>
      </c>
      <c r="O1147" s="16" t="s">
        <v>271</v>
      </c>
      <c r="P1147" s="23">
        <v>84617.379000000001</v>
      </c>
      <c r="Q1147" s="23">
        <f t="shared" si="145"/>
        <v>99848.50722</v>
      </c>
      <c r="R1147" s="75">
        <v>84745</v>
      </c>
      <c r="S1147" s="134" t="s">
        <v>255</v>
      </c>
      <c r="T1147" s="25">
        <v>1.0840000000000001</v>
      </c>
      <c r="U1147" s="25">
        <v>1.0509999999999999</v>
      </c>
      <c r="V1147" s="25">
        <v>1.0669999999999999</v>
      </c>
      <c r="W1147" s="25">
        <v>1.0529999999999999</v>
      </c>
      <c r="X1147" s="25">
        <v>0.9</v>
      </c>
      <c r="Y1147" s="23">
        <v>97479.220607999989</v>
      </c>
      <c r="Z1147" s="23">
        <f t="shared" si="146"/>
        <v>115025.48031743999</v>
      </c>
      <c r="AA1147" s="36" t="s">
        <v>132</v>
      </c>
      <c r="AB1147" s="36" t="s">
        <v>132</v>
      </c>
      <c r="AC1147" s="23">
        <v>84617.379000000001</v>
      </c>
      <c r="AD1147" s="23">
        <f t="shared" si="149"/>
        <v>99848.50722</v>
      </c>
      <c r="AE1147" s="38" t="s">
        <v>169</v>
      </c>
      <c r="AF1147" s="38" t="s">
        <v>83</v>
      </c>
      <c r="AG1147" s="38" t="s">
        <v>83</v>
      </c>
      <c r="AH1147" s="45" t="s">
        <v>90</v>
      </c>
      <c r="AI1147" s="52">
        <v>41685</v>
      </c>
      <c r="AJ1147" s="52">
        <v>41699</v>
      </c>
      <c r="AK1147" s="60"/>
      <c r="AL1147" s="60"/>
      <c r="AM1147" s="60" t="s">
        <v>3483</v>
      </c>
      <c r="AN1147" s="60" t="s">
        <v>171</v>
      </c>
      <c r="AO1147" s="11">
        <v>8</v>
      </c>
      <c r="AP1147" s="38" t="s">
        <v>82</v>
      </c>
      <c r="AQ1147" s="38" t="s">
        <v>3484</v>
      </c>
      <c r="AR1147" s="38">
        <v>46460</v>
      </c>
      <c r="AS1147" s="16" t="s">
        <v>258</v>
      </c>
      <c r="AT1147" s="52">
        <v>41730</v>
      </c>
      <c r="AU1147" s="51">
        <v>41730</v>
      </c>
      <c r="AV1147" s="52">
        <v>42004</v>
      </c>
      <c r="AW1147" s="38">
        <v>2014</v>
      </c>
      <c r="AX1147" s="60"/>
      <c r="AY1147" s="135"/>
      <c r="AZ1147" s="60"/>
      <c r="BA1147" s="38"/>
      <c r="BB1147" s="38"/>
      <c r="BC1147" s="60"/>
      <c r="BD1147" s="60"/>
      <c r="BE1147" s="238"/>
      <c r="BF1147" s="238"/>
      <c r="BG1147" s="238"/>
      <c r="BH1147" s="238"/>
      <c r="BI1147" s="238"/>
      <c r="BJ1147" s="304"/>
      <c r="BK1147" s="378"/>
    </row>
    <row r="1148" spans="1:63" s="268" customFormat="1" ht="262.5">
      <c r="A1148" s="321">
        <v>3</v>
      </c>
      <c r="B1148" s="38" t="s">
        <v>3491</v>
      </c>
      <c r="C1148" s="38" t="s">
        <v>83</v>
      </c>
      <c r="D1148" s="38" t="s">
        <v>3423</v>
      </c>
      <c r="E1148" s="38" t="s">
        <v>250</v>
      </c>
      <c r="F1148" s="38" t="s">
        <v>3492</v>
      </c>
      <c r="G1148" s="38">
        <v>2911160</v>
      </c>
      <c r="H1148" s="63">
        <v>825120</v>
      </c>
      <c r="I1148" s="16" t="s">
        <v>3493</v>
      </c>
      <c r="J1148" s="16" t="s">
        <v>3494</v>
      </c>
      <c r="K1148" s="60" t="s">
        <v>4717</v>
      </c>
      <c r="L1148" s="16" t="s">
        <v>180</v>
      </c>
      <c r="M1148" s="134" t="s">
        <v>1358</v>
      </c>
      <c r="N1148" s="16" t="s">
        <v>768</v>
      </c>
      <c r="O1148" s="16" t="s">
        <v>271</v>
      </c>
      <c r="P1148" s="23">
        <v>8746.7528399999992</v>
      </c>
      <c r="Q1148" s="23">
        <f t="shared" si="145"/>
        <v>10321.168351199998</v>
      </c>
      <c r="R1148" s="75">
        <v>8000</v>
      </c>
      <c r="S1148" s="134" t="s">
        <v>255</v>
      </c>
      <c r="T1148" s="25">
        <v>1.0840000000000001</v>
      </c>
      <c r="U1148" s="25">
        <v>1.0509999999999999</v>
      </c>
      <c r="V1148" s="25">
        <v>1.0669999999999999</v>
      </c>
      <c r="W1148" s="25">
        <v>1.0529999999999999</v>
      </c>
      <c r="X1148" s="25">
        <v>0.9</v>
      </c>
      <c r="Y1148" s="23">
        <v>10076.259271679999</v>
      </c>
      <c r="Z1148" s="23">
        <f t="shared" si="146"/>
        <v>11889.985940582399</v>
      </c>
      <c r="AA1148" s="36" t="s">
        <v>132</v>
      </c>
      <c r="AB1148" s="36" t="s">
        <v>132</v>
      </c>
      <c r="AC1148" s="23">
        <v>8746.7528399999992</v>
      </c>
      <c r="AD1148" s="23">
        <f t="shared" si="149"/>
        <v>10321.168351199998</v>
      </c>
      <c r="AE1148" s="38" t="s">
        <v>169</v>
      </c>
      <c r="AF1148" s="38" t="s">
        <v>83</v>
      </c>
      <c r="AG1148" s="38" t="s">
        <v>83</v>
      </c>
      <c r="AH1148" s="45" t="s">
        <v>90</v>
      </c>
      <c r="AI1148" s="51">
        <v>41554</v>
      </c>
      <c r="AJ1148" s="51">
        <v>41609</v>
      </c>
      <c r="AK1148" s="60"/>
      <c r="AL1148" s="60"/>
      <c r="AM1148" s="60" t="s">
        <v>3493</v>
      </c>
      <c r="AN1148" s="60" t="s">
        <v>171</v>
      </c>
      <c r="AO1148" s="11">
        <v>796</v>
      </c>
      <c r="AP1148" s="38" t="s">
        <v>368</v>
      </c>
      <c r="AQ1148" s="38">
        <v>1</v>
      </c>
      <c r="AR1148" s="38">
        <v>46460</v>
      </c>
      <c r="AS1148" s="16" t="s">
        <v>258</v>
      </c>
      <c r="AT1148" s="52">
        <v>41730</v>
      </c>
      <c r="AU1148" s="51">
        <v>41730</v>
      </c>
      <c r="AV1148" s="52">
        <v>41913</v>
      </c>
      <c r="AW1148" s="38">
        <v>2014</v>
      </c>
      <c r="AX1148" s="60"/>
      <c r="AY1148" s="135"/>
      <c r="AZ1148" s="60"/>
      <c r="BA1148" s="38"/>
      <c r="BB1148" s="38"/>
      <c r="BC1148" s="60"/>
      <c r="BD1148" s="60"/>
      <c r="BE1148" s="238"/>
      <c r="BF1148" s="238"/>
      <c r="BG1148" s="238"/>
      <c r="BH1148" s="238"/>
      <c r="BI1148" s="238"/>
      <c r="BJ1148" s="304"/>
      <c r="BK1148" s="238"/>
    </row>
    <row r="1149" spans="1:63" s="268" customFormat="1" ht="262.5">
      <c r="A1149" s="321">
        <v>3</v>
      </c>
      <c r="B1149" s="38" t="s">
        <v>3495</v>
      </c>
      <c r="C1149" s="38" t="s">
        <v>83</v>
      </c>
      <c r="D1149" s="38" t="s">
        <v>3423</v>
      </c>
      <c r="E1149" s="38" t="s">
        <v>250</v>
      </c>
      <c r="F1149" s="38" t="s">
        <v>3496</v>
      </c>
      <c r="G1149" s="38">
        <v>2911160</v>
      </c>
      <c r="H1149" s="63">
        <v>825121</v>
      </c>
      <c r="I1149" s="16" t="s">
        <v>3497</v>
      </c>
      <c r="J1149" s="16" t="s">
        <v>3498</v>
      </c>
      <c r="K1149" s="60" t="s">
        <v>4717</v>
      </c>
      <c r="L1149" s="16" t="s">
        <v>180</v>
      </c>
      <c r="M1149" s="134" t="s">
        <v>1358</v>
      </c>
      <c r="N1149" s="16" t="s">
        <v>768</v>
      </c>
      <c r="O1149" s="16" t="s">
        <v>271</v>
      </c>
      <c r="P1149" s="23">
        <v>6320.28024</v>
      </c>
      <c r="Q1149" s="23">
        <f t="shared" si="145"/>
        <v>7457.9306831999993</v>
      </c>
      <c r="R1149" s="75">
        <v>6320</v>
      </c>
      <c r="S1149" s="134" t="s">
        <v>255</v>
      </c>
      <c r="T1149" s="25">
        <v>1.0840000000000001</v>
      </c>
      <c r="U1149" s="25">
        <v>1.0509999999999999</v>
      </c>
      <c r="V1149" s="25">
        <v>1.0669999999999999</v>
      </c>
      <c r="W1149" s="25">
        <v>1.0529999999999999</v>
      </c>
      <c r="X1149" s="25">
        <v>0.9</v>
      </c>
      <c r="Y1149" s="23">
        <v>7280.9628364799992</v>
      </c>
      <c r="Z1149" s="23">
        <f t="shared" si="146"/>
        <v>8591.5361470463977</v>
      </c>
      <c r="AA1149" s="36" t="s">
        <v>132</v>
      </c>
      <c r="AB1149" s="36" t="s">
        <v>132</v>
      </c>
      <c r="AC1149" s="23">
        <v>6320.28024</v>
      </c>
      <c r="AD1149" s="23">
        <f t="shared" si="149"/>
        <v>7457.9306831999993</v>
      </c>
      <c r="AE1149" s="38" t="s">
        <v>173</v>
      </c>
      <c r="AF1149" s="38" t="s">
        <v>83</v>
      </c>
      <c r="AG1149" s="38" t="s">
        <v>83</v>
      </c>
      <c r="AH1149" s="45" t="s">
        <v>90</v>
      </c>
      <c r="AI1149" s="51">
        <v>41554</v>
      </c>
      <c r="AJ1149" s="51">
        <v>41609</v>
      </c>
      <c r="AK1149" s="60"/>
      <c r="AL1149" s="60"/>
      <c r="AM1149" s="60" t="s">
        <v>3497</v>
      </c>
      <c r="AN1149" s="60" t="s">
        <v>171</v>
      </c>
      <c r="AO1149" s="11">
        <v>796</v>
      </c>
      <c r="AP1149" s="38" t="s">
        <v>368</v>
      </c>
      <c r="AQ1149" s="38">
        <v>1</v>
      </c>
      <c r="AR1149" s="38">
        <v>46460</v>
      </c>
      <c r="AS1149" s="16" t="s">
        <v>258</v>
      </c>
      <c r="AT1149" s="52">
        <v>41730</v>
      </c>
      <c r="AU1149" s="51">
        <v>41730</v>
      </c>
      <c r="AV1149" s="52">
        <v>41913</v>
      </c>
      <c r="AW1149" s="38">
        <v>2014</v>
      </c>
      <c r="AX1149" s="60"/>
      <c r="AY1149" s="135"/>
      <c r="AZ1149" s="60"/>
      <c r="BA1149" s="38"/>
      <c r="BB1149" s="38"/>
      <c r="BC1149" s="60"/>
      <c r="BD1149" s="60"/>
      <c r="BE1149" s="238"/>
      <c r="BF1149" s="238"/>
      <c r="BG1149" s="238"/>
      <c r="BH1149" s="238"/>
      <c r="BI1149" s="238"/>
      <c r="BJ1149" s="304"/>
      <c r="BK1149" s="238"/>
    </row>
    <row r="1150" spans="1:63" s="268" customFormat="1" ht="56.25">
      <c r="A1150" s="321">
        <v>3</v>
      </c>
      <c r="B1150" s="38" t="s">
        <v>3499</v>
      </c>
      <c r="C1150" s="38" t="s">
        <v>83</v>
      </c>
      <c r="D1150" s="38" t="s">
        <v>3423</v>
      </c>
      <c r="E1150" s="38" t="s">
        <v>250</v>
      </c>
      <c r="F1150" s="38" t="s">
        <v>3500</v>
      </c>
      <c r="G1150" s="38">
        <v>2911160</v>
      </c>
      <c r="H1150" s="63">
        <v>825122</v>
      </c>
      <c r="I1150" s="16" t="s">
        <v>3501</v>
      </c>
      <c r="J1150" s="16" t="s">
        <v>3502</v>
      </c>
      <c r="K1150" s="60" t="s">
        <v>4717</v>
      </c>
      <c r="L1150" s="16" t="s">
        <v>180</v>
      </c>
      <c r="M1150" s="134" t="s">
        <v>1358</v>
      </c>
      <c r="N1150" s="16" t="s">
        <v>768</v>
      </c>
      <c r="O1150" s="16" t="s">
        <v>271</v>
      </c>
      <c r="P1150" s="23">
        <v>1074.297</v>
      </c>
      <c r="Q1150" s="23">
        <f t="shared" si="145"/>
        <v>1267.67046</v>
      </c>
      <c r="R1150" s="134"/>
      <c r="S1150" s="134"/>
      <c r="T1150" s="25"/>
      <c r="U1150" s="25"/>
      <c r="V1150" s="25"/>
      <c r="W1150" s="25"/>
      <c r="X1150" s="25"/>
      <c r="Y1150" s="23">
        <v>1074.297</v>
      </c>
      <c r="Z1150" s="23">
        <f t="shared" si="146"/>
        <v>1267.67046</v>
      </c>
      <c r="AA1150" s="36" t="s">
        <v>132</v>
      </c>
      <c r="AB1150" s="36" t="s">
        <v>132</v>
      </c>
      <c r="AC1150" s="23">
        <v>1074.297</v>
      </c>
      <c r="AD1150" s="23">
        <f t="shared" si="149"/>
        <v>1267.67046</v>
      </c>
      <c r="AE1150" s="38" t="s">
        <v>173</v>
      </c>
      <c r="AF1150" s="38" t="s">
        <v>83</v>
      </c>
      <c r="AG1150" s="38" t="s">
        <v>83</v>
      </c>
      <c r="AH1150" s="45" t="s">
        <v>90</v>
      </c>
      <c r="AI1150" s="52">
        <v>41685</v>
      </c>
      <c r="AJ1150" s="52">
        <v>41699</v>
      </c>
      <c r="AK1150" s="60"/>
      <c r="AL1150" s="60"/>
      <c r="AM1150" s="60" t="s">
        <v>3501</v>
      </c>
      <c r="AN1150" s="60" t="s">
        <v>171</v>
      </c>
      <c r="AO1150" s="11">
        <v>796</v>
      </c>
      <c r="AP1150" s="38" t="s">
        <v>368</v>
      </c>
      <c r="AQ1150" s="38">
        <v>1</v>
      </c>
      <c r="AR1150" s="38">
        <v>46460</v>
      </c>
      <c r="AS1150" s="16" t="s">
        <v>258</v>
      </c>
      <c r="AT1150" s="52">
        <v>41730</v>
      </c>
      <c r="AU1150" s="51">
        <v>41730</v>
      </c>
      <c r="AV1150" s="52">
        <v>41913</v>
      </c>
      <c r="AW1150" s="38">
        <v>2014</v>
      </c>
      <c r="AX1150" s="60"/>
      <c r="AY1150" s="135"/>
      <c r="AZ1150" s="60"/>
      <c r="BA1150" s="38"/>
      <c r="BB1150" s="38"/>
      <c r="BC1150" s="60"/>
      <c r="BD1150" s="60"/>
      <c r="BE1150" s="238"/>
      <c r="BF1150" s="238"/>
      <c r="BG1150" s="238"/>
      <c r="BH1150" s="238"/>
      <c r="BI1150" s="238"/>
      <c r="BJ1150" s="304"/>
      <c r="BK1150" s="238"/>
    </row>
    <row r="1151" spans="1:63" s="268" customFormat="1" ht="262.5">
      <c r="A1151" s="321">
        <v>3</v>
      </c>
      <c r="B1151" s="38" t="s">
        <v>3503</v>
      </c>
      <c r="C1151" s="38" t="s">
        <v>83</v>
      </c>
      <c r="D1151" s="38" t="s">
        <v>3423</v>
      </c>
      <c r="E1151" s="38" t="s">
        <v>250</v>
      </c>
      <c r="F1151" s="38" t="s">
        <v>1340</v>
      </c>
      <c r="G1151" s="38">
        <v>5020000</v>
      </c>
      <c r="H1151" s="63">
        <v>825123</v>
      </c>
      <c r="I1151" s="16" t="s">
        <v>3504</v>
      </c>
      <c r="J1151" s="16" t="s">
        <v>3505</v>
      </c>
      <c r="K1151" s="60" t="s">
        <v>4717</v>
      </c>
      <c r="L1151" s="16" t="s">
        <v>180</v>
      </c>
      <c r="M1151" s="134" t="s">
        <v>1358</v>
      </c>
      <c r="N1151" s="16" t="s">
        <v>768</v>
      </c>
      <c r="O1151" s="16" t="s">
        <v>271</v>
      </c>
      <c r="P1151" s="23">
        <v>3000</v>
      </c>
      <c r="Q1151" s="23">
        <f t="shared" si="145"/>
        <v>3540</v>
      </c>
      <c r="R1151" s="75">
        <v>3000</v>
      </c>
      <c r="S1151" s="134" t="s">
        <v>255</v>
      </c>
      <c r="T1151" s="25">
        <v>1.0840000000000001</v>
      </c>
      <c r="U1151" s="25">
        <v>1.0509999999999999</v>
      </c>
      <c r="V1151" s="25">
        <v>1.0669999999999999</v>
      </c>
      <c r="W1151" s="25">
        <v>1.0529999999999999</v>
      </c>
      <c r="X1151" s="25">
        <v>0.9</v>
      </c>
      <c r="Y1151" s="23">
        <v>3455.9999999999995</v>
      </c>
      <c r="Z1151" s="23">
        <f t="shared" si="146"/>
        <v>4078.0799999999995</v>
      </c>
      <c r="AA1151" s="36" t="s">
        <v>132</v>
      </c>
      <c r="AB1151" s="36" t="s">
        <v>132</v>
      </c>
      <c r="AC1151" s="23">
        <v>3000</v>
      </c>
      <c r="AD1151" s="23">
        <f t="shared" si="149"/>
        <v>3540</v>
      </c>
      <c r="AE1151" s="38" t="s">
        <v>173</v>
      </c>
      <c r="AF1151" s="38" t="s">
        <v>83</v>
      </c>
      <c r="AG1151" s="38" t="s">
        <v>83</v>
      </c>
      <c r="AH1151" s="45" t="s">
        <v>90</v>
      </c>
      <c r="AI1151" s="52">
        <f>AJ1151-45</f>
        <v>41654</v>
      </c>
      <c r="AJ1151" s="52">
        <v>41699</v>
      </c>
      <c r="AK1151" s="60"/>
      <c r="AL1151" s="60"/>
      <c r="AM1151" s="60" t="s">
        <v>3504</v>
      </c>
      <c r="AN1151" s="60" t="s">
        <v>171</v>
      </c>
      <c r="AO1151" s="11">
        <v>796</v>
      </c>
      <c r="AP1151" s="38" t="s">
        <v>368</v>
      </c>
      <c r="AQ1151" s="38">
        <v>1</v>
      </c>
      <c r="AR1151" s="38">
        <v>46460</v>
      </c>
      <c r="AS1151" s="16" t="s">
        <v>258</v>
      </c>
      <c r="AT1151" s="52">
        <v>41719</v>
      </c>
      <c r="AU1151" s="52">
        <v>41719</v>
      </c>
      <c r="AV1151" s="52">
        <v>42004</v>
      </c>
      <c r="AW1151" s="38">
        <v>2014</v>
      </c>
      <c r="AX1151" s="60"/>
      <c r="AY1151" s="135"/>
      <c r="AZ1151" s="60"/>
      <c r="BA1151" s="38"/>
      <c r="BB1151" s="38"/>
      <c r="BC1151" s="60"/>
      <c r="BD1151" s="60"/>
      <c r="BE1151" s="238"/>
      <c r="BF1151" s="238"/>
      <c r="BG1151" s="238"/>
      <c r="BH1151" s="238"/>
      <c r="BI1151" s="238"/>
      <c r="BJ1151" s="304"/>
      <c r="BK1151" s="238"/>
    </row>
    <row r="1152" spans="1:63" s="268" customFormat="1" ht="131.25">
      <c r="A1152" s="321">
        <v>3</v>
      </c>
      <c r="B1152" s="38" t="s">
        <v>3506</v>
      </c>
      <c r="C1152" s="38" t="s">
        <v>83</v>
      </c>
      <c r="D1152" s="38" t="s">
        <v>3423</v>
      </c>
      <c r="E1152" s="38" t="s">
        <v>250</v>
      </c>
      <c r="F1152" s="38" t="s">
        <v>3507</v>
      </c>
      <c r="G1152" s="38">
        <v>4221010</v>
      </c>
      <c r="H1152" s="63">
        <v>825125</v>
      </c>
      <c r="I1152" s="16" t="s">
        <v>3508</v>
      </c>
      <c r="J1152" s="16" t="s">
        <v>773</v>
      </c>
      <c r="K1152" s="60" t="s">
        <v>4717</v>
      </c>
      <c r="L1152" s="16" t="s">
        <v>180</v>
      </c>
      <c r="M1152" s="134" t="s">
        <v>1358</v>
      </c>
      <c r="N1152" s="16" t="s">
        <v>768</v>
      </c>
      <c r="O1152" s="16" t="s">
        <v>271</v>
      </c>
      <c r="P1152" s="23">
        <v>14655.949000000001</v>
      </c>
      <c r="Q1152" s="23">
        <f t="shared" ref="Q1152:Q1190" si="150">P1152*1.18</f>
        <v>17294.019820000001</v>
      </c>
      <c r="R1152" s="134"/>
      <c r="S1152" s="134"/>
      <c r="T1152" s="25"/>
      <c r="U1152" s="25"/>
      <c r="V1152" s="25"/>
      <c r="W1152" s="25"/>
      <c r="X1152" s="25"/>
      <c r="Y1152" s="23">
        <v>14655.949000000001</v>
      </c>
      <c r="Z1152" s="23">
        <f t="shared" si="146"/>
        <v>17294.019820000001</v>
      </c>
      <c r="AA1152" s="36" t="s">
        <v>132</v>
      </c>
      <c r="AB1152" s="36" t="s">
        <v>132</v>
      </c>
      <c r="AC1152" s="23">
        <v>14655.949000000001</v>
      </c>
      <c r="AD1152" s="23">
        <f t="shared" si="149"/>
        <v>17294.019820000001</v>
      </c>
      <c r="AE1152" s="38" t="s">
        <v>169</v>
      </c>
      <c r="AF1152" s="38" t="s">
        <v>83</v>
      </c>
      <c r="AG1152" s="38" t="s">
        <v>83</v>
      </c>
      <c r="AH1152" s="45" t="s">
        <v>90</v>
      </c>
      <c r="AI1152" s="52">
        <v>41685</v>
      </c>
      <c r="AJ1152" s="52">
        <v>41699</v>
      </c>
      <c r="AK1152" s="60"/>
      <c r="AL1152" s="60"/>
      <c r="AM1152" s="60" t="s">
        <v>3508</v>
      </c>
      <c r="AN1152" s="60" t="s">
        <v>171</v>
      </c>
      <c r="AO1152" s="11">
        <v>796</v>
      </c>
      <c r="AP1152" s="38" t="s">
        <v>256</v>
      </c>
      <c r="AQ1152" s="38" t="s">
        <v>3509</v>
      </c>
      <c r="AR1152" s="38">
        <v>46460</v>
      </c>
      <c r="AS1152" s="16" t="s">
        <v>258</v>
      </c>
      <c r="AT1152" s="52">
        <v>41760</v>
      </c>
      <c r="AU1152" s="51">
        <v>41760</v>
      </c>
      <c r="AV1152" s="52">
        <v>42004</v>
      </c>
      <c r="AW1152" s="38">
        <v>2014</v>
      </c>
      <c r="AX1152" s="60"/>
      <c r="AY1152" s="135"/>
      <c r="AZ1152" s="60"/>
      <c r="BA1152" s="38"/>
      <c r="BB1152" s="38"/>
      <c r="BC1152" s="60"/>
      <c r="BD1152" s="60"/>
      <c r="BE1152" s="238"/>
      <c r="BF1152" s="238"/>
      <c r="BG1152" s="238"/>
      <c r="BH1152" s="238"/>
      <c r="BI1152" s="238"/>
      <c r="BJ1152" s="304"/>
      <c r="BK1152" s="378"/>
    </row>
    <row r="1153" spans="1:63" s="268" customFormat="1" ht="75">
      <c r="A1153" s="321">
        <v>3</v>
      </c>
      <c r="B1153" s="38" t="s">
        <v>3510</v>
      </c>
      <c r="C1153" s="38" t="s">
        <v>83</v>
      </c>
      <c r="D1153" s="38" t="s">
        <v>3423</v>
      </c>
      <c r="E1153" s="38" t="s">
        <v>250</v>
      </c>
      <c r="F1153" s="38" t="s">
        <v>3511</v>
      </c>
      <c r="G1153" s="38">
        <v>4221010</v>
      </c>
      <c r="H1153" s="63">
        <v>825126</v>
      </c>
      <c r="I1153" s="16" t="s">
        <v>3512</v>
      </c>
      <c r="J1153" s="16" t="s">
        <v>773</v>
      </c>
      <c r="K1153" s="60" t="s">
        <v>4717</v>
      </c>
      <c r="L1153" s="16" t="s">
        <v>180</v>
      </c>
      <c r="M1153" s="134" t="s">
        <v>1358</v>
      </c>
      <c r="N1153" s="16" t="s">
        <v>768</v>
      </c>
      <c r="O1153" s="16" t="s">
        <v>271</v>
      </c>
      <c r="P1153" s="23">
        <v>4957.37122</v>
      </c>
      <c r="Q1153" s="23">
        <f t="shared" si="150"/>
        <v>5849.6980395999999</v>
      </c>
      <c r="R1153" s="23"/>
      <c r="S1153" s="29"/>
      <c r="T1153" s="38"/>
      <c r="U1153" s="38"/>
      <c r="V1153" s="38"/>
      <c r="W1153" s="38"/>
      <c r="X1153" s="38"/>
      <c r="Y1153" s="23">
        <v>4957.37122</v>
      </c>
      <c r="Z1153" s="23">
        <f t="shared" ref="Z1153:Z1190" si="151">Y1153*1.18</f>
        <v>5849.6980395999999</v>
      </c>
      <c r="AA1153" s="36" t="s">
        <v>132</v>
      </c>
      <c r="AB1153" s="36" t="s">
        <v>132</v>
      </c>
      <c r="AC1153" s="23">
        <v>4957.37122</v>
      </c>
      <c r="AD1153" s="23">
        <f t="shared" si="149"/>
        <v>5849.6980395999999</v>
      </c>
      <c r="AE1153" s="38" t="s">
        <v>173</v>
      </c>
      <c r="AF1153" s="38" t="s">
        <v>83</v>
      </c>
      <c r="AG1153" s="38" t="s">
        <v>83</v>
      </c>
      <c r="AH1153" s="45" t="s">
        <v>90</v>
      </c>
      <c r="AI1153" s="51">
        <v>41554</v>
      </c>
      <c r="AJ1153" s="51">
        <v>41609</v>
      </c>
      <c r="AK1153" s="60"/>
      <c r="AL1153" s="60"/>
      <c r="AM1153" s="60" t="s">
        <v>3512</v>
      </c>
      <c r="AN1153" s="60" t="s">
        <v>171</v>
      </c>
      <c r="AO1153" s="11">
        <v>796</v>
      </c>
      <c r="AP1153" s="38" t="s">
        <v>256</v>
      </c>
      <c r="AQ1153" s="38" t="s">
        <v>3513</v>
      </c>
      <c r="AR1153" s="38">
        <v>46460</v>
      </c>
      <c r="AS1153" s="16" t="s">
        <v>258</v>
      </c>
      <c r="AT1153" s="52">
        <v>41640</v>
      </c>
      <c r="AU1153" s="51">
        <v>41640</v>
      </c>
      <c r="AV1153" s="52">
        <v>42004</v>
      </c>
      <c r="AW1153" s="38">
        <v>2014</v>
      </c>
      <c r="AX1153" s="60"/>
      <c r="AY1153" s="135"/>
      <c r="AZ1153" s="60"/>
      <c r="BA1153" s="38"/>
      <c r="BB1153" s="38"/>
      <c r="BC1153" s="60"/>
      <c r="BD1153" s="60"/>
      <c r="BE1153" s="238"/>
      <c r="BF1153" s="238"/>
      <c r="BG1153" s="238"/>
      <c r="BH1153" s="238"/>
      <c r="BI1153" s="238"/>
      <c r="BJ1153" s="304"/>
      <c r="BK1153" s="238"/>
    </row>
    <row r="1154" spans="1:63" s="268" customFormat="1" ht="93.75">
      <c r="A1154" s="321">
        <v>3</v>
      </c>
      <c r="B1154" s="38" t="s">
        <v>3514</v>
      </c>
      <c r="C1154" s="38" t="s">
        <v>83</v>
      </c>
      <c r="D1154" s="38" t="s">
        <v>3423</v>
      </c>
      <c r="E1154" s="38" t="s">
        <v>250</v>
      </c>
      <c r="F1154" s="38" t="s">
        <v>3515</v>
      </c>
      <c r="G1154" s="38">
        <v>4221010</v>
      </c>
      <c r="H1154" s="63">
        <v>825127</v>
      </c>
      <c r="I1154" s="16" t="s">
        <v>3516</v>
      </c>
      <c r="J1154" s="16" t="s">
        <v>3517</v>
      </c>
      <c r="K1154" s="60" t="s">
        <v>4717</v>
      </c>
      <c r="L1154" s="16" t="s">
        <v>180</v>
      </c>
      <c r="M1154" s="134" t="s">
        <v>1358</v>
      </c>
      <c r="N1154" s="16" t="s">
        <v>768</v>
      </c>
      <c r="O1154" s="16" t="s">
        <v>271</v>
      </c>
      <c r="P1154" s="23">
        <v>6303.85</v>
      </c>
      <c r="Q1154" s="23">
        <f t="shared" si="150"/>
        <v>7438.5429999999997</v>
      </c>
      <c r="R1154" s="23"/>
      <c r="S1154" s="29"/>
      <c r="T1154" s="38"/>
      <c r="U1154" s="38"/>
      <c r="V1154" s="38"/>
      <c r="W1154" s="38"/>
      <c r="X1154" s="38"/>
      <c r="Y1154" s="23">
        <v>6303.85</v>
      </c>
      <c r="Z1154" s="23">
        <f t="shared" si="151"/>
        <v>7438.5429999999997</v>
      </c>
      <c r="AA1154" s="36" t="s">
        <v>132</v>
      </c>
      <c r="AB1154" s="36" t="s">
        <v>132</v>
      </c>
      <c r="AC1154" s="23">
        <v>6303.848</v>
      </c>
      <c r="AD1154" s="23">
        <f t="shared" si="149"/>
        <v>7438.5406399999993</v>
      </c>
      <c r="AE1154" s="38" t="s">
        <v>173</v>
      </c>
      <c r="AF1154" s="38" t="s">
        <v>83</v>
      </c>
      <c r="AG1154" s="38" t="s">
        <v>83</v>
      </c>
      <c r="AH1154" s="45" t="s">
        <v>90</v>
      </c>
      <c r="AI1154" s="52">
        <v>41685</v>
      </c>
      <c r="AJ1154" s="52">
        <v>41699</v>
      </c>
      <c r="AK1154" s="60"/>
      <c r="AL1154" s="60"/>
      <c r="AM1154" s="60" t="s">
        <v>3516</v>
      </c>
      <c r="AN1154" s="60" t="s">
        <v>171</v>
      </c>
      <c r="AO1154" s="11">
        <v>796</v>
      </c>
      <c r="AP1154" s="38" t="s">
        <v>256</v>
      </c>
      <c r="AQ1154" s="38" t="s">
        <v>3518</v>
      </c>
      <c r="AR1154" s="38">
        <v>46460</v>
      </c>
      <c r="AS1154" s="16" t="s">
        <v>258</v>
      </c>
      <c r="AT1154" s="52">
        <v>41640</v>
      </c>
      <c r="AU1154" s="51">
        <v>41640</v>
      </c>
      <c r="AV1154" s="52">
        <v>42004</v>
      </c>
      <c r="AW1154" s="38">
        <v>2014</v>
      </c>
      <c r="AX1154" s="60"/>
      <c r="AY1154" s="135"/>
      <c r="AZ1154" s="60"/>
      <c r="BA1154" s="38"/>
      <c r="BB1154" s="38"/>
      <c r="BC1154" s="60"/>
      <c r="BD1154" s="60"/>
      <c r="BE1154" s="238"/>
      <c r="BF1154" s="238"/>
      <c r="BG1154" s="238"/>
      <c r="BH1154" s="238"/>
      <c r="BI1154" s="238"/>
      <c r="BJ1154" s="304"/>
      <c r="BK1154" s="238"/>
    </row>
    <row r="1155" spans="1:63" s="268" customFormat="1" ht="258.75" customHeight="1">
      <c r="A1155" s="321">
        <v>3</v>
      </c>
      <c r="B1155" s="38" t="s">
        <v>3519</v>
      </c>
      <c r="C1155" s="38" t="s">
        <v>83</v>
      </c>
      <c r="D1155" s="38" t="s">
        <v>3423</v>
      </c>
      <c r="E1155" s="38" t="s">
        <v>250</v>
      </c>
      <c r="F1155" s="38" t="s">
        <v>3520</v>
      </c>
      <c r="G1155" s="38">
        <v>4221010</v>
      </c>
      <c r="H1155" s="63">
        <v>825128</v>
      </c>
      <c r="I1155" s="322" t="s">
        <v>3521</v>
      </c>
      <c r="J1155" s="16" t="s">
        <v>773</v>
      </c>
      <c r="K1155" s="60" t="s">
        <v>4717</v>
      </c>
      <c r="L1155" s="16" t="s">
        <v>180</v>
      </c>
      <c r="M1155" s="134" t="s">
        <v>1358</v>
      </c>
      <c r="N1155" s="16" t="s">
        <v>768</v>
      </c>
      <c r="O1155" s="16" t="s">
        <v>271</v>
      </c>
      <c r="P1155" s="23">
        <v>37760.807000000001</v>
      </c>
      <c r="Q1155" s="23">
        <f t="shared" si="150"/>
        <v>44557.752260000001</v>
      </c>
      <c r="R1155" s="134"/>
      <c r="S1155" s="134"/>
      <c r="T1155" s="25"/>
      <c r="U1155" s="25"/>
      <c r="V1155" s="25"/>
      <c r="W1155" s="25"/>
      <c r="X1155" s="25"/>
      <c r="Y1155" s="23">
        <v>37760.807000000001</v>
      </c>
      <c r="Z1155" s="23">
        <f t="shared" si="151"/>
        <v>44557.752260000001</v>
      </c>
      <c r="AA1155" s="36" t="s">
        <v>132</v>
      </c>
      <c r="AB1155" s="36" t="s">
        <v>132</v>
      </c>
      <c r="AC1155" s="23">
        <v>37760.807000000001</v>
      </c>
      <c r="AD1155" s="23">
        <f t="shared" si="149"/>
        <v>44557.752260000001</v>
      </c>
      <c r="AE1155" s="38" t="s">
        <v>169</v>
      </c>
      <c r="AF1155" s="38" t="s">
        <v>83</v>
      </c>
      <c r="AG1155" s="38" t="s">
        <v>83</v>
      </c>
      <c r="AH1155" s="45" t="s">
        <v>90</v>
      </c>
      <c r="AI1155" s="52">
        <v>41654</v>
      </c>
      <c r="AJ1155" s="52">
        <v>41699</v>
      </c>
      <c r="AK1155" s="60"/>
      <c r="AL1155" s="60"/>
      <c r="AM1155" s="399" t="s">
        <v>3521</v>
      </c>
      <c r="AN1155" s="60" t="s">
        <v>171</v>
      </c>
      <c r="AO1155" s="11">
        <v>796</v>
      </c>
      <c r="AP1155" s="38" t="s">
        <v>368</v>
      </c>
      <c r="AQ1155" s="38">
        <v>1</v>
      </c>
      <c r="AR1155" s="38">
        <v>46460</v>
      </c>
      <c r="AS1155" s="16" t="s">
        <v>258</v>
      </c>
      <c r="AT1155" s="52">
        <v>41719</v>
      </c>
      <c r="AU1155" s="52">
        <v>41719</v>
      </c>
      <c r="AV1155" s="52">
        <v>42004</v>
      </c>
      <c r="AW1155" s="38">
        <v>2014</v>
      </c>
      <c r="AX1155" s="60"/>
      <c r="AY1155" s="135"/>
      <c r="AZ1155" s="60"/>
      <c r="BA1155" s="38"/>
      <c r="BB1155" s="38"/>
      <c r="BC1155" s="60"/>
      <c r="BD1155" s="60"/>
      <c r="BE1155" s="238"/>
      <c r="BF1155" s="238"/>
      <c r="BG1155" s="238"/>
      <c r="BH1155" s="238"/>
      <c r="BI1155" s="238"/>
      <c r="BJ1155" s="304"/>
      <c r="BK1155" s="378"/>
    </row>
    <row r="1156" spans="1:63" s="268" customFormat="1" ht="56.25">
      <c r="A1156" s="321">
        <v>3</v>
      </c>
      <c r="B1156" s="38" t="s">
        <v>3522</v>
      </c>
      <c r="C1156" s="38" t="s">
        <v>83</v>
      </c>
      <c r="D1156" s="38" t="s">
        <v>3423</v>
      </c>
      <c r="E1156" s="38" t="s">
        <v>250</v>
      </c>
      <c r="F1156" s="38" t="s">
        <v>3523</v>
      </c>
      <c r="G1156" s="38">
        <v>4221010</v>
      </c>
      <c r="H1156" s="63">
        <v>825129</v>
      </c>
      <c r="I1156" s="16" t="s">
        <v>3524</v>
      </c>
      <c r="J1156" s="16" t="s">
        <v>773</v>
      </c>
      <c r="K1156" s="60" t="s">
        <v>4717</v>
      </c>
      <c r="L1156" s="16" t="s">
        <v>180</v>
      </c>
      <c r="M1156" s="134" t="s">
        <v>1358</v>
      </c>
      <c r="N1156" s="16" t="s">
        <v>768</v>
      </c>
      <c r="O1156" s="16" t="s">
        <v>271</v>
      </c>
      <c r="P1156" s="23">
        <v>12000</v>
      </c>
      <c r="Q1156" s="23">
        <f t="shared" si="150"/>
        <v>14160</v>
      </c>
      <c r="R1156" s="23"/>
      <c r="S1156" s="29"/>
      <c r="T1156" s="38"/>
      <c r="U1156" s="38"/>
      <c r="V1156" s="38"/>
      <c r="W1156" s="38"/>
      <c r="X1156" s="38"/>
      <c r="Y1156" s="23">
        <v>12000</v>
      </c>
      <c r="Z1156" s="23">
        <f t="shared" si="151"/>
        <v>14160</v>
      </c>
      <c r="AA1156" s="36" t="s">
        <v>132</v>
      </c>
      <c r="AB1156" s="36" t="s">
        <v>132</v>
      </c>
      <c r="AC1156" s="23">
        <v>12000</v>
      </c>
      <c r="AD1156" s="23">
        <f t="shared" si="149"/>
        <v>14160</v>
      </c>
      <c r="AE1156" s="38" t="s">
        <v>169</v>
      </c>
      <c r="AF1156" s="38" t="s">
        <v>83</v>
      </c>
      <c r="AG1156" s="38" t="s">
        <v>83</v>
      </c>
      <c r="AH1156" s="45" t="s">
        <v>90</v>
      </c>
      <c r="AI1156" s="51">
        <v>41554</v>
      </c>
      <c r="AJ1156" s="51">
        <v>41609</v>
      </c>
      <c r="AK1156" s="60"/>
      <c r="AL1156" s="60"/>
      <c r="AM1156" s="60" t="s">
        <v>3524</v>
      </c>
      <c r="AN1156" s="60" t="s">
        <v>171</v>
      </c>
      <c r="AO1156" s="11">
        <v>796</v>
      </c>
      <c r="AP1156" s="38" t="s">
        <v>368</v>
      </c>
      <c r="AQ1156" s="38">
        <v>1</v>
      </c>
      <c r="AR1156" s="38">
        <v>46460</v>
      </c>
      <c r="AS1156" s="16" t="s">
        <v>258</v>
      </c>
      <c r="AT1156" s="52">
        <v>41640</v>
      </c>
      <c r="AU1156" s="51">
        <v>41640</v>
      </c>
      <c r="AV1156" s="52">
        <v>42004</v>
      </c>
      <c r="AW1156" s="38">
        <v>2014</v>
      </c>
      <c r="AX1156" s="60"/>
      <c r="AY1156" s="135"/>
      <c r="AZ1156" s="60"/>
      <c r="BA1156" s="38"/>
      <c r="BB1156" s="38"/>
      <c r="BC1156" s="60"/>
      <c r="BD1156" s="60"/>
      <c r="BE1156" s="238"/>
      <c r="BF1156" s="238"/>
      <c r="BG1156" s="238"/>
      <c r="BH1156" s="238"/>
      <c r="BI1156" s="238"/>
      <c r="BJ1156" s="304"/>
      <c r="BK1156" s="238"/>
    </row>
    <row r="1157" spans="1:63" s="268" customFormat="1" ht="172.5" customHeight="1">
      <c r="A1157" s="321">
        <v>3</v>
      </c>
      <c r="B1157" s="38" t="s">
        <v>3525</v>
      </c>
      <c r="C1157" s="38" t="s">
        <v>83</v>
      </c>
      <c r="D1157" s="38" t="s">
        <v>3423</v>
      </c>
      <c r="E1157" s="38" t="s">
        <v>250</v>
      </c>
      <c r="F1157" s="38" t="s">
        <v>3526</v>
      </c>
      <c r="G1157" s="38">
        <v>2911160</v>
      </c>
      <c r="H1157" s="63">
        <v>825131</v>
      </c>
      <c r="I1157" s="16" t="s">
        <v>3527</v>
      </c>
      <c r="J1157" s="16" t="s">
        <v>3528</v>
      </c>
      <c r="K1157" s="60" t="s">
        <v>4717</v>
      </c>
      <c r="L1157" s="16" t="s">
        <v>180</v>
      </c>
      <c r="M1157" s="134" t="s">
        <v>1358</v>
      </c>
      <c r="N1157" s="16" t="s">
        <v>768</v>
      </c>
      <c r="O1157" s="16" t="s">
        <v>271</v>
      </c>
      <c r="P1157" s="23">
        <v>1320.8679999999999</v>
      </c>
      <c r="Q1157" s="23">
        <f t="shared" si="150"/>
        <v>1558.6242399999999</v>
      </c>
      <c r="R1157" s="75">
        <v>1320.87</v>
      </c>
      <c r="S1157" s="134" t="s">
        <v>255</v>
      </c>
      <c r="T1157" s="25">
        <v>1.0840000000000001</v>
      </c>
      <c r="U1157" s="25">
        <v>1.0509999999999999</v>
      </c>
      <c r="V1157" s="25">
        <v>1.0669999999999999</v>
      </c>
      <c r="W1157" s="25">
        <v>1.0529999999999999</v>
      </c>
      <c r="X1157" s="25"/>
      <c r="Y1157" s="23">
        <v>1320.68</v>
      </c>
      <c r="Z1157" s="23">
        <f t="shared" si="151"/>
        <v>1558.4023999999999</v>
      </c>
      <c r="AA1157" s="36" t="s">
        <v>132</v>
      </c>
      <c r="AB1157" s="36" t="s">
        <v>132</v>
      </c>
      <c r="AC1157" s="23">
        <v>1320.68</v>
      </c>
      <c r="AD1157" s="23">
        <f t="shared" si="149"/>
        <v>1558.4023999999999</v>
      </c>
      <c r="AE1157" s="38" t="s">
        <v>173</v>
      </c>
      <c r="AF1157" s="38" t="s">
        <v>83</v>
      </c>
      <c r="AG1157" s="38" t="s">
        <v>83</v>
      </c>
      <c r="AH1157" s="45" t="s">
        <v>90</v>
      </c>
      <c r="AI1157" s="52">
        <v>41715</v>
      </c>
      <c r="AJ1157" s="52">
        <v>41730</v>
      </c>
      <c r="AK1157" s="60"/>
      <c r="AL1157" s="60"/>
      <c r="AM1157" s="60" t="s">
        <v>3527</v>
      </c>
      <c r="AN1157" s="60" t="s">
        <v>171</v>
      </c>
      <c r="AO1157" s="11">
        <v>796</v>
      </c>
      <c r="AP1157" s="38" t="s">
        <v>256</v>
      </c>
      <c r="AQ1157" s="38" t="s">
        <v>3529</v>
      </c>
      <c r="AR1157" s="38">
        <v>46460</v>
      </c>
      <c r="AS1157" s="16" t="s">
        <v>258</v>
      </c>
      <c r="AT1157" s="52">
        <v>41750</v>
      </c>
      <c r="AU1157" s="52">
        <v>41750</v>
      </c>
      <c r="AV1157" s="52">
        <v>42004</v>
      </c>
      <c r="AW1157" s="38">
        <v>2014</v>
      </c>
      <c r="AX1157" s="60"/>
      <c r="AY1157" s="135"/>
      <c r="AZ1157" s="60"/>
      <c r="BA1157" s="38"/>
      <c r="BB1157" s="38"/>
      <c r="BC1157" s="60"/>
      <c r="BD1157" s="60"/>
      <c r="BE1157" s="238"/>
      <c r="BF1157" s="238"/>
      <c r="BG1157" s="238"/>
      <c r="BH1157" s="238"/>
      <c r="BI1157" s="238"/>
      <c r="BJ1157" s="304"/>
      <c r="BK1157" s="378"/>
    </row>
    <row r="1158" spans="1:63" s="268" customFormat="1" ht="165.75" customHeight="1">
      <c r="A1158" s="321">
        <v>3</v>
      </c>
      <c r="B1158" s="38" t="s">
        <v>3530</v>
      </c>
      <c r="C1158" s="38" t="s">
        <v>83</v>
      </c>
      <c r="D1158" s="38" t="s">
        <v>3423</v>
      </c>
      <c r="E1158" s="38" t="s">
        <v>250</v>
      </c>
      <c r="F1158" s="38" t="s">
        <v>3526</v>
      </c>
      <c r="G1158" s="38">
        <v>2911160</v>
      </c>
      <c r="H1158" s="63">
        <v>825181</v>
      </c>
      <c r="I1158" s="16" t="s">
        <v>3531</v>
      </c>
      <c r="J1158" s="16" t="s">
        <v>3532</v>
      </c>
      <c r="K1158" s="60" t="s">
        <v>4724</v>
      </c>
      <c r="L1158" s="16" t="s">
        <v>180</v>
      </c>
      <c r="M1158" s="134" t="s">
        <v>1175</v>
      </c>
      <c r="N1158" s="16" t="s">
        <v>5931</v>
      </c>
      <c r="O1158" s="16" t="s">
        <v>271</v>
      </c>
      <c r="P1158" s="23">
        <v>12000</v>
      </c>
      <c r="Q1158" s="23">
        <f t="shared" si="150"/>
        <v>14160</v>
      </c>
      <c r="R1158" s="75">
        <v>12000</v>
      </c>
      <c r="S1158" s="134" t="s">
        <v>255</v>
      </c>
      <c r="T1158" s="25">
        <v>1.0840000000000001</v>
      </c>
      <c r="U1158" s="25">
        <v>1.0509999999999999</v>
      </c>
      <c r="V1158" s="25">
        <v>1.0669999999999999</v>
      </c>
      <c r="W1158" s="25">
        <v>1.0529999999999999</v>
      </c>
      <c r="X1158" s="25">
        <v>0.9</v>
      </c>
      <c r="Y1158" s="23">
        <v>13823.999999999998</v>
      </c>
      <c r="Z1158" s="23">
        <f t="shared" si="151"/>
        <v>16312.319999999998</v>
      </c>
      <c r="AA1158" s="36" t="s">
        <v>132</v>
      </c>
      <c r="AB1158" s="36" t="s">
        <v>132</v>
      </c>
      <c r="AC1158" s="23">
        <v>8389.1299999999992</v>
      </c>
      <c r="AD1158" s="23">
        <f t="shared" si="149"/>
        <v>9899.1733999999979</v>
      </c>
      <c r="AE1158" s="38" t="s">
        <v>173</v>
      </c>
      <c r="AF1158" s="38" t="s">
        <v>83</v>
      </c>
      <c r="AG1158" s="38" t="s">
        <v>83</v>
      </c>
      <c r="AH1158" s="45" t="s">
        <v>90</v>
      </c>
      <c r="AI1158" s="52">
        <v>41625</v>
      </c>
      <c r="AJ1158" s="51">
        <v>41685</v>
      </c>
      <c r="AK1158" s="60"/>
      <c r="AL1158" s="60"/>
      <c r="AM1158" s="60" t="s">
        <v>3531</v>
      </c>
      <c r="AN1158" s="60" t="s">
        <v>171</v>
      </c>
      <c r="AO1158" s="11">
        <v>796</v>
      </c>
      <c r="AP1158" s="38" t="s">
        <v>256</v>
      </c>
      <c r="AQ1158" s="38" t="s">
        <v>3533</v>
      </c>
      <c r="AR1158" s="38">
        <v>46460</v>
      </c>
      <c r="AS1158" s="16" t="s">
        <v>258</v>
      </c>
      <c r="AT1158" s="52">
        <v>41705</v>
      </c>
      <c r="AU1158" s="52">
        <v>41705</v>
      </c>
      <c r="AV1158" s="52">
        <v>42004</v>
      </c>
      <c r="AW1158" s="38">
        <v>2014</v>
      </c>
      <c r="AX1158" s="60"/>
      <c r="AY1158" s="135"/>
      <c r="AZ1158" s="60"/>
      <c r="BA1158" s="38"/>
      <c r="BB1158" s="38"/>
      <c r="BC1158" s="60"/>
      <c r="BD1158" s="60"/>
      <c r="BE1158" s="238"/>
      <c r="BF1158" s="238"/>
      <c r="BG1158" s="238"/>
      <c r="BH1158" s="238"/>
      <c r="BI1158" s="238"/>
      <c r="BJ1158" s="304"/>
      <c r="BK1158" s="378"/>
    </row>
    <row r="1159" spans="1:63" s="268" customFormat="1" ht="162" customHeight="1">
      <c r="A1159" s="321">
        <v>3</v>
      </c>
      <c r="B1159" s="38" t="s">
        <v>3534</v>
      </c>
      <c r="C1159" s="38" t="s">
        <v>83</v>
      </c>
      <c r="D1159" s="38" t="s">
        <v>3423</v>
      </c>
      <c r="E1159" s="38" t="s">
        <v>250</v>
      </c>
      <c r="F1159" s="38" t="s">
        <v>3526</v>
      </c>
      <c r="G1159" s="38">
        <v>2911160</v>
      </c>
      <c r="H1159" s="63">
        <v>825182</v>
      </c>
      <c r="I1159" s="16" t="s">
        <v>3535</v>
      </c>
      <c r="J1159" s="16" t="s">
        <v>1023</v>
      </c>
      <c r="K1159" s="60" t="s">
        <v>4724</v>
      </c>
      <c r="L1159" s="16" t="s">
        <v>180</v>
      </c>
      <c r="M1159" s="134" t="s">
        <v>1175</v>
      </c>
      <c r="N1159" s="16" t="s">
        <v>5931</v>
      </c>
      <c r="O1159" s="16" t="s">
        <v>271</v>
      </c>
      <c r="P1159" s="23">
        <v>3572.864</v>
      </c>
      <c r="Q1159" s="23">
        <f t="shared" si="150"/>
        <v>4215.9795199999999</v>
      </c>
      <c r="R1159" s="23">
        <v>3572.86</v>
      </c>
      <c r="S1159" s="134" t="s">
        <v>255</v>
      </c>
      <c r="T1159" s="25">
        <v>1.0840000000000001</v>
      </c>
      <c r="U1159" s="25">
        <v>1.0509999999999999</v>
      </c>
      <c r="V1159" s="25">
        <v>1.0669999999999999</v>
      </c>
      <c r="W1159" s="25">
        <v>1.0529999999999999</v>
      </c>
      <c r="X1159" s="25">
        <v>0.9</v>
      </c>
      <c r="Y1159" s="23">
        <v>4115.9347200000002</v>
      </c>
      <c r="Z1159" s="23">
        <f t="shared" si="151"/>
        <v>4856.8029696000003</v>
      </c>
      <c r="AA1159" s="36" t="s">
        <v>132</v>
      </c>
      <c r="AB1159" s="36" t="s">
        <v>132</v>
      </c>
      <c r="AC1159" s="23">
        <v>3572.864</v>
      </c>
      <c r="AD1159" s="23">
        <f t="shared" si="149"/>
        <v>4215.9795199999999</v>
      </c>
      <c r="AE1159" s="38" t="s">
        <v>173</v>
      </c>
      <c r="AF1159" s="38" t="s">
        <v>83</v>
      </c>
      <c r="AG1159" s="38" t="s">
        <v>83</v>
      </c>
      <c r="AH1159" s="45" t="s">
        <v>90</v>
      </c>
      <c r="AI1159" s="52">
        <v>41625</v>
      </c>
      <c r="AJ1159" s="51">
        <v>41670</v>
      </c>
      <c r="AK1159" s="60"/>
      <c r="AL1159" s="60"/>
      <c r="AM1159" s="60" t="s">
        <v>3535</v>
      </c>
      <c r="AN1159" s="60" t="s">
        <v>171</v>
      </c>
      <c r="AO1159" s="11">
        <v>796</v>
      </c>
      <c r="AP1159" s="38" t="s">
        <v>256</v>
      </c>
      <c r="AQ1159" s="38" t="s">
        <v>3536</v>
      </c>
      <c r="AR1159" s="38">
        <v>46460</v>
      </c>
      <c r="AS1159" s="16" t="s">
        <v>258</v>
      </c>
      <c r="AT1159" s="52">
        <v>41690</v>
      </c>
      <c r="AU1159" s="52">
        <v>41690</v>
      </c>
      <c r="AV1159" s="52">
        <v>42004</v>
      </c>
      <c r="AW1159" s="38">
        <v>2014</v>
      </c>
      <c r="AX1159" s="60"/>
      <c r="AY1159" s="135"/>
      <c r="AZ1159" s="60"/>
      <c r="BA1159" s="38"/>
      <c r="BB1159" s="38"/>
      <c r="BC1159" s="60"/>
      <c r="BD1159" s="60"/>
      <c r="BE1159" s="238"/>
      <c r="BF1159" s="238"/>
      <c r="BG1159" s="238"/>
      <c r="BH1159" s="238"/>
      <c r="BI1159" s="238"/>
      <c r="BJ1159" s="304"/>
      <c r="BK1159" s="378"/>
    </row>
    <row r="1160" spans="1:63" s="268" customFormat="1" ht="164.25" customHeight="1">
      <c r="A1160" s="321">
        <v>3</v>
      </c>
      <c r="B1160" s="38" t="s">
        <v>3537</v>
      </c>
      <c r="C1160" s="38" t="s">
        <v>83</v>
      </c>
      <c r="D1160" s="38" t="s">
        <v>3423</v>
      </c>
      <c r="E1160" s="38" t="s">
        <v>250</v>
      </c>
      <c r="F1160" s="38" t="s">
        <v>3526</v>
      </c>
      <c r="G1160" s="38">
        <v>2911160</v>
      </c>
      <c r="H1160" s="63">
        <v>825183</v>
      </c>
      <c r="I1160" s="16" t="s">
        <v>3538</v>
      </c>
      <c r="J1160" s="16" t="s">
        <v>3539</v>
      </c>
      <c r="K1160" s="60" t="s">
        <v>4724</v>
      </c>
      <c r="L1160" s="16" t="s">
        <v>180</v>
      </c>
      <c r="M1160" s="134" t="s">
        <v>1175</v>
      </c>
      <c r="N1160" s="16" t="s">
        <v>5931</v>
      </c>
      <c r="O1160" s="16" t="s">
        <v>271</v>
      </c>
      <c r="P1160" s="23">
        <v>1999.748</v>
      </c>
      <c r="Q1160" s="23">
        <f t="shared" si="150"/>
        <v>2359.70264</v>
      </c>
      <c r="R1160" s="75">
        <v>2000</v>
      </c>
      <c r="S1160" s="134" t="s">
        <v>255</v>
      </c>
      <c r="T1160" s="25">
        <v>1.0840000000000001</v>
      </c>
      <c r="U1160" s="25">
        <v>1.0509999999999999</v>
      </c>
      <c r="V1160" s="25">
        <v>1.0669999999999999</v>
      </c>
      <c r="W1160" s="25">
        <v>1.0529999999999999</v>
      </c>
      <c r="X1160" s="25">
        <v>0.9</v>
      </c>
      <c r="Y1160" s="23">
        <v>2303.7096959999999</v>
      </c>
      <c r="Z1160" s="23">
        <f t="shared" si="151"/>
        <v>2718.3774412799999</v>
      </c>
      <c r="AA1160" s="36" t="s">
        <v>132</v>
      </c>
      <c r="AB1160" s="36" t="s">
        <v>132</v>
      </c>
      <c r="AC1160" s="23">
        <v>1999.748</v>
      </c>
      <c r="AD1160" s="23">
        <f t="shared" si="149"/>
        <v>2359.70264</v>
      </c>
      <c r="AE1160" s="38" t="s">
        <v>173</v>
      </c>
      <c r="AF1160" s="38" t="s">
        <v>83</v>
      </c>
      <c r="AG1160" s="38" t="s">
        <v>83</v>
      </c>
      <c r="AH1160" s="45" t="s">
        <v>90</v>
      </c>
      <c r="AI1160" s="52">
        <v>41595</v>
      </c>
      <c r="AJ1160" s="52">
        <v>41609</v>
      </c>
      <c r="AK1160" s="60"/>
      <c r="AL1160" s="60"/>
      <c r="AM1160" s="60" t="s">
        <v>3538</v>
      </c>
      <c r="AN1160" s="60" t="s">
        <v>171</v>
      </c>
      <c r="AO1160" s="11">
        <v>796</v>
      </c>
      <c r="AP1160" s="38" t="s">
        <v>256</v>
      </c>
      <c r="AQ1160" s="38" t="s">
        <v>3540</v>
      </c>
      <c r="AR1160" s="38">
        <v>46460</v>
      </c>
      <c r="AS1160" s="16" t="s">
        <v>258</v>
      </c>
      <c r="AT1160" s="52">
        <v>41640</v>
      </c>
      <c r="AU1160" s="51">
        <v>41640</v>
      </c>
      <c r="AV1160" s="52">
        <v>42004</v>
      </c>
      <c r="AW1160" s="38">
        <v>2014</v>
      </c>
      <c r="AX1160" s="60"/>
      <c r="AY1160" s="135"/>
      <c r="AZ1160" s="60"/>
      <c r="BA1160" s="38"/>
      <c r="BB1160" s="38"/>
      <c r="BC1160" s="60"/>
      <c r="BD1160" s="60"/>
      <c r="BE1160" s="238"/>
      <c r="BF1160" s="238"/>
      <c r="BG1160" s="238"/>
      <c r="BH1160" s="238"/>
      <c r="BI1160" s="238"/>
      <c r="BJ1160" s="304"/>
      <c r="BK1160" s="238"/>
    </row>
    <row r="1161" spans="1:63" s="268" customFormat="1" ht="93.75">
      <c r="A1161" s="321">
        <v>3</v>
      </c>
      <c r="B1161" s="38" t="s">
        <v>3541</v>
      </c>
      <c r="C1161" s="38" t="s">
        <v>83</v>
      </c>
      <c r="D1161" s="38" t="s">
        <v>3423</v>
      </c>
      <c r="E1161" s="38" t="s">
        <v>250</v>
      </c>
      <c r="F1161" s="38" t="s">
        <v>3526</v>
      </c>
      <c r="G1161" s="38">
        <v>2911160</v>
      </c>
      <c r="H1161" s="63">
        <v>825184</v>
      </c>
      <c r="I1161" s="16" t="s">
        <v>3542</v>
      </c>
      <c r="J1161" s="16" t="s">
        <v>3165</v>
      </c>
      <c r="K1161" s="60" t="s">
        <v>4724</v>
      </c>
      <c r="L1161" s="16" t="s">
        <v>180</v>
      </c>
      <c r="M1161" s="134" t="s">
        <v>1175</v>
      </c>
      <c r="N1161" s="16" t="s">
        <v>5931</v>
      </c>
      <c r="O1161" s="16" t="s">
        <v>271</v>
      </c>
      <c r="P1161" s="23">
        <v>3133.1390000000001</v>
      </c>
      <c r="Q1161" s="23">
        <f t="shared" si="150"/>
        <v>3697.1040199999998</v>
      </c>
      <c r="R1161" s="134"/>
      <c r="S1161" s="134"/>
      <c r="T1161" s="25"/>
      <c r="U1161" s="25"/>
      <c r="V1161" s="25"/>
      <c r="W1161" s="25"/>
      <c r="X1161" s="25"/>
      <c r="Y1161" s="23">
        <v>3133.1390000000001</v>
      </c>
      <c r="Z1161" s="23">
        <f t="shared" si="151"/>
        <v>3697.1040199999998</v>
      </c>
      <c r="AA1161" s="36" t="s">
        <v>132</v>
      </c>
      <c r="AB1161" s="36" t="s">
        <v>132</v>
      </c>
      <c r="AC1161" s="23">
        <v>3133.1390000000001</v>
      </c>
      <c r="AD1161" s="23">
        <f t="shared" si="149"/>
        <v>3697.1040199999998</v>
      </c>
      <c r="AE1161" s="38" t="s">
        <v>173</v>
      </c>
      <c r="AF1161" s="38" t="s">
        <v>83</v>
      </c>
      <c r="AG1161" s="38" t="s">
        <v>83</v>
      </c>
      <c r="AH1161" s="45" t="s">
        <v>90</v>
      </c>
      <c r="AI1161" s="52">
        <v>41595</v>
      </c>
      <c r="AJ1161" s="52">
        <v>41609</v>
      </c>
      <c r="AK1161" s="60"/>
      <c r="AL1161" s="60"/>
      <c r="AM1161" s="60" t="s">
        <v>3542</v>
      </c>
      <c r="AN1161" s="60" t="s">
        <v>171</v>
      </c>
      <c r="AO1161" s="11">
        <v>796</v>
      </c>
      <c r="AP1161" s="38" t="s">
        <v>256</v>
      </c>
      <c r="AQ1161" s="38" t="s">
        <v>3543</v>
      </c>
      <c r="AR1161" s="38">
        <v>46460</v>
      </c>
      <c r="AS1161" s="16" t="s">
        <v>258</v>
      </c>
      <c r="AT1161" s="52">
        <v>41640</v>
      </c>
      <c r="AU1161" s="51">
        <v>41640</v>
      </c>
      <c r="AV1161" s="52">
        <v>42004</v>
      </c>
      <c r="AW1161" s="38">
        <v>2014</v>
      </c>
      <c r="AX1161" s="60"/>
      <c r="AY1161" s="135"/>
      <c r="AZ1161" s="60"/>
      <c r="BA1161" s="38"/>
      <c r="BB1161" s="38"/>
      <c r="BC1161" s="60"/>
      <c r="BD1161" s="60"/>
      <c r="BE1161" s="238"/>
      <c r="BF1161" s="238"/>
      <c r="BG1161" s="238"/>
      <c r="BH1161" s="238"/>
      <c r="BI1161" s="238"/>
      <c r="BJ1161" s="304"/>
      <c r="BK1161" s="378"/>
    </row>
    <row r="1162" spans="1:63" s="268" customFormat="1" ht="120">
      <c r="A1162" s="321">
        <v>3</v>
      </c>
      <c r="B1162" s="38" t="s">
        <v>3544</v>
      </c>
      <c r="C1162" s="38" t="s">
        <v>83</v>
      </c>
      <c r="D1162" s="38" t="s">
        <v>3423</v>
      </c>
      <c r="E1162" s="38" t="s">
        <v>250</v>
      </c>
      <c r="F1162" s="38" t="s">
        <v>3526</v>
      </c>
      <c r="G1162" s="38">
        <v>2911160</v>
      </c>
      <c r="H1162" s="63">
        <v>825185</v>
      </c>
      <c r="I1162" s="16" t="s">
        <v>3545</v>
      </c>
      <c r="J1162" s="16" t="s">
        <v>3546</v>
      </c>
      <c r="K1162" s="60" t="s">
        <v>4724</v>
      </c>
      <c r="L1162" s="16" t="s">
        <v>180</v>
      </c>
      <c r="M1162" s="134" t="s">
        <v>1175</v>
      </c>
      <c r="N1162" s="16" t="s">
        <v>5931</v>
      </c>
      <c r="O1162" s="16" t="s">
        <v>271</v>
      </c>
      <c r="P1162" s="23">
        <v>1000</v>
      </c>
      <c r="Q1162" s="23">
        <f t="shared" si="150"/>
        <v>1180</v>
      </c>
      <c r="R1162" s="75">
        <v>1000</v>
      </c>
      <c r="S1162" s="400" t="s">
        <v>255</v>
      </c>
      <c r="T1162" s="25">
        <v>1.0840000000000001</v>
      </c>
      <c r="U1162" s="25">
        <v>1.0509999999999999</v>
      </c>
      <c r="V1162" s="25">
        <v>1.0669999999999999</v>
      </c>
      <c r="W1162" s="25">
        <v>1.0529999999999999</v>
      </c>
      <c r="X1162" s="25">
        <v>0.9</v>
      </c>
      <c r="Y1162" s="23">
        <v>1152</v>
      </c>
      <c r="Z1162" s="23">
        <f t="shared" si="151"/>
        <v>1359.36</v>
      </c>
      <c r="AA1162" s="36" t="s">
        <v>132</v>
      </c>
      <c r="AB1162" s="36" t="s">
        <v>132</v>
      </c>
      <c r="AC1162" s="23">
        <v>953.63900000000001</v>
      </c>
      <c r="AD1162" s="23">
        <f t="shared" si="149"/>
        <v>1125.29402</v>
      </c>
      <c r="AE1162" s="38" t="s">
        <v>173</v>
      </c>
      <c r="AF1162" s="38" t="s">
        <v>83</v>
      </c>
      <c r="AG1162" s="38" t="s">
        <v>83</v>
      </c>
      <c r="AH1162" s="45" t="s">
        <v>90</v>
      </c>
      <c r="AI1162" s="52">
        <v>41595</v>
      </c>
      <c r="AJ1162" s="52">
        <v>41609</v>
      </c>
      <c r="AK1162" s="60"/>
      <c r="AL1162" s="60"/>
      <c r="AM1162" s="60" t="s">
        <v>3545</v>
      </c>
      <c r="AN1162" s="60" t="s">
        <v>171</v>
      </c>
      <c r="AO1162" s="11">
        <v>796</v>
      </c>
      <c r="AP1162" s="38" t="s">
        <v>256</v>
      </c>
      <c r="AQ1162" s="38" t="s">
        <v>3471</v>
      </c>
      <c r="AR1162" s="38">
        <v>46460</v>
      </c>
      <c r="AS1162" s="16" t="s">
        <v>258</v>
      </c>
      <c r="AT1162" s="52">
        <v>41760</v>
      </c>
      <c r="AU1162" s="51">
        <v>41760</v>
      </c>
      <c r="AV1162" s="51">
        <v>41821</v>
      </c>
      <c r="AW1162" s="38">
        <v>2014</v>
      </c>
      <c r="AX1162" s="60"/>
      <c r="AY1162" s="135"/>
      <c r="AZ1162" s="60"/>
      <c r="BA1162" s="38"/>
      <c r="BB1162" s="38"/>
      <c r="BC1162" s="60"/>
      <c r="BD1162" s="60"/>
      <c r="BE1162" s="238"/>
      <c r="BF1162" s="238"/>
      <c r="BG1162" s="238"/>
      <c r="BH1162" s="238"/>
      <c r="BI1162" s="238"/>
      <c r="BJ1162" s="304"/>
      <c r="BK1162" s="238"/>
    </row>
    <row r="1163" spans="1:63" s="268" customFormat="1" ht="135.75" customHeight="1">
      <c r="A1163" s="321">
        <v>3</v>
      </c>
      <c r="B1163" s="38" t="s">
        <v>3547</v>
      </c>
      <c r="C1163" s="38" t="s">
        <v>83</v>
      </c>
      <c r="D1163" s="38" t="s">
        <v>3423</v>
      </c>
      <c r="E1163" s="38" t="s">
        <v>250</v>
      </c>
      <c r="F1163" s="38" t="s">
        <v>3526</v>
      </c>
      <c r="G1163" s="38">
        <v>2911160</v>
      </c>
      <c r="H1163" s="63">
        <v>825186</v>
      </c>
      <c r="I1163" s="16" t="s">
        <v>4295</v>
      </c>
      <c r="J1163" s="16" t="s">
        <v>3549</v>
      </c>
      <c r="K1163" s="60" t="s">
        <v>4724</v>
      </c>
      <c r="L1163" s="16" t="s">
        <v>180</v>
      </c>
      <c r="M1163" s="134" t="s">
        <v>1175</v>
      </c>
      <c r="N1163" s="16" t="s">
        <v>5931</v>
      </c>
      <c r="O1163" s="16" t="s">
        <v>271</v>
      </c>
      <c r="P1163" s="23">
        <v>4300</v>
      </c>
      <c r="Q1163" s="23">
        <f t="shared" si="150"/>
        <v>5074</v>
      </c>
      <c r="R1163" s="75">
        <v>4300</v>
      </c>
      <c r="S1163" s="134" t="s">
        <v>255</v>
      </c>
      <c r="T1163" s="25">
        <v>1.0840000000000001</v>
      </c>
      <c r="U1163" s="25">
        <v>1.0509999999999999</v>
      </c>
      <c r="V1163" s="25">
        <v>1.0669999999999999</v>
      </c>
      <c r="W1163" s="25">
        <v>1.0529999999999999</v>
      </c>
      <c r="X1163" s="25">
        <v>0.9</v>
      </c>
      <c r="Y1163" s="23">
        <v>4953.5999999999995</v>
      </c>
      <c r="Z1163" s="23">
        <f t="shared" si="151"/>
        <v>5845.2479999999987</v>
      </c>
      <c r="AA1163" s="36" t="s">
        <v>132</v>
      </c>
      <c r="AB1163" s="36" t="s">
        <v>132</v>
      </c>
      <c r="AC1163" s="23">
        <v>4263.8370000000004</v>
      </c>
      <c r="AD1163" s="23">
        <f t="shared" si="149"/>
        <v>5031.3276599999999</v>
      </c>
      <c r="AE1163" s="38" t="s">
        <v>173</v>
      </c>
      <c r="AF1163" s="38" t="s">
        <v>83</v>
      </c>
      <c r="AG1163" s="38" t="s">
        <v>83</v>
      </c>
      <c r="AH1163" s="45" t="s">
        <v>90</v>
      </c>
      <c r="AI1163" s="52">
        <v>41595</v>
      </c>
      <c r="AJ1163" s="52">
        <v>41609</v>
      </c>
      <c r="AK1163" s="60"/>
      <c r="AL1163" s="60"/>
      <c r="AM1163" s="60" t="s">
        <v>3548</v>
      </c>
      <c r="AN1163" s="60" t="s">
        <v>171</v>
      </c>
      <c r="AO1163" s="11">
        <v>796</v>
      </c>
      <c r="AP1163" s="38" t="s">
        <v>256</v>
      </c>
      <c r="AQ1163" s="38" t="s">
        <v>3550</v>
      </c>
      <c r="AR1163" s="38">
        <v>46460</v>
      </c>
      <c r="AS1163" s="16" t="s">
        <v>258</v>
      </c>
      <c r="AT1163" s="52">
        <v>41760</v>
      </c>
      <c r="AU1163" s="51">
        <v>41760</v>
      </c>
      <c r="AV1163" s="52">
        <v>41670</v>
      </c>
      <c r="AW1163" s="38">
        <v>2014</v>
      </c>
      <c r="AX1163" s="60"/>
      <c r="AY1163" s="135"/>
      <c r="AZ1163" s="60"/>
      <c r="BA1163" s="38"/>
      <c r="BB1163" s="38"/>
      <c r="BC1163" s="60"/>
      <c r="BD1163" s="60"/>
      <c r="BE1163" s="238"/>
      <c r="BF1163" s="238"/>
      <c r="BG1163" s="238"/>
      <c r="BH1163" s="238"/>
      <c r="BI1163" s="238"/>
      <c r="BJ1163" s="304"/>
      <c r="BK1163" s="238"/>
    </row>
    <row r="1164" spans="1:63" s="268" customFormat="1" ht="150.75" customHeight="1">
      <c r="A1164" s="321">
        <v>3</v>
      </c>
      <c r="B1164" s="38" t="s">
        <v>3551</v>
      </c>
      <c r="C1164" s="38" t="s">
        <v>83</v>
      </c>
      <c r="D1164" s="38" t="s">
        <v>3423</v>
      </c>
      <c r="E1164" s="38" t="s">
        <v>250</v>
      </c>
      <c r="F1164" s="38" t="s">
        <v>3526</v>
      </c>
      <c r="G1164" s="38">
        <v>2911160</v>
      </c>
      <c r="H1164" s="63">
        <v>825187</v>
      </c>
      <c r="I1164" s="16" t="s">
        <v>3552</v>
      </c>
      <c r="J1164" s="16" t="s">
        <v>1026</v>
      </c>
      <c r="K1164" s="60" t="s">
        <v>4724</v>
      </c>
      <c r="L1164" s="16" t="s">
        <v>180</v>
      </c>
      <c r="M1164" s="134" t="s">
        <v>1175</v>
      </c>
      <c r="N1164" s="16" t="s">
        <v>5931</v>
      </c>
      <c r="O1164" s="16" t="s">
        <v>271</v>
      </c>
      <c r="P1164" s="23">
        <v>2354.1909999999998</v>
      </c>
      <c r="Q1164" s="23">
        <f t="shared" si="150"/>
        <v>2777.9453799999997</v>
      </c>
      <c r="R1164" s="23">
        <v>2354.19</v>
      </c>
      <c r="S1164" s="134" t="s">
        <v>255</v>
      </c>
      <c r="T1164" s="25">
        <v>1.0840000000000001</v>
      </c>
      <c r="U1164" s="25">
        <v>1.0509999999999999</v>
      </c>
      <c r="V1164" s="25">
        <v>1.0669999999999999</v>
      </c>
      <c r="W1164" s="25">
        <v>1.0529999999999999</v>
      </c>
      <c r="X1164" s="25">
        <v>0.9</v>
      </c>
      <c r="Y1164" s="23">
        <v>2712.0268799999999</v>
      </c>
      <c r="Z1164" s="23">
        <f t="shared" si="151"/>
        <v>3200.1917183999999</v>
      </c>
      <c r="AA1164" s="36" t="s">
        <v>132</v>
      </c>
      <c r="AB1164" s="36" t="s">
        <v>132</v>
      </c>
      <c r="AC1164" s="23">
        <v>2354.1909999999998</v>
      </c>
      <c r="AD1164" s="23">
        <f t="shared" si="149"/>
        <v>2777.9453799999997</v>
      </c>
      <c r="AE1164" s="38" t="s">
        <v>173</v>
      </c>
      <c r="AF1164" s="38" t="s">
        <v>83</v>
      </c>
      <c r="AG1164" s="38" t="s">
        <v>83</v>
      </c>
      <c r="AH1164" s="45" t="s">
        <v>90</v>
      </c>
      <c r="AI1164" s="52">
        <v>41625</v>
      </c>
      <c r="AJ1164" s="51">
        <v>41670</v>
      </c>
      <c r="AK1164" s="60"/>
      <c r="AL1164" s="60"/>
      <c r="AM1164" s="60" t="s">
        <v>3552</v>
      </c>
      <c r="AN1164" s="60" t="s">
        <v>171</v>
      </c>
      <c r="AO1164" s="11">
        <v>796</v>
      </c>
      <c r="AP1164" s="38" t="s">
        <v>256</v>
      </c>
      <c r="AQ1164" s="38" t="s">
        <v>3471</v>
      </c>
      <c r="AR1164" s="38">
        <v>46460</v>
      </c>
      <c r="AS1164" s="16" t="s">
        <v>258</v>
      </c>
      <c r="AT1164" s="52">
        <v>41690</v>
      </c>
      <c r="AU1164" s="52">
        <v>41690</v>
      </c>
      <c r="AV1164" s="52">
        <v>41791</v>
      </c>
      <c r="AW1164" s="38">
        <v>2014</v>
      </c>
      <c r="AX1164" s="60"/>
      <c r="AY1164" s="135"/>
      <c r="AZ1164" s="60"/>
      <c r="BA1164" s="38"/>
      <c r="BB1164" s="38"/>
      <c r="BC1164" s="60"/>
      <c r="BD1164" s="60"/>
      <c r="BE1164" s="238"/>
      <c r="BF1164" s="238"/>
      <c r="BG1164" s="238"/>
      <c r="BH1164" s="238"/>
      <c r="BI1164" s="238"/>
      <c r="BJ1164" s="304"/>
      <c r="BK1164" s="378"/>
    </row>
    <row r="1165" spans="1:63" s="268" customFormat="1" ht="154.5" customHeight="1">
      <c r="A1165" s="321">
        <v>3</v>
      </c>
      <c r="B1165" s="38" t="s">
        <v>3553</v>
      </c>
      <c r="C1165" s="38" t="s">
        <v>83</v>
      </c>
      <c r="D1165" s="38" t="s">
        <v>3423</v>
      </c>
      <c r="E1165" s="38" t="s">
        <v>250</v>
      </c>
      <c r="F1165" s="38" t="s">
        <v>3526</v>
      </c>
      <c r="G1165" s="38">
        <v>2911160</v>
      </c>
      <c r="H1165" s="63">
        <v>825188</v>
      </c>
      <c r="I1165" s="16" t="s">
        <v>3554</v>
      </c>
      <c r="J1165" s="16" t="s">
        <v>3555</v>
      </c>
      <c r="K1165" s="60" t="s">
        <v>4724</v>
      </c>
      <c r="L1165" s="16" t="s">
        <v>180</v>
      </c>
      <c r="M1165" s="134" t="s">
        <v>1175</v>
      </c>
      <c r="N1165" s="16" t="s">
        <v>5931</v>
      </c>
      <c r="O1165" s="16" t="s">
        <v>271</v>
      </c>
      <c r="P1165" s="23">
        <v>1019.609</v>
      </c>
      <c r="Q1165" s="23">
        <f t="shared" si="150"/>
        <v>1203.1386199999999</v>
      </c>
      <c r="R1165" s="75">
        <v>1000</v>
      </c>
      <c r="S1165" s="134" t="s">
        <v>255</v>
      </c>
      <c r="T1165" s="25">
        <v>1.0840000000000001</v>
      </c>
      <c r="U1165" s="25">
        <v>1.0509999999999999</v>
      </c>
      <c r="V1165" s="25">
        <v>1.0669999999999999</v>
      </c>
      <c r="W1165" s="25">
        <v>1.0529999999999999</v>
      </c>
      <c r="X1165" s="25">
        <v>0.9</v>
      </c>
      <c r="Y1165" s="23">
        <v>1152</v>
      </c>
      <c r="Z1165" s="23">
        <f t="shared" si="151"/>
        <v>1359.36</v>
      </c>
      <c r="AA1165" s="36" t="s">
        <v>132</v>
      </c>
      <c r="AB1165" s="36" t="s">
        <v>132</v>
      </c>
      <c r="AC1165" s="23">
        <v>1019.609</v>
      </c>
      <c r="AD1165" s="23">
        <f t="shared" si="149"/>
        <v>1203.1386199999999</v>
      </c>
      <c r="AE1165" s="38" t="s">
        <v>173</v>
      </c>
      <c r="AF1165" s="38" t="s">
        <v>83</v>
      </c>
      <c r="AG1165" s="38" t="s">
        <v>83</v>
      </c>
      <c r="AH1165" s="45" t="s">
        <v>90</v>
      </c>
      <c r="AI1165" s="52">
        <v>41626</v>
      </c>
      <c r="AJ1165" s="52">
        <v>41640</v>
      </c>
      <c r="AK1165" s="60"/>
      <c r="AL1165" s="60"/>
      <c r="AM1165" s="60" t="s">
        <v>3554</v>
      </c>
      <c r="AN1165" s="60" t="s">
        <v>171</v>
      </c>
      <c r="AO1165" s="11">
        <v>796</v>
      </c>
      <c r="AP1165" s="38" t="s">
        <v>256</v>
      </c>
      <c r="AQ1165" s="38" t="s">
        <v>3556</v>
      </c>
      <c r="AR1165" s="38">
        <v>46460</v>
      </c>
      <c r="AS1165" s="16" t="s">
        <v>258</v>
      </c>
      <c r="AT1165" s="52">
        <v>41671</v>
      </c>
      <c r="AU1165" s="51">
        <v>41671</v>
      </c>
      <c r="AV1165" s="52">
        <v>41913</v>
      </c>
      <c r="AW1165" s="38">
        <v>2014</v>
      </c>
      <c r="AX1165" s="60"/>
      <c r="AY1165" s="135"/>
      <c r="AZ1165" s="60"/>
      <c r="BA1165" s="38"/>
      <c r="BB1165" s="38"/>
      <c r="BC1165" s="60"/>
      <c r="BD1165" s="60"/>
      <c r="BE1165" s="238"/>
      <c r="BF1165" s="238"/>
      <c r="BG1165" s="238"/>
      <c r="BH1165" s="238"/>
      <c r="BI1165" s="238"/>
      <c r="BJ1165" s="304"/>
      <c r="BK1165" s="238"/>
    </row>
    <row r="1166" spans="1:63" s="268" customFormat="1" ht="141.75" customHeight="1">
      <c r="A1166" s="321">
        <v>3</v>
      </c>
      <c r="B1166" s="38" t="s">
        <v>3557</v>
      </c>
      <c r="C1166" s="38" t="s">
        <v>83</v>
      </c>
      <c r="D1166" s="38" t="s">
        <v>3423</v>
      </c>
      <c r="E1166" s="38" t="s">
        <v>250</v>
      </c>
      <c r="F1166" s="38" t="s">
        <v>3526</v>
      </c>
      <c r="G1166" s="38">
        <v>2911160</v>
      </c>
      <c r="H1166" s="63">
        <v>825189</v>
      </c>
      <c r="I1166" s="16" t="s">
        <v>3558</v>
      </c>
      <c r="J1166" s="16" t="s">
        <v>3558</v>
      </c>
      <c r="K1166" s="60" t="s">
        <v>4724</v>
      </c>
      <c r="L1166" s="16" t="s">
        <v>180</v>
      </c>
      <c r="M1166" s="134" t="s">
        <v>1175</v>
      </c>
      <c r="N1166" s="16" t="s">
        <v>5931</v>
      </c>
      <c r="O1166" s="16" t="s">
        <v>271</v>
      </c>
      <c r="P1166" s="23">
        <v>2082.79</v>
      </c>
      <c r="Q1166" s="23">
        <f t="shared" si="150"/>
        <v>2457.6922</v>
      </c>
      <c r="R1166" s="23">
        <v>2082.79</v>
      </c>
      <c r="S1166" s="134" t="s">
        <v>255</v>
      </c>
      <c r="T1166" s="25">
        <v>1.0840000000000001</v>
      </c>
      <c r="U1166" s="25">
        <v>1.0509999999999999</v>
      </c>
      <c r="V1166" s="25">
        <v>1.0669999999999999</v>
      </c>
      <c r="W1166" s="25">
        <v>1.0529999999999999</v>
      </c>
      <c r="X1166" s="25">
        <v>0.9</v>
      </c>
      <c r="Y1166" s="23">
        <f t="shared" ref="Y1166" si="152">P1166*1.152</f>
        <v>2399.3740799999996</v>
      </c>
      <c r="Z1166" s="23">
        <f t="shared" si="151"/>
        <v>2831.2614143999995</v>
      </c>
      <c r="AA1166" s="36" t="s">
        <v>132</v>
      </c>
      <c r="AB1166" s="36" t="s">
        <v>132</v>
      </c>
      <c r="AC1166" s="23">
        <v>2082.79</v>
      </c>
      <c r="AD1166" s="23">
        <f t="shared" si="149"/>
        <v>2457.6922</v>
      </c>
      <c r="AE1166" s="38" t="s">
        <v>173</v>
      </c>
      <c r="AF1166" s="38" t="s">
        <v>83</v>
      </c>
      <c r="AG1166" s="38" t="s">
        <v>83</v>
      </c>
      <c r="AH1166" s="45" t="s">
        <v>90</v>
      </c>
      <c r="AI1166" s="52">
        <v>41838</v>
      </c>
      <c r="AJ1166" s="52">
        <v>41852</v>
      </c>
      <c r="AK1166" s="60"/>
      <c r="AL1166" s="60"/>
      <c r="AM1166" s="60" t="s">
        <v>3558</v>
      </c>
      <c r="AN1166" s="60" t="s">
        <v>171</v>
      </c>
      <c r="AO1166" s="11">
        <v>796</v>
      </c>
      <c r="AP1166" s="38" t="s">
        <v>256</v>
      </c>
      <c r="AQ1166" s="38" t="s">
        <v>3559</v>
      </c>
      <c r="AR1166" s="38">
        <v>46460</v>
      </c>
      <c r="AS1166" s="16" t="s">
        <v>258</v>
      </c>
      <c r="AT1166" s="52">
        <v>41872</v>
      </c>
      <c r="AU1166" s="52">
        <v>41872</v>
      </c>
      <c r="AV1166" s="52">
        <v>41944</v>
      </c>
      <c r="AW1166" s="38">
        <v>2014</v>
      </c>
      <c r="AX1166" s="60"/>
      <c r="AY1166" s="135"/>
      <c r="AZ1166" s="60"/>
      <c r="BA1166" s="38"/>
      <c r="BB1166" s="38"/>
      <c r="BC1166" s="60"/>
      <c r="BD1166" s="60"/>
      <c r="BE1166" s="238"/>
      <c r="BF1166" s="238"/>
      <c r="BG1166" s="238"/>
      <c r="BH1166" s="238"/>
      <c r="BI1166" s="238"/>
      <c r="BJ1166" s="304"/>
      <c r="BK1166" s="238"/>
    </row>
    <row r="1167" spans="1:63" s="268" customFormat="1" ht="153" customHeight="1">
      <c r="A1167" s="321">
        <v>3</v>
      </c>
      <c r="B1167" s="38" t="s">
        <v>3560</v>
      </c>
      <c r="C1167" s="38" t="s">
        <v>83</v>
      </c>
      <c r="D1167" s="38" t="s">
        <v>3423</v>
      </c>
      <c r="E1167" s="38" t="s">
        <v>250</v>
      </c>
      <c r="F1167" s="38" t="s">
        <v>3526</v>
      </c>
      <c r="G1167" s="38">
        <v>2911160</v>
      </c>
      <c r="H1167" s="63">
        <v>825190</v>
      </c>
      <c r="I1167" s="16" t="s">
        <v>3561</v>
      </c>
      <c r="J1167" s="16" t="s">
        <v>3561</v>
      </c>
      <c r="K1167" s="60" t="s">
        <v>4724</v>
      </c>
      <c r="L1167" s="16" t="s">
        <v>180</v>
      </c>
      <c r="M1167" s="134" t="s">
        <v>1175</v>
      </c>
      <c r="N1167" s="16" t="s">
        <v>5931</v>
      </c>
      <c r="O1167" s="16" t="s">
        <v>271</v>
      </c>
      <c r="P1167" s="23">
        <v>2278.538</v>
      </c>
      <c r="Q1167" s="23">
        <f t="shared" si="150"/>
        <v>2688.6748399999997</v>
      </c>
      <c r="R1167" s="75">
        <v>2300</v>
      </c>
      <c r="S1167" s="134" t="s">
        <v>255</v>
      </c>
      <c r="T1167" s="25">
        <v>1.0840000000000001</v>
      </c>
      <c r="U1167" s="25">
        <v>1.0509999999999999</v>
      </c>
      <c r="V1167" s="25">
        <v>1.0669999999999999</v>
      </c>
      <c r="W1167" s="25">
        <v>1.0529999999999999</v>
      </c>
      <c r="X1167" s="25">
        <v>0.9</v>
      </c>
      <c r="Y1167" s="23">
        <v>2649.6</v>
      </c>
      <c r="Z1167" s="23">
        <f t="shared" si="151"/>
        <v>3126.5279999999998</v>
      </c>
      <c r="AA1167" s="36" t="s">
        <v>132</v>
      </c>
      <c r="AB1167" s="36" t="s">
        <v>132</v>
      </c>
      <c r="AC1167" s="23">
        <v>2278.538</v>
      </c>
      <c r="AD1167" s="23">
        <f t="shared" si="149"/>
        <v>2688.6748399999997</v>
      </c>
      <c r="AE1167" s="38" t="s">
        <v>173</v>
      </c>
      <c r="AF1167" s="38" t="s">
        <v>83</v>
      </c>
      <c r="AG1167" s="38" t="s">
        <v>83</v>
      </c>
      <c r="AH1167" s="45" t="s">
        <v>90</v>
      </c>
      <c r="AI1167" s="52">
        <v>41838</v>
      </c>
      <c r="AJ1167" s="52">
        <v>41852</v>
      </c>
      <c r="AK1167" s="60"/>
      <c r="AL1167" s="60"/>
      <c r="AM1167" s="60" t="s">
        <v>3561</v>
      </c>
      <c r="AN1167" s="60" t="s">
        <v>171</v>
      </c>
      <c r="AO1167" s="11">
        <v>796</v>
      </c>
      <c r="AP1167" s="38" t="s">
        <v>256</v>
      </c>
      <c r="AQ1167" s="38" t="s">
        <v>3562</v>
      </c>
      <c r="AR1167" s="38">
        <v>46460</v>
      </c>
      <c r="AS1167" s="16" t="s">
        <v>258</v>
      </c>
      <c r="AT1167" s="78">
        <v>41883</v>
      </c>
      <c r="AU1167" s="78">
        <v>41883</v>
      </c>
      <c r="AV1167" s="52">
        <v>41913</v>
      </c>
      <c r="AW1167" s="38">
        <v>2014</v>
      </c>
      <c r="AX1167" s="60"/>
      <c r="AY1167" s="135"/>
      <c r="AZ1167" s="60"/>
      <c r="BA1167" s="38"/>
      <c r="BB1167" s="38"/>
      <c r="BC1167" s="60"/>
      <c r="BD1167" s="60"/>
      <c r="BE1167" s="238"/>
      <c r="BF1167" s="238"/>
      <c r="BG1167" s="238"/>
      <c r="BH1167" s="238"/>
      <c r="BI1167" s="238"/>
      <c r="BJ1167" s="304"/>
      <c r="BK1167" s="238"/>
    </row>
    <row r="1168" spans="1:63" s="268" customFormat="1" ht="117" customHeight="1">
      <c r="A1168" s="321">
        <v>3</v>
      </c>
      <c r="B1168" s="38" t="s">
        <v>3563</v>
      </c>
      <c r="C1168" s="38" t="s">
        <v>83</v>
      </c>
      <c r="D1168" s="38" t="s">
        <v>3423</v>
      </c>
      <c r="E1168" s="38" t="s">
        <v>250</v>
      </c>
      <c r="F1168" s="38" t="s">
        <v>3526</v>
      </c>
      <c r="G1168" s="38">
        <v>2911160</v>
      </c>
      <c r="H1168" s="63">
        <v>825191</v>
      </c>
      <c r="I1168" s="16" t="s">
        <v>3564</v>
      </c>
      <c r="J1168" s="16" t="s">
        <v>3564</v>
      </c>
      <c r="K1168" s="60" t="s">
        <v>4724</v>
      </c>
      <c r="L1168" s="16" t="s">
        <v>180</v>
      </c>
      <c r="M1168" s="134" t="s">
        <v>1175</v>
      </c>
      <c r="N1168" s="16" t="s">
        <v>5917</v>
      </c>
      <c r="O1168" s="16" t="s">
        <v>271</v>
      </c>
      <c r="P1168" s="23">
        <v>1422.6</v>
      </c>
      <c r="Q1168" s="23">
        <f t="shared" si="150"/>
        <v>1678.6679999999999</v>
      </c>
      <c r="R1168" s="75">
        <v>1422.6</v>
      </c>
      <c r="S1168" s="134" t="s">
        <v>255</v>
      </c>
      <c r="T1168" s="25">
        <v>1.0840000000000001</v>
      </c>
      <c r="U1168" s="25">
        <v>1.0509999999999999</v>
      </c>
      <c r="V1168" s="25">
        <v>1.0669999999999999</v>
      </c>
      <c r="W1168" s="25">
        <v>1.0529999999999999</v>
      </c>
      <c r="X1168" s="25">
        <v>0.9</v>
      </c>
      <c r="Y1168" s="23">
        <v>1647.36</v>
      </c>
      <c r="Z1168" s="23">
        <f t="shared" si="151"/>
        <v>1943.8847999999998</v>
      </c>
      <c r="AA1168" s="36" t="s">
        <v>132</v>
      </c>
      <c r="AB1168" s="36" t="s">
        <v>132</v>
      </c>
      <c r="AC1168" s="23">
        <v>1422.6</v>
      </c>
      <c r="AD1168" s="23">
        <f t="shared" si="149"/>
        <v>1678.6679999999999</v>
      </c>
      <c r="AE1168" s="38" t="s">
        <v>173</v>
      </c>
      <c r="AF1168" s="38" t="s">
        <v>83</v>
      </c>
      <c r="AG1168" s="38" t="s">
        <v>83</v>
      </c>
      <c r="AH1168" s="45" t="s">
        <v>90</v>
      </c>
      <c r="AI1168" s="52">
        <v>41625</v>
      </c>
      <c r="AJ1168" s="51">
        <v>41670</v>
      </c>
      <c r="AK1168" s="60"/>
      <c r="AL1168" s="60"/>
      <c r="AM1168" s="60" t="s">
        <v>3564</v>
      </c>
      <c r="AN1168" s="60" t="s">
        <v>171</v>
      </c>
      <c r="AO1168" s="11">
        <v>796</v>
      </c>
      <c r="AP1168" s="38" t="s">
        <v>256</v>
      </c>
      <c r="AQ1168" s="38" t="s">
        <v>3565</v>
      </c>
      <c r="AR1168" s="38">
        <v>46460</v>
      </c>
      <c r="AS1168" s="16" t="s">
        <v>258</v>
      </c>
      <c r="AT1168" s="52">
        <v>41690</v>
      </c>
      <c r="AU1168" s="52">
        <v>41690</v>
      </c>
      <c r="AV1168" s="52">
        <v>42004</v>
      </c>
      <c r="AW1168" s="38">
        <v>2014</v>
      </c>
      <c r="AX1168" s="60"/>
      <c r="AY1168" s="135"/>
      <c r="AZ1168" s="60"/>
      <c r="BA1168" s="38"/>
      <c r="BB1168" s="38"/>
      <c r="BC1168" s="60"/>
      <c r="BD1168" s="60"/>
      <c r="BE1168" s="238"/>
      <c r="BF1168" s="238"/>
      <c r="BG1168" s="238"/>
      <c r="BH1168" s="238"/>
      <c r="BI1168" s="238"/>
      <c r="BJ1168" s="304"/>
      <c r="BK1168" s="378"/>
    </row>
    <row r="1169" spans="1:63" s="268" customFormat="1" ht="112.5" customHeight="1">
      <c r="A1169" s="321">
        <v>3</v>
      </c>
      <c r="B1169" s="38" t="s">
        <v>3566</v>
      </c>
      <c r="C1169" s="38" t="s">
        <v>83</v>
      </c>
      <c r="D1169" s="38" t="s">
        <v>3423</v>
      </c>
      <c r="E1169" s="38" t="s">
        <v>250</v>
      </c>
      <c r="F1169" s="38" t="s">
        <v>3526</v>
      </c>
      <c r="G1169" s="38">
        <v>2911160</v>
      </c>
      <c r="H1169" s="63">
        <v>825192</v>
      </c>
      <c r="I1169" s="16" t="s">
        <v>3567</v>
      </c>
      <c r="J1169" s="16" t="s">
        <v>3568</v>
      </c>
      <c r="K1169" s="60" t="s">
        <v>4724</v>
      </c>
      <c r="L1169" s="16" t="s">
        <v>180</v>
      </c>
      <c r="M1169" s="134" t="s">
        <v>1175</v>
      </c>
      <c r="N1169" s="16" t="s">
        <v>5917</v>
      </c>
      <c r="O1169" s="16" t="s">
        <v>271</v>
      </c>
      <c r="P1169" s="23">
        <v>758.70399999999995</v>
      </c>
      <c r="Q1169" s="23">
        <f t="shared" si="150"/>
        <v>895.27071999999987</v>
      </c>
      <c r="R1169" s="75">
        <v>720</v>
      </c>
      <c r="S1169" s="134" t="s">
        <v>255</v>
      </c>
      <c r="T1169" s="25">
        <v>1.0840000000000001</v>
      </c>
      <c r="U1169" s="25">
        <v>1.0509999999999999</v>
      </c>
      <c r="V1169" s="25">
        <v>1.0669999999999999</v>
      </c>
      <c r="W1169" s="25">
        <v>1.0529999999999999</v>
      </c>
      <c r="X1169" s="25">
        <v>0.9</v>
      </c>
      <c r="Y1169" s="23">
        <v>829.43999999999994</v>
      </c>
      <c r="Z1169" s="23">
        <f t="shared" si="151"/>
        <v>978.73919999999987</v>
      </c>
      <c r="AA1169" s="36" t="s">
        <v>132</v>
      </c>
      <c r="AB1169" s="36" t="s">
        <v>132</v>
      </c>
      <c r="AC1169" s="23">
        <v>758.70399999999995</v>
      </c>
      <c r="AD1169" s="23">
        <f t="shared" si="149"/>
        <v>895.27071999999987</v>
      </c>
      <c r="AE1169" s="38" t="s">
        <v>173</v>
      </c>
      <c r="AF1169" s="38" t="s">
        <v>83</v>
      </c>
      <c r="AG1169" s="38" t="s">
        <v>83</v>
      </c>
      <c r="AH1169" s="45" t="s">
        <v>90</v>
      </c>
      <c r="AI1169" s="52">
        <v>41746</v>
      </c>
      <c r="AJ1169" s="52">
        <v>41760</v>
      </c>
      <c r="AK1169" s="60"/>
      <c r="AL1169" s="60"/>
      <c r="AM1169" s="60" t="s">
        <v>3567</v>
      </c>
      <c r="AN1169" s="60" t="s">
        <v>171</v>
      </c>
      <c r="AO1169" s="11">
        <v>796</v>
      </c>
      <c r="AP1169" s="38" t="s">
        <v>256</v>
      </c>
      <c r="AQ1169" s="38" t="s">
        <v>3569</v>
      </c>
      <c r="AR1169" s="38">
        <v>46460</v>
      </c>
      <c r="AS1169" s="16" t="s">
        <v>258</v>
      </c>
      <c r="AT1169" s="52">
        <v>41791</v>
      </c>
      <c r="AU1169" s="51">
        <v>41791</v>
      </c>
      <c r="AV1169" s="52">
        <v>41883</v>
      </c>
      <c r="AW1169" s="38">
        <v>2014</v>
      </c>
      <c r="AX1169" s="60"/>
      <c r="AY1169" s="135"/>
      <c r="AZ1169" s="60"/>
      <c r="BA1169" s="38"/>
      <c r="BB1169" s="38"/>
      <c r="BC1169" s="60"/>
      <c r="BD1169" s="60"/>
      <c r="BE1169" s="238"/>
      <c r="BF1169" s="238"/>
      <c r="BG1169" s="238"/>
      <c r="BH1169" s="238"/>
      <c r="BI1169" s="238"/>
      <c r="BJ1169" s="304"/>
      <c r="BK1169" s="238"/>
    </row>
    <row r="1170" spans="1:63" s="268" customFormat="1" ht="192" customHeight="1">
      <c r="A1170" s="321">
        <v>3</v>
      </c>
      <c r="B1170" s="38" t="s">
        <v>3570</v>
      </c>
      <c r="C1170" s="38" t="s">
        <v>83</v>
      </c>
      <c r="D1170" s="38" t="s">
        <v>3423</v>
      </c>
      <c r="E1170" s="38" t="s">
        <v>250</v>
      </c>
      <c r="F1170" s="38" t="s">
        <v>3526</v>
      </c>
      <c r="G1170" s="38">
        <v>2911160</v>
      </c>
      <c r="H1170" s="63">
        <v>825200</v>
      </c>
      <c r="I1170" s="16" t="s">
        <v>3863</v>
      </c>
      <c r="J1170" s="16" t="s">
        <v>3571</v>
      </c>
      <c r="K1170" s="60" t="s">
        <v>4724</v>
      </c>
      <c r="L1170" s="16" t="s">
        <v>180</v>
      </c>
      <c r="M1170" s="134" t="s">
        <v>1175</v>
      </c>
      <c r="N1170" s="16" t="s">
        <v>5931</v>
      </c>
      <c r="O1170" s="16" t="s">
        <v>271</v>
      </c>
      <c r="P1170" s="23">
        <v>10755.681</v>
      </c>
      <c r="Q1170" s="23">
        <f t="shared" si="150"/>
        <v>12691.703579999999</v>
      </c>
      <c r="R1170" s="75">
        <v>10755.68</v>
      </c>
      <c r="S1170" s="134" t="s">
        <v>255</v>
      </c>
      <c r="T1170" s="25">
        <v>1.0840000000000001</v>
      </c>
      <c r="U1170" s="25">
        <v>1.0509999999999999</v>
      </c>
      <c r="V1170" s="25">
        <v>1.0669999999999999</v>
      </c>
      <c r="W1170" s="25">
        <v>1.0529999999999999</v>
      </c>
      <c r="X1170" s="25">
        <v>0.9</v>
      </c>
      <c r="Y1170" s="23">
        <v>12390.54336</v>
      </c>
      <c r="Z1170" s="23">
        <f t="shared" si="151"/>
        <v>14620.841164799998</v>
      </c>
      <c r="AA1170" s="36" t="s">
        <v>132</v>
      </c>
      <c r="AB1170" s="36" t="s">
        <v>132</v>
      </c>
      <c r="AC1170" s="23">
        <v>10755.681</v>
      </c>
      <c r="AD1170" s="23">
        <f t="shared" si="149"/>
        <v>12691.703579999999</v>
      </c>
      <c r="AE1170" s="38" t="s">
        <v>169</v>
      </c>
      <c r="AF1170" s="38" t="s">
        <v>83</v>
      </c>
      <c r="AG1170" s="38" t="s">
        <v>83</v>
      </c>
      <c r="AH1170" s="45" t="s">
        <v>90</v>
      </c>
      <c r="AI1170" s="52">
        <v>41715</v>
      </c>
      <c r="AJ1170" s="52">
        <v>41760</v>
      </c>
      <c r="AK1170" s="60"/>
      <c r="AL1170" s="60"/>
      <c r="AM1170" s="60" t="s">
        <v>5845</v>
      </c>
      <c r="AN1170" s="60" t="s">
        <v>171</v>
      </c>
      <c r="AO1170" s="11">
        <v>796</v>
      </c>
      <c r="AP1170" s="38" t="s">
        <v>256</v>
      </c>
      <c r="AQ1170" s="38" t="s">
        <v>3572</v>
      </c>
      <c r="AR1170" s="38">
        <v>46460</v>
      </c>
      <c r="AS1170" s="16" t="s">
        <v>258</v>
      </c>
      <c r="AT1170" s="52">
        <v>41780</v>
      </c>
      <c r="AU1170" s="52">
        <v>41780</v>
      </c>
      <c r="AV1170" s="52">
        <v>42004</v>
      </c>
      <c r="AW1170" s="38">
        <v>2014</v>
      </c>
      <c r="AX1170" s="60"/>
      <c r="AY1170" s="135"/>
      <c r="AZ1170" s="60"/>
      <c r="BA1170" s="38"/>
      <c r="BB1170" s="38"/>
      <c r="BC1170" s="60"/>
      <c r="BD1170" s="60"/>
      <c r="BE1170" s="238"/>
      <c r="BF1170" s="238"/>
      <c r="BG1170" s="238"/>
      <c r="BH1170" s="238"/>
      <c r="BI1170" s="238"/>
      <c r="BJ1170" s="304"/>
      <c r="BK1170" s="378"/>
    </row>
    <row r="1171" spans="1:63" s="268" customFormat="1" ht="157.5" customHeight="1">
      <c r="A1171" s="321">
        <v>3</v>
      </c>
      <c r="B1171" s="38" t="s">
        <v>3573</v>
      </c>
      <c r="C1171" s="38" t="s">
        <v>83</v>
      </c>
      <c r="D1171" s="38" t="s">
        <v>3423</v>
      </c>
      <c r="E1171" s="38" t="s">
        <v>250</v>
      </c>
      <c r="F1171" s="38" t="s">
        <v>3526</v>
      </c>
      <c r="G1171" s="38">
        <v>2911160</v>
      </c>
      <c r="H1171" s="63">
        <v>825193</v>
      </c>
      <c r="I1171" s="16" t="s">
        <v>3574</v>
      </c>
      <c r="J1171" s="16" t="s">
        <v>3575</v>
      </c>
      <c r="K1171" s="60" t="s">
        <v>4724</v>
      </c>
      <c r="L1171" s="16" t="s">
        <v>180</v>
      </c>
      <c r="M1171" s="134" t="s">
        <v>1175</v>
      </c>
      <c r="N1171" s="16" t="s">
        <v>5936</v>
      </c>
      <c r="O1171" s="16" t="s">
        <v>271</v>
      </c>
      <c r="P1171" s="23">
        <v>9979.1190000000006</v>
      </c>
      <c r="Q1171" s="23">
        <f t="shared" si="150"/>
        <v>11775.360420000001</v>
      </c>
      <c r="R1171" s="75">
        <v>9979.1200000000008</v>
      </c>
      <c r="S1171" s="134" t="s">
        <v>255</v>
      </c>
      <c r="T1171" s="25">
        <v>1.0840000000000001</v>
      </c>
      <c r="U1171" s="25">
        <v>1.0509999999999999</v>
      </c>
      <c r="V1171" s="25">
        <v>1.0669999999999999</v>
      </c>
      <c r="W1171" s="25">
        <v>1.0529999999999999</v>
      </c>
      <c r="X1171" s="25">
        <v>0.9</v>
      </c>
      <c r="Y1171" s="23">
        <v>11495.946239999999</v>
      </c>
      <c r="Z1171" s="23">
        <f t="shared" si="151"/>
        <v>13565.216563199998</v>
      </c>
      <c r="AA1171" s="36" t="s">
        <v>132</v>
      </c>
      <c r="AB1171" s="36" t="s">
        <v>132</v>
      </c>
      <c r="AC1171" s="23">
        <v>9979.1190000000006</v>
      </c>
      <c r="AD1171" s="23">
        <f t="shared" si="149"/>
        <v>11775.360420000001</v>
      </c>
      <c r="AE1171" s="38" t="s">
        <v>169</v>
      </c>
      <c r="AF1171" s="38" t="s">
        <v>83</v>
      </c>
      <c r="AG1171" s="38" t="s">
        <v>83</v>
      </c>
      <c r="AH1171" s="45" t="s">
        <v>90</v>
      </c>
      <c r="AI1171" s="52">
        <v>41626</v>
      </c>
      <c r="AJ1171" s="51">
        <v>41686</v>
      </c>
      <c r="AK1171" s="60"/>
      <c r="AL1171" s="60"/>
      <c r="AM1171" s="60" t="s">
        <v>3574</v>
      </c>
      <c r="AN1171" s="60" t="s">
        <v>171</v>
      </c>
      <c r="AO1171" s="11">
        <v>796</v>
      </c>
      <c r="AP1171" s="38" t="s">
        <v>368</v>
      </c>
      <c r="AQ1171" s="38">
        <v>1</v>
      </c>
      <c r="AR1171" s="38">
        <v>46460</v>
      </c>
      <c r="AS1171" s="16" t="s">
        <v>258</v>
      </c>
      <c r="AT1171" s="52">
        <v>41706</v>
      </c>
      <c r="AU1171" s="52">
        <v>41706</v>
      </c>
      <c r="AV1171" s="52">
        <v>42004</v>
      </c>
      <c r="AW1171" s="38">
        <v>2014</v>
      </c>
      <c r="AX1171" s="60"/>
      <c r="AY1171" s="135"/>
      <c r="AZ1171" s="60"/>
      <c r="BA1171" s="38"/>
      <c r="BB1171" s="38"/>
      <c r="BC1171" s="60"/>
      <c r="BD1171" s="60"/>
      <c r="BE1171" s="238"/>
      <c r="BF1171" s="238"/>
      <c r="BG1171" s="238"/>
      <c r="BH1171" s="238"/>
      <c r="BI1171" s="238"/>
      <c r="BJ1171" s="304"/>
      <c r="BK1171" s="378"/>
    </row>
    <row r="1172" spans="1:63" s="268" customFormat="1" ht="75">
      <c r="A1172" s="321">
        <v>3</v>
      </c>
      <c r="B1172" s="38" t="s">
        <v>3576</v>
      </c>
      <c r="C1172" s="38" t="s">
        <v>83</v>
      </c>
      <c r="D1172" s="38" t="s">
        <v>3423</v>
      </c>
      <c r="E1172" s="38" t="s">
        <v>250</v>
      </c>
      <c r="F1172" s="38" t="s">
        <v>3526</v>
      </c>
      <c r="G1172" s="38">
        <v>2911160</v>
      </c>
      <c r="H1172" s="63">
        <v>825195</v>
      </c>
      <c r="I1172" s="16" t="s">
        <v>3577</v>
      </c>
      <c r="J1172" s="16" t="s">
        <v>3578</v>
      </c>
      <c r="K1172" s="60" t="s">
        <v>4724</v>
      </c>
      <c r="L1172" s="16" t="s">
        <v>180</v>
      </c>
      <c r="M1172" s="134" t="s">
        <v>1346</v>
      </c>
      <c r="N1172" s="16" t="s">
        <v>849</v>
      </c>
      <c r="O1172" s="16" t="s">
        <v>271</v>
      </c>
      <c r="P1172" s="23">
        <v>3049.46</v>
      </c>
      <c r="Q1172" s="23">
        <f t="shared" si="150"/>
        <v>3598.3627999999999</v>
      </c>
      <c r="R1172" s="23"/>
      <c r="S1172" s="29"/>
      <c r="T1172" s="38"/>
      <c r="U1172" s="38"/>
      <c r="V1172" s="38"/>
      <c r="W1172" s="38"/>
      <c r="X1172" s="38"/>
      <c r="Y1172" s="23">
        <v>3049.46</v>
      </c>
      <c r="Z1172" s="23">
        <f t="shared" si="151"/>
        <v>3598.3627999999999</v>
      </c>
      <c r="AA1172" s="36" t="s">
        <v>132</v>
      </c>
      <c r="AB1172" s="36" t="s">
        <v>132</v>
      </c>
      <c r="AC1172" s="23">
        <v>3049.46</v>
      </c>
      <c r="AD1172" s="23">
        <f t="shared" ref="AD1172:AD1176" si="153">AC1172*1.18</f>
        <v>3598.3627999999999</v>
      </c>
      <c r="AE1172" s="38" t="s">
        <v>173</v>
      </c>
      <c r="AF1172" s="38" t="s">
        <v>83</v>
      </c>
      <c r="AG1172" s="38" t="s">
        <v>83</v>
      </c>
      <c r="AH1172" s="45" t="s">
        <v>90</v>
      </c>
      <c r="AI1172" s="52">
        <v>41625</v>
      </c>
      <c r="AJ1172" s="51">
        <v>41670</v>
      </c>
      <c r="AK1172" s="60"/>
      <c r="AL1172" s="60"/>
      <c r="AM1172" s="60" t="s">
        <v>3577</v>
      </c>
      <c r="AN1172" s="60" t="s">
        <v>171</v>
      </c>
      <c r="AO1172" s="11">
        <v>796</v>
      </c>
      <c r="AP1172" s="38" t="s">
        <v>256</v>
      </c>
      <c r="AQ1172" s="38" t="s">
        <v>3579</v>
      </c>
      <c r="AR1172" s="38">
        <v>46460</v>
      </c>
      <c r="AS1172" s="16" t="s">
        <v>258</v>
      </c>
      <c r="AT1172" s="52">
        <v>41690</v>
      </c>
      <c r="AU1172" s="52">
        <v>41690</v>
      </c>
      <c r="AV1172" s="52">
        <v>42004</v>
      </c>
      <c r="AW1172" s="38">
        <v>2014</v>
      </c>
      <c r="AX1172" s="60"/>
      <c r="AY1172" s="135"/>
      <c r="AZ1172" s="60"/>
      <c r="BA1172" s="38"/>
      <c r="BB1172" s="38"/>
      <c r="BC1172" s="60"/>
      <c r="BD1172" s="60"/>
      <c r="BE1172" s="238"/>
      <c r="BF1172" s="238"/>
      <c r="BG1172" s="238"/>
      <c r="BH1172" s="238"/>
      <c r="BI1172" s="238"/>
      <c r="BJ1172" s="304"/>
      <c r="BK1172" s="378"/>
    </row>
    <row r="1173" spans="1:63" s="268" customFormat="1" ht="119.25" customHeight="1">
      <c r="A1173" s="321">
        <v>3</v>
      </c>
      <c r="B1173" s="38" t="s">
        <v>3580</v>
      </c>
      <c r="C1173" s="38" t="s">
        <v>83</v>
      </c>
      <c r="D1173" s="38" t="s">
        <v>3423</v>
      </c>
      <c r="E1173" s="38" t="s">
        <v>250</v>
      </c>
      <c r="F1173" s="38" t="s">
        <v>3526</v>
      </c>
      <c r="G1173" s="38">
        <v>2911160</v>
      </c>
      <c r="H1173" s="63">
        <v>825197</v>
      </c>
      <c r="I1173" s="16" t="s">
        <v>3581</v>
      </c>
      <c r="J1173" s="16" t="s">
        <v>1045</v>
      </c>
      <c r="K1173" s="60" t="s">
        <v>4724</v>
      </c>
      <c r="L1173" s="16" t="s">
        <v>180</v>
      </c>
      <c r="M1173" s="134" t="s">
        <v>1325</v>
      </c>
      <c r="N1173" s="16" t="s">
        <v>5921</v>
      </c>
      <c r="O1173" s="16" t="s">
        <v>271</v>
      </c>
      <c r="P1173" s="23">
        <v>5868.13</v>
      </c>
      <c r="Q1173" s="23">
        <f t="shared" si="150"/>
        <v>6924.3933999999999</v>
      </c>
      <c r="R1173" s="34">
        <v>5457.36</v>
      </c>
      <c r="S1173" s="134" t="s">
        <v>255</v>
      </c>
      <c r="T1173" s="25">
        <v>1.0840000000000001</v>
      </c>
      <c r="U1173" s="25">
        <v>1.0509999999999999</v>
      </c>
      <c r="V1173" s="25">
        <v>1.0669999999999999</v>
      </c>
      <c r="W1173" s="25">
        <v>1.0529999999999999</v>
      </c>
      <c r="X1173" s="25">
        <v>0.9</v>
      </c>
      <c r="Y1173" s="23">
        <v>6287.0932473786734</v>
      </c>
      <c r="Z1173" s="23">
        <f t="shared" si="151"/>
        <v>7418.7700319068344</v>
      </c>
      <c r="AA1173" s="36" t="s">
        <v>132</v>
      </c>
      <c r="AB1173" s="36" t="s">
        <v>132</v>
      </c>
      <c r="AC1173" s="23">
        <v>5868.13</v>
      </c>
      <c r="AD1173" s="23">
        <f t="shared" si="153"/>
        <v>6924.3933999999999</v>
      </c>
      <c r="AE1173" s="38" t="s">
        <v>173</v>
      </c>
      <c r="AF1173" s="38" t="s">
        <v>83</v>
      </c>
      <c r="AG1173" s="38" t="s">
        <v>83</v>
      </c>
      <c r="AH1173" s="45" t="s">
        <v>90</v>
      </c>
      <c r="AI1173" s="52">
        <v>41746</v>
      </c>
      <c r="AJ1173" s="52">
        <v>41791</v>
      </c>
      <c r="AK1173" s="60"/>
      <c r="AL1173" s="60"/>
      <c r="AM1173" s="60" t="s">
        <v>3581</v>
      </c>
      <c r="AN1173" s="60" t="s">
        <v>171</v>
      </c>
      <c r="AO1173" s="11">
        <v>796</v>
      </c>
      <c r="AP1173" s="38" t="s">
        <v>368</v>
      </c>
      <c r="AQ1173" s="38">
        <v>1</v>
      </c>
      <c r="AR1173" s="38">
        <v>46460</v>
      </c>
      <c r="AS1173" s="16" t="s">
        <v>258</v>
      </c>
      <c r="AT1173" s="52">
        <v>41811</v>
      </c>
      <c r="AU1173" s="52">
        <v>41811</v>
      </c>
      <c r="AV1173" s="52">
        <v>42004</v>
      </c>
      <c r="AW1173" s="38">
        <v>2014</v>
      </c>
      <c r="AX1173" s="60"/>
      <c r="AY1173" s="135"/>
      <c r="AZ1173" s="60"/>
      <c r="BA1173" s="38"/>
      <c r="BB1173" s="38"/>
      <c r="BC1173" s="60"/>
      <c r="BD1173" s="60"/>
      <c r="BE1173" s="238"/>
      <c r="BF1173" s="238"/>
      <c r="BG1173" s="238"/>
      <c r="BH1173" s="238"/>
      <c r="BI1173" s="238"/>
      <c r="BJ1173" s="304"/>
      <c r="BK1173" s="238"/>
    </row>
    <row r="1174" spans="1:63" s="268" customFormat="1" ht="117.75" customHeight="1">
      <c r="A1174" s="321">
        <v>3</v>
      </c>
      <c r="B1174" s="38" t="s">
        <v>3582</v>
      </c>
      <c r="C1174" s="38" t="s">
        <v>83</v>
      </c>
      <c r="D1174" s="38" t="s">
        <v>3423</v>
      </c>
      <c r="E1174" s="38" t="s">
        <v>250</v>
      </c>
      <c r="F1174" s="38" t="s">
        <v>3526</v>
      </c>
      <c r="G1174" s="38">
        <v>2911160</v>
      </c>
      <c r="H1174" s="63">
        <v>825198</v>
      </c>
      <c r="I1174" s="16" t="s">
        <v>3583</v>
      </c>
      <c r="J1174" s="16" t="s">
        <v>3584</v>
      </c>
      <c r="K1174" s="60" t="s">
        <v>4724</v>
      </c>
      <c r="L1174" s="16" t="s">
        <v>180</v>
      </c>
      <c r="M1174" s="134" t="s">
        <v>1325</v>
      </c>
      <c r="N1174" s="16" t="s">
        <v>5921</v>
      </c>
      <c r="O1174" s="16" t="s">
        <v>271</v>
      </c>
      <c r="P1174" s="23">
        <v>4359</v>
      </c>
      <c r="Q1174" s="23">
        <f t="shared" si="150"/>
        <v>5143.62</v>
      </c>
      <c r="R1174" s="23">
        <v>4228.45</v>
      </c>
      <c r="S1174" s="134" t="s">
        <v>255</v>
      </c>
      <c r="T1174" s="25">
        <v>1.0840000000000001</v>
      </c>
      <c r="U1174" s="25">
        <v>1.0509999999999999</v>
      </c>
      <c r="V1174" s="25">
        <v>1.0669999999999999</v>
      </c>
      <c r="W1174" s="25">
        <v>1.0529999999999999</v>
      </c>
      <c r="X1174" s="25">
        <v>0.9</v>
      </c>
      <c r="Y1174" s="23">
        <v>4871.3406192514967</v>
      </c>
      <c r="Z1174" s="23">
        <f t="shared" si="151"/>
        <v>5748.1819307167661</v>
      </c>
      <c r="AA1174" s="36" t="s">
        <v>132</v>
      </c>
      <c r="AB1174" s="36" t="s">
        <v>132</v>
      </c>
      <c r="AC1174" s="23">
        <v>4359</v>
      </c>
      <c r="AD1174" s="23">
        <f t="shared" si="153"/>
        <v>5143.62</v>
      </c>
      <c r="AE1174" s="38" t="s">
        <v>173</v>
      </c>
      <c r="AF1174" s="38" t="s">
        <v>83</v>
      </c>
      <c r="AG1174" s="38" t="s">
        <v>83</v>
      </c>
      <c r="AH1174" s="45" t="s">
        <v>90</v>
      </c>
      <c r="AI1174" s="52">
        <v>41715</v>
      </c>
      <c r="AJ1174" s="52">
        <v>41760</v>
      </c>
      <c r="AK1174" s="60"/>
      <c r="AL1174" s="60"/>
      <c r="AM1174" s="60" t="s">
        <v>3583</v>
      </c>
      <c r="AN1174" s="60" t="s">
        <v>171</v>
      </c>
      <c r="AO1174" s="11">
        <v>796</v>
      </c>
      <c r="AP1174" s="38" t="s">
        <v>368</v>
      </c>
      <c r="AQ1174" s="38">
        <v>1</v>
      </c>
      <c r="AR1174" s="38">
        <v>46460</v>
      </c>
      <c r="AS1174" s="16" t="s">
        <v>258</v>
      </c>
      <c r="AT1174" s="52">
        <v>41780</v>
      </c>
      <c r="AU1174" s="52">
        <v>41780</v>
      </c>
      <c r="AV1174" s="52">
        <v>42004</v>
      </c>
      <c r="AW1174" s="38">
        <v>2014</v>
      </c>
      <c r="AX1174" s="60"/>
      <c r="AY1174" s="135"/>
      <c r="AZ1174" s="60"/>
      <c r="BA1174" s="38"/>
      <c r="BB1174" s="38"/>
      <c r="BC1174" s="60"/>
      <c r="BD1174" s="60"/>
      <c r="BE1174" s="238"/>
      <c r="BF1174" s="238"/>
      <c r="BG1174" s="238"/>
      <c r="BH1174" s="238"/>
      <c r="BI1174" s="238"/>
      <c r="BJ1174" s="304"/>
      <c r="BK1174" s="238"/>
    </row>
    <row r="1175" spans="1:63" s="268" customFormat="1" ht="75">
      <c r="A1175" s="321">
        <v>3</v>
      </c>
      <c r="B1175" s="38" t="s">
        <v>3585</v>
      </c>
      <c r="C1175" s="38" t="s">
        <v>83</v>
      </c>
      <c r="D1175" s="38" t="s">
        <v>3423</v>
      </c>
      <c r="E1175" s="38" t="s">
        <v>250</v>
      </c>
      <c r="F1175" s="38" t="s">
        <v>3526</v>
      </c>
      <c r="G1175" s="38">
        <v>2911160</v>
      </c>
      <c r="H1175" s="63">
        <v>825196</v>
      </c>
      <c r="I1175" s="16" t="s">
        <v>3586</v>
      </c>
      <c r="J1175" s="16" t="s">
        <v>1048</v>
      </c>
      <c r="K1175" s="60" t="s">
        <v>4724</v>
      </c>
      <c r="L1175" s="16" t="s">
        <v>180</v>
      </c>
      <c r="M1175" s="134">
        <v>201050102</v>
      </c>
      <c r="N1175" s="16" t="s">
        <v>592</v>
      </c>
      <c r="O1175" s="16" t="s">
        <v>271</v>
      </c>
      <c r="P1175" s="23">
        <v>2162.3000000000002</v>
      </c>
      <c r="Q1175" s="23">
        <f t="shared" si="150"/>
        <v>2551.5140000000001</v>
      </c>
      <c r="R1175" s="134"/>
      <c r="S1175" s="134"/>
      <c r="T1175" s="25"/>
      <c r="U1175" s="25"/>
      <c r="V1175" s="25"/>
      <c r="W1175" s="25"/>
      <c r="X1175" s="25"/>
      <c r="Y1175" s="23">
        <v>2162.3000000000002</v>
      </c>
      <c r="Z1175" s="23">
        <f t="shared" si="151"/>
        <v>2551.5140000000001</v>
      </c>
      <c r="AA1175" s="36" t="s">
        <v>132</v>
      </c>
      <c r="AB1175" s="36" t="s">
        <v>132</v>
      </c>
      <c r="AC1175" s="23">
        <v>2162.3000000000002</v>
      </c>
      <c r="AD1175" s="23">
        <f t="shared" si="153"/>
        <v>2551.5140000000001</v>
      </c>
      <c r="AE1175" s="38" t="s">
        <v>173</v>
      </c>
      <c r="AF1175" s="38" t="s">
        <v>83</v>
      </c>
      <c r="AG1175" s="38" t="s">
        <v>83</v>
      </c>
      <c r="AH1175" s="45" t="s">
        <v>90</v>
      </c>
      <c r="AI1175" s="52">
        <v>41744</v>
      </c>
      <c r="AJ1175" s="52">
        <v>41791</v>
      </c>
      <c r="AK1175" s="60"/>
      <c r="AL1175" s="60"/>
      <c r="AM1175" s="60" t="s">
        <v>3586</v>
      </c>
      <c r="AN1175" s="60" t="s">
        <v>171</v>
      </c>
      <c r="AO1175" s="11">
        <v>796</v>
      </c>
      <c r="AP1175" s="38" t="s">
        <v>256</v>
      </c>
      <c r="AQ1175" s="38" t="s">
        <v>3587</v>
      </c>
      <c r="AR1175" s="38">
        <v>46460</v>
      </c>
      <c r="AS1175" s="16" t="s">
        <v>258</v>
      </c>
      <c r="AT1175" s="52">
        <v>41811</v>
      </c>
      <c r="AU1175" s="52">
        <v>41811</v>
      </c>
      <c r="AV1175" s="52">
        <v>42185</v>
      </c>
      <c r="AW1175" s="38" t="s">
        <v>99</v>
      </c>
      <c r="AX1175" s="60"/>
      <c r="AY1175" s="135"/>
      <c r="AZ1175" s="60"/>
      <c r="BA1175" s="38"/>
      <c r="BB1175" s="38"/>
      <c r="BC1175" s="60"/>
      <c r="BD1175" s="60"/>
      <c r="BE1175" s="238"/>
      <c r="BF1175" s="238"/>
      <c r="BG1175" s="238"/>
      <c r="BH1175" s="238"/>
      <c r="BI1175" s="238"/>
      <c r="BJ1175" s="304"/>
      <c r="BK1175" s="238"/>
    </row>
    <row r="1176" spans="1:63" s="268" customFormat="1" ht="96.75" customHeight="1">
      <c r="A1176" s="321">
        <v>3</v>
      </c>
      <c r="B1176" s="38" t="s">
        <v>3588</v>
      </c>
      <c r="C1176" s="38" t="s">
        <v>83</v>
      </c>
      <c r="D1176" s="38" t="s">
        <v>3423</v>
      </c>
      <c r="E1176" s="38" t="s">
        <v>250</v>
      </c>
      <c r="F1176" s="38" t="s">
        <v>3526</v>
      </c>
      <c r="G1176" s="38">
        <v>2911160</v>
      </c>
      <c r="H1176" s="63">
        <v>825194</v>
      </c>
      <c r="I1176" s="16" t="s">
        <v>3589</v>
      </c>
      <c r="J1176" s="16" t="s">
        <v>3590</v>
      </c>
      <c r="K1176" s="60" t="s">
        <v>4724</v>
      </c>
      <c r="L1176" s="16" t="s">
        <v>180</v>
      </c>
      <c r="M1176" s="134">
        <v>201020204</v>
      </c>
      <c r="N1176" s="16" t="s">
        <v>5931</v>
      </c>
      <c r="O1176" s="16" t="s">
        <v>271</v>
      </c>
      <c r="P1176" s="23">
        <v>20000</v>
      </c>
      <c r="Q1176" s="23">
        <f t="shared" si="150"/>
        <v>23600</v>
      </c>
      <c r="R1176" s="75">
        <v>20000</v>
      </c>
      <c r="S1176" s="134" t="s">
        <v>255</v>
      </c>
      <c r="T1176" s="25">
        <v>1.0840000000000001</v>
      </c>
      <c r="U1176" s="25">
        <v>1.0509999999999999</v>
      </c>
      <c r="V1176" s="25">
        <v>1.0669999999999999</v>
      </c>
      <c r="W1176" s="25">
        <v>1.0529999999999999</v>
      </c>
      <c r="X1176" s="25">
        <v>0.9</v>
      </c>
      <c r="Y1176" s="23">
        <v>23040</v>
      </c>
      <c r="Z1176" s="23">
        <f t="shared" si="151"/>
        <v>27187.199999999997</v>
      </c>
      <c r="AA1176" s="36" t="s">
        <v>132</v>
      </c>
      <c r="AB1176" s="36" t="s">
        <v>132</v>
      </c>
      <c r="AC1176" s="23">
        <v>20000</v>
      </c>
      <c r="AD1176" s="23">
        <f t="shared" si="153"/>
        <v>23600</v>
      </c>
      <c r="AE1176" s="38" t="s">
        <v>169</v>
      </c>
      <c r="AF1176" s="38" t="s">
        <v>83</v>
      </c>
      <c r="AG1176" s="38" t="s">
        <v>83</v>
      </c>
      <c r="AH1176" s="45" t="s">
        <v>90</v>
      </c>
      <c r="AI1176" s="52">
        <v>41626</v>
      </c>
      <c r="AJ1176" s="51">
        <v>41686</v>
      </c>
      <c r="AK1176" s="60"/>
      <c r="AL1176" s="60"/>
      <c r="AM1176" s="60" t="s">
        <v>3589</v>
      </c>
      <c r="AN1176" s="60" t="s">
        <v>171</v>
      </c>
      <c r="AO1176" s="11">
        <v>796</v>
      </c>
      <c r="AP1176" s="38" t="s">
        <v>256</v>
      </c>
      <c r="AQ1176" s="38" t="s">
        <v>3591</v>
      </c>
      <c r="AR1176" s="38">
        <v>46460</v>
      </c>
      <c r="AS1176" s="16" t="s">
        <v>258</v>
      </c>
      <c r="AT1176" s="52">
        <v>41706</v>
      </c>
      <c r="AU1176" s="52">
        <v>41706</v>
      </c>
      <c r="AV1176" s="52">
        <v>42004</v>
      </c>
      <c r="AW1176" s="38">
        <v>2014</v>
      </c>
      <c r="AX1176" s="60"/>
      <c r="AY1176" s="135"/>
      <c r="AZ1176" s="60"/>
      <c r="BA1176" s="38"/>
      <c r="BB1176" s="38"/>
      <c r="BC1176" s="60"/>
      <c r="BD1176" s="60"/>
      <c r="BE1176" s="238"/>
      <c r="BF1176" s="238"/>
      <c r="BG1176" s="238"/>
      <c r="BH1176" s="238"/>
      <c r="BI1176" s="238"/>
      <c r="BJ1176" s="304"/>
      <c r="BK1176" s="238"/>
    </row>
    <row r="1177" spans="1:63" s="268" customFormat="1" ht="73.5" customHeight="1">
      <c r="A1177" s="321">
        <v>3</v>
      </c>
      <c r="B1177" s="11" t="s">
        <v>3597</v>
      </c>
      <c r="C1177" s="38" t="s">
        <v>83</v>
      </c>
      <c r="D1177" s="38" t="s">
        <v>3598</v>
      </c>
      <c r="E1177" s="38" t="s">
        <v>250</v>
      </c>
      <c r="F1177" s="38" t="s">
        <v>3599</v>
      </c>
      <c r="G1177" s="38">
        <v>7424020</v>
      </c>
      <c r="H1177" s="11">
        <v>834168</v>
      </c>
      <c r="I1177" s="16" t="s">
        <v>3600</v>
      </c>
      <c r="J1177" s="16" t="s">
        <v>3601</v>
      </c>
      <c r="K1177" s="60" t="s">
        <v>4724</v>
      </c>
      <c r="L1177" s="16" t="s">
        <v>180</v>
      </c>
      <c r="M1177" s="134" t="s">
        <v>1325</v>
      </c>
      <c r="N1177" s="16" t="s">
        <v>5921</v>
      </c>
      <c r="O1177" s="16" t="s">
        <v>3602</v>
      </c>
      <c r="P1177" s="23">
        <v>3370</v>
      </c>
      <c r="Q1177" s="23">
        <f t="shared" si="150"/>
        <v>3976.6</v>
      </c>
      <c r="R1177" s="23">
        <v>2918.1736292428204</v>
      </c>
      <c r="S1177" s="34"/>
      <c r="T1177" s="25">
        <v>1.0840000000000001</v>
      </c>
      <c r="U1177" s="25">
        <v>1.0509999999999999</v>
      </c>
      <c r="V1177" s="25">
        <v>1.0669999999999999</v>
      </c>
      <c r="W1177" s="25">
        <v>1.0529999999999999</v>
      </c>
      <c r="X1177" s="25">
        <v>0.9</v>
      </c>
      <c r="Y1177" s="23">
        <f t="shared" ref="Y1177:Y1190" si="154">R1177*T1177*U1177*V1177*W1177*0.9</f>
        <v>3361.850733521529</v>
      </c>
      <c r="Z1177" s="23">
        <f t="shared" si="151"/>
        <v>3966.983865555404</v>
      </c>
      <c r="AA1177" s="36" t="s">
        <v>132</v>
      </c>
      <c r="AB1177" s="36" t="s">
        <v>132</v>
      </c>
      <c r="AC1177" s="23">
        <v>3370</v>
      </c>
      <c r="AD1177" s="23">
        <f>Q1177</f>
        <v>3976.6</v>
      </c>
      <c r="AE1177" s="38" t="s">
        <v>173</v>
      </c>
      <c r="AF1177" s="38" t="s">
        <v>83</v>
      </c>
      <c r="AG1177" s="38" t="s">
        <v>83</v>
      </c>
      <c r="AH1177" s="38" t="s">
        <v>545</v>
      </c>
      <c r="AI1177" s="52">
        <f>AJ1177-45</f>
        <v>41695</v>
      </c>
      <c r="AJ1177" s="52">
        <v>41740</v>
      </c>
      <c r="AK1177" s="60"/>
      <c r="AL1177" s="60"/>
      <c r="AM1177" s="60" t="s">
        <v>3600</v>
      </c>
      <c r="AN1177" s="60" t="s">
        <v>353</v>
      </c>
      <c r="AO1177" s="11">
        <v>796</v>
      </c>
      <c r="AP1177" s="38" t="s">
        <v>94</v>
      </c>
      <c r="AQ1177" s="38" t="s">
        <v>4080</v>
      </c>
      <c r="AR1177" s="38">
        <v>46200</v>
      </c>
      <c r="AS1177" s="16" t="s">
        <v>3383</v>
      </c>
      <c r="AT1177" s="52">
        <v>41760</v>
      </c>
      <c r="AU1177" s="52">
        <v>41760</v>
      </c>
      <c r="AV1177" s="52">
        <v>42004</v>
      </c>
      <c r="AW1177" s="38">
        <v>2014</v>
      </c>
      <c r="AX1177" s="60"/>
      <c r="AY1177" s="135"/>
      <c r="AZ1177" s="60"/>
      <c r="BA1177" s="38"/>
      <c r="BB1177" s="38"/>
      <c r="BC1177" s="60"/>
      <c r="BD1177" s="60"/>
      <c r="BE1177" s="238"/>
      <c r="BF1177" s="238"/>
      <c r="BG1177" s="238"/>
      <c r="BH1177" s="238"/>
      <c r="BI1177" s="238"/>
      <c r="BJ1177" s="304"/>
      <c r="BK1177" s="238"/>
    </row>
    <row r="1178" spans="1:63" s="268" customFormat="1" ht="73.5" customHeight="1">
      <c r="A1178" s="321">
        <v>3</v>
      </c>
      <c r="B1178" s="11" t="s">
        <v>3603</v>
      </c>
      <c r="C1178" s="38" t="s">
        <v>83</v>
      </c>
      <c r="D1178" s="38" t="s">
        <v>3598</v>
      </c>
      <c r="E1178" s="38" t="s">
        <v>250</v>
      </c>
      <c r="F1178" s="38" t="s">
        <v>3599</v>
      </c>
      <c r="G1178" s="38">
        <v>7424030</v>
      </c>
      <c r="H1178" s="11">
        <v>834169</v>
      </c>
      <c r="I1178" s="16" t="s">
        <v>4677</v>
      </c>
      <c r="J1178" s="16" t="s">
        <v>4678</v>
      </c>
      <c r="K1178" s="60" t="s">
        <v>4724</v>
      </c>
      <c r="L1178" s="16" t="s">
        <v>180</v>
      </c>
      <c r="M1178" s="134" t="s">
        <v>1325</v>
      </c>
      <c r="N1178" s="16" t="s">
        <v>5921</v>
      </c>
      <c r="O1178" s="16" t="s">
        <v>271</v>
      </c>
      <c r="P1178" s="23">
        <v>2110</v>
      </c>
      <c r="Q1178" s="23">
        <f t="shared" si="150"/>
        <v>2489.7999999999997</v>
      </c>
      <c r="R1178" s="23">
        <v>1818.4464751958224</v>
      </c>
      <c r="S1178" s="34"/>
      <c r="T1178" s="25">
        <v>1.0840000000000001</v>
      </c>
      <c r="U1178" s="25">
        <v>1.0509999999999999</v>
      </c>
      <c r="V1178" s="25">
        <v>1.0669999999999999</v>
      </c>
      <c r="W1178" s="25">
        <v>1.0529999999999999</v>
      </c>
      <c r="X1178" s="25">
        <v>0.9</v>
      </c>
      <c r="Y1178" s="23">
        <f t="shared" si="154"/>
        <v>2094.9218220757298</v>
      </c>
      <c r="Z1178" s="23">
        <f t="shared" si="151"/>
        <v>2472.0077500493612</v>
      </c>
      <c r="AA1178" s="36" t="s">
        <v>132</v>
      </c>
      <c r="AB1178" s="36" t="s">
        <v>132</v>
      </c>
      <c r="AC1178" s="23">
        <v>2110</v>
      </c>
      <c r="AD1178" s="23">
        <f>Q1178</f>
        <v>2489.7999999999997</v>
      </c>
      <c r="AE1178" s="38" t="s">
        <v>173</v>
      </c>
      <c r="AF1178" s="38" t="s">
        <v>83</v>
      </c>
      <c r="AG1178" s="38" t="s">
        <v>83</v>
      </c>
      <c r="AH1178" s="38" t="s">
        <v>545</v>
      </c>
      <c r="AI1178" s="52">
        <f>AJ1178-45</f>
        <v>41695</v>
      </c>
      <c r="AJ1178" s="52">
        <v>41740</v>
      </c>
      <c r="AK1178" s="60"/>
      <c r="AL1178" s="60"/>
      <c r="AM1178" s="60" t="s">
        <v>4677</v>
      </c>
      <c r="AN1178" s="60" t="s">
        <v>353</v>
      </c>
      <c r="AO1178" s="11">
        <v>796</v>
      </c>
      <c r="AP1178" s="38" t="s">
        <v>94</v>
      </c>
      <c r="AQ1178" s="38" t="s">
        <v>4081</v>
      </c>
      <c r="AR1178" s="38">
        <v>46200</v>
      </c>
      <c r="AS1178" s="16" t="s">
        <v>3383</v>
      </c>
      <c r="AT1178" s="52">
        <v>41760</v>
      </c>
      <c r="AU1178" s="52">
        <v>41760</v>
      </c>
      <c r="AV1178" s="52">
        <v>42004</v>
      </c>
      <c r="AW1178" s="38">
        <v>2014</v>
      </c>
      <c r="AX1178" s="60"/>
      <c r="AY1178" s="135"/>
      <c r="AZ1178" s="60"/>
      <c r="BA1178" s="38"/>
      <c r="BB1178" s="38"/>
      <c r="BC1178" s="60"/>
      <c r="BD1178" s="60"/>
      <c r="BE1178" s="238"/>
      <c r="BF1178" s="238"/>
      <c r="BG1178" s="238"/>
      <c r="BH1178" s="238"/>
      <c r="BI1178" s="238"/>
      <c r="BJ1178" s="304"/>
      <c r="BK1178" s="238"/>
    </row>
    <row r="1179" spans="1:63" s="268" customFormat="1" ht="73.5" customHeight="1">
      <c r="A1179" s="321">
        <v>3</v>
      </c>
      <c r="B1179" s="11" t="s">
        <v>3604</v>
      </c>
      <c r="C1179" s="38" t="s">
        <v>83</v>
      </c>
      <c r="D1179" s="38" t="s">
        <v>3605</v>
      </c>
      <c r="E1179" s="38" t="s">
        <v>250</v>
      </c>
      <c r="F1179" s="38" t="s">
        <v>3606</v>
      </c>
      <c r="G1179" s="38">
        <v>7422000</v>
      </c>
      <c r="H1179" s="11">
        <v>834170</v>
      </c>
      <c r="I1179" s="16" t="s">
        <v>3607</v>
      </c>
      <c r="J1179" s="16" t="s">
        <v>3608</v>
      </c>
      <c r="K1179" s="60" t="s">
        <v>4724</v>
      </c>
      <c r="L1179" s="16" t="s">
        <v>180</v>
      </c>
      <c r="M1179" s="134" t="s">
        <v>1175</v>
      </c>
      <c r="N1179" s="16" t="s">
        <v>5917</v>
      </c>
      <c r="O1179" s="16" t="s">
        <v>3609</v>
      </c>
      <c r="P1179" s="23">
        <v>562.89</v>
      </c>
      <c r="Q1179" s="23">
        <f t="shared" si="150"/>
        <v>664.21019999999999</v>
      </c>
      <c r="R1179" s="23">
        <v>550.72950391644918</v>
      </c>
      <c r="S1179" s="34"/>
      <c r="T1179" s="25">
        <v>1.0840000000000001</v>
      </c>
      <c r="U1179" s="25">
        <v>1.0509999999999999</v>
      </c>
      <c r="V1179" s="25">
        <v>1.0669999999999999</v>
      </c>
      <c r="W1179" s="25">
        <v>1.0529999999999999</v>
      </c>
      <c r="X1179" s="25">
        <v>0.9</v>
      </c>
      <c r="Y1179" s="23">
        <f t="shared" si="154"/>
        <v>634.4620375429356</v>
      </c>
      <c r="Z1179" s="23">
        <f t="shared" si="151"/>
        <v>748.66520430066396</v>
      </c>
      <c r="AA1179" s="36" t="s">
        <v>132</v>
      </c>
      <c r="AB1179" s="36" t="s">
        <v>132</v>
      </c>
      <c r="AC1179" s="23">
        <v>562.89</v>
      </c>
      <c r="AD1179" s="23">
        <f>Q1179</f>
        <v>664.21019999999999</v>
      </c>
      <c r="AE1179" s="38" t="s">
        <v>173</v>
      </c>
      <c r="AF1179" s="38" t="s">
        <v>83</v>
      </c>
      <c r="AG1179" s="38" t="s">
        <v>83</v>
      </c>
      <c r="AH1179" s="38" t="s">
        <v>545</v>
      </c>
      <c r="AI1179" s="52">
        <v>41625</v>
      </c>
      <c r="AJ1179" s="51">
        <v>41670</v>
      </c>
      <c r="AK1179" s="60"/>
      <c r="AL1179" s="60"/>
      <c r="AM1179" s="60" t="s">
        <v>3607</v>
      </c>
      <c r="AN1179" s="60" t="s">
        <v>353</v>
      </c>
      <c r="AO1179" s="11">
        <v>796</v>
      </c>
      <c r="AP1179" s="38" t="s">
        <v>94</v>
      </c>
      <c r="AQ1179" s="38">
        <v>240</v>
      </c>
      <c r="AR1179" s="38">
        <v>46200</v>
      </c>
      <c r="AS1179" s="16" t="s">
        <v>3383</v>
      </c>
      <c r="AT1179" s="52">
        <v>41690</v>
      </c>
      <c r="AU1179" s="52">
        <v>41690</v>
      </c>
      <c r="AV1179" s="52">
        <v>42004</v>
      </c>
      <c r="AW1179" s="38">
        <v>2014</v>
      </c>
      <c r="AX1179" s="60"/>
      <c r="AY1179" s="135"/>
      <c r="AZ1179" s="60"/>
      <c r="BA1179" s="38"/>
      <c r="BB1179" s="38"/>
      <c r="BC1179" s="60"/>
      <c r="BD1179" s="60"/>
      <c r="BE1179" s="238"/>
      <c r="BF1179" s="238"/>
      <c r="BG1179" s="238"/>
      <c r="BH1179" s="238"/>
      <c r="BI1179" s="238"/>
      <c r="BJ1179" s="304"/>
      <c r="BK1179" s="453"/>
    </row>
    <row r="1180" spans="1:63" s="268" customFormat="1" ht="73.5" customHeight="1">
      <c r="A1180" s="321">
        <v>3</v>
      </c>
      <c r="B1180" s="11" t="s">
        <v>3610</v>
      </c>
      <c r="C1180" s="38" t="s">
        <v>83</v>
      </c>
      <c r="D1180" s="38" t="s">
        <v>3605</v>
      </c>
      <c r="E1180" s="38" t="s">
        <v>250</v>
      </c>
      <c r="F1180" s="38" t="s">
        <v>3606</v>
      </c>
      <c r="G1180" s="38">
        <v>7422000</v>
      </c>
      <c r="H1180" s="11">
        <v>834171</v>
      </c>
      <c r="I1180" s="16" t="s">
        <v>3558</v>
      </c>
      <c r="J1180" s="16" t="s">
        <v>3611</v>
      </c>
      <c r="K1180" s="60" t="s">
        <v>4724</v>
      </c>
      <c r="L1180" s="16" t="s">
        <v>180</v>
      </c>
      <c r="M1180" s="134" t="s">
        <v>1175</v>
      </c>
      <c r="N1180" s="16" t="s">
        <v>5931</v>
      </c>
      <c r="O1180" s="16" t="s">
        <v>3612</v>
      </c>
      <c r="P1180" s="23">
        <v>1586.6179999999999</v>
      </c>
      <c r="Q1180" s="23">
        <f t="shared" si="150"/>
        <v>1872.2092399999999</v>
      </c>
      <c r="R1180" s="23">
        <v>1492.8579634464754</v>
      </c>
      <c r="S1180" s="34"/>
      <c r="T1180" s="25">
        <v>1.0840000000000001</v>
      </c>
      <c r="U1180" s="25">
        <v>1.0509999999999999</v>
      </c>
      <c r="V1180" s="25">
        <v>1.0669999999999999</v>
      </c>
      <c r="W1180" s="25">
        <v>1.0529999999999999</v>
      </c>
      <c r="X1180" s="25">
        <v>0.9</v>
      </c>
      <c r="Y1180" s="23">
        <f t="shared" si="154"/>
        <v>1719.831057742171</v>
      </c>
      <c r="Z1180" s="23">
        <f t="shared" si="151"/>
        <v>2029.4006481357617</v>
      </c>
      <c r="AA1180" s="36" t="s">
        <v>132</v>
      </c>
      <c r="AB1180" s="36" t="s">
        <v>132</v>
      </c>
      <c r="AC1180" s="23">
        <v>1586.6179999999999</v>
      </c>
      <c r="AD1180" s="23">
        <f>AC1180*1.18</f>
        <v>1872.2092399999999</v>
      </c>
      <c r="AE1180" s="38" t="s">
        <v>173</v>
      </c>
      <c r="AF1180" s="38" t="s">
        <v>83</v>
      </c>
      <c r="AG1180" s="38" t="s">
        <v>83</v>
      </c>
      <c r="AH1180" s="38" t="s">
        <v>545</v>
      </c>
      <c r="AI1180" s="52">
        <v>41625</v>
      </c>
      <c r="AJ1180" s="51">
        <v>41670</v>
      </c>
      <c r="AK1180" s="60"/>
      <c r="AL1180" s="60"/>
      <c r="AM1180" s="60" t="s">
        <v>3558</v>
      </c>
      <c r="AN1180" s="60" t="s">
        <v>353</v>
      </c>
      <c r="AO1180" s="11">
        <v>796</v>
      </c>
      <c r="AP1180" s="38" t="s">
        <v>94</v>
      </c>
      <c r="AQ1180" s="38">
        <v>10</v>
      </c>
      <c r="AR1180" s="38">
        <v>46200</v>
      </c>
      <c r="AS1180" s="16" t="s">
        <v>3383</v>
      </c>
      <c r="AT1180" s="52">
        <v>41690</v>
      </c>
      <c r="AU1180" s="52">
        <v>41690</v>
      </c>
      <c r="AV1180" s="52">
        <v>41882</v>
      </c>
      <c r="AW1180" s="38">
        <v>2014</v>
      </c>
      <c r="AX1180" s="60"/>
      <c r="AY1180" s="135"/>
      <c r="AZ1180" s="60"/>
      <c r="BA1180" s="38"/>
      <c r="BB1180" s="38"/>
      <c r="BC1180" s="60"/>
      <c r="BD1180" s="60"/>
      <c r="BE1180" s="238"/>
      <c r="BF1180" s="238"/>
      <c r="BG1180" s="238"/>
      <c r="BH1180" s="238"/>
      <c r="BI1180" s="238"/>
      <c r="BJ1180" s="304"/>
      <c r="BK1180" s="378"/>
    </row>
    <row r="1181" spans="1:63" s="268" customFormat="1" ht="73.5" customHeight="1">
      <c r="A1181" s="321">
        <v>3</v>
      </c>
      <c r="B1181" s="11" t="s">
        <v>3613</v>
      </c>
      <c r="C1181" s="38" t="s">
        <v>83</v>
      </c>
      <c r="D1181" s="38" t="s">
        <v>3614</v>
      </c>
      <c r="E1181" s="38" t="s">
        <v>250</v>
      </c>
      <c r="F1181" s="38" t="s">
        <v>3615</v>
      </c>
      <c r="G1181" s="38">
        <v>7422000</v>
      </c>
      <c r="H1181" s="11">
        <v>834172</v>
      </c>
      <c r="I1181" s="16" t="s">
        <v>3616</v>
      </c>
      <c r="J1181" s="16" t="s">
        <v>3617</v>
      </c>
      <c r="K1181" s="60" t="s">
        <v>4724</v>
      </c>
      <c r="L1181" s="16" t="s">
        <v>180</v>
      </c>
      <c r="M1181" s="134" t="s">
        <v>1329</v>
      </c>
      <c r="N1181" s="16" t="s">
        <v>3618</v>
      </c>
      <c r="O1181" s="16" t="s">
        <v>3609</v>
      </c>
      <c r="P1181" s="23">
        <v>700</v>
      </c>
      <c r="Q1181" s="23">
        <f t="shared" si="150"/>
        <v>826</v>
      </c>
      <c r="R1181" s="23">
        <v>606.1488250652742</v>
      </c>
      <c r="S1181" s="34"/>
      <c r="T1181" s="25">
        <v>1.0840000000000001</v>
      </c>
      <c r="U1181" s="25">
        <v>1.0509999999999999</v>
      </c>
      <c r="V1181" s="25">
        <v>1.0669999999999999</v>
      </c>
      <c r="W1181" s="25">
        <v>1.0529999999999999</v>
      </c>
      <c r="X1181" s="25">
        <v>0.9</v>
      </c>
      <c r="Y1181" s="23">
        <f t="shared" si="154"/>
        <v>698.30727402524337</v>
      </c>
      <c r="Z1181" s="23">
        <f t="shared" si="151"/>
        <v>824.00258334978719</v>
      </c>
      <c r="AA1181" s="36" t="s">
        <v>132</v>
      </c>
      <c r="AB1181" s="36" t="s">
        <v>132</v>
      </c>
      <c r="AC1181" s="23">
        <v>700</v>
      </c>
      <c r="AD1181" s="23">
        <f>AC1181*1.18</f>
        <v>826</v>
      </c>
      <c r="AE1181" s="38" t="s">
        <v>173</v>
      </c>
      <c r="AF1181" s="38" t="s">
        <v>83</v>
      </c>
      <c r="AG1181" s="38" t="s">
        <v>83</v>
      </c>
      <c r="AH1181" s="38" t="s">
        <v>545</v>
      </c>
      <c r="AI1181" s="52">
        <v>41625</v>
      </c>
      <c r="AJ1181" s="51">
        <v>41670</v>
      </c>
      <c r="AK1181" s="60"/>
      <c r="AL1181" s="60"/>
      <c r="AM1181" s="60" t="s">
        <v>3616</v>
      </c>
      <c r="AN1181" s="60" t="s">
        <v>353</v>
      </c>
      <c r="AO1181" s="11">
        <v>796</v>
      </c>
      <c r="AP1181" s="38" t="s">
        <v>94</v>
      </c>
      <c r="AQ1181" s="38" t="s">
        <v>4082</v>
      </c>
      <c r="AR1181" s="38">
        <v>46200</v>
      </c>
      <c r="AS1181" s="16" t="s">
        <v>3383</v>
      </c>
      <c r="AT1181" s="52">
        <v>41690</v>
      </c>
      <c r="AU1181" s="52">
        <v>41690</v>
      </c>
      <c r="AV1181" s="52">
        <v>42004</v>
      </c>
      <c r="AW1181" s="38">
        <v>2014</v>
      </c>
      <c r="AX1181" s="60"/>
      <c r="AY1181" s="135"/>
      <c r="AZ1181" s="60"/>
      <c r="BA1181" s="38"/>
      <c r="BB1181" s="38"/>
      <c r="BC1181" s="60"/>
      <c r="BD1181" s="60"/>
      <c r="BE1181" s="238"/>
      <c r="BF1181" s="238"/>
      <c r="BG1181" s="238"/>
      <c r="BH1181" s="238"/>
      <c r="BI1181" s="238"/>
      <c r="BJ1181" s="304"/>
      <c r="BK1181" s="238"/>
    </row>
    <row r="1182" spans="1:63" s="268" customFormat="1" ht="73.5" customHeight="1">
      <c r="A1182" s="321">
        <v>3</v>
      </c>
      <c r="B1182" s="11" t="s">
        <v>3619</v>
      </c>
      <c r="C1182" s="38" t="s">
        <v>83</v>
      </c>
      <c r="D1182" s="38" t="s">
        <v>3614</v>
      </c>
      <c r="E1182" s="38" t="s">
        <v>250</v>
      </c>
      <c r="F1182" s="38" t="s">
        <v>3615</v>
      </c>
      <c r="G1182" s="38">
        <v>7422000</v>
      </c>
      <c r="H1182" s="11">
        <v>834174</v>
      </c>
      <c r="I1182" s="16" t="s">
        <v>3620</v>
      </c>
      <c r="J1182" s="16" t="s">
        <v>3617</v>
      </c>
      <c r="K1182" s="60" t="s">
        <v>4724</v>
      </c>
      <c r="L1182" s="16" t="s">
        <v>180</v>
      </c>
      <c r="M1182" s="134" t="s">
        <v>1329</v>
      </c>
      <c r="N1182" s="16" t="s">
        <v>3618</v>
      </c>
      <c r="O1182" s="16" t="s">
        <v>3609</v>
      </c>
      <c r="P1182" s="23">
        <v>1100</v>
      </c>
      <c r="Q1182" s="23">
        <f t="shared" si="150"/>
        <v>1298</v>
      </c>
      <c r="R1182" s="23">
        <v>952.51958224543091</v>
      </c>
      <c r="S1182" s="34"/>
      <c r="T1182" s="25">
        <v>1.0840000000000001</v>
      </c>
      <c r="U1182" s="25">
        <v>1.0509999999999999</v>
      </c>
      <c r="V1182" s="25">
        <v>1.0669999999999999</v>
      </c>
      <c r="W1182" s="25">
        <v>1.0529999999999999</v>
      </c>
      <c r="X1182" s="25">
        <v>0.9</v>
      </c>
      <c r="Y1182" s="23">
        <f t="shared" si="154"/>
        <v>1097.3400020396684</v>
      </c>
      <c r="Z1182" s="23">
        <f t="shared" si="151"/>
        <v>1294.8612024068086</v>
      </c>
      <c r="AA1182" s="36" t="s">
        <v>132</v>
      </c>
      <c r="AB1182" s="36" t="s">
        <v>132</v>
      </c>
      <c r="AC1182" s="23">
        <v>1100</v>
      </c>
      <c r="AD1182" s="23">
        <f>AC1182*1.18</f>
        <v>1298</v>
      </c>
      <c r="AE1182" s="38" t="s">
        <v>173</v>
      </c>
      <c r="AF1182" s="38" t="s">
        <v>83</v>
      </c>
      <c r="AG1182" s="38" t="s">
        <v>83</v>
      </c>
      <c r="AH1182" s="38" t="s">
        <v>545</v>
      </c>
      <c r="AI1182" s="52">
        <v>41625</v>
      </c>
      <c r="AJ1182" s="51">
        <v>41670</v>
      </c>
      <c r="AK1182" s="60"/>
      <c r="AL1182" s="60"/>
      <c r="AM1182" s="60" t="s">
        <v>3909</v>
      </c>
      <c r="AN1182" s="60" t="s">
        <v>353</v>
      </c>
      <c r="AO1182" s="11">
        <v>796</v>
      </c>
      <c r="AP1182" s="38" t="s">
        <v>94</v>
      </c>
      <c r="AQ1182" s="38" t="s">
        <v>4083</v>
      </c>
      <c r="AR1182" s="38">
        <v>46200</v>
      </c>
      <c r="AS1182" s="16" t="s">
        <v>3383</v>
      </c>
      <c r="AT1182" s="52">
        <v>41690</v>
      </c>
      <c r="AU1182" s="52">
        <v>41690</v>
      </c>
      <c r="AV1182" s="52">
        <v>42004</v>
      </c>
      <c r="AW1182" s="38">
        <v>2014</v>
      </c>
      <c r="AX1182" s="60"/>
      <c r="AY1182" s="135"/>
      <c r="AZ1182" s="60"/>
      <c r="BA1182" s="38"/>
      <c r="BB1182" s="38"/>
      <c r="BC1182" s="60"/>
      <c r="BD1182" s="60"/>
      <c r="BE1182" s="238"/>
      <c r="BF1182" s="238"/>
      <c r="BG1182" s="238"/>
      <c r="BH1182" s="238"/>
      <c r="BI1182" s="238"/>
      <c r="BJ1182" s="304"/>
      <c r="BK1182" s="238"/>
    </row>
    <row r="1183" spans="1:63" s="268" customFormat="1" ht="73.5" customHeight="1">
      <c r="A1183" s="321">
        <v>3</v>
      </c>
      <c r="B1183" s="11" t="s">
        <v>3621</v>
      </c>
      <c r="C1183" s="38" t="s">
        <v>83</v>
      </c>
      <c r="D1183" s="38" t="s">
        <v>3614</v>
      </c>
      <c r="E1183" s="38" t="s">
        <v>250</v>
      </c>
      <c r="F1183" s="38" t="s">
        <v>3615</v>
      </c>
      <c r="G1183" s="38">
        <v>7422000</v>
      </c>
      <c r="H1183" s="11">
        <v>834175</v>
      </c>
      <c r="I1183" s="16" t="s">
        <v>3622</v>
      </c>
      <c r="J1183" s="16" t="s">
        <v>3623</v>
      </c>
      <c r="K1183" s="60" t="s">
        <v>4724</v>
      </c>
      <c r="L1183" s="16" t="s">
        <v>180</v>
      </c>
      <c r="M1183" s="134" t="s">
        <v>1329</v>
      </c>
      <c r="N1183" s="16" t="s">
        <v>3618</v>
      </c>
      <c r="O1183" s="16" t="s">
        <v>3609</v>
      </c>
      <c r="P1183" s="23">
        <v>4360</v>
      </c>
      <c r="Q1183" s="23">
        <f t="shared" si="150"/>
        <v>5144.8</v>
      </c>
      <c r="R1183" s="23">
        <v>3775.4412532637079</v>
      </c>
      <c r="S1183" s="34"/>
      <c r="T1183" s="25">
        <v>1.0840000000000001</v>
      </c>
      <c r="U1183" s="25">
        <v>1.0509999999999999</v>
      </c>
      <c r="V1183" s="25">
        <v>1.0669999999999999</v>
      </c>
      <c r="W1183" s="25">
        <v>1.0529999999999999</v>
      </c>
      <c r="X1183" s="25">
        <v>0.9</v>
      </c>
      <c r="Y1183" s="23">
        <f t="shared" si="154"/>
        <v>4349.4567353572293</v>
      </c>
      <c r="Z1183" s="23">
        <f t="shared" si="151"/>
        <v>5132.3589477215301</v>
      </c>
      <c r="AA1183" s="36" t="s">
        <v>132</v>
      </c>
      <c r="AB1183" s="36" t="s">
        <v>132</v>
      </c>
      <c r="AC1183" s="23">
        <v>4360</v>
      </c>
      <c r="AD1183" s="23">
        <f>AC1183*1.18</f>
        <v>5144.8</v>
      </c>
      <c r="AE1183" s="38" t="s">
        <v>173</v>
      </c>
      <c r="AF1183" s="38" t="s">
        <v>83</v>
      </c>
      <c r="AG1183" s="38" t="s">
        <v>83</v>
      </c>
      <c r="AH1183" s="38" t="s">
        <v>545</v>
      </c>
      <c r="AI1183" s="52">
        <v>41625</v>
      </c>
      <c r="AJ1183" s="51">
        <v>41670</v>
      </c>
      <c r="AK1183" s="60"/>
      <c r="AL1183" s="60"/>
      <c r="AM1183" s="60" t="s">
        <v>3622</v>
      </c>
      <c r="AN1183" s="60" t="s">
        <v>353</v>
      </c>
      <c r="AO1183" s="11">
        <v>796</v>
      </c>
      <c r="AP1183" s="38" t="s">
        <v>94</v>
      </c>
      <c r="AQ1183" s="38" t="s">
        <v>4084</v>
      </c>
      <c r="AR1183" s="38">
        <v>46200</v>
      </c>
      <c r="AS1183" s="16" t="s">
        <v>3383</v>
      </c>
      <c r="AT1183" s="52">
        <v>41690</v>
      </c>
      <c r="AU1183" s="52">
        <v>41690</v>
      </c>
      <c r="AV1183" s="52">
        <v>42004</v>
      </c>
      <c r="AW1183" s="38">
        <v>2014</v>
      </c>
      <c r="AX1183" s="60"/>
      <c r="AY1183" s="135"/>
      <c r="AZ1183" s="60"/>
      <c r="BA1183" s="38"/>
      <c r="BB1183" s="38"/>
      <c r="BC1183" s="60"/>
      <c r="BD1183" s="60"/>
      <c r="BE1183" s="238"/>
      <c r="BF1183" s="238"/>
      <c r="BG1183" s="238"/>
      <c r="BH1183" s="238"/>
      <c r="BI1183" s="238"/>
      <c r="BJ1183" s="304"/>
      <c r="BK1183" s="238"/>
    </row>
    <row r="1184" spans="1:63" s="268" customFormat="1" ht="115.5" customHeight="1">
      <c r="A1184" s="321">
        <v>3</v>
      </c>
      <c r="B1184" s="11" t="s">
        <v>3624</v>
      </c>
      <c r="C1184" s="38" t="s">
        <v>83</v>
      </c>
      <c r="D1184" s="38" t="s">
        <v>3614</v>
      </c>
      <c r="E1184" s="38" t="s">
        <v>250</v>
      </c>
      <c r="F1184" s="38" t="s">
        <v>3625</v>
      </c>
      <c r="G1184" s="38">
        <v>7422000</v>
      </c>
      <c r="H1184" s="11">
        <v>834176</v>
      </c>
      <c r="I1184" s="16" t="s">
        <v>3626</v>
      </c>
      <c r="J1184" s="16" t="s">
        <v>3617</v>
      </c>
      <c r="K1184" s="60" t="s">
        <v>4724</v>
      </c>
      <c r="L1184" s="16" t="s">
        <v>180</v>
      </c>
      <c r="M1184" s="134" t="s">
        <v>1329</v>
      </c>
      <c r="N1184" s="16" t="s">
        <v>3618</v>
      </c>
      <c r="O1184" s="16" t="s">
        <v>3627</v>
      </c>
      <c r="P1184" s="23">
        <v>3600</v>
      </c>
      <c r="Q1184" s="23">
        <f t="shared" si="150"/>
        <v>4248</v>
      </c>
      <c r="R1184" s="23">
        <v>3117.3368146214102</v>
      </c>
      <c r="S1184" s="34"/>
      <c r="T1184" s="25">
        <v>1.0840000000000001</v>
      </c>
      <c r="U1184" s="25">
        <v>1.0509999999999999</v>
      </c>
      <c r="V1184" s="25">
        <v>1.0669999999999999</v>
      </c>
      <c r="W1184" s="25">
        <v>1.0529999999999999</v>
      </c>
      <c r="X1184" s="25">
        <v>0.9</v>
      </c>
      <c r="Y1184" s="23">
        <f t="shared" si="154"/>
        <v>3591.2945521298229</v>
      </c>
      <c r="Z1184" s="23">
        <f t="shared" si="151"/>
        <v>4237.7275715131909</v>
      </c>
      <c r="AA1184" s="36" t="s">
        <v>132</v>
      </c>
      <c r="AB1184" s="36" t="s">
        <v>132</v>
      </c>
      <c r="AC1184" s="23">
        <v>3600</v>
      </c>
      <c r="AD1184" s="23">
        <f>AC1184*1.18</f>
        <v>4248</v>
      </c>
      <c r="AE1184" s="38" t="s">
        <v>173</v>
      </c>
      <c r="AF1184" s="38" t="s">
        <v>83</v>
      </c>
      <c r="AG1184" s="38" t="s">
        <v>83</v>
      </c>
      <c r="AH1184" s="38" t="s">
        <v>545</v>
      </c>
      <c r="AI1184" s="52">
        <f>AJ1184-45</f>
        <v>41787</v>
      </c>
      <c r="AJ1184" s="52">
        <v>41832</v>
      </c>
      <c r="AK1184" s="60"/>
      <c r="AL1184" s="60"/>
      <c r="AM1184" s="60" t="s">
        <v>3626</v>
      </c>
      <c r="AN1184" s="60" t="s">
        <v>353</v>
      </c>
      <c r="AO1184" s="11">
        <v>796</v>
      </c>
      <c r="AP1184" s="38" t="s">
        <v>94</v>
      </c>
      <c r="AQ1184" s="38" t="s">
        <v>4085</v>
      </c>
      <c r="AR1184" s="38">
        <v>46200</v>
      </c>
      <c r="AS1184" s="16" t="s">
        <v>3383</v>
      </c>
      <c r="AT1184" s="52">
        <v>41852</v>
      </c>
      <c r="AU1184" s="52">
        <v>41852</v>
      </c>
      <c r="AV1184" s="52">
        <v>42186</v>
      </c>
      <c r="AW1184" s="38" t="s">
        <v>99</v>
      </c>
      <c r="AX1184" s="60"/>
      <c r="AY1184" s="135"/>
      <c r="AZ1184" s="60"/>
      <c r="BA1184" s="38"/>
      <c r="BB1184" s="38"/>
      <c r="BC1184" s="60"/>
      <c r="BD1184" s="60"/>
      <c r="BE1184" s="238"/>
      <c r="BF1184" s="238"/>
      <c r="BG1184" s="238"/>
      <c r="BH1184" s="238"/>
      <c r="BI1184" s="238"/>
      <c r="BJ1184" s="304"/>
      <c r="BK1184" s="238"/>
    </row>
    <row r="1185" spans="1:63" s="268" customFormat="1" ht="73.5" customHeight="1">
      <c r="A1185" s="321">
        <v>3</v>
      </c>
      <c r="B1185" s="11" t="s">
        <v>3628</v>
      </c>
      <c r="C1185" s="38" t="s">
        <v>83</v>
      </c>
      <c r="D1185" s="38" t="s">
        <v>3629</v>
      </c>
      <c r="E1185" s="38" t="s">
        <v>250</v>
      </c>
      <c r="F1185" s="38" t="s">
        <v>3615</v>
      </c>
      <c r="G1185" s="38">
        <v>7422000</v>
      </c>
      <c r="H1185" s="11">
        <v>834177</v>
      </c>
      <c r="I1185" s="16" t="s">
        <v>3630</v>
      </c>
      <c r="J1185" s="16" t="s">
        <v>3631</v>
      </c>
      <c r="K1185" s="60" t="s">
        <v>4724</v>
      </c>
      <c r="L1185" s="16" t="s">
        <v>180</v>
      </c>
      <c r="M1185" s="134" t="s">
        <v>1175</v>
      </c>
      <c r="N1185" s="16" t="s">
        <v>5931</v>
      </c>
      <c r="O1185" s="16" t="s">
        <v>3609</v>
      </c>
      <c r="P1185" s="23">
        <v>1769.0650000000001</v>
      </c>
      <c r="Q1185" s="23">
        <f t="shared" si="150"/>
        <v>2087.4967000000001</v>
      </c>
      <c r="R1185" s="23">
        <v>1775.1501305483032</v>
      </c>
      <c r="S1185" s="34"/>
      <c r="T1185" s="25">
        <v>1.0840000000000001</v>
      </c>
      <c r="U1185" s="25">
        <v>1.0509999999999999</v>
      </c>
      <c r="V1185" s="25">
        <v>1.0669999999999999</v>
      </c>
      <c r="W1185" s="25">
        <v>1.0529999999999999</v>
      </c>
      <c r="X1185" s="25">
        <v>0.9</v>
      </c>
      <c r="Y1185" s="23">
        <f t="shared" si="154"/>
        <v>2045.0427310739276</v>
      </c>
      <c r="Z1185" s="23">
        <f t="shared" si="151"/>
        <v>2413.1504226672346</v>
      </c>
      <c r="AA1185" s="36" t="s">
        <v>132</v>
      </c>
      <c r="AB1185" s="36" t="s">
        <v>132</v>
      </c>
      <c r="AC1185" s="23">
        <v>1769.0650000000001</v>
      </c>
      <c r="AD1185" s="23">
        <f t="shared" ref="AD1185:AD1194" si="155">Q1185</f>
        <v>2087.4967000000001</v>
      </c>
      <c r="AE1185" s="38" t="s">
        <v>173</v>
      </c>
      <c r="AF1185" s="38" t="s">
        <v>83</v>
      </c>
      <c r="AG1185" s="38" t="s">
        <v>83</v>
      </c>
      <c r="AH1185" s="38" t="s">
        <v>545</v>
      </c>
      <c r="AI1185" s="52">
        <f>AJ1185-45</f>
        <v>41665</v>
      </c>
      <c r="AJ1185" s="52">
        <v>41710</v>
      </c>
      <c r="AK1185" s="60"/>
      <c r="AL1185" s="60"/>
      <c r="AM1185" s="60" t="s">
        <v>3630</v>
      </c>
      <c r="AN1185" s="60" t="s">
        <v>353</v>
      </c>
      <c r="AO1185" s="11">
        <v>55</v>
      </c>
      <c r="AP1185" s="38" t="s">
        <v>272</v>
      </c>
      <c r="AQ1185" s="38">
        <v>2611</v>
      </c>
      <c r="AR1185" s="38">
        <v>46200</v>
      </c>
      <c r="AS1185" s="16" t="s">
        <v>3383</v>
      </c>
      <c r="AT1185" s="52">
        <v>41730</v>
      </c>
      <c r="AU1185" s="52">
        <v>41730</v>
      </c>
      <c r="AV1185" s="52">
        <v>41943</v>
      </c>
      <c r="AW1185" s="38">
        <v>2014</v>
      </c>
      <c r="AX1185" s="60"/>
      <c r="AY1185" s="135"/>
      <c r="AZ1185" s="60"/>
      <c r="BA1185" s="38"/>
      <c r="BB1185" s="38"/>
      <c r="BC1185" s="60"/>
      <c r="BD1185" s="60"/>
      <c r="BE1185" s="238"/>
      <c r="BF1185" s="238"/>
      <c r="BG1185" s="238"/>
      <c r="BH1185" s="238"/>
      <c r="BI1185" s="238"/>
      <c r="BJ1185" s="304"/>
      <c r="BK1185" s="453"/>
    </row>
    <row r="1186" spans="1:63" s="268" customFormat="1" ht="73.5" customHeight="1">
      <c r="A1186" s="321">
        <v>3</v>
      </c>
      <c r="B1186" s="11" t="s">
        <v>3632</v>
      </c>
      <c r="C1186" s="38" t="s">
        <v>83</v>
      </c>
      <c r="D1186" s="38" t="s">
        <v>3629</v>
      </c>
      <c r="E1186" s="38" t="s">
        <v>250</v>
      </c>
      <c r="F1186" s="38" t="s">
        <v>1761</v>
      </c>
      <c r="G1186" s="38">
        <v>7422000</v>
      </c>
      <c r="H1186" s="11">
        <v>834180</v>
      </c>
      <c r="I1186" s="16" t="s">
        <v>3633</v>
      </c>
      <c r="J1186" s="16" t="s">
        <v>3634</v>
      </c>
      <c r="K1186" s="60" t="s">
        <v>4724</v>
      </c>
      <c r="L1186" s="16" t="s">
        <v>180</v>
      </c>
      <c r="M1186" s="134" t="s">
        <v>1175</v>
      </c>
      <c r="N1186" s="16" t="s">
        <v>5931</v>
      </c>
      <c r="O1186" s="16" t="s">
        <v>3635</v>
      </c>
      <c r="P1186" s="23">
        <v>1650</v>
      </c>
      <c r="Q1186" s="23">
        <f t="shared" si="150"/>
        <v>1947</v>
      </c>
      <c r="R1186" s="23">
        <v>1428.7793733681463</v>
      </c>
      <c r="S1186" s="34"/>
      <c r="T1186" s="25">
        <v>1.0840000000000001</v>
      </c>
      <c r="U1186" s="25">
        <v>1.0509999999999999</v>
      </c>
      <c r="V1186" s="25">
        <v>1.0669999999999999</v>
      </c>
      <c r="W1186" s="25">
        <v>1.0529999999999999</v>
      </c>
      <c r="X1186" s="25">
        <v>0.9</v>
      </c>
      <c r="Y1186" s="23">
        <f t="shared" si="154"/>
        <v>1646.0100030595022</v>
      </c>
      <c r="Z1186" s="23">
        <f t="shared" si="151"/>
        <v>1942.2918036102126</v>
      </c>
      <c r="AA1186" s="36" t="s">
        <v>132</v>
      </c>
      <c r="AB1186" s="36" t="s">
        <v>132</v>
      </c>
      <c r="AC1186" s="23">
        <v>1650</v>
      </c>
      <c r="AD1186" s="23">
        <f t="shared" si="155"/>
        <v>1947</v>
      </c>
      <c r="AE1186" s="38" t="s">
        <v>173</v>
      </c>
      <c r="AF1186" s="38" t="s">
        <v>83</v>
      </c>
      <c r="AG1186" s="38" t="s">
        <v>83</v>
      </c>
      <c r="AH1186" s="38" t="s">
        <v>545</v>
      </c>
      <c r="AI1186" s="52">
        <v>41625</v>
      </c>
      <c r="AJ1186" s="51">
        <v>41670</v>
      </c>
      <c r="AK1186" s="60"/>
      <c r="AL1186" s="60"/>
      <c r="AM1186" s="60" t="s">
        <v>3633</v>
      </c>
      <c r="AN1186" s="60" t="s">
        <v>353</v>
      </c>
      <c r="AO1186" s="11">
        <v>796</v>
      </c>
      <c r="AP1186" s="38" t="s">
        <v>94</v>
      </c>
      <c r="AQ1186" s="38">
        <v>214</v>
      </c>
      <c r="AR1186" s="38">
        <v>46200</v>
      </c>
      <c r="AS1186" s="16" t="s">
        <v>3383</v>
      </c>
      <c r="AT1186" s="52">
        <v>41690</v>
      </c>
      <c r="AU1186" s="52">
        <v>41690</v>
      </c>
      <c r="AV1186" s="52">
        <v>41851</v>
      </c>
      <c r="AW1186" s="38">
        <v>2014</v>
      </c>
      <c r="AX1186" s="60"/>
      <c r="AY1186" s="135"/>
      <c r="AZ1186" s="60"/>
      <c r="BA1186" s="38"/>
      <c r="BB1186" s="38"/>
      <c r="BC1186" s="60"/>
      <c r="BD1186" s="60"/>
      <c r="BE1186" s="238"/>
      <c r="BF1186" s="238"/>
      <c r="BG1186" s="238"/>
      <c r="BH1186" s="238"/>
      <c r="BI1186" s="238"/>
      <c r="BJ1186" s="304"/>
      <c r="BK1186" s="238"/>
    </row>
    <row r="1187" spans="1:63" s="268" customFormat="1" ht="73.5" customHeight="1">
      <c r="A1187" s="321">
        <v>3</v>
      </c>
      <c r="B1187" s="11" t="s">
        <v>3636</v>
      </c>
      <c r="C1187" s="38" t="s">
        <v>83</v>
      </c>
      <c r="D1187" s="38" t="s">
        <v>3629</v>
      </c>
      <c r="E1187" s="38" t="s">
        <v>250</v>
      </c>
      <c r="F1187" s="38" t="s">
        <v>3615</v>
      </c>
      <c r="G1187" s="38">
        <v>7422000</v>
      </c>
      <c r="H1187" s="11">
        <v>834181</v>
      </c>
      <c r="I1187" s="16" t="s">
        <v>3637</v>
      </c>
      <c r="J1187" s="16" t="s">
        <v>3638</v>
      </c>
      <c r="K1187" s="60" t="s">
        <v>4724</v>
      </c>
      <c r="L1187" s="16" t="s">
        <v>180</v>
      </c>
      <c r="M1187" s="134" t="s">
        <v>1175</v>
      </c>
      <c r="N1187" s="16" t="s">
        <v>5931</v>
      </c>
      <c r="O1187" s="16" t="s">
        <v>3602</v>
      </c>
      <c r="P1187" s="23">
        <v>1661.64</v>
      </c>
      <c r="Q1187" s="23">
        <f t="shared" si="150"/>
        <v>1960.7352000000001</v>
      </c>
      <c r="R1187" s="23">
        <v>2944.1514360313317</v>
      </c>
      <c r="S1187" s="34"/>
      <c r="T1187" s="25">
        <v>1.0840000000000001</v>
      </c>
      <c r="U1187" s="25">
        <v>1.0509999999999999</v>
      </c>
      <c r="V1187" s="25">
        <v>1.0669999999999999</v>
      </c>
      <c r="W1187" s="25">
        <v>1.0529999999999999</v>
      </c>
      <c r="X1187" s="25">
        <v>0.9</v>
      </c>
      <c r="Y1187" s="23">
        <f t="shared" si="154"/>
        <v>3391.778188122611</v>
      </c>
      <c r="Z1187" s="23">
        <f t="shared" si="151"/>
        <v>4002.2982619846807</v>
      </c>
      <c r="AA1187" s="36" t="s">
        <v>132</v>
      </c>
      <c r="AB1187" s="36" t="s">
        <v>132</v>
      </c>
      <c r="AC1187" s="23">
        <v>1891.0319999999999</v>
      </c>
      <c r="AD1187" s="23">
        <f>AC1187*1.18</f>
        <v>2231.4177599999998</v>
      </c>
      <c r="AE1187" s="38" t="s">
        <v>173</v>
      </c>
      <c r="AF1187" s="38" t="s">
        <v>83</v>
      </c>
      <c r="AG1187" s="38" t="s">
        <v>83</v>
      </c>
      <c r="AH1187" s="38" t="s">
        <v>545</v>
      </c>
      <c r="AI1187" s="52">
        <v>41625</v>
      </c>
      <c r="AJ1187" s="51">
        <v>41670</v>
      </c>
      <c r="AK1187" s="60"/>
      <c r="AL1187" s="60"/>
      <c r="AM1187" s="60" t="s">
        <v>3637</v>
      </c>
      <c r="AN1187" s="60" t="s">
        <v>353</v>
      </c>
      <c r="AO1187" s="11">
        <v>796</v>
      </c>
      <c r="AP1187" s="38" t="s">
        <v>94</v>
      </c>
      <c r="AQ1187" s="38" t="s">
        <v>4086</v>
      </c>
      <c r="AR1187" s="38">
        <v>46200</v>
      </c>
      <c r="AS1187" s="16" t="s">
        <v>3383</v>
      </c>
      <c r="AT1187" s="52">
        <v>41690</v>
      </c>
      <c r="AU1187" s="52">
        <v>41690</v>
      </c>
      <c r="AV1187" s="52">
        <v>42004</v>
      </c>
      <c r="AW1187" s="38">
        <v>2014</v>
      </c>
      <c r="AX1187" s="60"/>
      <c r="AY1187" s="135"/>
      <c r="AZ1187" s="60"/>
      <c r="BA1187" s="38"/>
      <c r="BB1187" s="38"/>
      <c r="BC1187" s="60"/>
      <c r="BD1187" s="60"/>
      <c r="BE1187" s="238"/>
      <c r="BF1187" s="238"/>
      <c r="BG1187" s="238"/>
      <c r="BH1187" s="238"/>
      <c r="BI1187" s="238"/>
      <c r="BJ1187" s="304"/>
      <c r="BK1187" s="378"/>
    </row>
    <row r="1188" spans="1:63" s="268" customFormat="1" ht="73.5" customHeight="1">
      <c r="A1188" s="321">
        <v>3</v>
      </c>
      <c r="B1188" s="11" t="s">
        <v>3639</v>
      </c>
      <c r="C1188" s="38" t="s">
        <v>83</v>
      </c>
      <c r="D1188" s="38" t="s">
        <v>3629</v>
      </c>
      <c r="E1188" s="38" t="s">
        <v>250</v>
      </c>
      <c r="F1188" s="38" t="s">
        <v>3640</v>
      </c>
      <c r="G1188" s="38">
        <v>7422000</v>
      </c>
      <c r="H1188" s="11">
        <v>834182</v>
      </c>
      <c r="I1188" s="16" t="s">
        <v>1023</v>
      </c>
      <c r="J1188" s="16" t="s">
        <v>3641</v>
      </c>
      <c r="K1188" s="60" t="s">
        <v>4724</v>
      </c>
      <c r="L1188" s="16" t="s">
        <v>180</v>
      </c>
      <c r="M1188" s="134" t="s">
        <v>1175</v>
      </c>
      <c r="N1188" s="16" t="s">
        <v>5931</v>
      </c>
      <c r="O1188" s="16" t="s">
        <v>3602</v>
      </c>
      <c r="P1188" s="23">
        <v>4860</v>
      </c>
      <c r="Q1188" s="23">
        <f t="shared" si="150"/>
        <v>5734.7999999999993</v>
      </c>
      <c r="R1188" s="23">
        <v>4208.4046997389032</v>
      </c>
      <c r="S1188" s="34"/>
      <c r="T1188" s="25">
        <v>1.0840000000000001</v>
      </c>
      <c r="U1188" s="25">
        <v>1.0509999999999999</v>
      </c>
      <c r="V1188" s="25">
        <v>1.0669999999999999</v>
      </c>
      <c r="W1188" s="25">
        <v>1.0529999999999999</v>
      </c>
      <c r="X1188" s="25">
        <v>0.9</v>
      </c>
      <c r="Y1188" s="23">
        <f t="shared" si="154"/>
        <v>4848.2476453752615</v>
      </c>
      <c r="Z1188" s="23">
        <f t="shared" si="151"/>
        <v>5720.9322215428083</v>
      </c>
      <c r="AA1188" s="36" t="s">
        <v>132</v>
      </c>
      <c r="AB1188" s="36" t="s">
        <v>132</v>
      </c>
      <c r="AC1188" s="23">
        <v>4860</v>
      </c>
      <c r="AD1188" s="23">
        <f t="shared" si="155"/>
        <v>5734.7999999999993</v>
      </c>
      <c r="AE1188" s="38" t="s">
        <v>173</v>
      </c>
      <c r="AF1188" s="38" t="s">
        <v>83</v>
      </c>
      <c r="AG1188" s="38" t="s">
        <v>83</v>
      </c>
      <c r="AH1188" s="38" t="s">
        <v>545</v>
      </c>
      <c r="AI1188" s="52">
        <v>41625</v>
      </c>
      <c r="AJ1188" s="51">
        <v>41670</v>
      </c>
      <c r="AK1188" s="60"/>
      <c r="AL1188" s="60"/>
      <c r="AM1188" s="60" t="s">
        <v>1023</v>
      </c>
      <c r="AN1188" s="60" t="s">
        <v>353</v>
      </c>
      <c r="AO1188" s="11">
        <v>796</v>
      </c>
      <c r="AP1188" s="38" t="s">
        <v>94</v>
      </c>
      <c r="AQ1188" s="38">
        <v>206</v>
      </c>
      <c r="AR1188" s="38">
        <v>46200</v>
      </c>
      <c r="AS1188" s="16" t="s">
        <v>3383</v>
      </c>
      <c r="AT1188" s="52">
        <v>41690</v>
      </c>
      <c r="AU1188" s="52">
        <v>41690</v>
      </c>
      <c r="AV1188" s="52">
        <v>42004</v>
      </c>
      <c r="AW1188" s="38">
        <v>2014</v>
      </c>
      <c r="AX1188" s="60"/>
      <c r="AY1188" s="135"/>
      <c r="AZ1188" s="60"/>
      <c r="BA1188" s="38"/>
      <c r="BB1188" s="38"/>
      <c r="BC1188" s="60"/>
      <c r="BD1188" s="60"/>
      <c r="BE1188" s="238"/>
      <c r="BF1188" s="238"/>
      <c r="BG1188" s="238"/>
      <c r="BH1188" s="238"/>
      <c r="BI1188" s="238"/>
      <c r="BJ1188" s="304"/>
      <c r="BK1188" s="238"/>
    </row>
    <row r="1189" spans="1:63" s="268" customFormat="1" ht="73.5" customHeight="1">
      <c r="A1189" s="321">
        <v>3</v>
      </c>
      <c r="B1189" s="11" t="s">
        <v>3642</v>
      </c>
      <c r="C1189" s="38" t="s">
        <v>83</v>
      </c>
      <c r="D1189" s="38" t="s">
        <v>3629</v>
      </c>
      <c r="E1189" s="38" t="s">
        <v>250</v>
      </c>
      <c r="F1189" s="38" t="s">
        <v>3615</v>
      </c>
      <c r="G1189" s="38">
        <v>7422000</v>
      </c>
      <c r="H1189" s="11">
        <v>834183</v>
      </c>
      <c r="I1189" s="16" t="s">
        <v>3643</v>
      </c>
      <c r="J1189" s="16" t="s">
        <v>3644</v>
      </c>
      <c r="K1189" s="60" t="s">
        <v>4724</v>
      </c>
      <c r="L1189" s="16" t="s">
        <v>180</v>
      </c>
      <c r="M1189" s="134" t="s">
        <v>1175</v>
      </c>
      <c r="N1189" s="16" t="s">
        <v>5931</v>
      </c>
      <c r="O1189" s="16" t="s">
        <v>3609</v>
      </c>
      <c r="P1189" s="23">
        <v>5850</v>
      </c>
      <c r="Q1189" s="23">
        <f t="shared" si="150"/>
        <v>6903</v>
      </c>
      <c r="R1189" s="23">
        <v>5065.6723237597917</v>
      </c>
      <c r="S1189" s="34"/>
      <c r="T1189" s="25">
        <v>1.0840000000000001</v>
      </c>
      <c r="U1189" s="25">
        <v>1.0509999999999999</v>
      </c>
      <c r="V1189" s="25">
        <v>1.0669999999999999</v>
      </c>
      <c r="W1189" s="25">
        <v>1.0529999999999999</v>
      </c>
      <c r="X1189" s="25">
        <v>0.9</v>
      </c>
      <c r="Y1189" s="23">
        <f t="shared" si="154"/>
        <v>5835.8536472109618</v>
      </c>
      <c r="Z1189" s="23">
        <f t="shared" si="151"/>
        <v>6886.3073037089343</v>
      </c>
      <c r="AA1189" s="36" t="s">
        <v>132</v>
      </c>
      <c r="AB1189" s="36" t="s">
        <v>132</v>
      </c>
      <c r="AC1189" s="23">
        <v>5850</v>
      </c>
      <c r="AD1189" s="23">
        <f t="shared" si="155"/>
        <v>6903</v>
      </c>
      <c r="AE1189" s="38" t="s">
        <v>173</v>
      </c>
      <c r="AF1189" s="38" t="s">
        <v>83</v>
      </c>
      <c r="AG1189" s="38" t="s">
        <v>83</v>
      </c>
      <c r="AH1189" s="38" t="s">
        <v>545</v>
      </c>
      <c r="AI1189" s="52">
        <v>41625</v>
      </c>
      <c r="AJ1189" s="51">
        <v>41670</v>
      </c>
      <c r="AK1189" s="60"/>
      <c r="AL1189" s="60"/>
      <c r="AM1189" s="60" t="s">
        <v>3643</v>
      </c>
      <c r="AN1189" s="60" t="s">
        <v>353</v>
      </c>
      <c r="AO1189" s="11">
        <v>796</v>
      </c>
      <c r="AP1189" s="38" t="s">
        <v>94</v>
      </c>
      <c r="AQ1189" s="38" t="s">
        <v>4087</v>
      </c>
      <c r="AR1189" s="38">
        <v>46200</v>
      </c>
      <c r="AS1189" s="16" t="s">
        <v>3383</v>
      </c>
      <c r="AT1189" s="52">
        <v>41690</v>
      </c>
      <c r="AU1189" s="52">
        <v>41690</v>
      </c>
      <c r="AV1189" s="52">
        <v>42004</v>
      </c>
      <c r="AW1189" s="38">
        <v>2014</v>
      </c>
      <c r="AX1189" s="60"/>
      <c r="AY1189" s="135"/>
      <c r="AZ1189" s="60"/>
      <c r="BA1189" s="38"/>
      <c r="BB1189" s="38"/>
      <c r="BC1189" s="60"/>
      <c r="BD1189" s="60"/>
      <c r="BE1189" s="238"/>
      <c r="BF1189" s="238"/>
      <c r="BG1189" s="238"/>
      <c r="BH1189" s="238"/>
      <c r="BI1189" s="238"/>
      <c r="BJ1189" s="304"/>
      <c r="BK1189" s="238"/>
    </row>
    <row r="1190" spans="1:63" s="268" customFormat="1" ht="73.5" customHeight="1">
      <c r="A1190" s="321">
        <v>3</v>
      </c>
      <c r="B1190" s="11" t="s">
        <v>3645</v>
      </c>
      <c r="C1190" s="38" t="s">
        <v>83</v>
      </c>
      <c r="D1190" s="38" t="s">
        <v>3629</v>
      </c>
      <c r="E1190" s="38" t="s">
        <v>250</v>
      </c>
      <c r="F1190" s="38" t="s">
        <v>3606</v>
      </c>
      <c r="G1190" s="38">
        <v>7422000</v>
      </c>
      <c r="H1190" s="11">
        <v>834185</v>
      </c>
      <c r="I1190" s="16" t="s">
        <v>3646</v>
      </c>
      <c r="J1190" s="16" t="s">
        <v>3647</v>
      </c>
      <c r="K1190" s="60" t="s">
        <v>4724</v>
      </c>
      <c r="L1190" s="16" t="s">
        <v>180</v>
      </c>
      <c r="M1190" s="134" t="s">
        <v>1175</v>
      </c>
      <c r="N1190" s="16" t="s">
        <v>5931</v>
      </c>
      <c r="O1190" s="16" t="s">
        <v>3602</v>
      </c>
      <c r="P1190" s="23">
        <v>1661.64</v>
      </c>
      <c r="Q1190" s="23">
        <f t="shared" si="150"/>
        <v>1960.7352000000001</v>
      </c>
      <c r="R1190" s="23">
        <v>1661.64</v>
      </c>
      <c r="S1190" s="34"/>
      <c r="T1190" s="25">
        <v>1.0840000000000001</v>
      </c>
      <c r="U1190" s="25">
        <v>1.0509999999999999</v>
      </c>
      <c r="V1190" s="25">
        <v>1.0669999999999999</v>
      </c>
      <c r="W1190" s="25">
        <v>1.0529999999999999</v>
      </c>
      <c r="X1190" s="25">
        <v>0.9</v>
      </c>
      <c r="Y1190" s="23">
        <f t="shared" si="154"/>
        <v>1914.274598629062</v>
      </c>
      <c r="Z1190" s="23">
        <f t="shared" si="151"/>
        <v>2258.8440263822931</v>
      </c>
      <c r="AA1190" s="36" t="s">
        <v>132</v>
      </c>
      <c r="AB1190" s="36" t="s">
        <v>132</v>
      </c>
      <c r="AC1190" s="23">
        <v>1661.64</v>
      </c>
      <c r="AD1190" s="23">
        <f t="shared" si="155"/>
        <v>1960.7352000000001</v>
      </c>
      <c r="AE1190" s="38" t="s">
        <v>173</v>
      </c>
      <c r="AF1190" s="38" t="s">
        <v>83</v>
      </c>
      <c r="AG1190" s="38" t="s">
        <v>83</v>
      </c>
      <c r="AH1190" s="38" t="s">
        <v>545</v>
      </c>
      <c r="AI1190" s="52">
        <f>AJ1190-45</f>
        <v>41665</v>
      </c>
      <c r="AJ1190" s="52">
        <v>41710</v>
      </c>
      <c r="AK1190" s="60"/>
      <c r="AL1190" s="60"/>
      <c r="AM1190" s="60" t="s">
        <v>3646</v>
      </c>
      <c r="AN1190" s="60" t="s">
        <v>353</v>
      </c>
      <c r="AO1190" s="11">
        <v>796</v>
      </c>
      <c r="AP1190" s="38" t="s">
        <v>94</v>
      </c>
      <c r="AQ1190" s="38">
        <v>14</v>
      </c>
      <c r="AR1190" s="38">
        <v>46200</v>
      </c>
      <c r="AS1190" s="16" t="s">
        <v>3383</v>
      </c>
      <c r="AT1190" s="52">
        <v>41730</v>
      </c>
      <c r="AU1190" s="52">
        <v>41730</v>
      </c>
      <c r="AV1190" s="52">
        <v>41851</v>
      </c>
      <c r="AW1190" s="38">
        <v>2014</v>
      </c>
      <c r="AX1190" s="60"/>
      <c r="AY1190" s="135"/>
      <c r="AZ1190" s="60"/>
      <c r="BA1190" s="38"/>
      <c r="BB1190" s="38"/>
      <c r="BC1190" s="60"/>
      <c r="BD1190" s="60"/>
      <c r="BE1190" s="238"/>
      <c r="BF1190" s="238"/>
      <c r="BG1190" s="238"/>
      <c r="BH1190" s="238"/>
      <c r="BI1190" s="238"/>
      <c r="BJ1190" s="304"/>
      <c r="BK1190" s="378"/>
    </row>
    <row r="1191" spans="1:63" s="268" customFormat="1" ht="73.5" customHeight="1">
      <c r="A1191" s="321">
        <v>3</v>
      </c>
      <c r="B1191" s="11" t="s">
        <v>3649</v>
      </c>
      <c r="C1191" s="38" t="s">
        <v>83</v>
      </c>
      <c r="D1191" s="38" t="s">
        <v>3648</v>
      </c>
      <c r="E1191" s="38" t="s">
        <v>250</v>
      </c>
      <c r="F1191" s="38" t="s">
        <v>816</v>
      </c>
      <c r="G1191" s="38">
        <v>7422000</v>
      </c>
      <c r="H1191" s="11">
        <v>834184</v>
      </c>
      <c r="I1191" s="16" t="s">
        <v>3650</v>
      </c>
      <c r="J1191" s="16" t="s">
        <v>3651</v>
      </c>
      <c r="K1191" s="60" t="s">
        <v>4724</v>
      </c>
      <c r="L1191" s="16" t="s">
        <v>180</v>
      </c>
      <c r="M1191" s="134" t="s">
        <v>1184</v>
      </c>
      <c r="N1191" s="16" t="s">
        <v>5900</v>
      </c>
      <c r="O1191" s="16" t="s">
        <v>3609</v>
      </c>
      <c r="P1191" s="23">
        <v>2636.59</v>
      </c>
      <c r="Q1191" s="23">
        <f>P1191*1.18</f>
        <v>3111.1761999999999</v>
      </c>
      <c r="R1191" s="23"/>
      <c r="S1191" s="34"/>
      <c r="T1191" s="25"/>
      <c r="U1191" s="25"/>
      <c r="V1191" s="25"/>
      <c r="W1191" s="25"/>
      <c r="X1191" s="25"/>
      <c r="Y1191" s="23">
        <v>2636.59</v>
      </c>
      <c r="Z1191" s="23">
        <f>Y1191*1.18</f>
        <v>3111.1761999999999</v>
      </c>
      <c r="AA1191" s="36" t="s">
        <v>132</v>
      </c>
      <c r="AB1191" s="36" t="s">
        <v>132</v>
      </c>
      <c r="AC1191" s="23">
        <v>2636.59</v>
      </c>
      <c r="AD1191" s="23">
        <f>AC1191*1.18</f>
        <v>3111.1761999999999</v>
      </c>
      <c r="AE1191" s="38" t="s">
        <v>173</v>
      </c>
      <c r="AF1191" s="38" t="s">
        <v>83</v>
      </c>
      <c r="AG1191" s="38" t="s">
        <v>83</v>
      </c>
      <c r="AH1191" s="38" t="s">
        <v>545</v>
      </c>
      <c r="AI1191" s="52">
        <f>AJ1191-45</f>
        <v>41787</v>
      </c>
      <c r="AJ1191" s="52">
        <v>41832</v>
      </c>
      <c r="AK1191" s="60"/>
      <c r="AL1191" s="60"/>
      <c r="AM1191" s="60" t="s">
        <v>3650</v>
      </c>
      <c r="AN1191" s="60" t="s">
        <v>353</v>
      </c>
      <c r="AO1191" s="11">
        <v>796</v>
      </c>
      <c r="AP1191" s="38" t="s">
        <v>94</v>
      </c>
      <c r="AQ1191" s="38" t="s">
        <v>4088</v>
      </c>
      <c r="AR1191" s="38">
        <v>46200</v>
      </c>
      <c r="AS1191" s="16" t="s">
        <v>3383</v>
      </c>
      <c r="AT1191" s="52">
        <v>41852</v>
      </c>
      <c r="AU1191" s="52">
        <v>41852</v>
      </c>
      <c r="AV1191" s="52">
        <v>42216</v>
      </c>
      <c r="AW1191" s="38" t="s">
        <v>99</v>
      </c>
      <c r="AX1191" s="60"/>
      <c r="AY1191" s="135"/>
      <c r="AZ1191" s="60"/>
      <c r="BA1191" s="38"/>
      <c r="BB1191" s="38"/>
      <c r="BC1191" s="60"/>
      <c r="BD1191" s="60"/>
      <c r="BE1191" s="238"/>
      <c r="BF1191" s="238"/>
      <c r="BG1191" s="238"/>
      <c r="BH1191" s="238"/>
      <c r="BI1191" s="238"/>
      <c r="BJ1191" s="304"/>
      <c r="BK1191" s="378"/>
    </row>
    <row r="1192" spans="1:63" s="268" customFormat="1" ht="73.5" customHeight="1">
      <c r="A1192" s="321">
        <v>3</v>
      </c>
      <c r="B1192" s="11" t="s">
        <v>3652</v>
      </c>
      <c r="C1192" s="38" t="s">
        <v>83</v>
      </c>
      <c r="D1192" s="38" t="s">
        <v>3648</v>
      </c>
      <c r="E1192" s="38" t="s">
        <v>250</v>
      </c>
      <c r="F1192" s="38" t="s">
        <v>3653</v>
      </c>
      <c r="G1192" s="38">
        <v>7422000</v>
      </c>
      <c r="H1192" s="11">
        <v>834188</v>
      </c>
      <c r="I1192" s="16" t="s">
        <v>3654</v>
      </c>
      <c r="J1192" s="16" t="s">
        <v>3655</v>
      </c>
      <c r="K1192" s="60" t="s">
        <v>4724</v>
      </c>
      <c r="L1192" s="16" t="s">
        <v>180</v>
      </c>
      <c r="M1192" s="134" t="s">
        <v>1184</v>
      </c>
      <c r="N1192" s="16" t="s">
        <v>5900</v>
      </c>
      <c r="O1192" s="16" t="s">
        <v>3627</v>
      </c>
      <c r="P1192" s="23">
        <v>1026.22</v>
      </c>
      <c r="Q1192" s="23">
        <f t="shared" ref="Q1192:Q1245" si="156">P1192*1.18</f>
        <v>1210.9395999999999</v>
      </c>
      <c r="R1192" s="23">
        <v>865.92689295039179</v>
      </c>
      <c r="S1192" s="34"/>
      <c r="T1192" s="25">
        <v>1.0840000000000001</v>
      </c>
      <c r="U1192" s="25">
        <v>1.0509999999999999</v>
      </c>
      <c r="V1192" s="25">
        <v>1.0669999999999999</v>
      </c>
      <c r="W1192" s="25">
        <v>1.0529999999999999</v>
      </c>
      <c r="X1192" s="25">
        <v>0.9</v>
      </c>
      <c r="Y1192" s="23">
        <f>R1192*T1192*U1192*V1192*W1192*0.9</f>
        <v>997.58182003606203</v>
      </c>
      <c r="Z1192" s="23">
        <f t="shared" ref="Z1192:Z1245" si="157">Y1192*1.18</f>
        <v>1177.1465476425531</v>
      </c>
      <c r="AA1192" s="36" t="s">
        <v>132</v>
      </c>
      <c r="AB1192" s="36" t="s">
        <v>132</v>
      </c>
      <c r="AC1192" s="23">
        <v>1026.22</v>
      </c>
      <c r="AD1192" s="23">
        <f t="shared" si="155"/>
        <v>1210.9395999999999</v>
      </c>
      <c r="AE1192" s="38" t="s">
        <v>173</v>
      </c>
      <c r="AF1192" s="38" t="s">
        <v>83</v>
      </c>
      <c r="AG1192" s="38" t="s">
        <v>83</v>
      </c>
      <c r="AH1192" s="38" t="s">
        <v>545</v>
      </c>
      <c r="AI1192" s="52">
        <v>41716</v>
      </c>
      <c r="AJ1192" s="52">
        <v>41761</v>
      </c>
      <c r="AK1192" s="60"/>
      <c r="AL1192" s="60"/>
      <c r="AM1192" s="60" t="s">
        <v>3654</v>
      </c>
      <c r="AN1192" s="60" t="s">
        <v>353</v>
      </c>
      <c r="AO1192" s="11">
        <v>55</v>
      </c>
      <c r="AP1192" s="38" t="s">
        <v>272</v>
      </c>
      <c r="AQ1192" s="38">
        <v>15479</v>
      </c>
      <c r="AR1192" s="38">
        <v>46200</v>
      </c>
      <c r="AS1192" s="16" t="s">
        <v>3383</v>
      </c>
      <c r="AT1192" s="52">
        <v>41781</v>
      </c>
      <c r="AU1192" s="52">
        <v>41781</v>
      </c>
      <c r="AV1192" s="52">
        <v>41943</v>
      </c>
      <c r="AW1192" s="38">
        <v>2014</v>
      </c>
      <c r="AX1192" s="60"/>
      <c r="AY1192" s="135"/>
      <c r="AZ1192" s="60"/>
      <c r="BA1192" s="38"/>
      <c r="BB1192" s="38"/>
      <c r="BC1192" s="60"/>
      <c r="BD1192" s="60"/>
      <c r="BE1192" s="238"/>
      <c r="BF1192" s="238"/>
      <c r="BG1192" s="238"/>
      <c r="BH1192" s="238"/>
      <c r="BI1192" s="238"/>
      <c r="BJ1192" s="304"/>
      <c r="BK1192" s="453"/>
    </row>
    <row r="1193" spans="1:63" s="268" customFormat="1" ht="73.5" customHeight="1">
      <c r="A1193" s="321">
        <v>3</v>
      </c>
      <c r="B1193" s="11" t="s">
        <v>3656</v>
      </c>
      <c r="C1193" s="38" t="s">
        <v>83</v>
      </c>
      <c r="D1193" s="38" t="s">
        <v>3657</v>
      </c>
      <c r="E1193" s="38" t="s">
        <v>250</v>
      </c>
      <c r="F1193" s="38" t="s">
        <v>694</v>
      </c>
      <c r="G1193" s="38">
        <v>7422000</v>
      </c>
      <c r="H1193" s="11">
        <v>834189</v>
      </c>
      <c r="I1193" s="16" t="s">
        <v>3658</v>
      </c>
      <c r="J1193" s="16" t="s">
        <v>3659</v>
      </c>
      <c r="K1193" s="60" t="s">
        <v>4724</v>
      </c>
      <c r="L1193" s="16" t="s">
        <v>180</v>
      </c>
      <c r="M1193" s="134" t="s">
        <v>1175</v>
      </c>
      <c r="N1193" s="16" t="s">
        <v>5935</v>
      </c>
      <c r="O1193" s="16" t="s">
        <v>3660</v>
      </c>
      <c r="P1193" s="451">
        <v>46000</v>
      </c>
      <c r="Q1193" s="23">
        <f t="shared" si="156"/>
        <v>54280</v>
      </c>
      <c r="R1193" s="23"/>
      <c r="S1193" s="34"/>
      <c r="T1193" s="25"/>
      <c r="U1193" s="25"/>
      <c r="V1193" s="25"/>
      <c r="W1193" s="25"/>
      <c r="X1193" s="25"/>
      <c r="Y1193" s="451">
        <v>46000</v>
      </c>
      <c r="Z1193" s="23">
        <f t="shared" si="157"/>
        <v>54280</v>
      </c>
      <c r="AA1193" s="36" t="s">
        <v>132</v>
      </c>
      <c r="AB1193" s="36" t="s">
        <v>132</v>
      </c>
      <c r="AC1193" s="451">
        <v>46000</v>
      </c>
      <c r="AD1193" s="23">
        <f>AC1193*1.18</f>
        <v>54280</v>
      </c>
      <c r="AE1193" s="38" t="s">
        <v>169</v>
      </c>
      <c r="AF1193" s="38" t="s">
        <v>83</v>
      </c>
      <c r="AG1193" s="38" t="s">
        <v>83</v>
      </c>
      <c r="AH1193" s="38" t="s">
        <v>545</v>
      </c>
      <c r="AI1193" s="52">
        <f>AJ1193-31</f>
        <v>41740</v>
      </c>
      <c r="AJ1193" s="52">
        <v>41771</v>
      </c>
      <c r="AK1193" s="60"/>
      <c r="AL1193" s="60"/>
      <c r="AM1193" s="60" t="s">
        <v>3658</v>
      </c>
      <c r="AN1193" s="60" t="s">
        <v>353</v>
      </c>
      <c r="AO1193" s="11">
        <v>796</v>
      </c>
      <c r="AP1193" s="38" t="s">
        <v>94</v>
      </c>
      <c r="AQ1193" s="38" t="s">
        <v>4089</v>
      </c>
      <c r="AR1193" s="38">
        <v>46200</v>
      </c>
      <c r="AS1193" s="16" t="s">
        <v>3383</v>
      </c>
      <c r="AT1193" s="52">
        <v>41791</v>
      </c>
      <c r="AU1193" s="52">
        <v>41791</v>
      </c>
      <c r="AV1193" s="52">
        <v>42155</v>
      </c>
      <c r="AW1193" s="38" t="s">
        <v>99</v>
      </c>
      <c r="AX1193" s="60"/>
      <c r="AY1193" s="135"/>
      <c r="AZ1193" s="60"/>
      <c r="BA1193" s="38"/>
      <c r="BB1193" s="38"/>
      <c r="BC1193" s="60"/>
      <c r="BD1193" s="60"/>
      <c r="BE1193" s="238"/>
      <c r="BF1193" s="238"/>
      <c r="BG1193" s="238"/>
      <c r="BH1193" s="238"/>
      <c r="BI1193" s="238"/>
      <c r="BJ1193" s="304"/>
      <c r="BK1193" s="378"/>
    </row>
    <row r="1194" spans="1:63" s="268" customFormat="1" ht="73.5" customHeight="1">
      <c r="A1194" s="321">
        <v>3</v>
      </c>
      <c r="B1194" s="11" t="s">
        <v>3661</v>
      </c>
      <c r="C1194" s="38" t="s">
        <v>83</v>
      </c>
      <c r="D1194" s="38" t="s">
        <v>3657</v>
      </c>
      <c r="E1194" s="38" t="s">
        <v>250</v>
      </c>
      <c r="F1194" s="38" t="s">
        <v>694</v>
      </c>
      <c r="G1194" s="38">
        <v>7422000</v>
      </c>
      <c r="H1194" s="11">
        <v>834190</v>
      </c>
      <c r="I1194" s="16" t="s">
        <v>3662</v>
      </c>
      <c r="J1194" s="16" t="s">
        <v>3663</v>
      </c>
      <c r="K1194" s="60" t="s">
        <v>4724</v>
      </c>
      <c r="L1194" s="16" t="s">
        <v>180</v>
      </c>
      <c r="M1194" s="134" t="s">
        <v>270</v>
      </c>
      <c r="N1194" s="16" t="s">
        <v>5882</v>
      </c>
      <c r="O1194" s="16" t="s">
        <v>1490</v>
      </c>
      <c r="P1194" s="23">
        <v>28000</v>
      </c>
      <c r="Q1194" s="23">
        <f t="shared" si="156"/>
        <v>33040</v>
      </c>
      <c r="R1194" s="23"/>
      <c r="S1194" s="34"/>
      <c r="T1194" s="25"/>
      <c r="U1194" s="25"/>
      <c r="V1194" s="25"/>
      <c r="W1194" s="25"/>
      <c r="X1194" s="25"/>
      <c r="Y1194" s="23">
        <v>28000</v>
      </c>
      <c r="Z1194" s="23">
        <f t="shared" si="157"/>
        <v>33040</v>
      </c>
      <c r="AA1194" s="36" t="s">
        <v>132</v>
      </c>
      <c r="AB1194" s="36" t="s">
        <v>132</v>
      </c>
      <c r="AC1194" s="23">
        <v>28000</v>
      </c>
      <c r="AD1194" s="23">
        <f t="shared" si="155"/>
        <v>33040</v>
      </c>
      <c r="AE1194" s="38" t="s">
        <v>169</v>
      </c>
      <c r="AF1194" s="38" t="s">
        <v>83</v>
      </c>
      <c r="AG1194" s="38" t="s">
        <v>83</v>
      </c>
      <c r="AH1194" s="38" t="s">
        <v>545</v>
      </c>
      <c r="AI1194" s="52">
        <f>AJ1194-31</f>
        <v>41832</v>
      </c>
      <c r="AJ1194" s="52">
        <v>41863</v>
      </c>
      <c r="AK1194" s="60"/>
      <c r="AL1194" s="60"/>
      <c r="AM1194" s="60" t="s">
        <v>3662</v>
      </c>
      <c r="AN1194" s="60" t="s">
        <v>353</v>
      </c>
      <c r="AO1194" s="11">
        <v>55</v>
      </c>
      <c r="AP1194" s="38" t="s">
        <v>272</v>
      </c>
      <c r="AQ1194" s="38">
        <v>59784.1</v>
      </c>
      <c r="AR1194" s="38">
        <v>46200</v>
      </c>
      <c r="AS1194" s="16" t="s">
        <v>3383</v>
      </c>
      <c r="AT1194" s="78">
        <v>41883</v>
      </c>
      <c r="AU1194" s="78">
        <v>41883</v>
      </c>
      <c r="AV1194" s="51">
        <v>42247</v>
      </c>
      <c r="AW1194" s="38" t="s">
        <v>99</v>
      </c>
      <c r="AX1194" s="60"/>
      <c r="AY1194" s="135"/>
      <c r="AZ1194" s="60"/>
      <c r="BA1194" s="38"/>
      <c r="BB1194" s="38"/>
      <c r="BC1194" s="60"/>
      <c r="BD1194" s="60"/>
      <c r="BE1194" s="238"/>
      <c r="BF1194" s="238"/>
      <c r="BG1194" s="238"/>
      <c r="BH1194" s="238"/>
      <c r="BI1194" s="238"/>
      <c r="BJ1194" s="304"/>
      <c r="BK1194" s="238"/>
    </row>
    <row r="1195" spans="1:63" s="268" customFormat="1" ht="73.5" customHeight="1">
      <c r="A1195" s="321">
        <v>3</v>
      </c>
      <c r="B1195" s="11" t="s">
        <v>3664</v>
      </c>
      <c r="C1195" s="38" t="s">
        <v>83</v>
      </c>
      <c r="D1195" s="38" t="s">
        <v>3657</v>
      </c>
      <c r="E1195" s="38" t="s">
        <v>250</v>
      </c>
      <c r="F1195" s="38" t="s">
        <v>3606</v>
      </c>
      <c r="G1195" s="38">
        <v>7422000</v>
      </c>
      <c r="H1195" s="11">
        <v>834191</v>
      </c>
      <c r="I1195" s="16" t="s">
        <v>4292</v>
      </c>
      <c r="J1195" s="16" t="s">
        <v>3666</v>
      </c>
      <c r="K1195" s="60" t="s">
        <v>4724</v>
      </c>
      <c r="L1195" s="16" t="s">
        <v>180</v>
      </c>
      <c r="M1195" s="134" t="s">
        <v>1175</v>
      </c>
      <c r="N1195" s="16" t="s">
        <v>5935</v>
      </c>
      <c r="O1195" s="16" t="s">
        <v>3667</v>
      </c>
      <c r="P1195" s="23">
        <v>5000</v>
      </c>
      <c r="Q1195" s="23">
        <f t="shared" si="156"/>
        <v>5900</v>
      </c>
      <c r="R1195" s="23">
        <v>4329.6344647519591</v>
      </c>
      <c r="S1195" s="34"/>
      <c r="T1195" s="25">
        <v>1.0840000000000001</v>
      </c>
      <c r="U1195" s="25">
        <v>1.0509999999999999</v>
      </c>
      <c r="V1195" s="25">
        <v>1.0669999999999999</v>
      </c>
      <c r="W1195" s="25">
        <v>1.0529999999999999</v>
      </c>
      <c r="X1195" s="25">
        <v>0.9</v>
      </c>
      <c r="Y1195" s="23">
        <f>R1195*T1195*U1195*V1195*W1195*0.9</f>
        <v>4987.9091001803108</v>
      </c>
      <c r="Z1195" s="23">
        <f t="shared" si="157"/>
        <v>5885.7327382127669</v>
      </c>
      <c r="AA1195" s="36" t="s">
        <v>132</v>
      </c>
      <c r="AB1195" s="36" t="s">
        <v>132</v>
      </c>
      <c r="AC1195" s="23">
        <v>4986.49</v>
      </c>
      <c r="AD1195" s="23">
        <f>AC1195*1.18</f>
        <v>5884.0581999999995</v>
      </c>
      <c r="AE1195" s="38" t="s">
        <v>173</v>
      </c>
      <c r="AF1195" s="38" t="s">
        <v>83</v>
      </c>
      <c r="AG1195" s="38" t="s">
        <v>83</v>
      </c>
      <c r="AH1195" s="38" t="s">
        <v>545</v>
      </c>
      <c r="AI1195" s="52">
        <f>AJ1195-45</f>
        <v>41665</v>
      </c>
      <c r="AJ1195" s="52">
        <v>41710</v>
      </c>
      <c r="AK1195" s="60"/>
      <c r="AL1195" s="60"/>
      <c r="AM1195" s="60" t="s">
        <v>3665</v>
      </c>
      <c r="AN1195" s="60" t="s">
        <v>353</v>
      </c>
      <c r="AO1195" s="11">
        <v>796</v>
      </c>
      <c r="AP1195" s="38" t="s">
        <v>94</v>
      </c>
      <c r="AQ1195" s="38">
        <v>201</v>
      </c>
      <c r="AR1195" s="38">
        <v>46200</v>
      </c>
      <c r="AS1195" s="16" t="s">
        <v>3383</v>
      </c>
      <c r="AT1195" s="52">
        <v>41730</v>
      </c>
      <c r="AU1195" s="51">
        <v>41730</v>
      </c>
      <c r="AV1195" s="52">
        <v>41851</v>
      </c>
      <c r="AW1195" s="38">
        <v>2014</v>
      </c>
      <c r="AX1195" s="60"/>
      <c r="AY1195" s="135"/>
      <c r="AZ1195" s="60"/>
      <c r="BA1195" s="38"/>
      <c r="BB1195" s="38"/>
      <c r="BC1195" s="60"/>
      <c r="BD1195" s="60"/>
      <c r="BE1195" s="238"/>
      <c r="BF1195" s="238"/>
      <c r="BG1195" s="238"/>
      <c r="BH1195" s="238"/>
      <c r="BI1195" s="238"/>
      <c r="BJ1195" s="304"/>
      <c r="BK1195" s="238"/>
    </row>
    <row r="1196" spans="1:63" s="268" customFormat="1" ht="73.5" customHeight="1">
      <c r="A1196" s="321">
        <v>3</v>
      </c>
      <c r="B1196" s="11" t="s">
        <v>3668</v>
      </c>
      <c r="C1196" s="38" t="s">
        <v>83</v>
      </c>
      <c r="D1196" s="38" t="s">
        <v>3657</v>
      </c>
      <c r="E1196" s="38" t="s">
        <v>250</v>
      </c>
      <c r="F1196" s="38" t="s">
        <v>3669</v>
      </c>
      <c r="G1196" s="38">
        <v>7422000</v>
      </c>
      <c r="H1196" s="11">
        <v>834192</v>
      </c>
      <c r="I1196" s="16" t="s">
        <v>3670</v>
      </c>
      <c r="J1196" s="16" t="s">
        <v>3671</v>
      </c>
      <c r="K1196" s="60" t="s">
        <v>4724</v>
      </c>
      <c r="L1196" s="16" t="s">
        <v>180</v>
      </c>
      <c r="M1196" s="134" t="s">
        <v>1175</v>
      </c>
      <c r="N1196" s="16" t="s">
        <v>5881</v>
      </c>
      <c r="O1196" s="16" t="s">
        <v>3672</v>
      </c>
      <c r="P1196" s="23">
        <v>2745.97</v>
      </c>
      <c r="Q1196" s="23">
        <f t="shared" si="156"/>
        <v>3240.2445999999995</v>
      </c>
      <c r="R1196" s="23">
        <v>2745.97</v>
      </c>
      <c r="S1196" s="34"/>
      <c r="T1196" s="25"/>
      <c r="U1196" s="25"/>
      <c r="V1196" s="25"/>
      <c r="W1196" s="25"/>
      <c r="X1196" s="25"/>
      <c r="Y1196" s="23">
        <v>2745.97</v>
      </c>
      <c r="Z1196" s="23">
        <f t="shared" si="157"/>
        <v>3240.2445999999995</v>
      </c>
      <c r="AA1196" s="36" t="s">
        <v>132</v>
      </c>
      <c r="AB1196" s="36" t="s">
        <v>132</v>
      </c>
      <c r="AC1196" s="23">
        <v>2745.97</v>
      </c>
      <c r="AD1196" s="23">
        <f>Q1196</f>
        <v>3240.2445999999995</v>
      </c>
      <c r="AE1196" s="38" t="s">
        <v>173</v>
      </c>
      <c r="AF1196" s="38" t="s">
        <v>83</v>
      </c>
      <c r="AG1196" s="38" t="s">
        <v>83</v>
      </c>
      <c r="AH1196" s="38" t="s">
        <v>545</v>
      </c>
      <c r="AI1196" s="52">
        <v>41625</v>
      </c>
      <c r="AJ1196" s="51">
        <v>41670</v>
      </c>
      <c r="AK1196" s="60"/>
      <c r="AL1196" s="60"/>
      <c r="AM1196" s="60" t="s">
        <v>3670</v>
      </c>
      <c r="AN1196" s="60" t="s">
        <v>353</v>
      </c>
      <c r="AO1196" s="11">
        <v>796</v>
      </c>
      <c r="AP1196" s="38" t="s">
        <v>94</v>
      </c>
      <c r="AQ1196" s="38" t="s">
        <v>4090</v>
      </c>
      <c r="AR1196" s="38">
        <v>46200</v>
      </c>
      <c r="AS1196" s="16" t="s">
        <v>3383</v>
      </c>
      <c r="AT1196" s="52">
        <v>41690</v>
      </c>
      <c r="AU1196" s="52">
        <v>41690</v>
      </c>
      <c r="AV1196" s="52">
        <v>42004</v>
      </c>
      <c r="AW1196" s="38">
        <v>2014</v>
      </c>
      <c r="AX1196" s="60"/>
      <c r="AY1196" s="135"/>
      <c r="AZ1196" s="60"/>
      <c r="BA1196" s="38"/>
      <c r="BB1196" s="38"/>
      <c r="BC1196" s="60"/>
      <c r="BD1196" s="60"/>
      <c r="BE1196" s="238"/>
      <c r="BF1196" s="238"/>
      <c r="BG1196" s="238"/>
      <c r="BH1196" s="238"/>
      <c r="BI1196" s="238"/>
      <c r="BJ1196" s="304"/>
      <c r="BK1196" s="378"/>
    </row>
    <row r="1197" spans="1:63" s="268" customFormat="1" ht="73.5" customHeight="1">
      <c r="A1197" s="321">
        <v>3</v>
      </c>
      <c r="B1197" s="11" t="s">
        <v>3673</v>
      </c>
      <c r="C1197" s="38" t="s">
        <v>83</v>
      </c>
      <c r="D1197" s="38" t="s">
        <v>3674</v>
      </c>
      <c r="E1197" s="38" t="s">
        <v>250</v>
      </c>
      <c r="F1197" s="38" t="s">
        <v>694</v>
      </c>
      <c r="G1197" s="38">
        <v>7422000</v>
      </c>
      <c r="H1197" s="11">
        <v>834193</v>
      </c>
      <c r="I1197" s="16" t="s">
        <v>3675</v>
      </c>
      <c r="J1197" s="16" t="s">
        <v>192</v>
      </c>
      <c r="K1197" s="60" t="s">
        <v>4724</v>
      </c>
      <c r="L1197" s="16" t="s">
        <v>180</v>
      </c>
      <c r="M1197" s="191" t="s">
        <v>675</v>
      </c>
      <c r="N1197" s="16" t="s">
        <v>5868</v>
      </c>
      <c r="O1197" s="16" t="s">
        <v>3660</v>
      </c>
      <c r="P1197" s="23">
        <v>1000</v>
      </c>
      <c r="Q1197" s="23">
        <f t="shared" si="156"/>
        <v>1180</v>
      </c>
      <c r="R1197" s="23">
        <v>865.92689295039179</v>
      </c>
      <c r="S1197" s="34"/>
      <c r="T1197" s="25">
        <v>1.0840000000000001</v>
      </c>
      <c r="U1197" s="25">
        <v>1.0509999999999999</v>
      </c>
      <c r="V1197" s="25">
        <v>1.0669999999999999</v>
      </c>
      <c r="W1197" s="25">
        <v>1.0529999999999999</v>
      </c>
      <c r="X1197" s="25">
        <v>0.9</v>
      </c>
      <c r="Y1197" s="23">
        <f>R1197*T1197*U1197*V1197*W1197*0.9</f>
        <v>997.58182003606203</v>
      </c>
      <c r="Z1197" s="23">
        <f t="shared" si="157"/>
        <v>1177.1465476425531</v>
      </c>
      <c r="AA1197" s="36" t="s">
        <v>132</v>
      </c>
      <c r="AB1197" s="36" t="s">
        <v>132</v>
      </c>
      <c r="AC1197" s="23">
        <v>1000</v>
      </c>
      <c r="AD1197" s="23">
        <f>Q1197</f>
        <v>1180</v>
      </c>
      <c r="AE1197" s="38" t="s">
        <v>173</v>
      </c>
      <c r="AF1197" s="38" t="s">
        <v>83</v>
      </c>
      <c r="AG1197" s="38" t="s">
        <v>83</v>
      </c>
      <c r="AH1197" s="38" t="s">
        <v>545</v>
      </c>
      <c r="AI1197" s="52">
        <f>AJ1197-45</f>
        <v>41726</v>
      </c>
      <c r="AJ1197" s="52">
        <v>41771</v>
      </c>
      <c r="AK1197" s="60"/>
      <c r="AL1197" s="60"/>
      <c r="AM1197" s="60" t="s">
        <v>3675</v>
      </c>
      <c r="AN1197" s="60" t="s">
        <v>353</v>
      </c>
      <c r="AO1197" s="11">
        <v>796</v>
      </c>
      <c r="AP1197" s="38" t="s">
        <v>94</v>
      </c>
      <c r="AQ1197" s="38" t="s">
        <v>4091</v>
      </c>
      <c r="AR1197" s="38">
        <v>46200</v>
      </c>
      <c r="AS1197" s="16" t="s">
        <v>3383</v>
      </c>
      <c r="AT1197" s="52">
        <v>41791</v>
      </c>
      <c r="AU1197" s="52">
        <v>41791</v>
      </c>
      <c r="AV1197" s="52">
        <v>42004</v>
      </c>
      <c r="AW1197" s="38">
        <v>2014</v>
      </c>
      <c r="AX1197" s="60"/>
      <c r="AY1197" s="135"/>
      <c r="AZ1197" s="60"/>
      <c r="BA1197" s="38"/>
      <c r="BB1197" s="38"/>
      <c r="BC1197" s="60"/>
      <c r="BD1197" s="60"/>
      <c r="BE1197" s="238"/>
      <c r="BF1197" s="238"/>
      <c r="BG1197" s="238"/>
      <c r="BH1197" s="238"/>
      <c r="BI1197" s="238"/>
      <c r="BJ1197" s="304"/>
      <c r="BK1197" s="238"/>
    </row>
    <row r="1198" spans="1:63" s="268" customFormat="1" ht="73.5" customHeight="1">
      <c r="A1198" s="321">
        <v>3</v>
      </c>
      <c r="B1198" s="11" t="s">
        <v>3676</v>
      </c>
      <c r="C1198" s="38" t="s">
        <v>83</v>
      </c>
      <c r="D1198" s="38" t="s">
        <v>3674</v>
      </c>
      <c r="E1198" s="38" t="s">
        <v>250</v>
      </c>
      <c r="F1198" s="38" t="s">
        <v>694</v>
      </c>
      <c r="G1198" s="38">
        <v>7422000</v>
      </c>
      <c r="H1198" s="11">
        <v>834194</v>
      </c>
      <c r="I1198" s="16" t="s">
        <v>3677</v>
      </c>
      <c r="J1198" s="16" t="s">
        <v>192</v>
      </c>
      <c r="K1198" s="60" t="s">
        <v>4772</v>
      </c>
      <c r="L1198" s="16" t="s">
        <v>180</v>
      </c>
      <c r="M1198" s="191" t="s">
        <v>675</v>
      </c>
      <c r="N1198" s="60" t="s">
        <v>5868</v>
      </c>
      <c r="O1198" s="16" t="s">
        <v>3660</v>
      </c>
      <c r="P1198" s="23">
        <v>2000</v>
      </c>
      <c r="Q1198" s="23">
        <f t="shared" si="156"/>
        <v>2360</v>
      </c>
      <c r="R1198" s="23">
        <v>1731.8537859007836</v>
      </c>
      <c r="S1198" s="34"/>
      <c r="T1198" s="25">
        <v>1.0840000000000001</v>
      </c>
      <c r="U1198" s="25">
        <v>1.0509999999999999</v>
      </c>
      <c r="V1198" s="25">
        <v>1.0669999999999999</v>
      </c>
      <c r="W1198" s="25">
        <v>1.0529999999999999</v>
      </c>
      <c r="X1198" s="25">
        <v>0.9</v>
      </c>
      <c r="Y1198" s="23">
        <f>R1198*T1198*U1198*V1198*W1198*0.9</f>
        <v>1995.1636400721241</v>
      </c>
      <c r="Z1198" s="23">
        <f t="shared" si="157"/>
        <v>2354.2930952851061</v>
      </c>
      <c r="AA1198" s="36" t="s">
        <v>132</v>
      </c>
      <c r="AB1198" s="36" t="s">
        <v>132</v>
      </c>
      <c r="AC1198" s="23">
        <v>2000</v>
      </c>
      <c r="AD1198" s="23">
        <f>Q1198</f>
        <v>2360</v>
      </c>
      <c r="AE1198" s="38" t="s">
        <v>173</v>
      </c>
      <c r="AF1198" s="38" t="s">
        <v>83</v>
      </c>
      <c r="AG1198" s="38" t="s">
        <v>83</v>
      </c>
      <c r="AH1198" s="38" t="s">
        <v>545</v>
      </c>
      <c r="AI1198" s="52">
        <f>AJ1198-45</f>
        <v>41665</v>
      </c>
      <c r="AJ1198" s="52">
        <v>41710</v>
      </c>
      <c r="AK1198" s="60"/>
      <c r="AL1198" s="60"/>
      <c r="AM1198" s="60" t="s">
        <v>3677</v>
      </c>
      <c r="AN1198" s="60" t="s">
        <v>353</v>
      </c>
      <c r="AO1198" s="11">
        <v>796</v>
      </c>
      <c r="AP1198" s="38" t="s">
        <v>94</v>
      </c>
      <c r="AQ1198" s="38" t="s">
        <v>4092</v>
      </c>
      <c r="AR1198" s="38">
        <v>46200</v>
      </c>
      <c r="AS1198" s="16" t="s">
        <v>3383</v>
      </c>
      <c r="AT1198" s="52">
        <v>41730</v>
      </c>
      <c r="AU1198" s="52">
        <v>41730</v>
      </c>
      <c r="AV1198" s="52">
        <v>42004</v>
      </c>
      <c r="AW1198" s="38">
        <v>2014</v>
      </c>
      <c r="AX1198" s="60"/>
      <c r="AY1198" s="135"/>
      <c r="AZ1198" s="60"/>
      <c r="BA1198" s="38"/>
      <c r="BB1198" s="38"/>
      <c r="BC1198" s="60"/>
      <c r="BD1198" s="60"/>
      <c r="BE1198" s="238"/>
      <c r="BF1198" s="238"/>
      <c r="BG1198" s="238"/>
      <c r="BH1198" s="238"/>
      <c r="BI1198" s="238"/>
      <c r="BJ1198" s="304"/>
      <c r="BK1198" s="238"/>
    </row>
    <row r="1199" spans="1:63" s="268" customFormat="1" ht="73.5" customHeight="1">
      <c r="A1199" s="321">
        <v>3</v>
      </c>
      <c r="B1199" s="11" t="s">
        <v>3678</v>
      </c>
      <c r="C1199" s="38" t="s">
        <v>83</v>
      </c>
      <c r="D1199" s="38" t="s">
        <v>3674</v>
      </c>
      <c r="E1199" s="38" t="s">
        <v>250</v>
      </c>
      <c r="F1199" s="38" t="s">
        <v>694</v>
      </c>
      <c r="G1199" s="38">
        <v>7422000</v>
      </c>
      <c r="H1199" s="11">
        <v>834195</v>
      </c>
      <c r="I1199" s="16" t="s">
        <v>3679</v>
      </c>
      <c r="J1199" s="16" t="s">
        <v>3680</v>
      </c>
      <c r="K1199" s="60" t="s">
        <v>4724</v>
      </c>
      <c r="L1199" s="16" t="s">
        <v>180</v>
      </c>
      <c r="M1199" s="191" t="s">
        <v>675</v>
      </c>
      <c r="N1199" s="60" t="s">
        <v>5868</v>
      </c>
      <c r="O1199" s="16" t="s">
        <v>3660</v>
      </c>
      <c r="P1199" s="23">
        <v>3630.9369999999999</v>
      </c>
      <c r="Q1199" s="23">
        <f t="shared" si="156"/>
        <v>4284.5056599999998</v>
      </c>
      <c r="R1199" s="23"/>
      <c r="S1199" s="34"/>
      <c r="T1199" s="25"/>
      <c r="U1199" s="25"/>
      <c r="V1199" s="25"/>
      <c r="W1199" s="25"/>
      <c r="X1199" s="25"/>
      <c r="Y1199" s="23">
        <v>3630.9369999999999</v>
      </c>
      <c r="Z1199" s="23">
        <f t="shared" si="157"/>
        <v>4284.5056599999998</v>
      </c>
      <c r="AA1199" s="36" t="s">
        <v>132</v>
      </c>
      <c r="AB1199" s="36" t="s">
        <v>132</v>
      </c>
      <c r="AC1199" s="23">
        <v>3630.9369999999999</v>
      </c>
      <c r="AD1199" s="23">
        <f>Q1199</f>
        <v>4284.5056599999998</v>
      </c>
      <c r="AE1199" s="38" t="s">
        <v>173</v>
      </c>
      <c r="AF1199" s="38" t="s">
        <v>83</v>
      </c>
      <c r="AG1199" s="38" t="s">
        <v>83</v>
      </c>
      <c r="AH1199" s="38" t="s">
        <v>545</v>
      </c>
      <c r="AI1199" s="52">
        <v>41625</v>
      </c>
      <c r="AJ1199" s="51">
        <v>41670</v>
      </c>
      <c r="AK1199" s="60"/>
      <c r="AL1199" s="60"/>
      <c r="AM1199" s="60" t="s">
        <v>3679</v>
      </c>
      <c r="AN1199" s="60" t="s">
        <v>353</v>
      </c>
      <c r="AO1199" s="11">
        <v>796</v>
      </c>
      <c r="AP1199" s="38" t="s">
        <v>94</v>
      </c>
      <c r="AQ1199" s="38">
        <v>488</v>
      </c>
      <c r="AR1199" s="38">
        <v>46200</v>
      </c>
      <c r="AS1199" s="16" t="s">
        <v>3383</v>
      </c>
      <c r="AT1199" s="52">
        <v>41690</v>
      </c>
      <c r="AU1199" s="52">
        <v>41690</v>
      </c>
      <c r="AV1199" s="52">
        <v>42004</v>
      </c>
      <c r="AW1199" s="38">
        <v>2014</v>
      </c>
      <c r="AX1199" s="60"/>
      <c r="AY1199" s="135"/>
      <c r="AZ1199" s="60"/>
      <c r="BA1199" s="38"/>
      <c r="BB1199" s="38"/>
      <c r="BC1199" s="60"/>
      <c r="BD1199" s="60"/>
      <c r="BE1199" s="238"/>
      <c r="BF1199" s="238"/>
      <c r="BG1199" s="238"/>
      <c r="BH1199" s="238"/>
      <c r="BI1199" s="238"/>
      <c r="BJ1199" s="304"/>
      <c r="BK1199" s="378"/>
    </row>
    <row r="1200" spans="1:63" s="268" customFormat="1" ht="73.5" customHeight="1">
      <c r="A1200" s="321">
        <v>3</v>
      </c>
      <c r="B1200" s="11" t="s">
        <v>3681</v>
      </c>
      <c r="C1200" s="38" t="s">
        <v>83</v>
      </c>
      <c r="D1200" s="38" t="s">
        <v>3682</v>
      </c>
      <c r="E1200" s="38" t="s">
        <v>250</v>
      </c>
      <c r="F1200" s="38" t="s">
        <v>3606</v>
      </c>
      <c r="G1200" s="38">
        <v>7422000</v>
      </c>
      <c r="H1200" s="11">
        <v>834196</v>
      </c>
      <c r="I1200" s="16" t="s">
        <v>3683</v>
      </c>
      <c r="J1200" s="16" t="s">
        <v>3684</v>
      </c>
      <c r="K1200" s="60" t="s">
        <v>4724</v>
      </c>
      <c r="L1200" s="16" t="s">
        <v>180</v>
      </c>
      <c r="M1200" s="134" t="s">
        <v>1175</v>
      </c>
      <c r="N1200" s="16" t="s">
        <v>5931</v>
      </c>
      <c r="O1200" s="16" t="s">
        <v>3635</v>
      </c>
      <c r="P1200" s="23">
        <v>2597.8000000000002</v>
      </c>
      <c r="Q1200" s="23">
        <f t="shared" si="156"/>
        <v>3065.404</v>
      </c>
      <c r="R1200" s="23">
        <v>2249.5048825065278</v>
      </c>
      <c r="S1200" s="34"/>
      <c r="T1200" s="25">
        <v>1.0840000000000001</v>
      </c>
      <c r="U1200" s="25">
        <v>1.0509999999999999</v>
      </c>
      <c r="V1200" s="25">
        <v>1.0669999999999999</v>
      </c>
      <c r="W1200" s="25">
        <v>1.0529999999999999</v>
      </c>
      <c r="X1200" s="25">
        <v>0.9</v>
      </c>
      <c r="Y1200" s="23">
        <f>R1200*T1200*U1200*V1200*W1200*0.9</f>
        <v>2591.5180520896824</v>
      </c>
      <c r="Z1200" s="23">
        <f t="shared" si="157"/>
        <v>3057.991301465825</v>
      </c>
      <c r="AA1200" s="36" t="s">
        <v>132</v>
      </c>
      <c r="AB1200" s="36" t="s">
        <v>132</v>
      </c>
      <c r="AC1200" s="23">
        <v>1755.1098500000001</v>
      </c>
      <c r="AD1200" s="23">
        <f>AC1200*1.18</f>
        <v>2071.0296229999999</v>
      </c>
      <c r="AE1200" s="38" t="s">
        <v>173</v>
      </c>
      <c r="AF1200" s="38" t="s">
        <v>83</v>
      </c>
      <c r="AG1200" s="38" t="s">
        <v>83</v>
      </c>
      <c r="AH1200" s="38" t="s">
        <v>545</v>
      </c>
      <c r="AI1200" s="52">
        <f>AJ1200-45</f>
        <v>41665</v>
      </c>
      <c r="AJ1200" s="52">
        <v>41710</v>
      </c>
      <c r="AK1200" s="60"/>
      <c r="AL1200" s="60"/>
      <c r="AM1200" s="60" t="s">
        <v>3683</v>
      </c>
      <c r="AN1200" s="60" t="s">
        <v>353</v>
      </c>
      <c r="AO1200" s="11">
        <v>8</v>
      </c>
      <c r="AP1200" s="38" t="s">
        <v>3685</v>
      </c>
      <c r="AQ1200" s="38" t="s">
        <v>4093</v>
      </c>
      <c r="AR1200" s="38">
        <v>46200</v>
      </c>
      <c r="AS1200" s="16" t="s">
        <v>3383</v>
      </c>
      <c r="AT1200" s="52">
        <v>41730</v>
      </c>
      <c r="AU1200" s="52">
        <v>41730</v>
      </c>
      <c r="AV1200" s="52">
        <v>41851</v>
      </c>
      <c r="AW1200" s="38">
        <v>2014</v>
      </c>
      <c r="AX1200" s="60"/>
      <c r="AY1200" s="135"/>
      <c r="AZ1200" s="60"/>
      <c r="BA1200" s="38"/>
      <c r="BB1200" s="38"/>
      <c r="BC1200" s="60"/>
      <c r="BD1200" s="60"/>
      <c r="BE1200" s="238"/>
      <c r="BF1200" s="238"/>
      <c r="BG1200" s="238"/>
      <c r="BH1200" s="238"/>
      <c r="BI1200" s="238"/>
      <c r="BJ1200" s="304"/>
      <c r="BK1200" s="378"/>
    </row>
    <row r="1201" spans="1:63" s="268" customFormat="1" ht="73.5" customHeight="1">
      <c r="A1201" s="321">
        <v>3</v>
      </c>
      <c r="B1201" s="11" t="s">
        <v>3686</v>
      </c>
      <c r="C1201" s="38" t="s">
        <v>83</v>
      </c>
      <c r="D1201" s="38" t="s">
        <v>3682</v>
      </c>
      <c r="E1201" s="38" t="s">
        <v>250</v>
      </c>
      <c r="F1201" s="38" t="s">
        <v>3606</v>
      </c>
      <c r="G1201" s="38">
        <v>7422000</v>
      </c>
      <c r="H1201" s="11">
        <v>834197</v>
      </c>
      <c r="I1201" s="16" t="s">
        <v>3687</v>
      </c>
      <c r="J1201" s="16" t="s">
        <v>3688</v>
      </c>
      <c r="K1201" s="60" t="s">
        <v>4724</v>
      </c>
      <c r="L1201" s="16" t="s">
        <v>180</v>
      </c>
      <c r="M1201" s="134" t="s">
        <v>1175</v>
      </c>
      <c r="N1201" s="16" t="s">
        <v>5931</v>
      </c>
      <c r="O1201" s="16" t="s">
        <v>3635</v>
      </c>
      <c r="P1201" s="23">
        <v>2000</v>
      </c>
      <c r="Q1201" s="23">
        <f t="shared" si="156"/>
        <v>2360</v>
      </c>
      <c r="R1201" s="23">
        <v>1731.8537859007836</v>
      </c>
      <c r="S1201" s="34"/>
      <c r="T1201" s="25">
        <v>1.0840000000000001</v>
      </c>
      <c r="U1201" s="25">
        <v>1.0509999999999999</v>
      </c>
      <c r="V1201" s="25">
        <v>1.0669999999999999</v>
      </c>
      <c r="W1201" s="25">
        <v>1.0529999999999999</v>
      </c>
      <c r="X1201" s="25">
        <v>0.9</v>
      </c>
      <c r="Y1201" s="23">
        <f>R1201*T1201*U1201*V1201*W1201*0.9</f>
        <v>1995.1636400721241</v>
      </c>
      <c r="Z1201" s="23">
        <f t="shared" si="157"/>
        <v>2354.2930952851061</v>
      </c>
      <c r="AA1201" s="36" t="s">
        <v>132</v>
      </c>
      <c r="AB1201" s="36" t="s">
        <v>132</v>
      </c>
      <c r="AC1201" s="23">
        <v>2000</v>
      </c>
      <c r="AD1201" s="23">
        <f>Q1201</f>
        <v>2360</v>
      </c>
      <c r="AE1201" s="38" t="s">
        <v>173</v>
      </c>
      <c r="AF1201" s="38" t="s">
        <v>83</v>
      </c>
      <c r="AG1201" s="38" t="s">
        <v>83</v>
      </c>
      <c r="AH1201" s="38" t="s">
        <v>545</v>
      </c>
      <c r="AI1201" s="52">
        <f>AJ1201-45</f>
        <v>41695</v>
      </c>
      <c r="AJ1201" s="52">
        <v>41740</v>
      </c>
      <c r="AK1201" s="60"/>
      <c r="AL1201" s="60"/>
      <c r="AM1201" s="60" t="s">
        <v>3687</v>
      </c>
      <c r="AN1201" s="60" t="s">
        <v>353</v>
      </c>
      <c r="AO1201" s="11">
        <v>796</v>
      </c>
      <c r="AP1201" s="38" t="s">
        <v>94</v>
      </c>
      <c r="AQ1201" s="38" t="s">
        <v>4094</v>
      </c>
      <c r="AR1201" s="38">
        <v>46200</v>
      </c>
      <c r="AS1201" s="16" t="s">
        <v>3383</v>
      </c>
      <c r="AT1201" s="52">
        <v>41760</v>
      </c>
      <c r="AU1201" s="52">
        <v>41760</v>
      </c>
      <c r="AV1201" s="52">
        <v>42004</v>
      </c>
      <c r="AW1201" s="38">
        <v>2014</v>
      </c>
      <c r="AX1201" s="60"/>
      <c r="AY1201" s="135"/>
      <c r="AZ1201" s="60"/>
      <c r="BA1201" s="38"/>
      <c r="BB1201" s="38"/>
      <c r="BC1201" s="60"/>
      <c r="BD1201" s="60"/>
      <c r="BE1201" s="238"/>
      <c r="BF1201" s="238"/>
      <c r="BG1201" s="238"/>
      <c r="BH1201" s="238"/>
      <c r="BI1201" s="238"/>
      <c r="BJ1201" s="304"/>
      <c r="BK1201" s="238"/>
    </row>
    <row r="1202" spans="1:63" s="268" customFormat="1" ht="73.5" customHeight="1">
      <c r="A1202" s="321">
        <v>3</v>
      </c>
      <c r="B1202" s="11" t="s">
        <v>3689</v>
      </c>
      <c r="C1202" s="38" t="s">
        <v>83</v>
      </c>
      <c r="D1202" s="38" t="s">
        <v>3690</v>
      </c>
      <c r="E1202" s="38" t="s">
        <v>250</v>
      </c>
      <c r="F1202" s="38" t="s">
        <v>3606</v>
      </c>
      <c r="G1202" s="38">
        <v>7422000</v>
      </c>
      <c r="H1202" s="11">
        <v>834198</v>
      </c>
      <c r="I1202" s="16" t="s">
        <v>3691</v>
      </c>
      <c r="J1202" s="16" t="s">
        <v>3688</v>
      </c>
      <c r="K1202" s="60" t="s">
        <v>4724</v>
      </c>
      <c r="L1202" s="16" t="s">
        <v>180</v>
      </c>
      <c r="M1202" s="134" t="s">
        <v>1175</v>
      </c>
      <c r="N1202" s="16" t="s">
        <v>5931</v>
      </c>
      <c r="O1202" s="16" t="s">
        <v>3635</v>
      </c>
      <c r="P1202" s="23">
        <v>6000</v>
      </c>
      <c r="Q1202" s="23">
        <f t="shared" si="156"/>
        <v>7080</v>
      </c>
      <c r="R1202" s="23">
        <v>5195.5613577023505</v>
      </c>
      <c r="S1202" s="34"/>
      <c r="T1202" s="25">
        <v>1.0840000000000001</v>
      </c>
      <c r="U1202" s="25">
        <v>1.0509999999999999</v>
      </c>
      <c r="V1202" s="25">
        <v>1.0669999999999999</v>
      </c>
      <c r="W1202" s="25">
        <v>1.0529999999999999</v>
      </c>
      <c r="X1202" s="25">
        <v>0.9</v>
      </c>
      <c r="Y1202" s="23">
        <f>R1202*T1202*U1202*V1202*W1202*0.9</f>
        <v>5985.4909202163726</v>
      </c>
      <c r="Z1202" s="23">
        <f t="shared" si="157"/>
        <v>7062.8792858553197</v>
      </c>
      <c r="AA1202" s="36" t="s">
        <v>132</v>
      </c>
      <c r="AB1202" s="36" t="s">
        <v>132</v>
      </c>
      <c r="AC1202" s="23">
        <v>6000</v>
      </c>
      <c r="AD1202" s="23">
        <f>Q1202</f>
        <v>7080</v>
      </c>
      <c r="AE1202" s="38" t="s">
        <v>173</v>
      </c>
      <c r="AF1202" s="38" t="s">
        <v>83</v>
      </c>
      <c r="AG1202" s="38" t="s">
        <v>83</v>
      </c>
      <c r="AH1202" s="38" t="s">
        <v>545</v>
      </c>
      <c r="AI1202" s="52">
        <f>AJ1202-31</f>
        <v>41679</v>
      </c>
      <c r="AJ1202" s="52">
        <v>41710</v>
      </c>
      <c r="AK1202" s="60"/>
      <c r="AL1202" s="60"/>
      <c r="AM1202" s="60" t="s">
        <v>3691</v>
      </c>
      <c r="AN1202" s="60" t="s">
        <v>353</v>
      </c>
      <c r="AO1202" s="11">
        <v>796</v>
      </c>
      <c r="AP1202" s="38" t="s">
        <v>94</v>
      </c>
      <c r="AQ1202" s="38" t="s">
        <v>4095</v>
      </c>
      <c r="AR1202" s="38">
        <v>46200</v>
      </c>
      <c r="AS1202" s="16" t="s">
        <v>3383</v>
      </c>
      <c r="AT1202" s="52">
        <v>41730</v>
      </c>
      <c r="AU1202" s="52">
        <v>41730</v>
      </c>
      <c r="AV1202" s="52">
        <v>41851</v>
      </c>
      <c r="AW1202" s="38">
        <v>2014</v>
      </c>
      <c r="AX1202" s="60"/>
      <c r="AY1202" s="135"/>
      <c r="AZ1202" s="60"/>
      <c r="BA1202" s="38"/>
      <c r="BB1202" s="38"/>
      <c r="BC1202" s="60"/>
      <c r="BD1202" s="60"/>
      <c r="BE1202" s="238"/>
      <c r="BF1202" s="238"/>
      <c r="BG1202" s="238"/>
      <c r="BH1202" s="238"/>
      <c r="BI1202" s="238"/>
      <c r="BJ1202" s="304"/>
      <c r="BK1202" s="238"/>
    </row>
    <row r="1203" spans="1:63" s="268" customFormat="1" ht="73.5" customHeight="1">
      <c r="A1203" s="321">
        <v>3</v>
      </c>
      <c r="B1203" s="11" t="s">
        <v>3692</v>
      </c>
      <c r="C1203" s="38" t="s">
        <v>83</v>
      </c>
      <c r="D1203" s="38" t="s">
        <v>3693</v>
      </c>
      <c r="E1203" s="38" t="s">
        <v>214</v>
      </c>
      <c r="F1203" s="38" t="s">
        <v>3615</v>
      </c>
      <c r="G1203" s="38">
        <v>7422000</v>
      </c>
      <c r="H1203" s="11">
        <v>834199</v>
      </c>
      <c r="I1203" s="16" t="s">
        <v>3694</v>
      </c>
      <c r="J1203" s="16" t="s">
        <v>192</v>
      </c>
      <c r="K1203" s="60" t="s">
        <v>4724</v>
      </c>
      <c r="L1203" s="16" t="s">
        <v>180</v>
      </c>
      <c r="M1203" s="134" t="s">
        <v>743</v>
      </c>
      <c r="N1203" s="16" t="s">
        <v>220</v>
      </c>
      <c r="O1203" s="16" t="s">
        <v>3609</v>
      </c>
      <c r="P1203" s="23">
        <v>1400</v>
      </c>
      <c r="Q1203" s="23">
        <f t="shared" si="156"/>
        <v>1652</v>
      </c>
      <c r="R1203" s="23"/>
      <c r="S1203" s="34"/>
      <c r="T1203" s="25"/>
      <c r="U1203" s="25"/>
      <c r="V1203" s="25"/>
      <c r="W1203" s="25"/>
      <c r="X1203" s="25"/>
      <c r="Y1203" s="23">
        <v>1400</v>
      </c>
      <c r="Z1203" s="23">
        <f t="shared" si="157"/>
        <v>1652</v>
      </c>
      <c r="AA1203" s="36" t="s">
        <v>132</v>
      </c>
      <c r="AB1203" s="36" t="s">
        <v>132</v>
      </c>
      <c r="AC1203" s="23">
        <v>1400</v>
      </c>
      <c r="AD1203" s="23">
        <f>Q1203</f>
        <v>1652</v>
      </c>
      <c r="AE1203" s="38" t="s">
        <v>173</v>
      </c>
      <c r="AF1203" s="38" t="s">
        <v>83</v>
      </c>
      <c r="AG1203" s="38" t="s">
        <v>83</v>
      </c>
      <c r="AH1203" s="38" t="s">
        <v>545</v>
      </c>
      <c r="AI1203" s="52">
        <f>AJ1203-45</f>
        <v>41695</v>
      </c>
      <c r="AJ1203" s="52">
        <v>41740</v>
      </c>
      <c r="AK1203" s="60"/>
      <c r="AL1203" s="60"/>
      <c r="AM1203" s="60" t="s">
        <v>3694</v>
      </c>
      <c r="AN1203" s="60" t="s">
        <v>353</v>
      </c>
      <c r="AO1203" s="11">
        <v>796</v>
      </c>
      <c r="AP1203" s="38" t="s">
        <v>94</v>
      </c>
      <c r="AQ1203" s="38" t="s">
        <v>4096</v>
      </c>
      <c r="AR1203" s="38">
        <v>46200</v>
      </c>
      <c r="AS1203" s="16" t="s">
        <v>3383</v>
      </c>
      <c r="AT1203" s="52">
        <v>41760</v>
      </c>
      <c r="AU1203" s="52">
        <v>41760</v>
      </c>
      <c r="AV1203" s="52">
        <v>42124</v>
      </c>
      <c r="AW1203" s="38" t="s">
        <v>99</v>
      </c>
      <c r="AX1203" s="60"/>
      <c r="AY1203" s="135"/>
      <c r="AZ1203" s="60"/>
      <c r="BA1203" s="38"/>
      <c r="BB1203" s="38"/>
      <c r="BC1203" s="60"/>
      <c r="BD1203" s="60"/>
      <c r="BE1203" s="238"/>
      <c r="BF1203" s="238"/>
      <c r="BG1203" s="238"/>
      <c r="BH1203" s="238"/>
      <c r="BI1203" s="238"/>
      <c r="BJ1203" s="304"/>
      <c r="BK1203" s="238"/>
    </row>
    <row r="1204" spans="1:63" s="268" customFormat="1" ht="73.5" customHeight="1">
      <c r="A1204" s="321">
        <v>3</v>
      </c>
      <c r="B1204" s="11" t="s">
        <v>3695</v>
      </c>
      <c r="C1204" s="38" t="s">
        <v>83</v>
      </c>
      <c r="D1204" s="38" t="s">
        <v>3693</v>
      </c>
      <c r="E1204" s="38" t="s">
        <v>214</v>
      </c>
      <c r="F1204" s="38" t="s">
        <v>3615</v>
      </c>
      <c r="G1204" s="38">
        <v>7422000</v>
      </c>
      <c r="H1204" s="11">
        <v>834201</v>
      </c>
      <c r="I1204" s="16" t="s">
        <v>3696</v>
      </c>
      <c r="J1204" s="16" t="s">
        <v>192</v>
      </c>
      <c r="K1204" s="60" t="s">
        <v>4724</v>
      </c>
      <c r="L1204" s="16" t="s">
        <v>180</v>
      </c>
      <c r="M1204" s="134" t="s">
        <v>743</v>
      </c>
      <c r="N1204" s="16" t="s">
        <v>220</v>
      </c>
      <c r="O1204" s="16" t="s">
        <v>3609</v>
      </c>
      <c r="P1204" s="23">
        <v>1800</v>
      </c>
      <c r="Q1204" s="23">
        <f t="shared" si="156"/>
        <v>2124</v>
      </c>
      <c r="R1204" s="23"/>
      <c r="S1204" s="34"/>
      <c r="T1204" s="25"/>
      <c r="U1204" s="25"/>
      <c r="V1204" s="25"/>
      <c r="W1204" s="25"/>
      <c r="X1204" s="25"/>
      <c r="Y1204" s="23">
        <v>1800</v>
      </c>
      <c r="Z1204" s="23">
        <f t="shared" si="157"/>
        <v>2124</v>
      </c>
      <c r="AA1204" s="36" t="s">
        <v>132</v>
      </c>
      <c r="AB1204" s="36" t="s">
        <v>132</v>
      </c>
      <c r="AC1204" s="23">
        <v>1800</v>
      </c>
      <c r="AD1204" s="23">
        <f>Q1204</f>
        <v>2124</v>
      </c>
      <c r="AE1204" s="38" t="s">
        <v>173</v>
      </c>
      <c r="AF1204" s="38" t="s">
        <v>83</v>
      </c>
      <c r="AG1204" s="38" t="s">
        <v>83</v>
      </c>
      <c r="AH1204" s="38" t="s">
        <v>545</v>
      </c>
      <c r="AI1204" s="52">
        <f>AJ1204-45</f>
        <v>41787</v>
      </c>
      <c r="AJ1204" s="52">
        <v>41832</v>
      </c>
      <c r="AK1204" s="60"/>
      <c r="AL1204" s="60"/>
      <c r="AM1204" s="60" t="s">
        <v>3696</v>
      </c>
      <c r="AN1204" s="60" t="s">
        <v>353</v>
      </c>
      <c r="AO1204" s="11">
        <v>796</v>
      </c>
      <c r="AP1204" s="38" t="s">
        <v>94</v>
      </c>
      <c r="AQ1204" s="38" t="s">
        <v>4097</v>
      </c>
      <c r="AR1204" s="38">
        <v>46200</v>
      </c>
      <c r="AS1204" s="16" t="s">
        <v>3383</v>
      </c>
      <c r="AT1204" s="52">
        <v>41852</v>
      </c>
      <c r="AU1204" s="52">
        <v>41852</v>
      </c>
      <c r="AV1204" s="52">
        <v>42216</v>
      </c>
      <c r="AW1204" s="38" t="s">
        <v>99</v>
      </c>
      <c r="AX1204" s="60"/>
      <c r="AY1204" s="135"/>
      <c r="AZ1204" s="60"/>
      <c r="BA1204" s="38"/>
      <c r="BB1204" s="38"/>
      <c r="BC1204" s="60"/>
      <c r="BD1204" s="60"/>
      <c r="BE1204" s="238"/>
      <c r="BF1204" s="238"/>
      <c r="BG1204" s="238"/>
      <c r="BH1204" s="238"/>
      <c r="BI1204" s="238"/>
      <c r="BJ1204" s="304"/>
      <c r="BK1204" s="238"/>
    </row>
    <row r="1205" spans="1:63" s="268" customFormat="1" ht="73.5" customHeight="1">
      <c r="A1205" s="321">
        <v>3</v>
      </c>
      <c r="B1205" s="11" t="s">
        <v>3697</v>
      </c>
      <c r="C1205" s="38" t="s">
        <v>83</v>
      </c>
      <c r="D1205" s="38" t="s">
        <v>3693</v>
      </c>
      <c r="E1205" s="38" t="s">
        <v>214</v>
      </c>
      <c r="F1205" s="38" t="s">
        <v>3698</v>
      </c>
      <c r="G1205" s="38">
        <v>7422000</v>
      </c>
      <c r="H1205" s="11">
        <v>834202</v>
      </c>
      <c r="I1205" s="16" t="s">
        <v>3699</v>
      </c>
      <c r="J1205" s="16" t="s">
        <v>192</v>
      </c>
      <c r="K1205" s="60" t="s">
        <v>4724</v>
      </c>
      <c r="L1205" s="16" t="s">
        <v>180</v>
      </c>
      <c r="M1205" s="134" t="s">
        <v>743</v>
      </c>
      <c r="N1205" s="16" t="s">
        <v>220</v>
      </c>
      <c r="O1205" s="16" t="s">
        <v>3700</v>
      </c>
      <c r="P1205" s="23">
        <v>4800</v>
      </c>
      <c r="Q1205" s="23">
        <f t="shared" si="156"/>
        <v>5664</v>
      </c>
      <c r="R1205" s="23"/>
      <c r="S1205" s="34"/>
      <c r="T1205" s="25"/>
      <c r="U1205" s="25"/>
      <c r="V1205" s="25"/>
      <c r="W1205" s="25"/>
      <c r="X1205" s="25"/>
      <c r="Y1205" s="23">
        <v>4800</v>
      </c>
      <c r="Z1205" s="23">
        <f t="shared" si="157"/>
        <v>5664</v>
      </c>
      <c r="AA1205" s="36" t="s">
        <v>132</v>
      </c>
      <c r="AB1205" s="36" t="s">
        <v>132</v>
      </c>
      <c r="AC1205" s="23">
        <v>4800</v>
      </c>
      <c r="AD1205" s="23">
        <f>Q1205</f>
        <v>5664</v>
      </c>
      <c r="AE1205" s="38" t="s">
        <v>173</v>
      </c>
      <c r="AF1205" s="38" t="s">
        <v>83</v>
      </c>
      <c r="AG1205" s="38" t="s">
        <v>83</v>
      </c>
      <c r="AH1205" s="38" t="s">
        <v>545</v>
      </c>
      <c r="AI1205" s="52">
        <f>AJ1205-45</f>
        <v>41787</v>
      </c>
      <c r="AJ1205" s="52">
        <v>41832</v>
      </c>
      <c r="AK1205" s="60"/>
      <c r="AL1205" s="60"/>
      <c r="AM1205" s="60" t="s">
        <v>3699</v>
      </c>
      <c r="AN1205" s="60" t="s">
        <v>353</v>
      </c>
      <c r="AO1205" s="11">
        <v>796</v>
      </c>
      <c r="AP1205" s="38" t="s">
        <v>94</v>
      </c>
      <c r="AQ1205" s="38" t="s">
        <v>4098</v>
      </c>
      <c r="AR1205" s="38">
        <v>46200</v>
      </c>
      <c r="AS1205" s="16" t="s">
        <v>3383</v>
      </c>
      <c r="AT1205" s="52">
        <v>41852</v>
      </c>
      <c r="AU1205" s="52">
        <v>41852</v>
      </c>
      <c r="AV1205" s="51">
        <v>42247</v>
      </c>
      <c r="AW1205" s="38" t="s">
        <v>99</v>
      </c>
      <c r="AX1205" s="60"/>
      <c r="AY1205" s="135"/>
      <c r="AZ1205" s="60"/>
      <c r="BA1205" s="38"/>
      <c r="BB1205" s="38"/>
      <c r="BC1205" s="60"/>
      <c r="BD1205" s="60"/>
      <c r="BE1205" s="238"/>
      <c r="BF1205" s="238"/>
      <c r="BG1205" s="238"/>
      <c r="BH1205" s="238"/>
      <c r="BI1205" s="238"/>
      <c r="BJ1205" s="304"/>
      <c r="BK1205" s="238"/>
    </row>
    <row r="1206" spans="1:63" s="268" customFormat="1" ht="73.5" customHeight="1">
      <c r="A1206" s="321">
        <v>3</v>
      </c>
      <c r="B1206" s="11" t="s">
        <v>3701</v>
      </c>
      <c r="C1206" s="38" t="s">
        <v>83</v>
      </c>
      <c r="D1206" s="38" t="s">
        <v>3690</v>
      </c>
      <c r="E1206" s="38" t="s">
        <v>250</v>
      </c>
      <c r="F1206" s="38" t="s">
        <v>3615</v>
      </c>
      <c r="G1206" s="38">
        <v>7422000</v>
      </c>
      <c r="H1206" s="11">
        <v>834211</v>
      </c>
      <c r="I1206" s="16" t="s">
        <v>3702</v>
      </c>
      <c r="J1206" s="16" t="s">
        <v>192</v>
      </c>
      <c r="K1206" s="60" t="s">
        <v>4724</v>
      </c>
      <c r="L1206" s="16" t="s">
        <v>180</v>
      </c>
      <c r="M1206" s="134" t="s">
        <v>1175</v>
      </c>
      <c r="N1206" s="16" t="s">
        <v>5931</v>
      </c>
      <c r="O1206" s="16" t="s">
        <v>3609</v>
      </c>
      <c r="P1206" s="23">
        <v>6000</v>
      </c>
      <c r="Q1206" s="23">
        <f t="shared" si="156"/>
        <v>7080</v>
      </c>
      <c r="R1206" s="23">
        <v>5195.5613577023505</v>
      </c>
      <c r="S1206" s="34"/>
      <c r="T1206" s="25">
        <v>1.0840000000000001</v>
      </c>
      <c r="U1206" s="25">
        <v>1.0509999999999999</v>
      </c>
      <c r="V1206" s="25">
        <v>1.0669999999999999</v>
      </c>
      <c r="W1206" s="25">
        <v>1.0529999999999999</v>
      </c>
      <c r="X1206" s="25">
        <v>0.9</v>
      </c>
      <c r="Y1206" s="23">
        <f>R1206*T1206*U1206*V1206*W1206*0.9</f>
        <v>5985.4909202163726</v>
      </c>
      <c r="Z1206" s="23">
        <f t="shared" si="157"/>
        <v>7062.8792858553197</v>
      </c>
      <c r="AA1206" s="36" t="s">
        <v>132</v>
      </c>
      <c r="AB1206" s="36" t="s">
        <v>132</v>
      </c>
      <c r="AC1206" s="23">
        <v>6000</v>
      </c>
      <c r="AD1206" s="23">
        <f t="shared" ref="AD1206:AD1230" si="158">AC1206*1.18</f>
        <v>7080</v>
      </c>
      <c r="AE1206" s="38" t="s">
        <v>173</v>
      </c>
      <c r="AF1206" s="38" t="s">
        <v>83</v>
      </c>
      <c r="AG1206" s="38" t="s">
        <v>83</v>
      </c>
      <c r="AH1206" s="38" t="s">
        <v>545</v>
      </c>
      <c r="AI1206" s="52">
        <f>AJ1206-45</f>
        <v>41818</v>
      </c>
      <c r="AJ1206" s="52">
        <v>41863</v>
      </c>
      <c r="AK1206" s="60"/>
      <c r="AL1206" s="60"/>
      <c r="AM1206" s="60" t="s">
        <v>3702</v>
      </c>
      <c r="AN1206" s="60" t="s">
        <v>353</v>
      </c>
      <c r="AO1206" s="11">
        <v>796</v>
      </c>
      <c r="AP1206" s="38" t="s">
        <v>94</v>
      </c>
      <c r="AQ1206" s="38" t="s">
        <v>4099</v>
      </c>
      <c r="AR1206" s="38">
        <v>46200</v>
      </c>
      <c r="AS1206" s="16" t="s">
        <v>3383</v>
      </c>
      <c r="AT1206" s="78">
        <v>41883</v>
      </c>
      <c r="AU1206" s="78">
        <v>41883</v>
      </c>
      <c r="AV1206" s="51">
        <v>42247</v>
      </c>
      <c r="AW1206" s="38" t="s">
        <v>99</v>
      </c>
      <c r="AX1206" s="60"/>
      <c r="AY1206" s="135"/>
      <c r="AZ1206" s="60"/>
      <c r="BA1206" s="38"/>
      <c r="BB1206" s="38"/>
      <c r="BC1206" s="60"/>
      <c r="BD1206" s="60"/>
      <c r="BE1206" s="238"/>
      <c r="BF1206" s="238"/>
      <c r="BG1206" s="238"/>
      <c r="BH1206" s="238"/>
      <c r="BI1206" s="238"/>
      <c r="BJ1206" s="304"/>
      <c r="BK1206" s="238"/>
    </row>
    <row r="1207" spans="1:63" s="268" customFormat="1" ht="73.5" customHeight="1">
      <c r="A1207" s="321">
        <v>3</v>
      </c>
      <c r="B1207" s="11" t="s">
        <v>4310</v>
      </c>
      <c r="C1207" s="38" t="s">
        <v>83</v>
      </c>
      <c r="D1207" s="38" t="s">
        <v>3704</v>
      </c>
      <c r="E1207" s="38" t="s">
        <v>250</v>
      </c>
      <c r="F1207" s="38" t="s">
        <v>3615</v>
      </c>
      <c r="G1207" s="38">
        <v>7422000</v>
      </c>
      <c r="H1207" s="11">
        <v>833946</v>
      </c>
      <c r="I1207" s="16" t="s">
        <v>4311</v>
      </c>
      <c r="J1207" s="16" t="s">
        <v>3706</v>
      </c>
      <c r="K1207" s="60" t="s">
        <v>4717</v>
      </c>
      <c r="L1207" s="16" t="s">
        <v>180</v>
      </c>
      <c r="M1207" s="134" t="s">
        <v>1175</v>
      </c>
      <c r="N1207" s="60" t="s">
        <v>5903</v>
      </c>
      <c r="O1207" s="16" t="s">
        <v>3660</v>
      </c>
      <c r="P1207" s="23">
        <v>6352.6869999999999</v>
      </c>
      <c r="Q1207" s="23">
        <f t="shared" si="156"/>
        <v>7496.1706599999998</v>
      </c>
      <c r="R1207" s="23">
        <v>6310.3339999999998</v>
      </c>
      <c r="S1207" s="34"/>
      <c r="T1207" s="25">
        <v>1.0840000000000001</v>
      </c>
      <c r="U1207" s="25">
        <v>1.0509999999999999</v>
      </c>
      <c r="V1207" s="25">
        <v>1.0669999999999999</v>
      </c>
      <c r="W1207" s="25">
        <v>1.0529999999999999</v>
      </c>
      <c r="X1207" s="25">
        <v>0.9</v>
      </c>
      <c r="Y1207" s="23">
        <f t="shared" ref="Y1207:Y1215" si="159">P1207*0.969453376*0.9*1.07*1.064</f>
        <v>6310.3333280317993</v>
      </c>
      <c r="Z1207" s="23">
        <f t="shared" si="157"/>
        <v>7446.1933270775226</v>
      </c>
      <c r="AA1207" s="36" t="s">
        <v>132</v>
      </c>
      <c r="AB1207" s="36" t="s">
        <v>132</v>
      </c>
      <c r="AC1207" s="23">
        <v>6352.6869999999999</v>
      </c>
      <c r="AD1207" s="23">
        <f t="shared" si="158"/>
        <v>7496.1706599999998</v>
      </c>
      <c r="AE1207" s="38" t="s">
        <v>173</v>
      </c>
      <c r="AF1207" s="38" t="s">
        <v>83</v>
      </c>
      <c r="AG1207" s="38" t="s">
        <v>83</v>
      </c>
      <c r="AH1207" s="38" t="s">
        <v>545</v>
      </c>
      <c r="AI1207" s="52">
        <f>AJ1207-60</f>
        <v>41594</v>
      </c>
      <c r="AJ1207" s="52">
        <v>41654</v>
      </c>
      <c r="AK1207" s="60"/>
      <c r="AL1207" s="60"/>
      <c r="AM1207" s="16" t="s">
        <v>4311</v>
      </c>
      <c r="AN1207" s="60" t="s">
        <v>353</v>
      </c>
      <c r="AO1207" s="11">
        <v>15</v>
      </c>
      <c r="AP1207" s="38" t="s">
        <v>419</v>
      </c>
      <c r="AQ1207" s="38">
        <v>58</v>
      </c>
      <c r="AR1207" s="38">
        <v>46209</v>
      </c>
      <c r="AS1207" s="16" t="s">
        <v>3383</v>
      </c>
      <c r="AT1207" s="52">
        <v>41643</v>
      </c>
      <c r="AU1207" s="51">
        <v>41643</v>
      </c>
      <c r="AV1207" s="52">
        <v>42004</v>
      </c>
      <c r="AW1207" s="38">
        <v>2014</v>
      </c>
      <c r="AX1207" s="60"/>
      <c r="AY1207" s="135"/>
      <c r="AZ1207" s="60"/>
      <c r="BA1207" s="38"/>
      <c r="BB1207" s="38"/>
      <c r="BC1207" s="60"/>
      <c r="BD1207" s="60"/>
      <c r="BE1207" s="238"/>
      <c r="BF1207" s="238"/>
      <c r="BG1207" s="238"/>
      <c r="BH1207" s="238"/>
      <c r="BI1207" s="238"/>
      <c r="BJ1207" s="304"/>
      <c r="BK1207" s="238"/>
    </row>
    <row r="1208" spans="1:63" s="268" customFormat="1" ht="73.5" customHeight="1">
      <c r="A1208" s="321">
        <v>3</v>
      </c>
      <c r="B1208" s="11" t="s">
        <v>3703</v>
      </c>
      <c r="C1208" s="38" t="s">
        <v>83</v>
      </c>
      <c r="D1208" s="38" t="s">
        <v>3704</v>
      </c>
      <c r="E1208" s="38" t="s">
        <v>250</v>
      </c>
      <c r="F1208" s="38" t="s">
        <v>3615</v>
      </c>
      <c r="G1208" s="38">
        <v>7422000</v>
      </c>
      <c r="H1208" s="11">
        <v>833946</v>
      </c>
      <c r="I1208" s="16" t="s">
        <v>3705</v>
      </c>
      <c r="J1208" s="16" t="s">
        <v>3706</v>
      </c>
      <c r="K1208" s="60" t="s">
        <v>4717</v>
      </c>
      <c r="L1208" s="16" t="s">
        <v>180</v>
      </c>
      <c r="M1208" s="134" t="s">
        <v>1175</v>
      </c>
      <c r="N1208" s="60" t="s">
        <v>5903</v>
      </c>
      <c r="O1208" s="16" t="s">
        <v>3660</v>
      </c>
      <c r="P1208" s="23">
        <v>28450.1309</v>
      </c>
      <c r="Q1208" s="23">
        <f t="shared" si="156"/>
        <v>33571.154461999999</v>
      </c>
      <c r="R1208" s="23">
        <v>24635.733454268931</v>
      </c>
      <c r="S1208" s="34"/>
      <c r="T1208" s="25">
        <v>1.0840000000000001</v>
      </c>
      <c r="U1208" s="25">
        <v>1.0509999999999999</v>
      </c>
      <c r="V1208" s="25">
        <v>1.0669999999999999</v>
      </c>
      <c r="W1208" s="25">
        <v>1.0529999999999999</v>
      </c>
      <c r="X1208" s="25">
        <v>0.9</v>
      </c>
      <c r="Y1208" s="23">
        <f t="shared" si="159"/>
        <v>28260.452499097995</v>
      </c>
      <c r="Z1208" s="23">
        <f t="shared" si="157"/>
        <v>33347.333948935629</v>
      </c>
      <c r="AA1208" s="36" t="s">
        <v>132</v>
      </c>
      <c r="AB1208" s="36" t="s">
        <v>132</v>
      </c>
      <c r="AC1208" s="23">
        <v>28450.1309</v>
      </c>
      <c r="AD1208" s="23">
        <f t="shared" si="158"/>
        <v>33571.154461999999</v>
      </c>
      <c r="AE1208" s="38" t="s">
        <v>169</v>
      </c>
      <c r="AF1208" s="38" t="s">
        <v>83</v>
      </c>
      <c r="AG1208" s="38" t="s">
        <v>83</v>
      </c>
      <c r="AH1208" s="38" t="s">
        <v>545</v>
      </c>
      <c r="AI1208" s="52">
        <f>AJ1208-60</f>
        <v>41563</v>
      </c>
      <c r="AJ1208" s="52">
        <v>41623</v>
      </c>
      <c r="AK1208" s="60"/>
      <c r="AL1208" s="60"/>
      <c r="AM1208" s="60" t="s">
        <v>3705</v>
      </c>
      <c r="AN1208" s="60" t="s">
        <v>353</v>
      </c>
      <c r="AO1208" s="11">
        <v>14.97</v>
      </c>
      <c r="AP1208" s="38" t="s">
        <v>82</v>
      </c>
      <c r="AQ1208" s="38">
        <v>15</v>
      </c>
      <c r="AR1208" s="38">
        <v>46209</v>
      </c>
      <c r="AS1208" s="16" t="s">
        <v>3383</v>
      </c>
      <c r="AT1208" s="52">
        <v>41643</v>
      </c>
      <c r="AU1208" s="51">
        <v>41643</v>
      </c>
      <c r="AV1208" s="52">
        <v>42004</v>
      </c>
      <c r="AW1208" s="38">
        <v>2014</v>
      </c>
      <c r="AX1208" s="60"/>
      <c r="AY1208" s="135"/>
      <c r="AZ1208" s="60"/>
      <c r="BA1208" s="38"/>
      <c r="BB1208" s="38"/>
      <c r="BC1208" s="60"/>
      <c r="BD1208" s="60"/>
      <c r="BE1208" s="238"/>
      <c r="BF1208" s="238"/>
      <c r="BG1208" s="238"/>
      <c r="BH1208" s="238"/>
      <c r="BI1208" s="238"/>
      <c r="BJ1208" s="304"/>
      <c r="BK1208" s="238"/>
    </row>
    <row r="1209" spans="1:63" s="268" customFormat="1" ht="73.5" customHeight="1">
      <c r="A1209" s="321">
        <v>3</v>
      </c>
      <c r="B1209" s="11" t="s">
        <v>3707</v>
      </c>
      <c r="C1209" s="38" t="s">
        <v>83</v>
      </c>
      <c r="D1209" s="38" t="s">
        <v>3704</v>
      </c>
      <c r="E1209" s="38" t="s">
        <v>250</v>
      </c>
      <c r="F1209" s="38" t="s">
        <v>3615</v>
      </c>
      <c r="G1209" s="38">
        <v>7422000</v>
      </c>
      <c r="H1209" s="11">
        <v>833947</v>
      </c>
      <c r="I1209" s="16" t="s">
        <v>3708</v>
      </c>
      <c r="J1209" s="16" t="s">
        <v>3706</v>
      </c>
      <c r="K1209" s="60" t="s">
        <v>4717</v>
      </c>
      <c r="L1209" s="16" t="s">
        <v>180</v>
      </c>
      <c r="M1209" s="134" t="s">
        <v>1175</v>
      </c>
      <c r="N1209" s="60" t="s">
        <v>5903</v>
      </c>
      <c r="O1209" s="16" t="s">
        <v>3660</v>
      </c>
      <c r="P1209" s="23">
        <v>27067.32533</v>
      </c>
      <c r="Q1209" s="23">
        <f t="shared" si="156"/>
        <v>31939.443889399998</v>
      </c>
      <c r="R1209" s="23">
        <v>23438.324923484339</v>
      </c>
      <c r="S1209" s="34"/>
      <c r="T1209" s="25">
        <v>1.0840000000000001</v>
      </c>
      <c r="U1209" s="25">
        <v>1.0509999999999999</v>
      </c>
      <c r="V1209" s="25">
        <v>1.0669999999999999</v>
      </c>
      <c r="W1209" s="25">
        <v>1.0529999999999999</v>
      </c>
      <c r="X1209" s="25">
        <v>0.9</v>
      </c>
      <c r="Y1209" s="23">
        <f t="shared" si="159"/>
        <v>26886.866160819562</v>
      </c>
      <c r="Z1209" s="23">
        <f t="shared" si="157"/>
        <v>31726.502069767081</v>
      </c>
      <c r="AA1209" s="36" t="s">
        <v>132</v>
      </c>
      <c r="AB1209" s="36" t="s">
        <v>132</v>
      </c>
      <c r="AC1209" s="23">
        <v>27067.32533</v>
      </c>
      <c r="AD1209" s="23">
        <f t="shared" si="158"/>
        <v>31939.443889399998</v>
      </c>
      <c r="AE1209" s="38" t="s">
        <v>169</v>
      </c>
      <c r="AF1209" s="38" t="s">
        <v>83</v>
      </c>
      <c r="AG1209" s="38" t="s">
        <v>83</v>
      </c>
      <c r="AH1209" s="38" t="s">
        <v>545</v>
      </c>
      <c r="AI1209" s="52">
        <f>AJ1209-60</f>
        <v>41563</v>
      </c>
      <c r="AJ1209" s="52">
        <v>41623</v>
      </c>
      <c r="AK1209" s="60"/>
      <c r="AL1209" s="60"/>
      <c r="AM1209" s="60" t="s">
        <v>3708</v>
      </c>
      <c r="AN1209" s="60" t="s">
        <v>353</v>
      </c>
      <c r="AO1209" s="11">
        <v>11.64</v>
      </c>
      <c r="AP1209" s="38" t="s">
        <v>82</v>
      </c>
      <c r="AQ1209" s="38">
        <v>12</v>
      </c>
      <c r="AR1209" s="38">
        <v>46209</v>
      </c>
      <c r="AS1209" s="16" t="s">
        <v>3383</v>
      </c>
      <c r="AT1209" s="52">
        <v>41643</v>
      </c>
      <c r="AU1209" s="51">
        <v>41643</v>
      </c>
      <c r="AV1209" s="52">
        <v>42004</v>
      </c>
      <c r="AW1209" s="38">
        <v>2014</v>
      </c>
      <c r="AX1209" s="60"/>
      <c r="AY1209" s="135"/>
      <c r="AZ1209" s="60"/>
      <c r="BA1209" s="38"/>
      <c r="BB1209" s="38"/>
      <c r="BC1209" s="60"/>
      <c r="BD1209" s="60"/>
      <c r="BE1209" s="238"/>
      <c r="BF1209" s="238"/>
      <c r="BG1209" s="238"/>
      <c r="BH1209" s="238"/>
      <c r="BI1209" s="238"/>
      <c r="BJ1209" s="304"/>
      <c r="BK1209" s="238"/>
    </row>
    <row r="1210" spans="1:63" s="268" customFormat="1" ht="73.5" customHeight="1">
      <c r="A1210" s="321">
        <v>3</v>
      </c>
      <c r="B1210" s="11" t="s">
        <v>3709</v>
      </c>
      <c r="C1210" s="38" t="s">
        <v>83</v>
      </c>
      <c r="D1210" s="38" t="s">
        <v>3704</v>
      </c>
      <c r="E1210" s="38" t="s">
        <v>250</v>
      </c>
      <c r="F1210" s="38" t="s">
        <v>3615</v>
      </c>
      <c r="G1210" s="38">
        <v>7422000</v>
      </c>
      <c r="H1210" s="11">
        <v>833948</v>
      </c>
      <c r="I1210" s="16" t="s">
        <v>3710</v>
      </c>
      <c r="J1210" s="16" t="s">
        <v>3711</v>
      </c>
      <c r="K1210" s="60" t="s">
        <v>4717</v>
      </c>
      <c r="L1210" s="16" t="s">
        <v>180</v>
      </c>
      <c r="M1210" s="134" t="s">
        <v>1175</v>
      </c>
      <c r="N1210" s="60" t="s">
        <v>5903</v>
      </c>
      <c r="O1210" s="16" t="s">
        <v>3660</v>
      </c>
      <c r="P1210" s="23">
        <v>10377.49519</v>
      </c>
      <c r="Q1210" s="23">
        <f t="shared" si="156"/>
        <v>12245.4443242</v>
      </c>
      <c r="R1210" s="23">
        <v>8986.1521664843349</v>
      </c>
      <c r="S1210" s="34"/>
      <c r="T1210" s="25">
        <v>1.0840000000000001</v>
      </c>
      <c r="U1210" s="25">
        <v>1.0509999999999999</v>
      </c>
      <c r="V1210" s="25">
        <v>1.0669999999999999</v>
      </c>
      <c r="W1210" s="25">
        <v>1.0529999999999999</v>
      </c>
      <c r="X1210" s="25">
        <v>0.9</v>
      </c>
      <c r="Y1210" s="23">
        <f t="shared" si="159"/>
        <v>10308.307926857831</v>
      </c>
      <c r="Z1210" s="23">
        <f t="shared" si="157"/>
        <v>12163.803353692239</v>
      </c>
      <c r="AA1210" s="36" t="s">
        <v>132</v>
      </c>
      <c r="AB1210" s="36" t="s">
        <v>132</v>
      </c>
      <c r="AC1210" s="23">
        <v>10377.49519</v>
      </c>
      <c r="AD1210" s="23">
        <f t="shared" si="158"/>
        <v>12245.4443242</v>
      </c>
      <c r="AE1210" s="38" t="s">
        <v>169</v>
      </c>
      <c r="AF1210" s="38" t="s">
        <v>83</v>
      </c>
      <c r="AG1210" s="38" t="s">
        <v>83</v>
      </c>
      <c r="AH1210" s="38" t="s">
        <v>545</v>
      </c>
      <c r="AI1210" s="51">
        <v>41554</v>
      </c>
      <c r="AJ1210" s="51">
        <v>41609</v>
      </c>
      <c r="AK1210" s="60"/>
      <c r="AL1210" s="60"/>
      <c r="AM1210" s="60" t="s">
        <v>3710</v>
      </c>
      <c r="AN1210" s="60" t="s">
        <v>353</v>
      </c>
      <c r="AO1210" s="11">
        <v>207.96</v>
      </c>
      <c r="AP1210" s="38" t="s">
        <v>1191</v>
      </c>
      <c r="AQ1210" s="38">
        <v>208</v>
      </c>
      <c r="AR1210" s="38">
        <v>46209</v>
      </c>
      <c r="AS1210" s="16" t="s">
        <v>3383</v>
      </c>
      <c r="AT1210" s="52">
        <v>41758</v>
      </c>
      <c r="AU1210" s="51">
        <v>41758</v>
      </c>
      <c r="AV1210" s="52">
        <v>42004</v>
      </c>
      <c r="AW1210" s="38">
        <v>2014</v>
      </c>
      <c r="AX1210" s="60"/>
      <c r="AY1210" s="135"/>
      <c r="AZ1210" s="60"/>
      <c r="BA1210" s="38"/>
      <c r="BB1210" s="38"/>
      <c r="BC1210" s="60"/>
      <c r="BD1210" s="60"/>
      <c r="BE1210" s="238"/>
      <c r="BF1210" s="238"/>
      <c r="BG1210" s="238"/>
      <c r="BH1210" s="238"/>
      <c r="BI1210" s="238"/>
      <c r="BJ1210" s="304"/>
      <c r="BK1210" s="238"/>
    </row>
    <row r="1211" spans="1:63" s="268" customFormat="1" ht="73.5" customHeight="1">
      <c r="A1211" s="321">
        <v>3</v>
      </c>
      <c r="B1211" s="11" t="s">
        <v>3712</v>
      </c>
      <c r="C1211" s="38" t="s">
        <v>83</v>
      </c>
      <c r="D1211" s="38" t="s">
        <v>3704</v>
      </c>
      <c r="E1211" s="38" t="s">
        <v>250</v>
      </c>
      <c r="F1211" s="38" t="s">
        <v>3615</v>
      </c>
      <c r="G1211" s="38">
        <v>7422000</v>
      </c>
      <c r="H1211" s="11">
        <v>833949</v>
      </c>
      <c r="I1211" s="16" t="s">
        <v>3505</v>
      </c>
      <c r="J1211" s="16" t="s">
        <v>3713</v>
      </c>
      <c r="K1211" s="60" t="s">
        <v>4717</v>
      </c>
      <c r="L1211" s="16" t="s">
        <v>180</v>
      </c>
      <c r="M1211" s="134" t="s">
        <v>1175</v>
      </c>
      <c r="N1211" s="60" t="s">
        <v>5903</v>
      </c>
      <c r="O1211" s="16" t="s">
        <v>1490</v>
      </c>
      <c r="P1211" s="23">
        <v>4000</v>
      </c>
      <c r="Q1211" s="23">
        <f t="shared" si="156"/>
        <v>4720</v>
      </c>
      <c r="R1211" s="23">
        <v>3463.7075718015672</v>
      </c>
      <c r="S1211" s="34"/>
      <c r="T1211" s="25">
        <v>1.0840000000000001</v>
      </c>
      <c r="U1211" s="25">
        <v>1.0509999999999999</v>
      </c>
      <c r="V1211" s="25">
        <v>1.0669999999999999</v>
      </c>
      <c r="W1211" s="25">
        <v>1.0529999999999999</v>
      </c>
      <c r="X1211" s="25">
        <v>0.9</v>
      </c>
      <c r="Y1211" s="23">
        <f t="shared" si="159"/>
        <v>3973.3318062305289</v>
      </c>
      <c r="Z1211" s="23">
        <f t="shared" si="157"/>
        <v>4688.5315313520241</v>
      </c>
      <c r="AA1211" s="36" t="s">
        <v>132</v>
      </c>
      <c r="AB1211" s="36" t="s">
        <v>132</v>
      </c>
      <c r="AC1211" s="23">
        <v>4000</v>
      </c>
      <c r="AD1211" s="23">
        <f t="shared" si="158"/>
        <v>4720</v>
      </c>
      <c r="AE1211" s="38" t="s">
        <v>173</v>
      </c>
      <c r="AF1211" s="38" t="s">
        <v>83</v>
      </c>
      <c r="AG1211" s="38" t="s">
        <v>83</v>
      </c>
      <c r="AH1211" s="38" t="s">
        <v>545</v>
      </c>
      <c r="AI1211" s="52">
        <f>AJ1211-45</f>
        <v>41578</v>
      </c>
      <c r="AJ1211" s="52">
        <v>41623</v>
      </c>
      <c r="AK1211" s="60"/>
      <c r="AL1211" s="60"/>
      <c r="AM1211" s="60" t="s">
        <v>3505</v>
      </c>
      <c r="AN1211" s="60" t="s">
        <v>353</v>
      </c>
      <c r="AO1211" s="11">
        <v>68</v>
      </c>
      <c r="AP1211" s="38" t="s">
        <v>419</v>
      </c>
      <c r="AQ1211" s="38">
        <v>68</v>
      </c>
      <c r="AR1211" s="38">
        <v>46209</v>
      </c>
      <c r="AS1211" s="16" t="s">
        <v>3383</v>
      </c>
      <c r="AT1211" s="52">
        <v>41643</v>
      </c>
      <c r="AU1211" s="51">
        <v>41643</v>
      </c>
      <c r="AV1211" s="52">
        <v>42004</v>
      </c>
      <c r="AW1211" s="38">
        <v>2014</v>
      </c>
      <c r="AX1211" s="60"/>
      <c r="AY1211" s="135"/>
      <c r="AZ1211" s="60"/>
      <c r="BA1211" s="38"/>
      <c r="BB1211" s="38"/>
      <c r="BC1211" s="60"/>
      <c r="BD1211" s="60"/>
      <c r="BE1211" s="238"/>
      <c r="BF1211" s="238"/>
      <c r="BG1211" s="238"/>
      <c r="BH1211" s="238"/>
      <c r="BI1211" s="238"/>
      <c r="BJ1211" s="304"/>
      <c r="BK1211" s="238"/>
    </row>
    <row r="1212" spans="1:63" s="268" customFormat="1" ht="73.5" customHeight="1">
      <c r="A1212" s="321">
        <v>3</v>
      </c>
      <c r="B1212" s="11" t="s">
        <v>3714</v>
      </c>
      <c r="C1212" s="38" t="s">
        <v>83</v>
      </c>
      <c r="D1212" s="38" t="s">
        <v>3704</v>
      </c>
      <c r="E1212" s="38" t="s">
        <v>250</v>
      </c>
      <c r="F1212" s="38" t="s">
        <v>3615</v>
      </c>
      <c r="G1212" s="38">
        <v>7422000</v>
      </c>
      <c r="H1212" s="11">
        <v>833950</v>
      </c>
      <c r="I1212" s="16" t="s">
        <v>3715</v>
      </c>
      <c r="J1212" s="16" t="s">
        <v>3716</v>
      </c>
      <c r="K1212" s="60" t="s">
        <v>4717</v>
      </c>
      <c r="L1212" s="16" t="s">
        <v>180</v>
      </c>
      <c r="M1212" s="134" t="s">
        <v>1175</v>
      </c>
      <c r="N1212" s="60" t="s">
        <v>5903</v>
      </c>
      <c r="O1212" s="16" t="s">
        <v>3660</v>
      </c>
      <c r="P1212" s="23">
        <v>1791.7972500000001</v>
      </c>
      <c r="Q1212" s="23">
        <f t="shared" si="156"/>
        <v>2114.3207550000002</v>
      </c>
      <c r="R1212" s="23">
        <v>1551.5654254895562</v>
      </c>
      <c r="S1212" s="34"/>
      <c r="T1212" s="25">
        <v>1.0840000000000001</v>
      </c>
      <c r="U1212" s="25">
        <v>1.0509999999999999</v>
      </c>
      <c r="V1212" s="25">
        <v>1.0669999999999999</v>
      </c>
      <c r="W1212" s="25">
        <v>1.0529999999999999</v>
      </c>
      <c r="X1212" s="25">
        <v>0.9</v>
      </c>
      <c r="Y1212" s="23">
        <f t="shared" si="159"/>
        <v>1779.8512509353486</v>
      </c>
      <c r="Z1212" s="23">
        <f t="shared" si="157"/>
        <v>2100.2244761037114</v>
      </c>
      <c r="AA1212" s="36" t="s">
        <v>132</v>
      </c>
      <c r="AB1212" s="36" t="s">
        <v>132</v>
      </c>
      <c r="AC1212" s="23">
        <v>1791.7972500000001</v>
      </c>
      <c r="AD1212" s="23">
        <f t="shared" si="158"/>
        <v>2114.3207550000002</v>
      </c>
      <c r="AE1212" s="38" t="s">
        <v>173</v>
      </c>
      <c r="AF1212" s="38" t="s">
        <v>83</v>
      </c>
      <c r="AG1212" s="38" t="s">
        <v>83</v>
      </c>
      <c r="AH1212" s="38" t="s">
        <v>545</v>
      </c>
      <c r="AI1212" s="51">
        <v>41554</v>
      </c>
      <c r="AJ1212" s="51">
        <v>41609</v>
      </c>
      <c r="AK1212" s="60"/>
      <c r="AL1212" s="60"/>
      <c r="AM1212" s="60" t="s">
        <v>3715</v>
      </c>
      <c r="AN1212" s="60" t="s">
        <v>353</v>
      </c>
      <c r="AO1212" s="11" t="s">
        <v>987</v>
      </c>
      <c r="AP1212" s="38" t="s">
        <v>82</v>
      </c>
      <c r="AQ1212" s="38">
        <v>2</v>
      </c>
      <c r="AR1212" s="38">
        <v>46209</v>
      </c>
      <c r="AS1212" s="16" t="s">
        <v>3383</v>
      </c>
      <c r="AT1212" s="52">
        <v>41758</v>
      </c>
      <c r="AU1212" s="51">
        <v>41758</v>
      </c>
      <c r="AV1212" s="52">
        <v>42004</v>
      </c>
      <c r="AW1212" s="38">
        <v>2014</v>
      </c>
      <c r="AX1212" s="60"/>
      <c r="AY1212" s="135"/>
      <c r="AZ1212" s="60"/>
      <c r="BA1212" s="38"/>
      <c r="BB1212" s="38"/>
      <c r="BC1212" s="60"/>
      <c r="BD1212" s="60"/>
      <c r="BE1212" s="238"/>
      <c r="BF1212" s="238"/>
      <c r="BG1212" s="238"/>
      <c r="BH1212" s="238"/>
      <c r="BI1212" s="238"/>
      <c r="BJ1212" s="304"/>
      <c r="BK1212" s="238"/>
    </row>
    <row r="1213" spans="1:63" s="268" customFormat="1" ht="73.5" customHeight="1">
      <c r="A1213" s="321">
        <v>3</v>
      </c>
      <c r="B1213" s="11" t="s">
        <v>3717</v>
      </c>
      <c r="C1213" s="38" t="s">
        <v>83</v>
      </c>
      <c r="D1213" s="38" t="s">
        <v>3704</v>
      </c>
      <c r="E1213" s="38" t="s">
        <v>250</v>
      </c>
      <c r="F1213" s="38" t="s">
        <v>3615</v>
      </c>
      <c r="G1213" s="38">
        <v>7422000</v>
      </c>
      <c r="H1213" s="11">
        <v>833951</v>
      </c>
      <c r="I1213" s="16" t="s">
        <v>3718</v>
      </c>
      <c r="J1213" s="16" t="s">
        <v>3716</v>
      </c>
      <c r="K1213" s="60" t="s">
        <v>4717</v>
      </c>
      <c r="L1213" s="16" t="s">
        <v>180</v>
      </c>
      <c r="M1213" s="134" t="s">
        <v>1175</v>
      </c>
      <c r="N1213" s="60" t="s">
        <v>5903</v>
      </c>
      <c r="O1213" s="16" t="s">
        <v>3609</v>
      </c>
      <c r="P1213" s="23">
        <v>5252.9969099999998</v>
      </c>
      <c r="Q1213" s="23">
        <f t="shared" si="156"/>
        <v>6198.5363537999992</v>
      </c>
      <c r="R1213" s="23">
        <v>4548.7112929543082</v>
      </c>
      <c r="S1213" s="34"/>
      <c r="T1213" s="25">
        <v>1.0840000000000001</v>
      </c>
      <c r="U1213" s="25">
        <v>1.0509999999999999</v>
      </c>
      <c r="V1213" s="25">
        <v>1.0669999999999999</v>
      </c>
      <c r="W1213" s="25">
        <v>1.0529999999999999</v>
      </c>
      <c r="X1213" s="25">
        <v>0.9</v>
      </c>
      <c r="Y1213" s="23">
        <f t="shared" si="159"/>
        <v>5217.9749251334215</v>
      </c>
      <c r="Z1213" s="23">
        <f t="shared" si="157"/>
        <v>6157.2104116574374</v>
      </c>
      <c r="AA1213" s="36" t="s">
        <v>132</v>
      </c>
      <c r="AB1213" s="36" t="s">
        <v>132</v>
      </c>
      <c r="AC1213" s="23">
        <v>5252.9969099999998</v>
      </c>
      <c r="AD1213" s="23">
        <f t="shared" si="158"/>
        <v>6198.5363537999992</v>
      </c>
      <c r="AE1213" s="38" t="s">
        <v>173</v>
      </c>
      <c r="AF1213" s="38" t="s">
        <v>83</v>
      </c>
      <c r="AG1213" s="38" t="s">
        <v>83</v>
      </c>
      <c r="AH1213" s="38" t="s">
        <v>545</v>
      </c>
      <c r="AI1213" s="52">
        <v>41631</v>
      </c>
      <c r="AJ1213" s="51">
        <v>41676</v>
      </c>
      <c r="AK1213" s="60"/>
      <c r="AL1213" s="60"/>
      <c r="AM1213" s="60" t="s">
        <v>3718</v>
      </c>
      <c r="AN1213" s="60" t="s">
        <v>353</v>
      </c>
      <c r="AO1213" s="11">
        <v>16</v>
      </c>
      <c r="AP1213" s="38" t="s">
        <v>419</v>
      </c>
      <c r="AQ1213" s="38">
        <v>16</v>
      </c>
      <c r="AR1213" s="38">
        <v>46209</v>
      </c>
      <c r="AS1213" s="16" t="s">
        <v>3383</v>
      </c>
      <c r="AT1213" s="52">
        <v>41758</v>
      </c>
      <c r="AU1213" s="51">
        <v>41758</v>
      </c>
      <c r="AV1213" s="52">
        <v>42004</v>
      </c>
      <c r="AW1213" s="38">
        <v>2014</v>
      </c>
      <c r="AX1213" s="60"/>
      <c r="AY1213" s="135"/>
      <c r="AZ1213" s="60"/>
      <c r="BA1213" s="38"/>
      <c r="BB1213" s="38"/>
      <c r="BC1213" s="60"/>
      <c r="BD1213" s="60"/>
      <c r="BE1213" s="238"/>
      <c r="BF1213" s="238"/>
      <c r="BG1213" s="238"/>
      <c r="BH1213" s="238"/>
      <c r="BI1213" s="238"/>
      <c r="BJ1213" s="304"/>
      <c r="BK1213" s="378"/>
    </row>
    <row r="1214" spans="1:63" s="268" customFormat="1" ht="73.5" customHeight="1">
      <c r="A1214" s="321">
        <v>3</v>
      </c>
      <c r="B1214" s="11" t="s">
        <v>4922</v>
      </c>
      <c r="C1214" s="38" t="s">
        <v>83</v>
      </c>
      <c r="D1214" s="38" t="s">
        <v>3704</v>
      </c>
      <c r="E1214" s="38" t="s">
        <v>250</v>
      </c>
      <c r="F1214" s="38" t="s">
        <v>3615</v>
      </c>
      <c r="G1214" s="38">
        <v>7422000</v>
      </c>
      <c r="H1214" s="11">
        <v>834869</v>
      </c>
      <c r="I1214" s="16" t="s">
        <v>4925</v>
      </c>
      <c r="J1214" s="16" t="s">
        <v>4924</v>
      </c>
      <c r="K1214" s="60" t="s">
        <v>4717</v>
      </c>
      <c r="L1214" s="16" t="s">
        <v>180</v>
      </c>
      <c r="M1214" s="134" t="s">
        <v>1175</v>
      </c>
      <c r="N1214" s="60" t="s">
        <v>5903</v>
      </c>
      <c r="O1214" s="16" t="s">
        <v>3609</v>
      </c>
      <c r="P1214" s="23">
        <v>998.61400000000003</v>
      </c>
      <c r="Q1214" s="23">
        <f>P1214*1.18</f>
        <v>1178.3645200000001</v>
      </c>
      <c r="R1214" s="23">
        <v>998.61400000000003</v>
      </c>
      <c r="S1214" s="34"/>
      <c r="T1214" s="25">
        <v>1.0840000000000001</v>
      </c>
      <c r="U1214" s="25">
        <v>1.0509999999999999</v>
      </c>
      <c r="V1214" s="25">
        <v>1.0669999999999999</v>
      </c>
      <c r="W1214" s="25">
        <v>1.0529999999999999</v>
      </c>
      <c r="X1214" s="25">
        <v>0.9</v>
      </c>
      <c r="Y1214" s="23">
        <v>998.61400000000003</v>
      </c>
      <c r="Z1214" s="23">
        <f>Y1214*1.18</f>
        <v>1178.3645200000001</v>
      </c>
      <c r="AA1214" s="36" t="s">
        <v>132</v>
      </c>
      <c r="AB1214" s="36" t="s">
        <v>132</v>
      </c>
      <c r="AC1214" s="23">
        <v>998.61</v>
      </c>
      <c r="AD1214" s="23">
        <f>AC1214*1.18</f>
        <v>1178.3598</v>
      </c>
      <c r="AE1214" s="38" t="s">
        <v>173</v>
      </c>
      <c r="AF1214" s="38" t="s">
        <v>83</v>
      </c>
      <c r="AG1214" s="38" t="s">
        <v>83</v>
      </c>
      <c r="AH1214" s="38" t="s">
        <v>545</v>
      </c>
      <c r="AI1214" s="51">
        <v>41628</v>
      </c>
      <c r="AJ1214" s="51">
        <v>41654</v>
      </c>
      <c r="AK1214" s="60"/>
      <c r="AL1214" s="60"/>
      <c r="AM1214" s="60" t="s">
        <v>4923</v>
      </c>
      <c r="AN1214" s="60" t="s">
        <v>353</v>
      </c>
      <c r="AO1214" s="11">
        <v>2</v>
      </c>
      <c r="AP1214" s="38" t="s">
        <v>419</v>
      </c>
      <c r="AQ1214" s="38">
        <v>2</v>
      </c>
      <c r="AR1214" s="38">
        <v>46209</v>
      </c>
      <c r="AS1214" s="16" t="s">
        <v>3383</v>
      </c>
      <c r="AT1214" s="52">
        <v>41699</v>
      </c>
      <c r="AU1214" s="51">
        <v>41699</v>
      </c>
      <c r="AV1214" s="52">
        <v>41927</v>
      </c>
      <c r="AW1214" s="38">
        <v>2014</v>
      </c>
      <c r="AX1214" s="60"/>
      <c r="AY1214" s="135"/>
      <c r="AZ1214" s="60"/>
      <c r="BA1214" s="38"/>
      <c r="BB1214" s="38"/>
      <c r="BC1214" s="60"/>
      <c r="BD1214" s="60"/>
      <c r="BE1214" s="238"/>
      <c r="BF1214" s="238"/>
      <c r="BG1214" s="238"/>
      <c r="BH1214" s="238"/>
      <c r="BI1214" s="238"/>
      <c r="BJ1214" s="304"/>
      <c r="BK1214" s="378"/>
    </row>
    <row r="1215" spans="1:63" s="268" customFormat="1" ht="73.5" customHeight="1">
      <c r="A1215" s="321">
        <v>3</v>
      </c>
      <c r="B1215" s="11" t="s">
        <v>3719</v>
      </c>
      <c r="C1215" s="38" t="s">
        <v>83</v>
      </c>
      <c r="D1215" s="38" t="s">
        <v>3704</v>
      </c>
      <c r="E1215" s="38" t="s">
        <v>250</v>
      </c>
      <c r="F1215" s="38" t="s">
        <v>3615</v>
      </c>
      <c r="G1215" s="38">
        <v>7422000</v>
      </c>
      <c r="H1215" s="11">
        <v>833952</v>
      </c>
      <c r="I1215" s="16" t="s">
        <v>4293</v>
      </c>
      <c r="J1215" s="16" t="s">
        <v>3716</v>
      </c>
      <c r="K1215" s="60" t="s">
        <v>4717</v>
      </c>
      <c r="L1215" s="16" t="s">
        <v>180</v>
      </c>
      <c r="M1215" s="134" t="s">
        <v>1175</v>
      </c>
      <c r="N1215" s="60" t="s">
        <v>5903</v>
      </c>
      <c r="O1215" s="16" t="s">
        <v>3609</v>
      </c>
      <c r="P1215" s="23">
        <v>5037.3370000000004</v>
      </c>
      <c r="Q1215" s="23">
        <f t="shared" si="156"/>
        <v>5944.0576600000004</v>
      </c>
      <c r="R1215" s="23">
        <v>4361.97</v>
      </c>
      <c r="S1215" s="34"/>
      <c r="T1215" s="25">
        <v>1.0840000000000001</v>
      </c>
      <c r="U1215" s="25">
        <v>1.0509999999999999</v>
      </c>
      <c r="V1215" s="25">
        <v>1.0669999999999999</v>
      </c>
      <c r="W1215" s="25">
        <v>1.0529999999999999</v>
      </c>
      <c r="X1215" s="25">
        <v>0.9</v>
      </c>
      <c r="Y1215" s="23">
        <f t="shared" si="159"/>
        <v>5003.7528302004685</v>
      </c>
      <c r="Z1215" s="23">
        <f t="shared" si="157"/>
        <v>5904.4283396365527</v>
      </c>
      <c r="AA1215" s="36" t="s">
        <v>132</v>
      </c>
      <c r="AB1215" s="36" t="s">
        <v>132</v>
      </c>
      <c r="AC1215" s="23">
        <v>5037.3370000000004</v>
      </c>
      <c r="AD1215" s="23">
        <f t="shared" si="158"/>
        <v>5944.0576600000004</v>
      </c>
      <c r="AE1215" s="38" t="s">
        <v>173</v>
      </c>
      <c r="AF1215" s="38" t="s">
        <v>83</v>
      </c>
      <c r="AG1215" s="38" t="s">
        <v>83</v>
      </c>
      <c r="AH1215" s="38" t="s">
        <v>545</v>
      </c>
      <c r="AI1215" s="51">
        <v>41554</v>
      </c>
      <c r="AJ1215" s="51">
        <v>41609</v>
      </c>
      <c r="AK1215" s="60"/>
      <c r="AL1215" s="60"/>
      <c r="AM1215" s="60" t="s">
        <v>4294</v>
      </c>
      <c r="AN1215" s="60" t="s">
        <v>353</v>
      </c>
      <c r="AO1215" s="11">
        <v>2</v>
      </c>
      <c r="AP1215" s="38" t="s">
        <v>419</v>
      </c>
      <c r="AQ1215" s="38">
        <v>2</v>
      </c>
      <c r="AR1215" s="38">
        <v>46209</v>
      </c>
      <c r="AS1215" s="16" t="s">
        <v>3383</v>
      </c>
      <c r="AT1215" s="52">
        <v>41699</v>
      </c>
      <c r="AU1215" s="51">
        <v>41699</v>
      </c>
      <c r="AV1215" s="52">
        <v>42004</v>
      </c>
      <c r="AW1215" s="38">
        <v>2014</v>
      </c>
      <c r="AX1215" s="60"/>
      <c r="AY1215" s="135"/>
      <c r="AZ1215" s="60"/>
      <c r="BA1215" s="38"/>
      <c r="BB1215" s="38"/>
      <c r="BC1215" s="60"/>
      <c r="BD1215" s="60"/>
      <c r="BE1215" s="238"/>
      <c r="BF1215" s="238"/>
      <c r="BG1215" s="238"/>
      <c r="BH1215" s="238"/>
      <c r="BI1215" s="238"/>
      <c r="BJ1215" s="304"/>
      <c r="BK1215" s="378"/>
    </row>
    <row r="1216" spans="1:63" s="268" customFormat="1" ht="73.5" customHeight="1">
      <c r="A1216" s="321">
        <v>3</v>
      </c>
      <c r="B1216" s="11" t="s">
        <v>3720</v>
      </c>
      <c r="C1216" s="38" t="s">
        <v>83</v>
      </c>
      <c r="D1216" s="38" t="s">
        <v>3704</v>
      </c>
      <c r="E1216" s="38" t="s">
        <v>250</v>
      </c>
      <c r="F1216" s="38" t="s">
        <v>694</v>
      </c>
      <c r="G1216" s="38">
        <v>7422000</v>
      </c>
      <c r="H1216" s="11">
        <v>833954</v>
      </c>
      <c r="I1216" s="16" t="s">
        <v>3721</v>
      </c>
      <c r="J1216" s="16" t="s">
        <v>3722</v>
      </c>
      <c r="K1216" s="60" t="s">
        <v>4717</v>
      </c>
      <c r="L1216" s="16" t="s">
        <v>180</v>
      </c>
      <c r="M1216" s="134" t="s">
        <v>1175</v>
      </c>
      <c r="N1216" s="60" t="s">
        <v>5903</v>
      </c>
      <c r="O1216" s="16" t="s">
        <v>3660</v>
      </c>
      <c r="P1216" s="23">
        <v>19146.63221</v>
      </c>
      <c r="Q1216" s="23">
        <f t="shared" si="156"/>
        <v>22593.026007799999</v>
      </c>
      <c r="R1216" s="23"/>
      <c r="S1216" s="29"/>
      <c r="T1216" s="38"/>
      <c r="U1216" s="38"/>
      <c r="V1216" s="38"/>
      <c r="W1216" s="38"/>
      <c r="X1216" s="38"/>
      <c r="Y1216" s="23">
        <v>19146.63221</v>
      </c>
      <c r="Z1216" s="23">
        <f t="shared" si="157"/>
        <v>22593.026007799999</v>
      </c>
      <c r="AA1216" s="36" t="s">
        <v>132</v>
      </c>
      <c r="AB1216" s="36" t="s">
        <v>132</v>
      </c>
      <c r="AC1216" s="23">
        <v>19146.63221</v>
      </c>
      <c r="AD1216" s="23">
        <f t="shared" si="158"/>
        <v>22593.026007799999</v>
      </c>
      <c r="AE1216" s="38" t="s">
        <v>169</v>
      </c>
      <c r="AF1216" s="38" t="s">
        <v>83</v>
      </c>
      <c r="AG1216" s="38" t="s">
        <v>83</v>
      </c>
      <c r="AH1216" s="38" t="s">
        <v>545</v>
      </c>
      <c r="AI1216" s="51">
        <v>41554</v>
      </c>
      <c r="AJ1216" s="51">
        <v>41609</v>
      </c>
      <c r="AK1216" s="60"/>
      <c r="AL1216" s="60"/>
      <c r="AM1216" s="60" t="s">
        <v>3721</v>
      </c>
      <c r="AN1216" s="60" t="s">
        <v>353</v>
      </c>
      <c r="AO1216" s="11">
        <v>34</v>
      </c>
      <c r="AP1216" s="38" t="s">
        <v>419</v>
      </c>
      <c r="AQ1216" s="38">
        <v>34</v>
      </c>
      <c r="AR1216" s="38">
        <v>46209</v>
      </c>
      <c r="AS1216" s="16" t="s">
        <v>3383</v>
      </c>
      <c r="AT1216" s="52">
        <v>41730</v>
      </c>
      <c r="AU1216" s="51">
        <v>41730</v>
      </c>
      <c r="AV1216" s="52">
        <v>42004</v>
      </c>
      <c r="AW1216" s="38">
        <v>2014</v>
      </c>
      <c r="AX1216" s="60"/>
      <c r="AY1216" s="135"/>
      <c r="AZ1216" s="60"/>
      <c r="BA1216" s="38"/>
      <c r="BB1216" s="38"/>
      <c r="BC1216" s="60"/>
      <c r="BD1216" s="60"/>
      <c r="BE1216" s="238"/>
      <c r="BF1216" s="238"/>
      <c r="BG1216" s="238"/>
      <c r="BH1216" s="238"/>
      <c r="BI1216" s="238"/>
      <c r="BJ1216" s="304"/>
      <c r="BK1216" s="378"/>
    </row>
    <row r="1217" spans="1:63" s="268" customFormat="1" ht="73.5" customHeight="1">
      <c r="A1217" s="321">
        <v>3</v>
      </c>
      <c r="B1217" s="11" t="s">
        <v>3723</v>
      </c>
      <c r="C1217" s="38" t="s">
        <v>83</v>
      </c>
      <c r="D1217" s="38" t="s">
        <v>3704</v>
      </c>
      <c r="E1217" s="38" t="s">
        <v>250</v>
      </c>
      <c r="F1217" s="38" t="s">
        <v>694</v>
      </c>
      <c r="G1217" s="38">
        <v>7422000</v>
      </c>
      <c r="H1217" s="11">
        <v>833955</v>
      </c>
      <c r="I1217" s="16" t="s">
        <v>4175</v>
      </c>
      <c r="J1217" s="16" t="s">
        <v>3722</v>
      </c>
      <c r="K1217" s="60" t="s">
        <v>4717</v>
      </c>
      <c r="L1217" s="16" t="s">
        <v>180</v>
      </c>
      <c r="M1217" s="134" t="s">
        <v>1175</v>
      </c>
      <c r="N1217" s="60" t="s">
        <v>5903</v>
      </c>
      <c r="O1217" s="16" t="s">
        <v>3660</v>
      </c>
      <c r="P1217" s="23">
        <v>17337.482019999999</v>
      </c>
      <c r="Q1217" s="23">
        <f t="shared" si="156"/>
        <v>20458.2287836</v>
      </c>
      <c r="R1217" s="23"/>
      <c r="S1217" s="29"/>
      <c r="T1217" s="38"/>
      <c r="U1217" s="38"/>
      <c r="V1217" s="38"/>
      <c r="W1217" s="38"/>
      <c r="X1217" s="38"/>
      <c r="Y1217" s="23">
        <v>17337.482019999999</v>
      </c>
      <c r="Z1217" s="23">
        <f t="shared" si="157"/>
        <v>20458.2287836</v>
      </c>
      <c r="AA1217" s="36" t="s">
        <v>132</v>
      </c>
      <c r="AB1217" s="36" t="s">
        <v>132</v>
      </c>
      <c r="AC1217" s="23">
        <v>17337.482019999999</v>
      </c>
      <c r="AD1217" s="23">
        <f t="shared" si="158"/>
        <v>20458.2287836</v>
      </c>
      <c r="AE1217" s="38" t="s">
        <v>169</v>
      </c>
      <c r="AF1217" s="38" t="s">
        <v>83</v>
      </c>
      <c r="AG1217" s="38" t="s">
        <v>83</v>
      </c>
      <c r="AH1217" s="38" t="s">
        <v>545</v>
      </c>
      <c r="AI1217" s="51">
        <v>41625</v>
      </c>
      <c r="AJ1217" s="51">
        <v>41685</v>
      </c>
      <c r="AK1217" s="60"/>
      <c r="AL1217" s="60"/>
      <c r="AM1217" s="60" t="s">
        <v>4175</v>
      </c>
      <c r="AN1217" s="60" t="s">
        <v>171</v>
      </c>
      <c r="AO1217" s="11">
        <v>12</v>
      </c>
      <c r="AP1217" s="38" t="s">
        <v>419</v>
      </c>
      <c r="AQ1217" s="38">
        <v>12</v>
      </c>
      <c r="AR1217" s="38">
        <v>46209</v>
      </c>
      <c r="AS1217" s="16" t="s">
        <v>3383</v>
      </c>
      <c r="AT1217" s="52">
        <v>41705</v>
      </c>
      <c r="AU1217" s="52">
        <v>41705</v>
      </c>
      <c r="AV1217" s="52">
        <v>42004</v>
      </c>
      <c r="AW1217" s="38">
        <v>2014</v>
      </c>
      <c r="AX1217" s="60"/>
      <c r="AY1217" s="135"/>
      <c r="AZ1217" s="60"/>
      <c r="BA1217" s="38"/>
      <c r="BB1217" s="38"/>
      <c r="BC1217" s="60"/>
      <c r="BD1217" s="60"/>
      <c r="BE1217" s="238"/>
      <c r="BF1217" s="238"/>
      <c r="BG1217" s="238"/>
      <c r="BH1217" s="238"/>
      <c r="BI1217" s="238"/>
      <c r="BJ1217" s="304"/>
      <c r="BK1217" s="378"/>
    </row>
    <row r="1218" spans="1:63" s="268" customFormat="1" ht="73.5" customHeight="1">
      <c r="A1218" s="321">
        <v>3</v>
      </c>
      <c r="B1218" s="11" t="s">
        <v>3724</v>
      </c>
      <c r="C1218" s="38" t="s">
        <v>83</v>
      </c>
      <c r="D1218" s="38" t="s">
        <v>3704</v>
      </c>
      <c r="E1218" s="38" t="s">
        <v>250</v>
      </c>
      <c r="F1218" s="38" t="s">
        <v>694</v>
      </c>
      <c r="G1218" s="38">
        <v>7422000</v>
      </c>
      <c r="H1218" s="11">
        <v>833957</v>
      </c>
      <c r="I1218" s="16" t="s">
        <v>4176</v>
      </c>
      <c r="J1218" s="16" t="s">
        <v>3722</v>
      </c>
      <c r="K1218" s="60" t="s">
        <v>4717</v>
      </c>
      <c r="L1218" s="16" t="s">
        <v>180</v>
      </c>
      <c r="M1218" s="134" t="s">
        <v>1175</v>
      </c>
      <c r="N1218" s="60" t="s">
        <v>5903</v>
      </c>
      <c r="O1218" s="16" t="s">
        <v>3660</v>
      </c>
      <c r="P1218" s="23">
        <v>27228.88337</v>
      </c>
      <c r="Q1218" s="23">
        <f t="shared" si="156"/>
        <v>32130.082376599999</v>
      </c>
      <c r="R1218" s="23"/>
      <c r="S1218" s="29"/>
      <c r="T1218" s="38"/>
      <c r="U1218" s="38"/>
      <c r="V1218" s="38"/>
      <c r="W1218" s="38"/>
      <c r="X1218" s="38"/>
      <c r="Y1218" s="23">
        <v>27228.88337</v>
      </c>
      <c r="Z1218" s="23">
        <f t="shared" si="157"/>
        <v>32130.082376599999</v>
      </c>
      <c r="AA1218" s="36" t="s">
        <v>132</v>
      </c>
      <c r="AB1218" s="36" t="s">
        <v>132</v>
      </c>
      <c r="AC1218" s="23">
        <v>27228.88337</v>
      </c>
      <c r="AD1218" s="23">
        <f t="shared" si="158"/>
        <v>32130.082376599999</v>
      </c>
      <c r="AE1218" s="38" t="s">
        <v>169</v>
      </c>
      <c r="AF1218" s="38" t="s">
        <v>83</v>
      </c>
      <c r="AG1218" s="38" t="s">
        <v>83</v>
      </c>
      <c r="AH1218" s="38" t="s">
        <v>545</v>
      </c>
      <c r="AI1218" s="51">
        <v>41625</v>
      </c>
      <c r="AJ1218" s="51">
        <v>41685</v>
      </c>
      <c r="AK1218" s="60"/>
      <c r="AL1218" s="60"/>
      <c r="AM1218" s="60" t="s">
        <v>4176</v>
      </c>
      <c r="AN1218" s="60" t="s">
        <v>353</v>
      </c>
      <c r="AO1218" s="11">
        <v>16</v>
      </c>
      <c r="AP1218" s="38" t="s">
        <v>419</v>
      </c>
      <c r="AQ1218" s="38">
        <v>25</v>
      </c>
      <c r="AR1218" s="38">
        <v>46209</v>
      </c>
      <c r="AS1218" s="16" t="s">
        <v>3383</v>
      </c>
      <c r="AT1218" s="52">
        <v>41705</v>
      </c>
      <c r="AU1218" s="52">
        <v>41705</v>
      </c>
      <c r="AV1218" s="52">
        <v>42004</v>
      </c>
      <c r="AW1218" s="38">
        <v>2014</v>
      </c>
      <c r="AX1218" s="60"/>
      <c r="AY1218" s="135"/>
      <c r="AZ1218" s="60"/>
      <c r="BA1218" s="38"/>
      <c r="BB1218" s="38"/>
      <c r="BC1218" s="60"/>
      <c r="BD1218" s="60"/>
      <c r="BE1218" s="238"/>
      <c r="BF1218" s="238"/>
      <c r="BG1218" s="238"/>
      <c r="BH1218" s="238"/>
      <c r="BI1218" s="238"/>
      <c r="BJ1218" s="304"/>
      <c r="BK1218" s="378"/>
    </row>
    <row r="1219" spans="1:63" s="268" customFormat="1" ht="73.5" customHeight="1">
      <c r="A1219" s="321">
        <v>3</v>
      </c>
      <c r="B1219" s="11" t="s">
        <v>3725</v>
      </c>
      <c r="C1219" s="38" t="s">
        <v>83</v>
      </c>
      <c r="D1219" s="38" t="s">
        <v>3704</v>
      </c>
      <c r="E1219" s="38" t="s">
        <v>250</v>
      </c>
      <c r="F1219" s="38" t="s">
        <v>694</v>
      </c>
      <c r="G1219" s="38">
        <v>7422000</v>
      </c>
      <c r="H1219" s="11">
        <v>833959</v>
      </c>
      <c r="I1219" s="16" t="s">
        <v>3726</v>
      </c>
      <c r="J1219" s="16" t="s">
        <v>3722</v>
      </c>
      <c r="K1219" s="60" t="s">
        <v>4717</v>
      </c>
      <c r="L1219" s="16" t="s">
        <v>180</v>
      </c>
      <c r="M1219" s="134" t="s">
        <v>1175</v>
      </c>
      <c r="N1219" s="60" t="s">
        <v>5903</v>
      </c>
      <c r="O1219" s="16" t="s">
        <v>3660</v>
      </c>
      <c r="P1219" s="23">
        <v>11837.95851</v>
      </c>
      <c r="Q1219" s="23">
        <f t="shared" si="156"/>
        <v>13968.791041799999</v>
      </c>
      <c r="R1219" s="23"/>
      <c r="S1219" s="29"/>
      <c r="T1219" s="38"/>
      <c r="U1219" s="38"/>
      <c r="V1219" s="38"/>
      <c r="W1219" s="38"/>
      <c r="X1219" s="38"/>
      <c r="Y1219" s="23">
        <v>11837.95851</v>
      </c>
      <c r="Z1219" s="23">
        <f t="shared" si="157"/>
        <v>13968.791041799999</v>
      </c>
      <c r="AA1219" s="36" t="s">
        <v>132</v>
      </c>
      <c r="AB1219" s="36" t="s">
        <v>132</v>
      </c>
      <c r="AC1219" s="23">
        <v>11837.95851</v>
      </c>
      <c r="AD1219" s="23">
        <f t="shared" si="158"/>
        <v>13968.791041799999</v>
      </c>
      <c r="AE1219" s="38" t="s">
        <v>169</v>
      </c>
      <c r="AF1219" s="38" t="s">
        <v>83</v>
      </c>
      <c r="AG1219" s="38" t="s">
        <v>83</v>
      </c>
      <c r="AH1219" s="38" t="s">
        <v>545</v>
      </c>
      <c r="AI1219" s="52">
        <v>41631</v>
      </c>
      <c r="AJ1219" s="51">
        <v>41691</v>
      </c>
      <c r="AK1219" s="60"/>
      <c r="AL1219" s="60"/>
      <c r="AM1219" s="60" t="s">
        <v>3726</v>
      </c>
      <c r="AN1219" s="60" t="s">
        <v>353</v>
      </c>
      <c r="AO1219" s="11">
        <v>14</v>
      </c>
      <c r="AP1219" s="38" t="s">
        <v>419</v>
      </c>
      <c r="AQ1219" s="38">
        <v>14</v>
      </c>
      <c r="AR1219" s="38">
        <v>46209</v>
      </c>
      <c r="AS1219" s="16" t="s">
        <v>3383</v>
      </c>
      <c r="AT1219" s="52">
        <v>41699</v>
      </c>
      <c r="AU1219" s="51">
        <v>41699</v>
      </c>
      <c r="AV1219" s="52">
        <v>42004</v>
      </c>
      <c r="AW1219" s="38">
        <v>2014</v>
      </c>
      <c r="AX1219" s="60"/>
      <c r="AY1219" s="135"/>
      <c r="AZ1219" s="60"/>
      <c r="BA1219" s="38"/>
      <c r="BB1219" s="38"/>
      <c r="BC1219" s="60"/>
      <c r="BD1219" s="60"/>
      <c r="BE1219" s="238"/>
      <c r="BF1219" s="238"/>
      <c r="BG1219" s="238"/>
      <c r="BH1219" s="238"/>
      <c r="BI1219" s="238"/>
      <c r="BJ1219" s="304"/>
      <c r="BK1219" s="378"/>
    </row>
    <row r="1220" spans="1:63" s="268" customFormat="1" ht="73.5" customHeight="1">
      <c r="A1220" s="321">
        <v>3</v>
      </c>
      <c r="B1220" s="11" t="s">
        <v>3727</v>
      </c>
      <c r="C1220" s="38" t="s">
        <v>83</v>
      </c>
      <c r="D1220" s="38" t="s">
        <v>3704</v>
      </c>
      <c r="E1220" s="38" t="s">
        <v>250</v>
      </c>
      <c r="F1220" s="38" t="s">
        <v>694</v>
      </c>
      <c r="G1220" s="38">
        <v>7422000</v>
      </c>
      <c r="H1220" s="11">
        <v>833960</v>
      </c>
      <c r="I1220" s="16" t="s">
        <v>3728</v>
      </c>
      <c r="J1220" s="16" t="s">
        <v>3722</v>
      </c>
      <c r="K1220" s="60" t="s">
        <v>4717</v>
      </c>
      <c r="L1220" s="16" t="s">
        <v>180</v>
      </c>
      <c r="M1220" s="134" t="s">
        <v>1175</v>
      </c>
      <c r="N1220" s="60" t="s">
        <v>5903</v>
      </c>
      <c r="O1220" s="16" t="s">
        <v>3660</v>
      </c>
      <c r="P1220" s="23">
        <v>12500</v>
      </c>
      <c r="Q1220" s="23">
        <f t="shared" si="156"/>
        <v>14750</v>
      </c>
      <c r="R1220" s="23"/>
      <c r="S1220" s="29"/>
      <c r="T1220" s="38"/>
      <c r="U1220" s="38"/>
      <c r="V1220" s="38"/>
      <c r="W1220" s="38"/>
      <c r="X1220" s="38"/>
      <c r="Y1220" s="23">
        <v>12500</v>
      </c>
      <c r="Z1220" s="23">
        <f t="shared" si="157"/>
        <v>14750</v>
      </c>
      <c r="AA1220" s="36" t="s">
        <v>132</v>
      </c>
      <c r="AB1220" s="36" t="s">
        <v>132</v>
      </c>
      <c r="AC1220" s="23">
        <v>12500</v>
      </c>
      <c r="AD1220" s="23">
        <f t="shared" si="158"/>
        <v>14750</v>
      </c>
      <c r="AE1220" s="38" t="s">
        <v>169</v>
      </c>
      <c r="AF1220" s="38" t="s">
        <v>83</v>
      </c>
      <c r="AG1220" s="38" t="s">
        <v>83</v>
      </c>
      <c r="AH1220" s="38" t="s">
        <v>545</v>
      </c>
      <c r="AI1220" s="51">
        <v>41554</v>
      </c>
      <c r="AJ1220" s="51">
        <v>41609</v>
      </c>
      <c r="AK1220" s="60"/>
      <c r="AL1220" s="60"/>
      <c r="AM1220" s="60" t="s">
        <v>3728</v>
      </c>
      <c r="AN1220" s="60" t="s">
        <v>353</v>
      </c>
      <c r="AO1220" s="11">
        <v>1</v>
      </c>
      <c r="AP1220" s="38" t="s">
        <v>419</v>
      </c>
      <c r="AQ1220" s="38">
        <v>1</v>
      </c>
      <c r="AR1220" s="38">
        <v>46209</v>
      </c>
      <c r="AS1220" s="16" t="s">
        <v>3383</v>
      </c>
      <c r="AT1220" s="52">
        <v>41699</v>
      </c>
      <c r="AU1220" s="51">
        <v>41699</v>
      </c>
      <c r="AV1220" s="52">
        <v>42004</v>
      </c>
      <c r="AW1220" s="38">
        <v>2014</v>
      </c>
      <c r="AX1220" s="60"/>
      <c r="AY1220" s="135"/>
      <c r="AZ1220" s="60"/>
      <c r="BA1220" s="38"/>
      <c r="BB1220" s="38"/>
      <c r="BC1220" s="60"/>
      <c r="BD1220" s="60"/>
      <c r="BE1220" s="238"/>
      <c r="BF1220" s="238"/>
      <c r="BG1220" s="238"/>
      <c r="BH1220" s="238"/>
      <c r="BI1220" s="238"/>
      <c r="BJ1220" s="304"/>
      <c r="BK1220" s="238"/>
    </row>
    <row r="1221" spans="1:63" s="268" customFormat="1" ht="73.5" customHeight="1">
      <c r="A1221" s="321">
        <v>3</v>
      </c>
      <c r="B1221" s="11" t="s">
        <v>3732</v>
      </c>
      <c r="C1221" s="38" t="s">
        <v>83</v>
      </c>
      <c r="D1221" s="38" t="s">
        <v>3704</v>
      </c>
      <c r="E1221" s="38" t="s">
        <v>250</v>
      </c>
      <c r="F1221" s="38" t="s">
        <v>3615</v>
      </c>
      <c r="G1221" s="38">
        <v>7422000</v>
      </c>
      <c r="H1221" s="11">
        <v>833962</v>
      </c>
      <c r="I1221" s="16" t="s">
        <v>3733</v>
      </c>
      <c r="J1221" s="16" t="s">
        <v>3734</v>
      </c>
      <c r="K1221" s="60" t="s">
        <v>4717</v>
      </c>
      <c r="L1221" s="16" t="s">
        <v>180</v>
      </c>
      <c r="M1221" s="134" t="s">
        <v>1175</v>
      </c>
      <c r="N1221" s="60" t="s">
        <v>5903</v>
      </c>
      <c r="O1221" s="16" t="s">
        <v>3660</v>
      </c>
      <c r="P1221" s="23">
        <v>10734.07429</v>
      </c>
      <c r="Q1221" s="23">
        <f t="shared" si="156"/>
        <v>12666.2076622</v>
      </c>
      <c r="R1221" s="23">
        <v>9780.2999999999993</v>
      </c>
      <c r="S1221" s="34" t="s">
        <v>4180</v>
      </c>
      <c r="T1221" s="25">
        <v>1.0840000000000001</v>
      </c>
      <c r="U1221" s="25">
        <v>1.0509999999999999</v>
      </c>
      <c r="V1221" s="25">
        <v>1.0669999999999999</v>
      </c>
      <c r="W1221" s="25">
        <v>1.0529999999999999</v>
      </c>
      <c r="X1221" s="25">
        <v>0.9</v>
      </c>
      <c r="Y1221" s="23">
        <v>11267.290061007088</v>
      </c>
      <c r="Z1221" s="23">
        <f t="shared" si="157"/>
        <v>13295.402271988363</v>
      </c>
      <c r="AA1221" s="36" t="s">
        <v>132</v>
      </c>
      <c r="AB1221" s="36" t="s">
        <v>132</v>
      </c>
      <c r="AC1221" s="23">
        <v>10734.07429</v>
      </c>
      <c r="AD1221" s="23">
        <f t="shared" si="158"/>
        <v>12666.2076622</v>
      </c>
      <c r="AE1221" s="38" t="s">
        <v>169</v>
      </c>
      <c r="AF1221" s="38" t="s">
        <v>83</v>
      </c>
      <c r="AG1221" s="38" t="s">
        <v>83</v>
      </c>
      <c r="AH1221" s="38" t="s">
        <v>545</v>
      </c>
      <c r="AI1221" s="52">
        <f>AJ1221-60</f>
        <v>41563</v>
      </c>
      <c r="AJ1221" s="52">
        <v>41623</v>
      </c>
      <c r="AK1221" s="60"/>
      <c r="AL1221" s="60"/>
      <c r="AM1221" s="60" t="s">
        <v>3733</v>
      </c>
      <c r="AN1221" s="60" t="s">
        <v>353</v>
      </c>
      <c r="AO1221" s="11">
        <v>5</v>
      </c>
      <c r="AP1221" s="38" t="s">
        <v>419</v>
      </c>
      <c r="AQ1221" s="38">
        <v>5</v>
      </c>
      <c r="AR1221" s="38">
        <v>46209</v>
      </c>
      <c r="AS1221" s="16" t="s">
        <v>3383</v>
      </c>
      <c r="AT1221" s="52">
        <v>41643</v>
      </c>
      <c r="AU1221" s="51">
        <v>41643</v>
      </c>
      <c r="AV1221" s="52">
        <v>42004</v>
      </c>
      <c r="AW1221" s="38">
        <v>2014</v>
      </c>
      <c r="AX1221" s="60"/>
      <c r="AY1221" s="135"/>
      <c r="AZ1221" s="60"/>
      <c r="BA1221" s="38"/>
      <c r="BB1221" s="38"/>
      <c r="BC1221" s="60"/>
      <c r="BD1221" s="60"/>
      <c r="BE1221" s="238"/>
      <c r="BF1221" s="238"/>
      <c r="BG1221" s="238"/>
      <c r="BH1221" s="238"/>
      <c r="BI1221" s="238"/>
      <c r="BJ1221" s="304"/>
      <c r="BK1221" s="378"/>
    </row>
    <row r="1222" spans="1:63" s="268" customFormat="1" ht="73.5" customHeight="1">
      <c r="A1222" s="321">
        <v>3</v>
      </c>
      <c r="B1222" s="11" t="s">
        <v>3735</v>
      </c>
      <c r="C1222" s="38" t="s">
        <v>83</v>
      </c>
      <c r="D1222" s="38" t="s">
        <v>3704</v>
      </c>
      <c r="E1222" s="38" t="s">
        <v>250</v>
      </c>
      <c r="F1222" s="38" t="s">
        <v>3615</v>
      </c>
      <c r="G1222" s="38">
        <v>7422000</v>
      </c>
      <c r="H1222" s="11">
        <v>833963</v>
      </c>
      <c r="I1222" s="16" t="s">
        <v>3736</v>
      </c>
      <c r="J1222" s="16" t="s">
        <v>3722</v>
      </c>
      <c r="K1222" s="60" t="s">
        <v>4717</v>
      </c>
      <c r="L1222" s="16" t="s">
        <v>180</v>
      </c>
      <c r="M1222" s="134" t="s">
        <v>1175</v>
      </c>
      <c r="N1222" s="60" t="s">
        <v>5903</v>
      </c>
      <c r="O1222" s="16" t="s">
        <v>3660</v>
      </c>
      <c r="P1222" s="23">
        <v>2677.62165</v>
      </c>
      <c r="Q1222" s="23">
        <f t="shared" si="156"/>
        <v>3159.5935469999999</v>
      </c>
      <c r="R1222" s="23">
        <v>2318.624595881201</v>
      </c>
      <c r="S1222" s="34"/>
      <c r="T1222" s="25">
        <v>1.0840000000000001</v>
      </c>
      <c r="U1222" s="25">
        <v>1.0509999999999999</v>
      </c>
      <c r="V1222" s="25">
        <v>1.0669999999999999</v>
      </c>
      <c r="W1222" s="25">
        <v>1.0529999999999999</v>
      </c>
      <c r="X1222" s="25">
        <v>0.9</v>
      </c>
      <c r="Y1222" s="23">
        <f t="shared" ref="Y1222:Y1226" si="160">P1222*0.969453376*0.9*1.07*1.064</f>
        <v>2659.7698167491171</v>
      </c>
      <c r="Z1222" s="23">
        <f t="shared" si="157"/>
        <v>3138.5283837639581</v>
      </c>
      <c r="AA1222" s="36" t="s">
        <v>132</v>
      </c>
      <c r="AB1222" s="36" t="s">
        <v>132</v>
      </c>
      <c r="AC1222" s="23">
        <v>2677.62165</v>
      </c>
      <c r="AD1222" s="23">
        <f t="shared" si="158"/>
        <v>3159.5935469999999</v>
      </c>
      <c r="AE1222" s="38" t="s">
        <v>173</v>
      </c>
      <c r="AF1222" s="38" t="s">
        <v>83</v>
      </c>
      <c r="AG1222" s="38" t="s">
        <v>83</v>
      </c>
      <c r="AH1222" s="38" t="s">
        <v>545</v>
      </c>
      <c r="AI1222" s="51">
        <v>41554</v>
      </c>
      <c r="AJ1222" s="51">
        <v>41609</v>
      </c>
      <c r="AK1222" s="60"/>
      <c r="AL1222" s="60"/>
      <c r="AM1222" s="60" t="s">
        <v>3736</v>
      </c>
      <c r="AN1222" s="60" t="s">
        <v>353</v>
      </c>
      <c r="AO1222" s="11">
        <v>9</v>
      </c>
      <c r="AP1222" s="38" t="s">
        <v>419</v>
      </c>
      <c r="AQ1222" s="38">
        <v>9</v>
      </c>
      <c r="AR1222" s="38">
        <v>46209</v>
      </c>
      <c r="AS1222" s="16" t="s">
        <v>3383</v>
      </c>
      <c r="AT1222" s="52">
        <v>41758</v>
      </c>
      <c r="AU1222" s="51">
        <v>41758</v>
      </c>
      <c r="AV1222" s="52">
        <v>42004</v>
      </c>
      <c r="AW1222" s="38">
        <v>2014</v>
      </c>
      <c r="AX1222" s="60"/>
      <c r="AY1222" s="135"/>
      <c r="AZ1222" s="60"/>
      <c r="BA1222" s="38"/>
      <c r="BB1222" s="38"/>
      <c r="BC1222" s="60"/>
      <c r="BD1222" s="60"/>
      <c r="BE1222" s="238"/>
      <c r="BF1222" s="238"/>
      <c r="BG1222" s="238"/>
      <c r="BH1222" s="238"/>
      <c r="BI1222" s="238"/>
      <c r="BJ1222" s="304"/>
      <c r="BK1222" s="238"/>
    </row>
    <row r="1223" spans="1:63" s="268" customFormat="1" ht="73.5" customHeight="1">
      <c r="A1223" s="321">
        <v>3</v>
      </c>
      <c r="B1223" s="11" t="s">
        <v>3737</v>
      </c>
      <c r="C1223" s="38" t="s">
        <v>83</v>
      </c>
      <c r="D1223" s="38" t="s">
        <v>3704</v>
      </c>
      <c r="E1223" s="38" t="s">
        <v>250</v>
      </c>
      <c r="F1223" s="38" t="s">
        <v>3615</v>
      </c>
      <c r="G1223" s="38">
        <v>7422000</v>
      </c>
      <c r="H1223" s="11">
        <v>833964</v>
      </c>
      <c r="I1223" s="16" t="s">
        <v>3738</v>
      </c>
      <c r="J1223" s="16" t="s">
        <v>3739</v>
      </c>
      <c r="K1223" s="60" t="s">
        <v>4717</v>
      </c>
      <c r="L1223" s="16" t="s">
        <v>180</v>
      </c>
      <c r="M1223" s="134" t="s">
        <v>1175</v>
      </c>
      <c r="N1223" s="60" t="s">
        <v>5903</v>
      </c>
      <c r="O1223" s="16" t="s">
        <v>3660</v>
      </c>
      <c r="P1223" s="23">
        <v>4229.0506299999997</v>
      </c>
      <c r="Q1223" s="23">
        <f t="shared" si="156"/>
        <v>4990.2797433999995</v>
      </c>
      <c r="R1223" s="23">
        <v>3662.0486721657962</v>
      </c>
      <c r="S1223" s="34"/>
      <c r="T1223" s="25">
        <v>1.0840000000000001</v>
      </c>
      <c r="U1223" s="25">
        <v>1.0509999999999999</v>
      </c>
      <c r="V1223" s="25">
        <v>1.0669999999999999</v>
      </c>
      <c r="W1223" s="25">
        <v>1.0529999999999999</v>
      </c>
      <c r="X1223" s="25">
        <v>0.9</v>
      </c>
      <c r="Y1223" s="23">
        <f t="shared" si="160"/>
        <v>4200.8553445845637</v>
      </c>
      <c r="Z1223" s="23">
        <f t="shared" si="157"/>
        <v>4957.0093066097852</v>
      </c>
      <c r="AA1223" s="36" t="s">
        <v>132</v>
      </c>
      <c r="AB1223" s="36" t="s">
        <v>132</v>
      </c>
      <c r="AC1223" s="23">
        <v>4229.0506299999997</v>
      </c>
      <c r="AD1223" s="23">
        <f t="shared" si="158"/>
        <v>4990.2797433999995</v>
      </c>
      <c r="AE1223" s="38" t="s">
        <v>173</v>
      </c>
      <c r="AF1223" s="38" t="s">
        <v>83</v>
      </c>
      <c r="AG1223" s="38" t="s">
        <v>83</v>
      </c>
      <c r="AH1223" s="38" t="s">
        <v>545</v>
      </c>
      <c r="AI1223" s="51">
        <v>41554</v>
      </c>
      <c r="AJ1223" s="51">
        <v>41609</v>
      </c>
      <c r="AK1223" s="60"/>
      <c r="AL1223" s="60"/>
      <c r="AM1223" s="60" t="s">
        <v>3738</v>
      </c>
      <c r="AN1223" s="60" t="s">
        <v>353</v>
      </c>
      <c r="AO1223" s="11">
        <v>7</v>
      </c>
      <c r="AP1223" s="38" t="s">
        <v>419</v>
      </c>
      <c r="AQ1223" s="38">
        <v>7</v>
      </c>
      <c r="AR1223" s="38">
        <v>46209</v>
      </c>
      <c r="AS1223" s="16" t="s">
        <v>3383</v>
      </c>
      <c r="AT1223" s="52">
        <v>41730</v>
      </c>
      <c r="AU1223" s="51">
        <v>41730</v>
      </c>
      <c r="AV1223" s="52">
        <v>42004</v>
      </c>
      <c r="AW1223" s="38">
        <v>2014</v>
      </c>
      <c r="AX1223" s="60"/>
      <c r="AY1223" s="135"/>
      <c r="AZ1223" s="60"/>
      <c r="BA1223" s="38"/>
      <c r="BB1223" s="38"/>
      <c r="BC1223" s="60"/>
      <c r="BD1223" s="60"/>
      <c r="BE1223" s="238"/>
      <c r="BF1223" s="238"/>
      <c r="BG1223" s="238"/>
      <c r="BH1223" s="238"/>
      <c r="BI1223" s="238"/>
      <c r="BJ1223" s="304"/>
      <c r="BK1223" s="238"/>
    </row>
    <row r="1224" spans="1:63" s="268" customFormat="1" ht="73.5" customHeight="1">
      <c r="A1224" s="321">
        <v>3</v>
      </c>
      <c r="B1224" s="11" t="s">
        <v>3740</v>
      </c>
      <c r="C1224" s="38" t="s">
        <v>83</v>
      </c>
      <c r="D1224" s="38" t="s">
        <v>3704</v>
      </c>
      <c r="E1224" s="38" t="s">
        <v>250</v>
      </c>
      <c r="F1224" s="38" t="s">
        <v>3615</v>
      </c>
      <c r="G1224" s="38">
        <v>7422000</v>
      </c>
      <c r="H1224" s="11">
        <v>833965</v>
      </c>
      <c r="I1224" s="16" t="s">
        <v>3741</v>
      </c>
      <c r="J1224" s="16" t="s">
        <v>3742</v>
      </c>
      <c r="K1224" s="60" t="s">
        <v>4717</v>
      </c>
      <c r="L1224" s="16" t="s">
        <v>180</v>
      </c>
      <c r="M1224" s="134" t="s">
        <v>1175</v>
      </c>
      <c r="N1224" s="60" t="s">
        <v>5903</v>
      </c>
      <c r="O1224" s="16" t="s">
        <v>3660</v>
      </c>
      <c r="P1224" s="23">
        <v>22596.785680000001</v>
      </c>
      <c r="Q1224" s="23">
        <f t="shared" si="156"/>
        <v>26664.2071024</v>
      </c>
      <c r="R1224" s="23">
        <v>19567.164414548304</v>
      </c>
      <c r="S1224" s="34"/>
      <c r="T1224" s="25">
        <v>1.0840000000000001</v>
      </c>
      <c r="U1224" s="25">
        <v>1.0509999999999999</v>
      </c>
      <c r="V1224" s="25">
        <v>1.0669999999999999</v>
      </c>
      <c r="W1224" s="25">
        <v>1.0529999999999999</v>
      </c>
      <c r="X1224" s="25">
        <v>0.9</v>
      </c>
      <c r="Y1224" s="23">
        <f t="shared" si="160"/>
        <v>22446.131815229634</v>
      </c>
      <c r="Z1224" s="23">
        <f t="shared" si="157"/>
        <v>26486.435541970965</v>
      </c>
      <c r="AA1224" s="36" t="s">
        <v>132</v>
      </c>
      <c r="AB1224" s="36" t="s">
        <v>132</v>
      </c>
      <c r="AC1224" s="23">
        <v>22596.785680000001</v>
      </c>
      <c r="AD1224" s="23">
        <f t="shared" si="158"/>
        <v>26664.2071024</v>
      </c>
      <c r="AE1224" s="38" t="s">
        <v>169</v>
      </c>
      <c r="AF1224" s="38" t="s">
        <v>83</v>
      </c>
      <c r="AG1224" s="38" t="s">
        <v>83</v>
      </c>
      <c r="AH1224" s="38" t="s">
        <v>545</v>
      </c>
      <c r="AI1224" s="51">
        <v>41554</v>
      </c>
      <c r="AJ1224" s="51">
        <v>41609</v>
      </c>
      <c r="AK1224" s="60"/>
      <c r="AL1224" s="60"/>
      <c r="AM1224" s="60" t="s">
        <v>3741</v>
      </c>
      <c r="AN1224" s="60" t="s">
        <v>353</v>
      </c>
      <c r="AO1224" s="11">
        <v>67.34</v>
      </c>
      <c r="AP1224" s="38" t="s">
        <v>82</v>
      </c>
      <c r="AQ1224" s="38">
        <v>67</v>
      </c>
      <c r="AR1224" s="38">
        <v>46209</v>
      </c>
      <c r="AS1224" s="16" t="s">
        <v>3383</v>
      </c>
      <c r="AT1224" s="52">
        <v>41758</v>
      </c>
      <c r="AU1224" s="51">
        <v>41758</v>
      </c>
      <c r="AV1224" s="52">
        <v>42004</v>
      </c>
      <c r="AW1224" s="38">
        <v>2014</v>
      </c>
      <c r="AX1224" s="60"/>
      <c r="AY1224" s="135"/>
      <c r="AZ1224" s="60"/>
      <c r="BA1224" s="38"/>
      <c r="BB1224" s="38"/>
      <c r="BC1224" s="60"/>
      <c r="BD1224" s="60"/>
      <c r="BE1224" s="238"/>
      <c r="BF1224" s="238"/>
      <c r="BG1224" s="238"/>
      <c r="BH1224" s="238"/>
      <c r="BI1224" s="238"/>
      <c r="BJ1224" s="304"/>
      <c r="BK1224" s="238"/>
    </row>
    <row r="1225" spans="1:63" s="268" customFormat="1" ht="73.5" customHeight="1">
      <c r="A1225" s="321">
        <v>3</v>
      </c>
      <c r="B1225" s="11" t="s">
        <v>3743</v>
      </c>
      <c r="C1225" s="38" t="s">
        <v>83</v>
      </c>
      <c r="D1225" s="38" t="s">
        <v>3704</v>
      </c>
      <c r="E1225" s="38" t="s">
        <v>250</v>
      </c>
      <c r="F1225" s="38" t="s">
        <v>3615</v>
      </c>
      <c r="G1225" s="38">
        <v>7422000</v>
      </c>
      <c r="H1225" s="11">
        <v>833966</v>
      </c>
      <c r="I1225" s="16" t="s">
        <v>3744</v>
      </c>
      <c r="J1225" s="16" t="s">
        <v>3742</v>
      </c>
      <c r="K1225" s="60" t="s">
        <v>4717</v>
      </c>
      <c r="L1225" s="16" t="s">
        <v>180</v>
      </c>
      <c r="M1225" s="134" t="s">
        <v>1175</v>
      </c>
      <c r="N1225" s="60" t="s">
        <v>5903</v>
      </c>
      <c r="O1225" s="16" t="s">
        <v>3660</v>
      </c>
      <c r="P1225" s="23">
        <v>24148.920140000002</v>
      </c>
      <c r="Q1225" s="23">
        <f t="shared" si="156"/>
        <v>28495.725765200001</v>
      </c>
      <c r="R1225" s="23">
        <v>20911.199384937339</v>
      </c>
      <c r="S1225" s="34"/>
      <c r="T1225" s="25">
        <v>1.0840000000000001</v>
      </c>
      <c r="U1225" s="25">
        <v>1.0509999999999999</v>
      </c>
      <c r="V1225" s="25">
        <v>1.0669999999999999</v>
      </c>
      <c r="W1225" s="25">
        <v>1.0529999999999999</v>
      </c>
      <c r="X1225" s="25">
        <v>0.9</v>
      </c>
      <c r="Y1225" s="23">
        <f t="shared" si="160"/>
        <v>23987.91811959575</v>
      </c>
      <c r="Z1225" s="23">
        <f t="shared" si="157"/>
        <v>28305.743381122982</v>
      </c>
      <c r="AA1225" s="36" t="s">
        <v>132</v>
      </c>
      <c r="AB1225" s="36" t="s">
        <v>132</v>
      </c>
      <c r="AC1225" s="23">
        <v>24148.920140000002</v>
      </c>
      <c r="AD1225" s="23">
        <f t="shared" si="158"/>
        <v>28495.725765200001</v>
      </c>
      <c r="AE1225" s="38" t="s">
        <v>169</v>
      </c>
      <c r="AF1225" s="38" t="s">
        <v>83</v>
      </c>
      <c r="AG1225" s="38" t="s">
        <v>83</v>
      </c>
      <c r="AH1225" s="38" t="s">
        <v>545</v>
      </c>
      <c r="AI1225" s="51">
        <v>41554</v>
      </c>
      <c r="AJ1225" s="51">
        <v>41609</v>
      </c>
      <c r="AK1225" s="60"/>
      <c r="AL1225" s="60"/>
      <c r="AM1225" s="60" t="s">
        <v>3744</v>
      </c>
      <c r="AN1225" s="60" t="s">
        <v>353</v>
      </c>
      <c r="AO1225" s="11">
        <v>67.34</v>
      </c>
      <c r="AP1225" s="38" t="s">
        <v>82</v>
      </c>
      <c r="AQ1225" s="38">
        <v>67</v>
      </c>
      <c r="AR1225" s="38">
        <v>46209</v>
      </c>
      <c r="AS1225" s="16" t="s">
        <v>3383</v>
      </c>
      <c r="AT1225" s="52">
        <v>41730</v>
      </c>
      <c r="AU1225" s="51">
        <v>41730</v>
      </c>
      <c r="AV1225" s="52">
        <v>42004</v>
      </c>
      <c r="AW1225" s="38">
        <v>2014</v>
      </c>
      <c r="AX1225" s="60"/>
      <c r="AY1225" s="135"/>
      <c r="AZ1225" s="60"/>
      <c r="BA1225" s="38"/>
      <c r="BB1225" s="38"/>
      <c r="BC1225" s="60"/>
      <c r="BD1225" s="60"/>
      <c r="BE1225" s="238"/>
      <c r="BF1225" s="238"/>
      <c r="BG1225" s="238"/>
      <c r="BH1225" s="238"/>
      <c r="BI1225" s="238"/>
      <c r="BJ1225" s="304"/>
      <c r="BK1225" s="238"/>
    </row>
    <row r="1226" spans="1:63" s="268" customFormat="1" ht="73.5" customHeight="1">
      <c r="A1226" s="321">
        <v>3</v>
      </c>
      <c r="B1226" s="11" t="s">
        <v>3745</v>
      </c>
      <c r="C1226" s="38" t="s">
        <v>83</v>
      </c>
      <c r="D1226" s="38" t="s">
        <v>3704</v>
      </c>
      <c r="E1226" s="38" t="s">
        <v>250</v>
      </c>
      <c r="F1226" s="38" t="s">
        <v>3615</v>
      </c>
      <c r="G1226" s="38">
        <v>7422000</v>
      </c>
      <c r="H1226" s="11">
        <v>833967</v>
      </c>
      <c r="I1226" s="16" t="s">
        <v>3746</v>
      </c>
      <c r="J1226" s="16" t="s">
        <v>3747</v>
      </c>
      <c r="K1226" s="60" t="s">
        <v>4717</v>
      </c>
      <c r="L1226" s="16" t="s">
        <v>180</v>
      </c>
      <c r="M1226" s="134" t="s">
        <v>1175</v>
      </c>
      <c r="N1226" s="60" t="s">
        <v>5903</v>
      </c>
      <c r="O1226" s="16" t="s">
        <v>3660</v>
      </c>
      <c r="P1226" s="23">
        <v>3186.2151100000001</v>
      </c>
      <c r="Q1226" s="23">
        <f t="shared" si="156"/>
        <v>3759.7338298</v>
      </c>
      <c r="R1226" s="23">
        <v>2759.0293504738906</v>
      </c>
      <c r="S1226" s="34"/>
      <c r="T1226" s="25">
        <v>1.0840000000000001</v>
      </c>
      <c r="U1226" s="25">
        <v>1.0509999999999999</v>
      </c>
      <c r="V1226" s="25">
        <v>1.0669999999999999</v>
      </c>
      <c r="W1226" s="25">
        <v>1.0529999999999999</v>
      </c>
      <c r="X1226" s="25">
        <v>0.9</v>
      </c>
      <c r="Y1226" s="23">
        <f t="shared" si="160"/>
        <v>3164.9724595138255</v>
      </c>
      <c r="Z1226" s="23">
        <f t="shared" si="157"/>
        <v>3734.6675022263139</v>
      </c>
      <c r="AA1226" s="36" t="s">
        <v>132</v>
      </c>
      <c r="AB1226" s="36" t="s">
        <v>132</v>
      </c>
      <c r="AC1226" s="23">
        <v>3186.2151100000001</v>
      </c>
      <c r="AD1226" s="23">
        <f t="shared" si="158"/>
        <v>3759.7338298</v>
      </c>
      <c r="AE1226" s="38" t="s">
        <v>173</v>
      </c>
      <c r="AF1226" s="38" t="s">
        <v>83</v>
      </c>
      <c r="AG1226" s="38" t="s">
        <v>83</v>
      </c>
      <c r="AH1226" s="38" t="s">
        <v>545</v>
      </c>
      <c r="AI1226" s="51">
        <v>41554</v>
      </c>
      <c r="AJ1226" s="51">
        <v>41609</v>
      </c>
      <c r="AK1226" s="60"/>
      <c r="AL1226" s="60"/>
      <c r="AM1226" s="60" t="s">
        <v>3746</v>
      </c>
      <c r="AN1226" s="60" t="s">
        <v>353</v>
      </c>
      <c r="AO1226" s="11">
        <v>73.12</v>
      </c>
      <c r="AP1226" s="38" t="s">
        <v>1191</v>
      </c>
      <c r="AQ1226" s="38">
        <v>73</v>
      </c>
      <c r="AR1226" s="38">
        <v>46209</v>
      </c>
      <c r="AS1226" s="16" t="s">
        <v>3383</v>
      </c>
      <c r="AT1226" s="52">
        <v>41730</v>
      </c>
      <c r="AU1226" s="51">
        <v>41730</v>
      </c>
      <c r="AV1226" s="52">
        <v>42004</v>
      </c>
      <c r="AW1226" s="38">
        <v>2014</v>
      </c>
      <c r="AX1226" s="60"/>
      <c r="AY1226" s="135"/>
      <c r="AZ1226" s="60"/>
      <c r="BA1226" s="38"/>
      <c r="BB1226" s="38"/>
      <c r="BC1226" s="60"/>
      <c r="BD1226" s="60"/>
      <c r="BE1226" s="238"/>
      <c r="BF1226" s="238"/>
      <c r="BG1226" s="238"/>
      <c r="BH1226" s="238"/>
      <c r="BI1226" s="238"/>
      <c r="BJ1226" s="304"/>
      <c r="BK1226" s="238"/>
    </row>
    <row r="1227" spans="1:63" s="268" customFormat="1" ht="73.5" customHeight="1">
      <c r="A1227" s="321">
        <v>3</v>
      </c>
      <c r="B1227" s="11" t="s">
        <v>4545</v>
      </c>
      <c r="C1227" s="38" t="s">
        <v>83</v>
      </c>
      <c r="D1227" s="38" t="s">
        <v>3704</v>
      </c>
      <c r="E1227" s="38" t="s">
        <v>250</v>
      </c>
      <c r="F1227" s="38" t="s">
        <v>3615</v>
      </c>
      <c r="G1227" s="38">
        <v>7422000</v>
      </c>
      <c r="H1227" s="11">
        <v>834832</v>
      </c>
      <c r="I1227" s="16" t="s">
        <v>4546</v>
      </c>
      <c r="J1227" s="16" t="s">
        <v>3747</v>
      </c>
      <c r="K1227" s="60" t="s">
        <v>4717</v>
      </c>
      <c r="L1227" s="16" t="s">
        <v>180</v>
      </c>
      <c r="M1227" s="134" t="s">
        <v>1175</v>
      </c>
      <c r="N1227" s="60" t="s">
        <v>5903</v>
      </c>
      <c r="O1227" s="16" t="s">
        <v>3635</v>
      </c>
      <c r="P1227" s="23">
        <v>12183.941999999999</v>
      </c>
      <c r="Q1227" s="23">
        <f t="shared" si="156"/>
        <v>14377.051559999998</v>
      </c>
      <c r="R1227" s="23">
        <v>12082.07</v>
      </c>
      <c r="S1227" s="34" t="s">
        <v>4180</v>
      </c>
      <c r="T1227" s="25">
        <v>1.0840000000000001</v>
      </c>
      <c r="U1227" s="25">
        <v>1.0509999999999999</v>
      </c>
      <c r="V1227" s="25">
        <v>1.0669999999999999</v>
      </c>
      <c r="W1227" s="25">
        <v>1.0529999999999999</v>
      </c>
      <c r="X1227" s="25">
        <v>0.9</v>
      </c>
      <c r="Y1227" s="23">
        <v>13919.0195829772</v>
      </c>
      <c r="Z1227" s="23">
        <f t="shared" si="157"/>
        <v>16424.443107913095</v>
      </c>
      <c r="AA1227" s="36" t="s">
        <v>132</v>
      </c>
      <c r="AB1227" s="36" t="s">
        <v>132</v>
      </c>
      <c r="AC1227" s="23">
        <v>12183.941999999999</v>
      </c>
      <c r="AD1227" s="23">
        <f t="shared" si="158"/>
        <v>14377.051559999998</v>
      </c>
      <c r="AE1227" s="38" t="s">
        <v>169</v>
      </c>
      <c r="AF1227" s="38" t="s">
        <v>83</v>
      </c>
      <c r="AG1227" s="38" t="s">
        <v>83</v>
      </c>
      <c r="AH1227" s="38" t="s">
        <v>545</v>
      </c>
      <c r="AI1227" s="52">
        <f>AJ1227-45</f>
        <v>41959</v>
      </c>
      <c r="AJ1227" s="52">
        <v>42004</v>
      </c>
      <c r="AK1227" s="60"/>
      <c r="AL1227" s="60"/>
      <c r="AM1227" s="60"/>
      <c r="AN1227" s="60" t="s">
        <v>353</v>
      </c>
      <c r="AO1227" s="11"/>
      <c r="AP1227" s="38"/>
      <c r="AQ1227" s="38"/>
      <c r="AR1227" s="38"/>
      <c r="AS1227" s="16"/>
      <c r="AT1227" s="52">
        <v>41758</v>
      </c>
      <c r="AU1227" s="51">
        <v>41758</v>
      </c>
      <c r="AV1227" s="52">
        <v>42004</v>
      </c>
      <c r="AW1227" s="38">
        <v>2014</v>
      </c>
      <c r="AX1227" s="60"/>
      <c r="AY1227" s="135"/>
      <c r="AZ1227" s="60"/>
      <c r="BA1227" s="38"/>
      <c r="BB1227" s="38"/>
      <c r="BC1227" s="60"/>
      <c r="BD1227" s="60"/>
      <c r="BE1227" s="238"/>
      <c r="BF1227" s="238"/>
      <c r="BG1227" s="238"/>
      <c r="BH1227" s="238"/>
      <c r="BI1227" s="238"/>
      <c r="BJ1227" s="304"/>
      <c r="BK1227" s="378"/>
    </row>
    <row r="1228" spans="1:63" s="268" customFormat="1" ht="73.5" customHeight="1">
      <c r="A1228" s="321">
        <v>3</v>
      </c>
      <c r="B1228" s="11" t="s">
        <v>4547</v>
      </c>
      <c r="C1228" s="38" t="s">
        <v>83</v>
      </c>
      <c r="D1228" s="38" t="s">
        <v>3704</v>
      </c>
      <c r="E1228" s="38" t="s">
        <v>250</v>
      </c>
      <c r="F1228" s="38" t="s">
        <v>3615</v>
      </c>
      <c r="G1228" s="38">
        <v>7422000</v>
      </c>
      <c r="H1228" s="11">
        <v>834756</v>
      </c>
      <c r="I1228" s="16" t="s">
        <v>4548</v>
      </c>
      <c r="J1228" s="16" t="s">
        <v>3747</v>
      </c>
      <c r="K1228" s="60" t="s">
        <v>4717</v>
      </c>
      <c r="L1228" s="16" t="s">
        <v>180</v>
      </c>
      <c r="M1228" s="134" t="s">
        <v>1175</v>
      </c>
      <c r="N1228" s="60" t="s">
        <v>5903</v>
      </c>
      <c r="O1228" s="16" t="s">
        <v>3635</v>
      </c>
      <c r="P1228" s="23">
        <v>28240.280999999999</v>
      </c>
      <c r="Q1228" s="23">
        <f t="shared" si="156"/>
        <v>33323.531579999995</v>
      </c>
      <c r="R1228" s="23">
        <v>27984.880000000001</v>
      </c>
      <c r="S1228" s="34" t="s">
        <v>4180</v>
      </c>
      <c r="T1228" s="25">
        <v>1.0840000000000001</v>
      </c>
      <c r="U1228" s="25">
        <v>1.0509999999999999</v>
      </c>
      <c r="V1228" s="25">
        <v>1.0669999999999999</v>
      </c>
      <c r="W1228" s="25">
        <v>1.0529999999999999</v>
      </c>
      <c r="X1228" s="25">
        <v>0.9</v>
      </c>
      <c r="Y1228" s="23">
        <v>32239.681838233595</v>
      </c>
      <c r="Z1228" s="23">
        <f t="shared" si="157"/>
        <v>38042.824569115641</v>
      </c>
      <c r="AA1228" s="36" t="s">
        <v>132</v>
      </c>
      <c r="AB1228" s="36" t="s">
        <v>132</v>
      </c>
      <c r="AC1228" s="23">
        <v>28240.280999999999</v>
      </c>
      <c r="AD1228" s="23">
        <f t="shared" si="158"/>
        <v>33323.531579999995</v>
      </c>
      <c r="AE1228" s="38" t="s">
        <v>169</v>
      </c>
      <c r="AF1228" s="38" t="s">
        <v>83</v>
      </c>
      <c r="AG1228" s="38" t="s">
        <v>83</v>
      </c>
      <c r="AH1228" s="38" t="s">
        <v>545</v>
      </c>
      <c r="AI1228" s="52">
        <f>AJ1228-45</f>
        <v>41693</v>
      </c>
      <c r="AJ1228" s="52">
        <v>41738</v>
      </c>
      <c r="AK1228" s="60"/>
      <c r="AL1228" s="60"/>
      <c r="AM1228" s="60"/>
      <c r="AN1228" s="60" t="s">
        <v>353</v>
      </c>
      <c r="AO1228" s="11"/>
      <c r="AP1228" s="38"/>
      <c r="AQ1228" s="38"/>
      <c r="AR1228" s="38"/>
      <c r="AS1228" s="16"/>
      <c r="AT1228" s="52">
        <v>41758</v>
      </c>
      <c r="AU1228" s="51">
        <v>41758</v>
      </c>
      <c r="AV1228" s="52">
        <v>42004</v>
      </c>
      <c r="AW1228" s="38">
        <v>2014</v>
      </c>
      <c r="AX1228" s="60"/>
      <c r="AY1228" s="135"/>
      <c r="AZ1228" s="60"/>
      <c r="BA1228" s="38"/>
      <c r="BB1228" s="38"/>
      <c r="BC1228" s="60"/>
      <c r="BD1228" s="60"/>
      <c r="BE1228" s="238"/>
      <c r="BF1228" s="238"/>
      <c r="BG1228" s="238"/>
      <c r="BH1228" s="238"/>
      <c r="BI1228" s="238"/>
      <c r="BJ1228" s="304"/>
      <c r="BK1228" s="378"/>
    </row>
    <row r="1229" spans="1:63" s="268" customFormat="1" ht="73.5" customHeight="1">
      <c r="A1229" s="321">
        <v>3</v>
      </c>
      <c r="B1229" s="11" t="s">
        <v>3751</v>
      </c>
      <c r="C1229" s="38" t="s">
        <v>83</v>
      </c>
      <c r="D1229" s="38" t="s">
        <v>3704</v>
      </c>
      <c r="E1229" s="38" t="s">
        <v>250</v>
      </c>
      <c r="F1229" s="38" t="s">
        <v>3615</v>
      </c>
      <c r="G1229" s="38">
        <v>7422000</v>
      </c>
      <c r="H1229" s="11">
        <v>833969</v>
      </c>
      <c r="I1229" s="16" t="s">
        <v>3752</v>
      </c>
      <c r="J1229" s="16" t="s">
        <v>3747</v>
      </c>
      <c r="K1229" s="60" t="s">
        <v>4717</v>
      </c>
      <c r="L1229" s="16" t="s">
        <v>180</v>
      </c>
      <c r="M1229" s="134" t="s">
        <v>1175</v>
      </c>
      <c r="N1229" s="60" t="s">
        <v>5903</v>
      </c>
      <c r="O1229" s="16" t="s">
        <v>3635</v>
      </c>
      <c r="P1229" s="23">
        <v>11406.528259999999</v>
      </c>
      <c r="Q1229" s="23">
        <f t="shared" si="156"/>
        <v>13459.703346799999</v>
      </c>
      <c r="R1229" s="23"/>
      <c r="S1229" s="29"/>
      <c r="T1229" s="38"/>
      <c r="U1229" s="38"/>
      <c r="V1229" s="38"/>
      <c r="W1229" s="38"/>
      <c r="X1229" s="38"/>
      <c r="Y1229" s="23">
        <v>11406.528259999999</v>
      </c>
      <c r="Z1229" s="23">
        <f t="shared" si="157"/>
        <v>13459.703346799999</v>
      </c>
      <c r="AA1229" s="36" t="s">
        <v>132</v>
      </c>
      <c r="AB1229" s="36" t="s">
        <v>132</v>
      </c>
      <c r="AC1229" s="23">
        <v>11406.528259999999</v>
      </c>
      <c r="AD1229" s="23">
        <f t="shared" si="158"/>
        <v>13459.703346799999</v>
      </c>
      <c r="AE1229" s="38" t="s">
        <v>169</v>
      </c>
      <c r="AF1229" s="38" t="s">
        <v>83</v>
      </c>
      <c r="AG1229" s="38" t="s">
        <v>83</v>
      </c>
      <c r="AH1229" s="38" t="s">
        <v>545</v>
      </c>
      <c r="AI1229" s="52">
        <f>AJ1229-45</f>
        <v>41693</v>
      </c>
      <c r="AJ1229" s="52">
        <v>41738</v>
      </c>
      <c r="AK1229" s="60"/>
      <c r="AL1229" s="60"/>
      <c r="AM1229" s="60" t="s">
        <v>3752</v>
      </c>
      <c r="AN1229" s="60" t="s">
        <v>353</v>
      </c>
      <c r="AO1229" s="11">
        <v>4000</v>
      </c>
      <c r="AP1229" s="38" t="s">
        <v>419</v>
      </c>
      <c r="AQ1229" s="38">
        <v>4000</v>
      </c>
      <c r="AR1229" s="38">
        <v>46209</v>
      </c>
      <c r="AS1229" s="16" t="s">
        <v>3383</v>
      </c>
      <c r="AT1229" s="52">
        <v>41758</v>
      </c>
      <c r="AU1229" s="52">
        <v>41758</v>
      </c>
      <c r="AV1229" s="52">
        <v>42004</v>
      </c>
      <c r="AW1229" s="38">
        <v>2014</v>
      </c>
      <c r="AX1229" s="60"/>
      <c r="AY1229" s="135"/>
      <c r="AZ1229" s="60"/>
      <c r="BA1229" s="38"/>
      <c r="BB1229" s="38"/>
      <c r="BC1229" s="60"/>
      <c r="BD1229" s="60"/>
      <c r="BE1229" s="238"/>
      <c r="BF1229" s="238"/>
      <c r="BG1229" s="238"/>
      <c r="BH1229" s="238"/>
      <c r="BI1229" s="238"/>
      <c r="BJ1229" s="304"/>
      <c r="BK1229" s="378"/>
    </row>
    <row r="1230" spans="1:63" s="268" customFormat="1" ht="131.25">
      <c r="A1230" s="321">
        <v>3</v>
      </c>
      <c r="B1230" s="11" t="s">
        <v>4573</v>
      </c>
      <c r="C1230" s="38" t="s">
        <v>83</v>
      </c>
      <c r="D1230" s="38" t="s">
        <v>3704</v>
      </c>
      <c r="E1230" s="38" t="s">
        <v>250</v>
      </c>
      <c r="F1230" s="38" t="s">
        <v>694</v>
      </c>
      <c r="G1230" s="38">
        <v>7422000</v>
      </c>
      <c r="H1230" s="11">
        <v>834848</v>
      </c>
      <c r="I1230" s="16" t="s">
        <v>4574</v>
      </c>
      <c r="J1230" s="16" t="s">
        <v>3722</v>
      </c>
      <c r="K1230" s="60" t="s">
        <v>4717</v>
      </c>
      <c r="L1230" s="16" t="s">
        <v>180</v>
      </c>
      <c r="M1230" s="134" t="s">
        <v>1175</v>
      </c>
      <c r="N1230" s="60" t="s">
        <v>5903</v>
      </c>
      <c r="O1230" s="16" t="s">
        <v>3660</v>
      </c>
      <c r="P1230" s="23">
        <v>9241.9699999999993</v>
      </c>
      <c r="Q1230" s="23">
        <f t="shared" si="156"/>
        <v>10905.524599999999</v>
      </c>
      <c r="R1230" s="23"/>
      <c r="S1230" s="29"/>
      <c r="T1230" s="38"/>
      <c r="U1230" s="38"/>
      <c r="V1230" s="38"/>
      <c r="W1230" s="38"/>
      <c r="X1230" s="38"/>
      <c r="Y1230" s="23">
        <v>9241.9699999999993</v>
      </c>
      <c r="Z1230" s="23">
        <f t="shared" si="157"/>
        <v>10905.524599999999</v>
      </c>
      <c r="AA1230" s="36" t="s">
        <v>132</v>
      </c>
      <c r="AB1230" s="36" t="s">
        <v>132</v>
      </c>
      <c r="AC1230" s="23">
        <v>9241.9699999999993</v>
      </c>
      <c r="AD1230" s="23">
        <f t="shared" si="158"/>
        <v>10905.524599999999</v>
      </c>
      <c r="AE1230" s="38" t="s">
        <v>169</v>
      </c>
      <c r="AF1230" s="38" t="s">
        <v>83</v>
      </c>
      <c r="AG1230" s="38" t="s">
        <v>83</v>
      </c>
      <c r="AH1230" s="38" t="s">
        <v>545</v>
      </c>
      <c r="AI1230" s="52">
        <v>41623</v>
      </c>
      <c r="AJ1230" s="51">
        <v>41683</v>
      </c>
      <c r="AK1230" s="60"/>
      <c r="AL1230" s="60"/>
      <c r="AM1230" s="60" t="s">
        <v>4176</v>
      </c>
      <c r="AN1230" s="60" t="s">
        <v>353</v>
      </c>
      <c r="AO1230" s="11">
        <v>16</v>
      </c>
      <c r="AP1230" s="38" t="s">
        <v>419</v>
      </c>
      <c r="AQ1230" s="38">
        <v>25</v>
      </c>
      <c r="AR1230" s="38">
        <v>46209</v>
      </c>
      <c r="AS1230" s="16" t="s">
        <v>3383</v>
      </c>
      <c r="AT1230" s="52">
        <v>41703</v>
      </c>
      <c r="AU1230" s="52">
        <v>41703</v>
      </c>
      <c r="AV1230" s="52">
        <v>42004</v>
      </c>
      <c r="AW1230" s="38">
        <v>2014</v>
      </c>
      <c r="AX1230" s="60"/>
      <c r="AY1230" s="135"/>
      <c r="AZ1230" s="60"/>
      <c r="BA1230" s="38"/>
      <c r="BB1230" s="38"/>
      <c r="BC1230" s="60"/>
      <c r="BD1230" s="60"/>
      <c r="BE1230" s="238"/>
      <c r="BF1230" s="238"/>
      <c r="BG1230" s="238"/>
      <c r="BH1230" s="238"/>
      <c r="BI1230" s="238"/>
      <c r="BJ1230" s="304"/>
      <c r="BK1230" s="378"/>
    </row>
    <row r="1231" spans="1:63" s="268" customFormat="1" ht="131.25">
      <c r="A1231" s="321">
        <v>3</v>
      </c>
      <c r="B1231" s="11" t="s">
        <v>3864</v>
      </c>
      <c r="C1231" s="38" t="s">
        <v>83</v>
      </c>
      <c r="D1231" s="38" t="s">
        <v>555</v>
      </c>
      <c r="E1231" s="38" t="s">
        <v>190</v>
      </c>
      <c r="F1231" s="38" t="s">
        <v>816</v>
      </c>
      <c r="G1231" s="38">
        <v>9430000</v>
      </c>
      <c r="H1231" s="11">
        <v>625928</v>
      </c>
      <c r="I1231" s="16" t="s">
        <v>3865</v>
      </c>
      <c r="J1231" s="16" t="s">
        <v>773</v>
      </c>
      <c r="K1231" s="60" t="s">
        <v>4717</v>
      </c>
      <c r="L1231" s="16" t="s">
        <v>180</v>
      </c>
      <c r="M1231" s="134" t="s">
        <v>1249</v>
      </c>
      <c r="N1231" s="16" t="s">
        <v>5903</v>
      </c>
      <c r="O1231" s="16" t="s">
        <v>3312</v>
      </c>
      <c r="P1231" s="23">
        <v>4450</v>
      </c>
      <c r="Q1231" s="23">
        <f t="shared" si="156"/>
        <v>5251</v>
      </c>
      <c r="R1231" s="23"/>
      <c r="S1231" s="29"/>
      <c r="T1231" s="38"/>
      <c r="U1231" s="38"/>
      <c r="V1231" s="38"/>
      <c r="W1231" s="38"/>
      <c r="X1231" s="38"/>
      <c r="Y1231" s="23">
        <v>4450</v>
      </c>
      <c r="Z1231" s="23">
        <f t="shared" si="157"/>
        <v>5251</v>
      </c>
      <c r="AA1231" s="36" t="s">
        <v>132</v>
      </c>
      <c r="AB1231" s="36" t="s">
        <v>132</v>
      </c>
      <c r="AC1231" s="23">
        <v>4450</v>
      </c>
      <c r="AD1231" s="23">
        <v>5251</v>
      </c>
      <c r="AE1231" s="38" t="s">
        <v>173</v>
      </c>
      <c r="AF1231" s="38" t="s">
        <v>83</v>
      </c>
      <c r="AG1231" s="38" t="s">
        <v>83</v>
      </c>
      <c r="AH1231" s="38" t="s">
        <v>90</v>
      </c>
      <c r="AI1231" s="52">
        <v>41625</v>
      </c>
      <c r="AJ1231" s="51">
        <v>41670</v>
      </c>
      <c r="AK1231" s="60"/>
      <c r="AL1231" s="60"/>
      <c r="AM1231" s="60" t="s">
        <v>3866</v>
      </c>
      <c r="AN1231" s="60" t="s">
        <v>171</v>
      </c>
      <c r="AO1231" s="11">
        <v>796</v>
      </c>
      <c r="AP1231" s="38" t="s">
        <v>419</v>
      </c>
      <c r="AQ1231" s="38">
        <v>9</v>
      </c>
      <c r="AR1231" s="38" t="s">
        <v>1176</v>
      </c>
      <c r="AS1231" s="16" t="s">
        <v>547</v>
      </c>
      <c r="AT1231" s="52">
        <v>41690</v>
      </c>
      <c r="AU1231" s="52">
        <v>41690</v>
      </c>
      <c r="AV1231" s="52">
        <v>41991</v>
      </c>
      <c r="AW1231" s="38">
        <v>2014</v>
      </c>
      <c r="AX1231" s="60"/>
      <c r="AY1231" s="135"/>
      <c r="AZ1231" s="60"/>
      <c r="BA1231" s="38"/>
      <c r="BB1231" s="38"/>
      <c r="BC1231" s="60"/>
      <c r="BD1231" s="60"/>
      <c r="BE1231" s="238"/>
      <c r="BF1231" s="238"/>
      <c r="BG1231" s="238"/>
      <c r="BH1231" s="238"/>
      <c r="BI1231" s="238"/>
      <c r="BJ1231" s="304"/>
      <c r="BK1231" s="238"/>
    </row>
    <row r="1232" spans="1:63" s="268" customFormat="1" ht="131.25">
      <c r="A1232" s="321">
        <v>3</v>
      </c>
      <c r="B1232" s="11" t="s">
        <v>3869</v>
      </c>
      <c r="C1232" s="38" t="s">
        <v>83</v>
      </c>
      <c r="D1232" s="38" t="s">
        <v>555</v>
      </c>
      <c r="E1232" s="38" t="s">
        <v>190</v>
      </c>
      <c r="F1232" s="38" t="s">
        <v>816</v>
      </c>
      <c r="G1232" s="38">
        <v>9430000</v>
      </c>
      <c r="H1232" s="11">
        <v>625927</v>
      </c>
      <c r="I1232" s="16" t="s">
        <v>3870</v>
      </c>
      <c r="J1232" s="16" t="s">
        <v>773</v>
      </c>
      <c r="K1232" s="16" t="s">
        <v>4717</v>
      </c>
      <c r="L1232" s="16" t="s">
        <v>180</v>
      </c>
      <c r="M1232" s="134" t="s">
        <v>1249</v>
      </c>
      <c r="N1232" s="16" t="s">
        <v>5903</v>
      </c>
      <c r="O1232" s="16" t="s">
        <v>3312</v>
      </c>
      <c r="P1232" s="23">
        <v>4150</v>
      </c>
      <c r="Q1232" s="23">
        <f t="shared" si="156"/>
        <v>4897</v>
      </c>
      <c r="R1232" s="23"/>
      <c r="S1232" s="29"/>
      <c r="T1232" s="38"/>
      <c r="U1232" s="38"/>
      <c r="V1232" s="38"/>
      <c r="W1232" s="38"/>
      <c r="X1232" s="38"/>
      <c r="Y1232" s="23">
        <v>4150</v>
      </c>
      <c r="Z1232" s="23">
        <f t="shared" si="157"/>
        <v>4897</v>
      </c>
      <c r="AA1232" s="36" t="s">
        <v>132</v>
      </c>
      <c r="AB1232" s="36" t="s">
        <v>132</v>
      </c>
      <c r="AC1232" s="23">
        <v>4150</v>
      </c>
      <c r="AD1232" s="23">
        <v>4897</v>
      </c>
      <c r="AE1232" s="38" t="s">
        <v>173</v>
      </c>
      <c r="AF1232" s="38" t="s">
        <v>83</v>
      </c>
      <c r="AG1232" s="38" t="s">
        <v>83</v>
      </c>
      <c r="AH1232" s="38" t="s">
        <v>90</v>
      </c>
      <c r="AI1232" s="52">
        <v>41625</v>
      </c>
      <c r="AJ1232" s="51">
        <v>41670</v>
      </c>
      <c r="AK1232" s="60"/>
      <c r="AL1232" s="60"/>
      <c r="AM1232" s="60" t="s">
        <v>3866</v>
      </c>
      <c r="AN1232" s="60" t="s">
        <v>171</v>
      </c>
      <c r="AO1232" s="11">
        <v>796</v>
      </c>
      <c r="AP1232" s="38" t="s">
        <v>419</v>
      </c>
      <c r="AQ1232" s="38">
        <v>10</v>
      </c>
      <c r="AR1232" s="38" t="s">
        <v>1176</v>
      </c>
      <c r="AS1232" s="16" t="s">
        <v>547</v>
      </c>
      <c r="AT1232" s="52">
        <v>41690</v>
      </c>
      <c r="AU1232" s="52">
        <v>41690</v>
      </c>
      <c r="AV1232" s="52">
        <v>42004</v>
      </c>
      <c r="AW1232" s="38">
        <v>2014</v>
      </c>
      <c r="AX1232" s="60"/>
      <c r="AY1232" s="135"/>
      <c r="AZ1232" s="60"/>
      <c r="BA1232" s="38"/>
      <c r="BB1232" s="38"/>
      <c r="BC1232" s="60"/>
      <c r="BD1232" s="60"/>
      <c r="BE1232" s="238"/>
      <c r="BF1232" s="238"/>
      <c r="BG1232" s="238"/>
      <c r="BH1232" s="238"/>
      <c r="BI1232" s="238"/>
      <c r="BJ1232" s="304"/>
      <c r="BK1232" s="378"/>
    </row>
    <row r="1233" spans="1:63" s="268" customFormat="1" ht="131.25">
      <c r="A1233" s="321">
        <v>3</v>
      </c>
      <c r="B1233" s="11" t="s">
        <v>5848</v>
      </c>
      <c r="C1233" s="38" t="s">
        <v>83</v>
      </c>
      <c r="D1233" s="38" t="s">
        <v>555</v>
      </c>
      <c r="E1233" s="38" t="s">
        <v>190</v>
      </c>
      <c r="F1233" s="38" t="s">
        <v>816</v>
      </c>
      <c r="G1233" s="38">
        <v>9430000</v>
      </c>
      <c r="H1233" s="11">
        <v>626698</v>
      </c>
      <c r="I1233" s="16" t="s">
        <v>5849</v>
      </c>
      <c r="J1233" s="16" t="s">
        <v>773</v>
      </c>
      <c r="K1233" s="16" t="s">
        <v>4717</v>
      </c>
      <c r="L1233" s="16" t="s">
        <v>180</v>
      </c>
      <c r="M1233" s="134" t="s">
        <v>1249</v>
      </c>
      <c r="N1233" s="16" t="s">
        <v>5903</v>
      </c>
      <c r="O1233" s="16" t="s">
        <v>3312</v>
      </c>
      <c r="P1233" s="23">
        <v>813.98</v>
      </c>
      <c r="Q1233" s="23">
        <f>P1233*1.18</f>
        <v>960.49639999999999</v>
      </c>
      <c r="R1233" s="23"/>
      <c r="S1233" s="29"/>
      <c r="T1233" s="38"/>
      <c r="U1233" s="38"/>
      <c r="V1233" s="38"/>
      <c r="W1233" s="38"/>
      <c r="X1233" s="38"/>
      <c r="Y1233" s="23">
        <v>813.98</v>
      </c>
      <c r="Z1233" s="23">
        <f>Y1233*1.18</f>
        <v>960.49639999999999</v>
      </c>
      <c r="AA1233" s="36" t="s">
        <v>132</v>
      </c>
      <c r="AB1233" s="36" t="s">
        <v>132</v>
      </c>
      <c r="AC1233" s="23">
        <v>813.98</v>
      </c>
      <c r="AD1233" s="23">
        <f>AC1233*1.18</f>
        <v>960.49639999999999</v>
      </c>
      <c r="AE1233" s="38" t="s">
        <v>173</v>
      </c>
      <c r="AF1233" s="38" t="s">
        <v>83</v>
      </c>
      <c r="AG1233" s="38" t="s">
        <v>83</v>
      </c>
      <c r="AH1233" s="38" t="s">
        <v>90</v>
      </c>
      <c r="AI1233" s="52">
        <v>41625</v>
      </c>
      <c r="AJ1233" s="51">
        <v>41670</v>
      </c>
      <c r="AK1233" s="60"/>
      <c r="AL1233" s="60"/>
      <c r="AM1233" s="60" t="s">
        <v>3866</v>
      </c>
      <c r="AN1233" s="60" t="s">
        <v>171</v>
      </c>
      <c r="AO1233" s="11">
        <v>796</v>
      </c>
      <c r="AP1233" s="38" t="s">
        <v>419</v>
      </c>
      <c r="AQ1233" s="38">
        <v>10</v>
      </c>
      <c r="AR1233" s="38" t="s">
        <v>1176</v>
      </c>
      <c r="AS1233" s="16" t="s">
        <v>547</v>
      </c>
      <c r="AT1233" s="52">
        <v>41690</v>
      </c>
      <c r="AU1233" s="52">
        <v>41690</v>
      </c>
      <c r="AV1233" s="52">
        <v>42004</v>
      </c>
      <c r="AW1233" s="38">
        <v>2014</v>
      </c>
      <c r="AX1233" s="60"/>
      <c r="AY1233" s="135"/>
      <c r="AZ1233" s="60"/>
      <c r="BA1233" s="38"/>
      <c r="BB1233" s="38"/>
      <c r="BC1233" s="60"/>
      <c r="BD1233" s="60"/>
      <c r="BE1233" s="238"/>
      <c r="BF1233" s="238"/>
      <c r="BG1233" s="238"/>
      <c r="BH1233" s="238"/>
      <c r="BI1233" s="238"/>
      <c r="BJ1233" s="304"/>
      <c r="BK1233" s="378"/>
    </row>
    <row r="1234" spans="1:63" s="268" customFormat="1" ht="112.5">
      <c r="A1234" s="321">
        <v>3</v>
      </c>
      <c r="B1234" s="11" t="s">
        <v>3927</v>
      </c>
      <c r="C1234" s="38" t="s">
        <v>83</v>
      </c>
      <c r="D1234" s="38" t="s">
        <v>3629</v>
      </c>
      <c r="E1234" s="38" t="s">
        <v>250</v>
      </c>
      <c r="F1234" s="38" t="s">
        <v>1452</v>
      </c>
      <c r="G1234" s="38">
        <v>7422000</v>
      </c>
      <c r="H1234" s="11">
        <v>834296</v>
      </c>
      <c r="I1234" s="16" t="s">
        <v>3928</v>
      </c>
      <c r="J1234" s="16" t="s">
        <v>3929</v>
      </c>
      <c r="K1234" s="60" t="s">
        <v>4717</v>
      </c>
      <c r="L1234" s="16" t="s">
        <v>180</v>
      </c>
      <c r="M1234" s="134" t="s">
        <v>1249</v>
      </c>
      <c r="N1234" s="60" t="s">
        <v>5903</v>
      </c>
      <c r="O1234" s="16" t="s">
        <v>3660</v>
      </c>
      <c r="P1234" s="23">
        <v>41832</v>
      </c>
      <c r="Q1234" s="23">
        <f t="shared" si="156"/>
        <v>49361.759999999995</v>
      </c>
      <c r="R1234" s="23"/>
      <c r="S1234" s="34"/>
      <c r="T1234" s="25"/>
      <c r="U1234" s="25"/>
      <c r="V1234" s="25"/>
      <c r="W1234" s="25"/>
      <c r="X1234" s="25"/>
      <c r="Y1234" s="23">
        <v>41832</v>
      </c>
      <c r="Z1234" s="23">
        <f t="shared" si="157"/>
        <v>49361.759999999995</v>
      </c>
      <c r="AA1234" s="36" t="s">
        <v>132</v>
      </c>
      <c r="AB1234" s="36" t="s">
        <v>132</v>
      </c>
      <c r="AC1234" s="23">
        <v>41832</v>
      </c>
      <c r="AD1234" s="23">
        <f t="shared" ref="AD1234:AD1245" si="161">AC1234*1.18</f>
        <v>49361.759999999995</v>
      </c>
      <c r="AE1234" s="38" t="s">
        <v>169</v>
      </c>
      <c r="AF1234" s="38" t="s">
        <v>83</v>
      </c>
      <c r="AG1234" s="38" t="s">
        <v>83</v>
      </c>
      <c r="AH1234" s="38" t="s">
        <v>545</v>
      </c>
      <c r="AI1234" s="52">
        <v>41625</v>
      </c>
      <c r="AJ1234" s="51">
        <v>41685</v>
      </c>
      <c r="AK1234" s="60"/>
      <c r="AL1234" s="60"/>
      <c r="AM1234" s="60" t="s">
        <v>3928</v>
      </c>
      <c r="AN1234" s="60" t="s">
        <v>353</v>
      </c>
      <c r="AO1234" s="11">
        <v>796</v>
      </c>
      <c r="AP1234" s="38" t="s">
        <v>94</v>
      </c>
      <c r="AQ1234" s="38">
        <v>1</v>
      </c>
      <c r="AR1234" s="38">
        <v>46209</v>
      </c>
      <c r="AS1234" s="16" t="s">
        <v>3383</v>
      </c>
      <c r="AT1234" s="52">
        <v>41705</v>
      </c>
      <c r="AU1234" s="52">
        <v>41705</v>
      </c>
      <c r="AV1234" s="52">
        <v>42369</v>
      </c>
      <c r="AW1234" s="38" t="s">
        <v>99</v>
      </c>
      <c r="AX1234" s="60"/>
      <c r="AY1234" s="135"/>
      <c r="AZ1234" s="60"/>
      <c r="BA1234" s="38"/>
      <c r="BB1234" s="38"/>
      <c r="BC1234" s="60"/>
      <c r="BD1234" s="60"/>
      <c r="BE1234" s="238"/>
      <c r="BF1234" s="238"/>
      <c r="BG1234" s="238"/>
      <c r="BH1234" s="238"/>
      <c r="BI1234" s="238"/>
      <c r="BJ1234" s="304"/>
      <c r="BK1234" s="238"/>
    </row>
    <row r="1235" spans="1:63" s="287" customFormat="1" ht="93.75">
      <c r="A1235" s="401">
        <v>3</v>
      </c>
      <c r="B1235" s="38" t="s">
        <v>4013</v>
      </c>
      <c r="C1235" s="38" t="s">
        <v>83</v>
      </c>
      <c r="D1235" s="38" t="s">
        <v>4014</v>
      </c>
      <c r="E1235" s="38" t="s">
        <v>250</v>
      </c>
      <c r="F1235" s="38" t="s">
        <v>3430</v>
      </c>
      <c r="G1235" s="38">
        <v>4010010</v>
      </c>
      <c r="H1235" s="11">
        <v>626110</v>
      </c>
      <c r="I1235" s="16" t="s">
        <v>4015</v>
      </c>
      <c r="J1235" s="16" t="s">
        <v>4016</v>
      </c>
      <c r="K1235" s="60" t="s">
        <v>4772</v>
      </c>
      <c r="L1235" s="16" t="s">
        <v>180</v>
      </c>
      <c r="M1235" s="95" t="s">
        <v>1329</v>
      </c>
      <c r="N1235" s="15" t="s">
        <v>1330</v>
      </c>
      <c r="O1235" s="16" t="s">
        <v>4017</v>
      </c>
      <c r="P1235" s="23">
        <v>2008.56</v>
      </c>
      <c r="Q1235" s="23">
        <f t="shared" si="156"/>
        <v>2370.1007999999997</v>
      </c>
      <c r="R1235" s="23"/>
      <c r="S1235" s="29"/>
      <c r="T1235" s="38"/>
      <c r="U1235" s="38"/>
      <c r="V1235" s="38"/>
      <c r="W1235" s="38"/>
      <c r="X1235" s="38"/>
      <c r="Y1235" s="23">
        <v>2008.56</v>
      </c>
      <c r="Z1235" s="23">
        <f t="shared" si="157"/>
        <v>2370.1007999999997</v>
      </c>
      <c r="AA1235" s="36" t="s">
        <v>132</v>
      </c>
      <c r="AB1235" s="36" t="s">
        <v>132</v>
      </c>
      <c r="AC1235" s="23">
        <v>2008.56</v>
      </c>
      <c r="AD1235" s="23">
        <f t="shared" si="161"/>
        <v>2370.1007999999997</v>
      </c>
      <c r="AE1235" s="38" t="s">
        <v>173</v>
      </c>
      <c r="AF1235" s="38" t="s">
        <v>83</v>
      </c>
      <c r="AG1235" s="38" t="s">
        <v>83</v>
      </c>
      <c r="AH1235" s="38" t="s">
        <v>545</v>
      </c>
      <c r="AI1235" s="51">
        <v>41625</v>
      </c>
      <c r="AJ1235" s="51">
        <v>41670</v>
      </c>
      <c r="AK1235" s="369"/>
      <c r="AL1235" s="60"/>
      <c r="AM1235" s="60" t="s">
        <v>4015</v>
      </c>
      <c r="AN1235" s="60" t="s">
        <v>353</v>
      </c>
      <c r="AO1235" s="11">
        <v>796</v>
      </c>
      <c r="AP1235" s="38" t="s">
        <v>419</v>
      </c>
      <c r="AQ1235" s="38">
        <v>1</v>
      </c>
      <c r="AR1235" s="38">
        <v>45.46</v>
      </c>
      <c r="AS1235" s="16" t="s">
        <v>4018</v>
      </c>
      <c r="AT1235" s="52">
        <v>41690</v>
      </c>
      <c r="AU1235" s="52">
        <v>41690</v>
      </c>
      <c r="AV1235" s="52">
        <v>42004</v>
      </c>
      <c r="AW1235" s="38">
        <v>2014</v>
      </c>
      <c r="AX1235" s="60"/>
      <c r="AY1235" s="135"/>
      <c r="AZ1235" s="60"/>
      <c r="BA1235" s="38"/>
      <c r="BB1235" s="38"/>
      <c r="BC1235" s="60"/>
      <c r="BD1235" s="60"/>
      <c r="BE1235" s="304"/>
      <c r="BF1235" s="304"/>
      <c r="BG1235" s="304"/>
      <c r="BH1235" s="304"/>
      <c r="BI1235" s="304"/>
      <c r="BJ1235" s="304"/>
      <c r="BK1235" s="304"/>
    </row>
    <row r="1236" spans="1:63" s="287" customFormat="1" ht="132.75" customHeight="1">
      <c r="A1236" s="401">
        <v>3</v>
      </c>
      <c r="B1236" s="38" t="s">
        <v>4019</v>
      </c>
      <c r="C1236" s="38" t="s">
        <v>83</v>
      </c>
      <c r="D1236" s="38" t="s">
        <v>4014</v>
      </c>
      <c r="E1236" s="38" t="s">
        <v>250</v>
      </c>
      <c r="F1236" s="38" t="s">
        <v>3430</v>
      </c>
      <c r="G1236" s="38">
        <v>4010010</v>
      </c>
      <c r="H1236" s="11">
        <v>626111</v>
      </c>
      <c r="I1236" s="16" t="s">
        <v>4020</v>
      </c>
      <c r="J1236" s="16" t="s">
        <v>4016</v>
      </c>
      <c r="K1236" s="60" t="s">
        <v>4772</v>
      </c>
      <c r="L1236" s="16" t="s">
        <v>180</v>
      </c>
      <c r="M1236" s="95" t="s">
        <v>1329</v>
      </c>
      <c r="N1236" s="15" t="s">
        <v>1330</v>
      </c>
      <c r="O1236" s="16" t="s">
        <v>4017</v>
      </c>
      <c r="P1236" s="23">
        <v>12886.56</v>
      </c>
      <c r="Q1236" s="23">
        <f t="shared" si="156"/>
        <v>15206.140799999999</v>
      </c>
      <c r="R1236" s="23"/>
      <c r="S1236" s="29"/>
      <c r="T1236" s="38"/>
      <c r="U1236" s="38"/>
      <c r="V1236" s="38"/>
      <c r="W1236" s="38"/>
      <c r="X1236" s="38"/>
      <c r="Y1236" s="23">
        <v>12886.56</v>
      </c>
      <c r="Z1236" s="23">
        <f t="shared" si="157"/>
        <v>15206.140799999999</v>
      </c>
      <c r="AA1236" s="36" t="s">
        <v>132</v>
      </c>
      <c r="AB1236" s="36" t="s">
        <v>132</v>
      </c>
      <c r="AC1236" s="23">
        <v>12886.56</v>
      </c>
      <c r="AD1236" s="23">
        <f t="shared" si="161"/>
        <v>15206.140799999999</v>
      </c>
      <c r="AE1236" s="38" t="s">
        <v>169</v>
      </c>
      <c r="AF1236" s="38" t="s">
        <v>83</v>
      </c>
      <c r="AG1236" s="38" t="s">
        <v>83</v>
      </c>
      <c r="AH1236" s="38" t="s">
        <v>545</v>
      </c>
      <c r="AI1236" s="51">
        <v>41625</v>
      </c>
      <c r="AJ1236" s="51">
        <v>41685</v>
      </c>
      <c r="AK1236" s="369"/>
      <c r="AL1236" s="60"/>
      <c r="AM1236" s="60" t="s">
        <v>4020</v>
      </c>
      <c r="AN1236" s="60" t="s">
        <v>353</v>
      </c>
      <c r="AO1236" s="11">
        <v>796</v>
      </c>
      <c r="AP1236" s="38" t="s">
        <v>419</v>
      </c>
      <c r="AQ1236" s="38">
        <v>1</v>
      </c>
      <c r="AR1236" s="38">
        <v>45.46</v>
      </c>
      <c r="AS1236" s="16" t="s">
        <v>4018</v>
      </c>
      <c r="AT1236" s="52">
        <v>41705</v>
      </c>
      <c r="AU1236" s="52">
        <v>41705</v>
      </c>
      <c r="AV1236" s="52">
        <v>42004</v>
      </c>
      <c r="AW1236" s="38">
        <v>2014</v>
      </c>
      <c r="AX1236" s="60" t="s">
        <v>4130</v>
      </c>
      <c r="AY1236" s="135"/>
      <c r="AZ1236" s="60"/>
      <c r="BA1236" s="38"/>
      <c r="BB1236" s="38"/>
      <c r="BC1236" s="60"/>
      <c r="BD1236" s="60"/>
      <c r="BE1236" s="304"/>
      <c r="BF1236" s="304"/>
      <c r="BG1236" s="304"/>
      <c r="BH1236" s="304"/>
      <c r="BI1236" s="304"/>
      <c r="BJ1236" s="304"/>
      <c r="BK1236" s="454"/>
    </row>
    <row r="1237" spans="1:63" s="287" customFormat="1" ht="93.75">
      <c r="A1237" s="401">
        <v>3</v>
      </c>
      <c r="B1237" s="38" t="s">
        <v>4021</v>
      </c>
      <c r="C1237" s="38" t="s">
        <v>83</v>
      </c>
      <c r="D1237" s="38" t="s">
        <v>4014</v>
      </c>
      <c r="E1237" s="38" t="s">
        <v>250</v>
      </c>
      <c r="F1237" s="38" t="s">
        <v>3430</v>
      </c>
      <c r="G1237" s="38">
        <v>4010010</v>
      </c>
      <c r="H1237" s="11">
        <v>626112</v>
      </c>
      <c r="I1237" s="16" t="s">
        <v>4022</v>
      </c>
      <c r="J1237" s="16" t="s">
        <v>4016</v>
      </c>
      <c r="K1237" s="60" t="s">
        <v>4772</v>
      </c>
      <c r="L1237" s="16" t="s">
        <v>180</v>
      </c>
      <c r="M1237" s="95" t="s">
        <v>1329</v>
      </c>
      <c r="N1237" s="15" t="s">
        <v>1330</v>
      </c>
      <c r="O1237" s="16" t="s">
        <v>4017</v>
      </c>
      <c r="P1237" s="23">
        <v>1489.33</v>
      </c>
      <c r="Q1237" s="23">
        <f t="shared" si="156"/>
        <v>1757.4093999999998</v>
      </c>
      <c r="R1237" s="23"/>
      <c r="S1237" s="29"/>
      <c r="T1237" s="38"/>
      <c r="U1237" s="38"/>
      <c r="V1237" s="38"/>
      <c r="W1237" s="38"/>
      <c r="X1237" s="38"/>
      <c r="Y1237" s="23">
        <v>1489.33</v>
      </c>
      <c r="Z1237" s="23">
        <f t="shared" si="157"/>
        <v>1757.4093999999998</v>
      </c>
      <c r="AA1237" s="36" t="s">
        <v>132</v>
      </c>
      <c r="AB1237" s="36" t="s">
        <v>132</v>
      </c>
      <c r="AC1237" s="23">
        <v>1489.33</v>
      </c>
      <c r="AD1237" s="23">
        <f t="shared" si="161"/>
        <v>1757.4093999999998</v>
      </c>
      <c r="AE1237" s="38" t="s">
        <v>173</v>
      </c>
      <c r="AF1237" s="38" t="s">
        <v>83</v>
      </c>
      <c r="AG1237" s="38" t="s">
        <v>83</v>
      </c>
      <c r="AH1237" s="38" t="s">
        <v>545</v>
      </c>
      <c r="AI1237" s="51">
        <v>41625</v>
      </c>
      <c r="AJ1237" s="51">
        <v>41670</v>
      </c>
      <c r="AK1237" s="369"/>
      <c r="AL1237" s="60"/>
      <c r="AM1237" s="60" t="s">
        <v>4022</v>
      </c>
      <c r="AN1237" s="60" t="s">
        <v>353</v>
      </c>
      <c r="AO1237" s="11">
        <v>796</v>
      </c>
      <c r="AP1237" s="38" t="s">
        <v>419</v>
      </c>
      <c r="AQ1237" s="38">
        <v>1</v>
      </c>
      <c r="AR1237" s="38">
        <v>45.46</v>
      </c>
      <c r="AS1237" s="16" t="s">
        <v>4018</v>
      </c>
      <c r="AT1237" s="52">
        <v>41690</v>
      </c>
      <c r="AU1237" s="52">
        <v>41690</v>
      </c>
      <c r="AV1237" s="52">
        <v>42004</v>
      </c>
      <c r="AW1237" s="38">
        <v>2014</v>
      </c>
      <c r="AX1237" s="60"/>
      <c r="AY1237" s="135"/>
      <c r="AZ1237" s="60"/>
      <c r="BA1237" s="38"/>
      <c r="BB1237" s="38"/>
      <c r="BC1237" s="60"/>
      <c r="BD1237" s="60"/>
      <c r="BE1237" s="304"/>
      <c r="BF1237" s="304"/>
      <c r="BG1237" s="304"/>
      <c r="BH1237" s="304"/>
      <c r="BI1237" s="304"/>
      <c r="BJ1237" s="304"/>
      <c r="BK1237" s="304"/>
    </row>
    <row r="1238" spans="1:63" s="287" customFormat="1" ht="93.75">
      <c r="A1238" s="401">
        <v>3</v>
      </c>
      <c r="B1238" s="38" t="s">
        <v>4023</v>
      </c>
      <c r="C1238" s="38" t="s">
        <v>83</v>
      </c>
      <c r="D1238" s="38" t="s">
        <v>4014</v>
      </c>
      <c r="E1238" s="38" t="s">
        <v>250</v>
      </c>
      <c r="F1238" s="38" t="s">
        <v>3430</v>
      </c>
      <c r="G1238" s="38">
        <v>4010010</v>
      </c>
      <c r="H1238" s="11">
        <v>626113</v>
      </c>
      <c r="I1238" s="16" t="s">
        <v>4024</v>
      </c>
      <c r="J1238" s="16" t="s">
        <v>4016</v>
      </c>
      <c r="K1238" s="60" t="s">
        <v>4772</v>
      </c>
      <c r="L1238" s="16" t="s">
        <v>180</v>
      </c>
      <c r="M1238" s="95" t="s">
        <v>1329</v>
      </c>
      <c r="N1238" s="15" t="s">
        <v>1330</v>
      </c>
      <c r="O1238" s="16" t="s">
        <v>4017</v>
      </c>
      <c r="P1238" s="23">
        <v>4485.53</v>
      </c>
      <c r="Q1238" s="23">
        <f t="shared" si="156"/>
        <v>5292.9253999999992</v>
      </c>
      <c r="R1238" s="23"/>
      <c r="S1238" s="29"/>
      <c r="T1238" s="38"/>
      <c r="U1238" s="38"/>
      <c r="V1238" s="38"/>
      <c r="W1238" s="38"/>
      <c r="X1238" s="38"/>
      <c r="Y1238" s="23">
        <v>4485.53</v>
      </c>
      <c r="Z1238" s="23">
        <f t="shared" si="157"/>
        <v>5292.9253999999992</v>
      </c>
      <c r="AA1238" s="36" t="s">
        <v>132</v>
      </c>
      <c r="AB1238" s="36" t="s">
        <v>132</v>
      </c>
      <c r="AC1238" s="23">
        <v>4485.53</v>
      </c>
      <c r="AD1238" s="23">
        <f t="shared" si="161"/>
        <v>5292.9253999999992</v>
      </c>
      <c r="AE1238" s="38" t="s">
        <v>173</v>
      </c>
      <c r="AF1238" s="38" t="s">
        <v>83</v>
      </c>
      <c r="AG1238" s="38" t="s">
        <v>83</v>
      </c>
      <c r="AH1238" s="38" t="s">
        <v>545</v>
      </c>
      <c r="AI1238" s="51">
        <v>41625</v>
      </c>
      <c r="AJ1238" s="51">
        <v>41670</v>
      </c>
      <c r="AK1238" s="369"/>
      <c r="AL1238" s="60"/>
      <c r="AM1238" s="60" t="s">
        <v>4024</v>
      </c>
      <c r="AN1238" s="60" t="s">
        <v>353</v>
      </c>
      <c r="AO1238" s="11">
        <v>796</v>
      </c>
      <c r="AP1238" s="38" t="s">
        <v>419</v>
      </c>
      <c r="AQ1238" s="38">
        <v>1</v>
      </c>
      <c r="AR1238" s="38">
        <v>45.46</v>
      </c>
      <c r="AS1238" s="16" t="s">
        <v>4018</v>
      </c>
      <c r="AT1238" s="52">
        <v>41690</v>
      </c>
      <c r="AU1238" s="52">
        <v>41690</v>
      </c>
      <c r="AV1238" s="52">
        <v>42004</v>
      </c>
      <c r="AW1238" s="38">
        <v>2014</v>
      </c>
      <c r="AX1238" s="60" t="s">
        <v>4778</v>
      </c>
      <c r="AY1238" s="135"/>
      <c r="AZ1238" s="60"/>
      <c r="BA1238" s="38"/>
      <c r="BB1238" s="38"/>
      <c r="BC1238" s="60"/>
      <c r="BD1238" s="60"/>
      <c r="BE1238" s="304"/>
      <c r="BF1238" s="304"/>
      <c r="BG1238" s="304"/>
      <c r="BH1238" s="304"/>
      <c r="BI1238" s="304"/>
      <c r="BJ1238" s="304"/>
      <c r="BK1238" s="454"/>
    </row>
    <row r="1239" spans="1:63" s="287" customFormat="1" ht="93.75">
      <c r="A1239" s="401">
        <v>3</v>
      </c>
      <c r="B1239" s="38" t="s">
        <v>4025</v>
      </c>
      <c r="C1239" s="38" t="s">
        <v>83</v>
      </c>
      <c r="D1239" s="38" t="s">
        <v>4014</v>
      </c>
      <c r="E1239" s="38" t="s">
        <v>250</v>
      </c>
      <c r="F1239" s="38" t="s">
        <v>3430</v>
      </c>
      <c r="G1239" s="38">
        <v>4010010</v>
      </c>
      <c r="H1239" s="11">
        <v>626114</v>
      </c>
      <c r="I1239" s="16" t="s">
        <v>4026</v>
      </c>
      <c r="J1239" s="16" t="s">
        <v>4016</v>
      </c>
      <c r="K1239" s="60" t="s">
        <v>4772</v>
      </c>
      <c r="L1239" s="16" t="s">
        <v>180</v>
      </c>
      <c r="M1239" s="95" t="s">
        <v>1329</v>
      </c>
      <c r="N1239" s="15" t="s">
        <v>1330</v>
      </c>
      <c r="O1239" s="16" t="s">
        <v>4017</v>
      </c>
      <c r="P1239" s="23">
        <v>1515.681</v>
      </c>
      <c r="Q1239" s="23">
        <f t="shared" si="156"/>
        <v>1788.5035800000001</v>
      </c>
      <c r="R1239" s="23"/>
      <c r="S1239" s="29"/>
      <c r="T1239" s="38"/>
      <c r="U1239" s="38"/>
      <c r="V1239" s="38"/>
      <c r="W1239" s="38"/>
      <c r="X1239" s="38"/>
      <c r="Y1239" s="23">
        <v>1515.681</v>
      </c>
      <c r="Z1239" s="23">
        <f t="shared" si="157"/>
        <v>1788.5035800000001</v>
      </c>
      <c r="AA1239" s="36" t="s">
        <v>132</v>
      </c>
      <c r="AB1239" s="36" t="s">
        <v>132</v>
      </c>
      <c r="AC1239" s="23">
        <v>1515.681</v>
      </c>
      <c r="AD1239" s="23">
        <f t="shared" si="161"/>
        <v>1788.5035800000001</v>
      </c>
      <c r="AE1239" s="38" t="s">
        <v>173</v>
      </c>
      <c r="AF1239" s="38" t="s">
        <v>83</v>
      </c>
      <c r="AG1239" s="38" t="s">
        <v>83</v>
      </c>
      <c r="AH1239" s="38" t="s">
        <v>545</v>
      </c>
      <c r="AI1239" s="51">
        <v>41625</v>
      </c>
      <c r="AJ1239" s="51">
        <v>41670</v>
      </c>
      <c r="AK1239" s="369"/>
      <c r="AL1239" s="60"/>
      <c r="AM1239" s="60" t="s">
        <v>4026</v>
      </c>
      <c r="AN1239" s="60" t="s">
        <v>353</v>
      </c>
      <c r="AO1239" s="11">
        <v>796</v>
      </c>
      <c r="AP1239" s="38" t="s">
        <v>419</v>
      </c>
      <c r="AQ1239" s="38">
        <v>1</v>
      </c>
      <c r="AR1239" s="38">
        <v>45.46</v>
      </c>
      <c r="AS1239" s="16" t="s">
        <v>4018</v>
      </c>
      <c r="AT1239" s="52">
        <v>41690</v>
      </c>
      <c r="AU1239" s="52">
        <v>41690</v>
      </c>
      <c r="AV1239" s="52">
        <v>42004</v>
      </c>
      <c r="AW1239" s="38">
        <v>2014</v>
      </c>
      <c r="AX1239" s="60" t="s">
        <v>4129</v>
      </c>
      <c r="AY1239" s="135"/>
      <c r="AZ1239" s="60"/>
      <c r="BA1239" s="38"/>
      <c r="BB1239" s="38"/>
      <c r="BC1239" s="60"/>
      <c r="BD1239" s="60"/>
      <c r="BE1239" s="304"/>
      <c r="BF1239" s="304"/>
      <c r="BG1239" s="304"/>
      <c r="BH1239" s="304"/>
      <c r="BI1239" s="304"/>
      <c r="BJ1239" s="304"/>
      <c r="BK1239" s="454"/>
    </row>
    <row r="1240" spans="1:63" s="287" customFormat="1" ht="93.75">
      <c r="A1240" s="401">
        <v>3</v>
      </c>
      <c r="B1240" s="38" t="s">
        <v>4027</v>
      </c>
      <c r="C1240" s="38" t="s">
        <v>83</v>
      </c>
      <c r="D1240" s="38" t="s">
        <v>4014</v>
      </c>
      <c r="E1240" s="38" t="s">
        <v>250</v>
      </c>
      <c r="F1240" s="38" t="s">
        <v>3430</v>
      </c>
      <c r="G1240" s="38">
        <v>4010010</v>
      </c>
      <c r="H1240" s="11">
        <v>626115</v>
      </c>
      <c r="I1240" s="16" t="s">
        <v>4028</v>
      </c>
      <c r="J1240" s="16" t="s">
        <v>4016</v>
      </c>
      <c r="K1240" s="60" t="s">
        <v>4772</v>
      </c>
      <c r="L1240" s="16" t="s">
        <v>180</v>
      </c>
      <c r="M1240" s="95" t="s">
        <v>1329</v>
      </c>
      <c r="N1240" s="15" t="s">
        <v>1330</v>
      </c>
      <c r="O1240" s="16" t="s">
        <v>4017</v>
      </c>
      <c r="P1240" s="23">
        <v>4316.3999999999996</v>
      </c>
      <c r="Q1240" s="23">
        <f t="shared" si="156"/>
        <v>5093.351999999999</v>
      </c>
      <c r="R1240" s="23"/>
      <c r="S1240" s="29"/>
      <c r="T1240" s="38"/>
      <c r="U1240" s="38"/>
      <c r="V1240" s="38"/>
      <c r="W1240" s="38"/>
      <c r="X1240" s="38"/>
      <c r="Y1240" s="23">
        <v>4316.3999999999996</v>
      </c>
      <c r="Z1240" s="23">
        <f t="shared" si="157"/>
        <v>5093.351999999999</v>
      </c>
      <c r="AA1240" s="36" t="s">
        <v>132</v>
      </c>
      <c r="AB1240" s="36" t="s">
        <v>132</v>
      </c>
      <c r="AC1240" s="23">
        <v>4316.3999999999996</v>
      </c>
      <c r="AD1240" s="23">
        <f t="shared" si="161"/>
        <v>5093.351999999999</v>
      </c>
      <c r="AE1240" s="38" t="s">
        <v>173</v>
      </c>
      <c r="AF1240" s="38" t="s">
        <v>83</v>
      </c>
      <c r="AG1240" s="38" t="s">
        <v>83</v>
      </c>
      <c r="AH1240" s="38" t="s">
        <v>545</v>
      </c>
      <c r="AI1240" s="51">
        <v>41625</v>
      </c>
      <c r="AJ1240" s="51">
        <v>41670</v>
      </c>
      <c r="AK1240" s="369"/>
      <c r="AL1240" s="60"/>
      <c r="AM1240" s="60" t="s">
        <v>4028</v>
      </c>
      <c r="AN1240" s="60" t="s">
        <v>353</v>
      </c>
      <c r="AO1240" s="11">
        <v>796</v>
      </c>
      <c r="AP1240" s="38" t="s">
        <v>419</v>
      </c>
      <c r="AQ1240" s="38">
        <v>1</v>
      </c>
      <c r="AR1240" s="38">
        <v>45.46</v>
      </c>
      <c r="AS1240" s="16" t="s">
        <v>4018</v>
      </c>
      <c r="AT1240" s="52">
        <v>41690</v>
      </c>
      <c r="AU1240" s="52">
        <v>41690</v>
      </c>
      <c r="AV1240" s="52">
        <v>42004</v>
      </c>
      <c r="AW1240" s="38">
        <v>2014</v>
      </c>
      <c r="AX1240" s="60"/>
      <c r="AY1240" s="135"/>
      <c r="AZ1240" s="60"/>
      <c r="BA1240" s="38"/>
      <c r="BB1240" s="38"/>
      <c r="BC1240" s="60"/>
      <c r="BD1240" s="60"/>
      <c r="BE1240" s="304"/>
      <c r="BF1240" s="304"/>
      <c r="BG1240" s="304"/>
      <c r="BH1240" s="304"/>
      <c r="BI1240" s="304"/>
      <c r="BJ1240" s="304"/>
      <c r="BK1240" s="304"/>
    </row>
    <row r="1241" spans="1:63" s="287" customFormat="1" ht="93.75">
      <c r="A1241" s="401">
        <v>3</v>
      </c>
      <c r="B1241" s="38" t="s">
        <v>4029</v>
      </c>
      <c r="C1241" s="38" t="s">
        <v>83</v>
      </c>
      <c r="D1241" s="38" t="s">
        <v>4014</v>
      </c>
      <c r="E1241" s="38" t="s">
        <v>250</v>
      </c>
      <c r="F1241" s="38" t="s">
        <v>3430</v>
      </c>
      <c r="G1241" s="38">
        <v>4010010</v>
      </c>
      <c r="H1241" s="11">
        <v>626116</v>
      </c>
      <c r="I1241" s="16" t="s">
        <v>4030</v>
      </c>
      <c r="J1241" s="16" t="s">
        <v>4016</v>
      </c>
      <c r="K1241" s="60" t="s">
        <v>4772</v>
      </c>
      <c r="L1241" s="16" t="s">
        <v>180</v>
      </c>
      <c r="M1241" s="95">
        <v>201050101</v>
      </c>
      <c r="N1241" s="15" t="s">
        <v>1330</v>
      </c>
      <c r="O1241" s="16" t="s">
        <v>4017</v>
      </c>
      <c r="P1241" s="23">
        <v>2775.4259999999999</v>
      </c>
      <c r="Q1241" s="23">
        <f t="shared" si="156"/>
        <v>3275.0026799999996</v>
      </c>
      <c r="R1241" s="23"/>
      <c r="S1241" s="29"/>
      <c r="T1241" s="38"/>
      <c r="U1241" s="38"/>
      <c r="V1241" s="38"/>
      <c r="W1241" s="38"/>
      <c r="X1241" s="38"/>
      <c r="Y1241" s="23">
        <v>2775.4259999999999</v>
      </c>
      <c r="Z1241" s="23">
        <f t="shared" si="157"/>
        <v>3275.0026799999996</v>
      </c>
      <c r="AA1241" s="36" t="s">
        <v>132</v>
      </c>
      <c r="AB1241" s="36" t="s">
        <v>132</v>
      </c>
      <c r="AC1241" s="23">
        <v>2775.4259999999999</v>
      </c>
      <c r="AD1241" s="23">
        <f t="shared" si="161"/>
        <v>3275.0026799999996</v>
      </c>
      <c r="AE1241" s="38" t="s">
        <v>173</v>
      </c>
      <c r="AF1241" s="38" t="s">
        <v>83</v>
      </c>
      <c r="AG1241" s="38" t="s">
        <v>83</v>
      </c>
      <c r="AH1241" s="38" t="s">
        <v>545</v>
      </c>
      <c r="AI1241" s="51">
        <v>41625</v>
      </c>
      <c r="AJ1241" s="51">
        <v>41670</v>
      </c>
      <c r="AK1241" s="369"/>
      <c r="AL1241" s="60"/>
      <c r="AM1241" s="60" t="s">
        <v>4030</v>
      </c>
      <c r="AN1241" s="60" t="s">
        <v>353</v>
      </c>
      <c r="AO1241" s="11">
        <v>796</v>
      </c>
      <c r="AP1241" s="38" t="s">
        <v>419</v>
      </c>
      <c r="AQ1241" s="38">
        <v>1</v>
      </c>
      <c r="AR1241" s="38">
        <v>45.46</v>
      </c>
      <c r="AS1241" s="16" t="s">
        <v>4018</v>
      </c>
      <c r="AT1241" s="52">
        <v>41690</v>
      </c>
      <c r="AU1241" s="52">
        <v>41690</v>
      </c>
      <c r="AV1241" s="52">
        <v>42004</v>
      </c>
      <c r="AW1241" s="38">
        <v>2014</v>
      </c>
      <c r="AX1241" s="60" t="s">
        <v>4777</v>
      </c>
      <c r="AY1241" s="135"/>
      <c r="AZ1241" s="60"/>
      <c r="BA1241" s="38"/>
      <c r="BB1241" s="38"/>
      <c r="BC1241" s="60"/>
      <c r="BD1241" s="60"/>
      <c r="BE1241" s="304"/>
      <c r="BF1241" s="304"/>
      <c r="BG1241" s="304"/>
      <c r="BH1241" s="304"/>
      <c r="BI1241" s="304"/>
      <c r="BJ1241" s="304"/>
      <c r="BK1241" s="454"/>
    </row>
    <row r="1242" spans="1:63" s="287" customFormat="1" ht="112.5">
      <c r="A1242" s="401">
        <v>3</v>
      </c>
      <c r="B1242" s="38" t="s">
        <v>4031</v>
      </c>
      <c r="C1242" s="38" t="s">
        <v>83</v>
      </c>
      <c r="D1242" s="38" t="s">
        <v>4014</v>
      </c>
      <c r="E1242" s="38" t="s">
        <v>250</v>
      </c>
      <c r="F1242" s="38" t="s">
        <v>3430</v>
      </c>
      <c r="G1242" s="38">
        <v>4010010</v>
      </c>
      <c r="H1242" s="11">
        <v>626117</v>
      </c>
      <c r="I1242" s="16" t="s">
        <v>4032</v>
      </c>
      <c r="J1242" s="16" t="s">
        <v>4016</v>
      </c>
      <c r="K1242" s="60" t="s">
        <v>4772</v>
      </c>
      <c r="L1242" s="16" t="s">
        <v>180</v>
      </c>
      <c r="M1242" s="95">
        <v>201050101</v>
      </c>
      <c r="N1242" s="15" t="s">
        <v>1330</v>
      </c>
      <c r="O1242" s="16" t="s">
        <v>4017</v>
      </c>
      <c r="P1242" s="23">
        <v>1609.6</v>
      </c>
      <c r="Q1242" s="23">
        <f t="shared" si="156"/>
        <v>1899.3279999999997</v>
      </c>
      <c r="R1242" s="23"/>
      <c r="S1242" s="29"/>
      <c r="T1242" s="38"/>
      <c r="U1242" s="38"/>
      <c r="V1242" s="38"/>
      <c r="W1242" s="38"/>
      <c r="X1242" s="38"/>
      <c r="Y1242" s="23">
        <v>1609.6</v>
      </c>
      <c r="Z1242" s="23">
        <f t="shared" si="157"/>
        <v>1899.3279999999997</v>
      </c>
      <c r="AA1242" s="36" t="s">
        <v>132</v>
      </c>
      <c r="AB1242" s="36" t="s">
        <v>132</v>
      </c>
      <c r="AC1242" s="23">
        <v>1609.6</v>
      </c>
      <c r="AD1242" s="23">
        <f t="shared" si="161"/>
        <v>1899.3279999999997</v>
      </c>
      <c r="AE1242" s="38" t="s">
        <v>173</v>
      </c>
      <c r="AF1242" s="38" t="s">
        <v>83</v>
      </c>
      <c r="AG1242" s="38" t="s">
        <v>83</v>
      </c>
      <c r="AH1242" s="38" t="s">
        <v>545</v>
      </c>
      <c r="AI1242" s="51">
        <v>41625</v>
      </c>
      <c r="AJ1242" s="51">
        <v>41670</v>
      </c>
      <c r="AK1242" s="369"/>
      <c r="AL1242" s="60"/>
      <c r="AM1242" s="60" t="s">
        <v>4032</v>
      </c>
      <c r="AN1242" s="60" t="s">
        <v>353</v>
      </c>
      <c r="AO1242" s="11">
        <v>796</v>
      </c>
      <c r="AP1242" s="38" t="s">
        <v>419</v>
      </c>
      <c r="AQ1242" s="38">
        <v>1</v>
      </c>
      <c r="AR1242" s="38">
        <v>45.46</v>
      </c>
      <c r="AS1242" s="16" t="s">
        <v>4018</v>
      </c>
      <c r="AT1242" s="52">
        <v>41690</v>
      </c>
      <c r="AU1242" s="52">
        <v>41690</v>
      </c>
      <c r="AV1242" s="52">
        <v>41820</v>
      </c>
      <c r="AW1242" s="38">
        <v>2014</v>
      </c>
      <c r="AX1242" s="60"/>
      <c r="AY1242" s="135"/>
      <c r="AZ1242" s="60"/>
      <c r="BA1242" s="38"/>
      <c r="BB1242" s="38"/>
      <c r="BC1242" s="60"/>
      <c r="BD1242" s="60"/>
      <c r="BE1242" s="304"/>
      <c r="BF1242" s="304"/>
      <c r="BG1242" s="304"/>
      <c r="BH1242" s="304"/>
      <c r="BI1242" s="304"/>
      <c r="BJ1242" s="304"/>
      <c r="BK1242" s="304"/>
    </row>
    <row r="1243" spans="1:63" s="287" customFormat="1" ht="93.75">
      <c r="A1243" s="401">
        <v>3</v>
      </c>
      <c r="B1243" s="38" t="s">
        <v>4033</v>
      </c>
      <c r="C1243" s="38" t="s">
        <v>83</v>
      </c>
      <c r="D1243" s="38" t="s">
        <v>4014</v>
      </c>
      <c r="E1243" s="38" t="s">
        <v>250</v>
      </c>
      <c r="F1243" s="38" t="s">
        <v>3430</v>
      </c>
      <c r="G1243" s="38">
        <v>4010010</v>
      </c>
      <c r="H1243" s="11">
        <v>626119</v>
      </c>
      <c r="I1243" s="16" t="s">
        <v>4034</v>
      </c>
      <c r="J1243" s="16" t="s">
        <v>4016</v>
      </c>
      <c r="K1243" s="60" t="s">
        <v>4772</v>
      </c>
      <c r="L1243" s="16" t="s">
        <v>180</v>
      </c>
      <c r="M1243" s="95" t="s">
        <v>1346</v>
      </c>
      <c r="N1243" s="15" t="s">
        <v>849</v>
      </c>
      <c r="O1243" s="16" t="s">
        <v>4017</v>
      </c>
      <c r="P1243" s="23">
        <v>510.5</v>
      </c>
      <c r="Q1243" s="23">
        <f t="shared" si="156"/>
        <v>602.39</v>
      </c>
      <c r="R1243" s="23"/>
      <c r="S1243" s="29"/>
      <c r="T1243" s="38"/>
      <c r="U1243" s="38"/>
      <c r="V1243" s="38"/>
      <c r="W1243" s="38"/>
      <c r="X1243" s="38"/>
      <c r="Y1243" s="23">
        <v>510.5</v>
      </c>
      <c r="Z1243" s="23">
        <f t="shared" si="157"/>
        <v>602.39</v>
      </c>
      <c r="AA1243" s="36" t="s">
        <v>132</v>
      </c>
      <c r="AB1243" s="36" t="s">
        <v>132</v>
      </c>
      <c r="AC1243" s="23">
        <v>510.5</v>
      </c>
      <c r="AD1243" s="23">
        <f t="shared" si="161"/>
        <v>602.39</v>
      </c>
      <c r="AE1243" s="38" t="s">
        <v>173</v>
      </c>
      <c r="AF1243" s="38" t="s">
        <v>83</v>
      </c>
      <c r="AG1243" s="38" t="s">
        <v>83</v>
      </c>
      <c r="AH1243" s="38" t="s">
        <v>545</v>
      </c>
      <c r="AI1243" s="51">
        <v>41625</v>
      </c>
      <c r="AJ1243" s="51">
        <v>41670</v>
      </c>
      <c r="AK1243" s="369"/>
      <c r="AL1243" s="60"/>
      <c r="AM1243" s="60" t="s">
        <v>4034</v>
      </c>
      <c r="AN1243" s="60" t="s">
        <v>353</v>
      </c>
      <c r="AO1243" s="11">
        <v>796</v>
      </c>
      <c r="AP1243" s="38" t="s">
        <v>419</v>
      </c>
      <c r="AQ1243" s="38">
        <v>1</v>
      </c>
      <c r="AR1243" s="38">
        <v>45.46</v>
      </c>
      <c r="AS1243" s="16" t="s">
        <v>4018</v>
      </c>
      <c r="AT1243" s="52">
        <v>41690</v>
      </c>
      <c r="AU1243" s="52">
        <v>41690</v>
      </c>
      <c r="AV1243" s="52">
        <v>41729</v>
      </c>
      <c r="AW1243" s="38">
        <v>2014</v>
      </c>
      <c r="AX1243" s="60"/>
      <c r="AY1243" s="135"/>
      <c r="AZ1243" s="60"/>
      <c r="BA1243" s="38"/>
      <c r="BB1243" s="38"/>
      <c r="BC1243" s="60"/>
      <c r="BD1243" s="60"/>
      <c r="BE1243" s="304"/>
      <c r="BF1243" s="304"/>
      <c r="BG1243" s="304"/>
      <c r="BH1243" s="304"/>
      <c r="BI1243" s="304"/>
      <c r="BJ1243" s="304"/>
      <c r="BK1243" s="304"/>
    </row>
    <row r="1244" spans="1:63" s="287" customFormat="1" ht="93.75">
      <c r="A1244" s="401">
        <v>3</v>
      </c>
      <c r="B1244" s="38" t="s">
        <v>4035</v>
      </c>
      <c r="C1244" s="38" t="s">
        <v>83</v>
      </c>
      <c r="D1244" s="38" t="s">
        <v>4014</v>
      </c>
      <c r="E1244" s="38" t="s">
        <v>250</v>
      </c>
      <c r="F1244" s="38" t="s">
        <v>3430</v>
      </c>
      <c r="G1244" s="38">
        <v>4010010</v>
      </c>
      <c r="H1244" s="11">
        <v>626121</v>
      </c>
      <c r="I1244" s="16" t="s">
        <v>4036</v>
      </c>
      <c r="J1244" s="16" t="s">
        <v>4016</v>
      </c>
      <c r="K1244" s="60" t="s">
        <v>4772</v>
      </c>
      <c r="L1244" s="16" t="s">
        <v>180</v>
      </c>
      <c r="M1244" s="95" t="s">
        <v>1346</v>
      </c>
      <c r="N1244" s="15" t="s">
        <v>849</v>
      </c>
      <c r="O1244" s="16" t="s">
        <v>4017</v>
      </c>
      <c r="P1244" s="23">
        <v>2077.6999999999998</v>
      </c>
      <c r="Q1244" s="23">
        <f t="shared" si="156"/>
        <v>2451.6859999999997</v>
      </c>
      <c r="R1244" s="23"/>
      <c r="S1244" s="29"/>
      <c r="T1244" s="38"/>
      <c r="U1244" s="38"/>
      <c r="V1244" s="38"/>
      <c r="W1244" s="38"/>
      <c r="X1244" s="38"/>
      <c r="Y1244" s="23">
        <v>2077.6999999999998</v>
      </c>
      <c r="Z1244" s="23">
        <f t="shared" si="157"/>
        <v>2451.6859999999997</v>
      </c>
      <c r="AA1244" s="36" t="s">
        <v>132</v>
      </c>
      <c r="AB1244" s="36" t="s">
        <v>132</v>
      </c>
      <c r="AC1244" s="23">
        <v>2077.6999999999998</v>
      </c>
      <c r="AD1244" s="23">
        <f t="shared" si="161"/>
        <v>2451.6859999999997</v>
      </c>
      <c r="AE1244" s="38" t="s">
        <v>173</v>
      </c>
      <c r="AF1244" s="38" t="s">
        <v>83</v>
      </c>
      <c r="AG1244" s="38" t="s">
        <v>83</v>
      </c>
      <c r="AH1244" s="38" t="s">
        <v>545</v>
      </c>
      <c r="AI1244" s="51">
        <v>41625</v>
      </c>
      <c r="AJ1244" s="51">
        <v>41670</v>
      </c>
      <c r="AK1244" s="369"/>
      <c r="AL1244" s="60"/>
      <c r="AM1244" s="60" t="s">
        <v>4036</v>
      </c>
      <c r="AN1244" s="60" t="s">
        <v>353</v>
      </c>
      <c r="AO1244" s="11">
        <v>796</v>
      </c>
      <c r="AP1244" s="38" t="s">
        <v>419</v>
      </c>
      <c r="AQ1244" s="38">
        <v>1</v>
      </c>
      <c r="AR1244" s="38">
        <v>45.46</v>
      </c>
      <c r="AS1244" s="16" t="s">
        <v>4018</v>
      </c>
      <c r="AT1244" s="52">
        <v>41690</v>
      </c>
      <c r="AU1244" s="52">
        <v>41690</v>
      </c>
      <c r="AV1244" s="52">
        <v>41820</v>
      </c>
      <c r="AW1244" s="38">
        <v>2014</v>
      </c>
      <c r="AX1244" s="60"/>
      <c r="AY1244" s="135"/>
      <c r="AZ1244" s="60"/>
      <c r="BA1244" s="38"/>
      <c r="BB1244" s="38"/>
      <c r="BC1244" s="60"/>
      <c r="BD1244" s="60"/>
      <c r="BE1244" s="304"/>
      <c r="BF1244" s="304"/>
      <c r="BG1244" s="304"/>
      <c r="BH1244" s="304"/>
      <c r="BI1244" s="304"/>
      <c r="BJ1244" s="304"/>
      <c r="BK1244" s="304"/>
    </row>
    <row r="1245" spans="1:63" s="287" customFormat="1" ht="93.75">
      <c r="A1245" s="401">
        <v>3</v>
      </c>
      <c r="B1245" s="38" t="s">
        <v>4037</v>
      </c>
      <c r="C1245" s="38" t="s">
        <v>83</v>
      </c>
      <c r="D1245" s="38" t="s">
        <v>4014</v>
      </c>
      <c r="E1245" s="38" t="s">
        <v>250</v>
      </c>
      <c r="F1245" s="38" t="s">
        <v>3430</v>
      </c>
      <c r="G1245" s="38">
        <v>4010010</v>
      </c>
      <c r="H1245" s="11">
        <v>626168</v>
      </c>
      <c r="I1245" s="16" t="s">
        <v>4038</v>
      </c>
      <c r="J1245" s="16" t="s">
        <v>4016</v>
      </c>
      <c r="K1245" s="60" t="s">
        <v>4772</v>
      </c>
      <c r="L1245" s="16" t="s">
        <v>180</v>
      </c>
      <c r="M1245" s="95" t="s">
        <v>1346</v>
      </c>
      <c r="N1245" s="15" t="s">
        <v>849</v>
      </c>
      <c r="O1245" s="16" t="s">
        <v>4017</v>
      </c>
      <c r="P1245" s="23">
        <v>456.2</v>
      </c>
      <c r="Q1245" s="23">
        <f t="shared" si="156"/>
        <v>538.31599999999992</v>
      </c>
      <c r="R1245" s="23"/>
      <c r="S1245" s="29"/>
      <c r="T1245" s="38"/>
      <c r="U1245" s="38"/>
      <c r="V1245" s="38"/>
      <c r="W1245" s="38"/>
      <c r="X1245" s="38"/>
      <c r="Y1245" s="36">
        <v>456.2</v>
      </c>
      <c r="Z1245" s="34">
        <f t="shared" si="157"/>
        <v>538.31599999999992</v>
      </c>
      <c r="AA1245" s="36" t="s">
        <v>132</v>
      </c>
      <c r="AB1245" s="36" t="s">
        <v>132</v>
      </c>
      <c r="AC1245" s="23">
        <v>456.2</v>
      </c>
      <c r="AD1245" s="23">
        <f t="shared" si="161"/>
        <v>538.31599999999992</v>
      </c>
      <c r="AE1245" s="38" t="s">
        <v>173</v>
      </c>
      <c r="AF1245" s="38" t="s">
        <v>83</v>
      </c>
      <c r="AG1245" s="38" t="s">
        <v>83</v>
      </c>
      <c r="AH1245" s="38" t="s">
        <v>545</v>
      </c>
      <c r="AI1245" s="51">
        <v>41625</v>
      </c>
      <c r="AJ1245" s="51">
        <v>41670</v>
      </c>
      <c r="AK1245" s="369"/>
      <c r="AL1245" s="60"/>
      <c r="AM1245" s="60" t="s">
        <v>4038</v>
      </c>
      <c r="AN1245" s="60" t="s">
        <v>353</v>
      </c>
      <c r="AO1245" s="11">
        <v>796</v>
      </c>
      <c r="AP1245" s="38" t="s">
        <v>419</v>
      </c>
      <c r="AQ1245" s="38">
        <v>1</v>
      </c>
      <c r="AR1245" s="38">
        <v>45.46</v>
      </c>
      <c r="AS1245" s="16" t="s">
        <v>4018</v>
      </c>
      <c r="AT1245" s="52">
        <v>41690</v>
      </c>
      <c r="AU1245" s="52">
        <v>41690</v>
      </c>
      <c r="AV1245" s="52">
        <v>41729</v>
      </c>
      <c r="AW1245" s="38">
        <v>2014</v>
      </c>
      <c r="AX1245" s="60"/>
      <c r="AY1245" s="135"/>
      <c r="AZ1245" s="60"/>
      <c r="BA1245" s="38"/>
      <c r="BB1245" s="38"/>
      <c r="BC1245" s="60"/>
      <c r="BD1245" s="60"/>
      <c r="BE1245" s="304"/>
      <c r="BF1245" s="304"/>
      <c r="BG1245" s="304"/>
      <c r="BH1245" s="304"/>
      <c r="BI1245" s="304"/>
      <c r="BJ1245" s="304"/>
      <c r="BK1245" s="304"/>
    </row>
    <row r="1246" spans="1:63" s="287" customFormat="1" ht="75">
      <c r="A1246" s="401">
        <v>3</v>
      </c>
      <c r="B1246" s="38" t="s">
        <v>4065</v>
      </c>
      <c r="C1246" s="38" t="s">
        <v>83</v>
      </c>
      <c r="D1246" s="38" t="s">
        <v>4066</v>
      </c>
      <c r="E1246" s="38" t="s">
        <v>250</v>
      </c>
      <c r="F1246" s="38" t="s">
        <v>4067</v>
      </c>
      <c r="G1246" s="38">
        <v>7422000</v>
      </c>
      <c r="H1246" s="11">
        <v>626171</v>
      </c>
      <c r="I1246" s="16" t="s">
        <v>4068</v>
      </c>
      <c r="J1246" s="16" t="s">
        <v>192</v>
      </c>
      <c r="K1246" s="60" t="s">
        <v>4772</v>
      </c>
      <c r="L1246" s="16" t="s">
        <v>180</v>
      </c>
      <c r="M1246" s="95" t="s">
        <v>1346</v>
      </c>
      <c r="N1246" s="15" t="s">
        <v>849</v>
      </c>
      <c r="O1246" s="16" t="s">
        <v>271</v>
      </c>
      <c r="P1246" s="23">
        <v>1400</v>
      </c>
      <c r="Q1246" s="23">
        <v>1652</v>
      </c>
      <c r="R1246" s="23"/>
      <c r="S1246" s="29"/>
      <c r="T1246" s="38"/>
      <c r="U1246" s="38"/>
      <c r="V1246" s="38"/>
      <c r="W1246" s="38"/>
      <c r="X1246" s="38"/>
      <c r="Y1246" s="36">
        <v>1400</v>
      </c>
      <c r="Z1246" s="34">
        <v>1652</v>
      </c>
      <c r="AA1246" s="36" t="s">
        <v>132</v>
      </c>
      <c r="AB1246" s="36" t="s">
        <v>132</v>
      </c>
      <c r="AC1246" s="23">
        <v>1400</v>
      </c>
      <c r="AD1246" s="23">
        <v>1652</v>
      </c>
      <c r="AE1246" s="38" t="s">
        <v>173</v>
      </c>
      <c r="AF1246" s="38" t="s">
        <v>83</v>
      </c>
      <c r="AG1246" s="38" t="s">
        <v>83</v>
      </c>
      <c r="AH1246" s="38" t="s">
        <v>90</v>
      </c>
      <c r="AI1246" s="51">
        <v>41699</v>
      </c>
      <c r="AJ1246" s="51">
        <v>41760</v>
      </c>
      <c r="AK1246" s="369"/>
      <c r="AL1246" s="60"/>
      <c r="AM1246" s="60" t="s">
        <v>4068</v>
      </c>
      <c r="AN1246" s="60" t="s">
        <v>171</v>
      </c>
      <c r="AO1246" s="11">
        <v>796</v>
      </c>
      <c r="AP1246" s="38" t="s">
        <v>419</v>
      </c>
      <c r="AQ1246" s="38">
        <v>1</v>
      </c>
      <c r="AR1246" s="38">
        <v>45</v>
      </c>
      <c r="AS1246" s="16" t="s">
        <v>512</v>
      </c>
      <c r="AT1246" s="52">
        <v>41780</v>
      </c>
      <c r="AU1246" s="52">
        <v>41780</v>
      </c>
      <c r="AV1246" s="52">
        <v>42186</v>
      </c>
      <c r="AW1246" s="38" t="s">
        <v>99</v>
      </c>
      <c r="AX1246" s="60"/>
      <c r="AY1246" s="135"/>
      <c r="AZ1246" s="60"/>
      <c r="BA1246" s="38"/>
      <c r="BB1246" s="38"/>
      <c r="BC1246" s="60"/>
      <c r="BD1246" s="60"/>
      <c r="BE1246" s="304"/>
      <c r="BF1246" s="304"/>
      <c r="BG1246" s="304"/>
      <c r="BH1246" s="304"/>
      <c r="BI1246" s="304"/>
      <c r="BJ1246" s="304"/>
      <c r="BK1246" s="304"/>
    </row>
    <row r="1247" spans="1:63" s="287" customFormat="1" ht="107.25" customHeight="1">
      <c r="A1247" s="401">
        <v>3</v>
      </c>
      <c r="B1247" s="38" t="s">
        <v>4069</v>
      </c>
      <c r="C1247" s="38" t="s">
        <v>83</v>
      </c>
      <c r="D1247" s="38" t="s">
        <v>4066</v>
      </c>
      <c r="E1247" s="38" t="s">
        <v>250</v>
      </c>
      <c r="F1247" s="38" t="s">
        <v>4067</v>
      </c>
      <c r="G1247" s="38">
        <v>9430000</v>
      </c>
      <c r="H1247" s="11">
        <v>626172</v>
      </c>
      <c r="I1247" s="16" t="s">
        <v>4070</v>
      </c>
      <c r="J1247" s="16" t="s">
        <v>192</v>
      </c>
      <c r="K1247" s="60" t="s">
        <v>4772</v>
      </c>
      <c r="L1247" s="16" t="s">
        <v>180</v>
      </c>
      <c r="M1247" s="95" t="s">
        <v>1346</v>
      </c>
      <c r="N1247" s="15" t="s">
        <v>849</v>
      </c>
      <c r="O1247" s="16" t="s">
        <v>271</v>
      </c>
      <c r="P1247" s="23">
        <v>6500</v>
      </c>
      <c r="Q1247" s="23">
        <v>7670</v>
      </c>
      <c r="R1247" s="23"/>
      <c r="S1247" s="29"/>
      <c r="T1247" s="38"/>
      <c r="U1247" s="38"/>
      <c r="V1247" s="38"/>
      <c r="W1247" s="38"/>
      <c r="X1247" s="38"/>
      <c r="Y1247" s="36">
        <v>6500</v>
      </c>
      <c r="Z1247" s="34">
        <v>7670</v>
      </c>
      <c r="AA1247" s="36" t="s">
        <v>132</v>
      </c>
      <c r="AB1247" s="36" t="s">
        <v>132</v>
      </c>
      <c r="AC1247" s="23">
        <v>6500</v>
      </c>
      <c r="AD1247" s="23">
        <v>7670</v>
      </c>
      <c r="AE1247" s="38" t="s">
        <v>173</v>
      </c>
      <c r="AF1247" s="38" t="s">
        <v>83</v>
      </c>
      <c r="AG1247" s="38" t="s">
        <v>83</v>
      </c>
      <c r="AH1247" s="38" t="s">
        <v>90</v>
      </c>
      <c r="AI1247" s="51">
        <v>41883</v>
      </c>
      <c r="AJ1247" s="51">
        <v>41944</v>
      </c>
      <c r="AK1247" s="369"/>
      <c r="AL1247" s="60"/>
      <c r="AM1247" s="60" t="s">
        <v>4070</v>
      </c>
      <c r="AN1247" s="60" t="s">
        <v>171</v>
      </c>
      <c r="AO1247" s="11">
        <v>796</v>
      </c>
      <c r="AP1247" s="38" t="s">
        <v>419</v>
      </c>
      <c r="AQ1247" s="38">
        <v>1</v>
      </c>
      <c r="AR1247" s="38">
        <v>45</v>
      </c>
      <c r="AS1247" s="16" t="s">
        <v>512</v>
      </c>
      <c r="AT1247" s="52">
        <v>41964</v>
      </c>
      <c r="AU1247" s="52">
        <v>41964</v>
      </c>
      <c r="AV1247" s="52">
        <v>42369</v>
      </c>
      <c r="AW1247" s="38">
        <v>2015</v>
      </c>
      <c r="AX1247" s="60"/>
      <c r="AY1247" s="135"/>
      <c r="AZ1247" s="60"/>
      <c r="BA1247" s="38"/>
      <c r="BB1247" s="38"/>
      <c r="BC1247" s="60"/>
      <c r="BD1247" s="60"/>
      <c r="BE1247" s="304"/>
      <c r="BF1247" s="304"/>
      <c r="BG1247" s="304"/>
      <c r="BH1247" s="304"/>
      <c r="BI1247" s="304"/>
      <c r="BJ1247" s="304"/>
      <c r="BK1247" s="304"/>
    </row>
    <row r="1248" spans="1:63" s="287" customFormat="1" ht="93.75" customHeight="1">
      <c r="A1248" s="401">
        <v>3</v>
      </c>
      <c r="B1248" s="38" t="s">
        <v>4071</v>
      </c>
      <c r="C1248" s="38" t="s">
        <v>83</v>
      </c>
      <c r="D1248" s="38" t="s">
        <v>4066</v>
      </c>
      <c r="E1248" s="38" t="s">
        <v>250</v>
      </c>
      <c r="F1248" s="38" t="s">
        <v>4067</v>
      </c>
      <c r="G1248" s="38">
        <v>9430000</v>
      </c>
      <c r="H1248" s="11">
        <v>626173</v>
      </c>
      <c r="I1248" s="16" t="s">
        <v>4072</v>
      </c>
      <c r="J1248" s="16" t="s">
        <v>192</v>
      </c>
      <c r="K1248" s="60" t="s">
        <v>4772</v>
      </c>
      <c r="L1248" s="16" t="s">
        <v>180</v>
      </c>
      <c r="M1248" s="95" t="s">
        <v>1175</v>
      </c>
      <c r="N1248" s="16" t="s">
        <v>825</v>
      </c>
      <c r="O1248" s="16" t="s">
        <v>271</v>
      </c>
      <c r="P1248" s="23">
        <v>6500</v>
      </c>
      <c r="Q1248" s="23">
        <v>7670</v>
      </c>
      <c r="R1248" s="23"/>
      <c r="S1248" s="29"/>
      <c r="T1248" s="38"/>
      <c r="U1248" s="38"/>
      <c r="V1248" s="38"/>
      <c r="W1248" s="38"/>
      <c r="X1248" s="38"/>
      <c r="Y1248" s="36">
        <v>6500</v>
      </c>
      <c r="Z1248" s="34">
        <v>7670</v>
      </c>
      <c r="AA1248" s="36" t="s">
        <v>132</v>
      </c>
      <c r="AB1248" s="36" t="s">
        <v>132</v>
      </c>
      <c r="AC1248" s="23">
        <v>6500</v>
      </c>
      <c r="AD1248" s="23">
        <v>7670</v>
      </c>
      <c r="AE1248" s="38" t="s">
        <v>173</v>
      </c>
      <c r="AF1248" s="38" t="s">
        <v>83</v>
      </c>
      <c r="AG1248" s="38" t="s">
        <v>83</v>
      </c>
      <c r="AH1248" s="38" t="s">
        <v>90</v>
      </c>
      <c r="AI1248" s="51">
        <v>41791</v>
      </c>
      <c r="AJ1248" s="51">
        <v>41852</v>
      </c>
      <c r="AK1248" s="369"/>
      <c r="AL1248" s="60"/>
      <c r="AM1248" s="60" t="s">
        <v>4072</v>
      </c>
      <c r="AN1248" s="60" t="s">
        <v>171</v>
      </c>
      <c r="AO1248" s="11">
        <v>796</v>
      </c>
      <c r="AP1248" s="38" t="s">
        <v>419</v>
      </c>
      <c r="AQ1248" s="38">
        <v>1</v>
      </c>
      <c r="AR1248" s="38">
        <v>45</v>
      </c>
      <c r="AS1248" s="16" t="s">
        <v>512</v>
      </c>
      <c r="AT1248" s="78">
        <v>41872</v>
      </c>
      <c r="AU1248" s="78">
        <v>41872</v>
      </c>
      <c r="AV1248" s="51">
        <v>42247</v>
      </c>
      <c r="AW1248" s="38" t="s">
        <v>99</v>
      </c>
      <c r="AX1248" s="60"/>
      <c r="AY1248" s="135"/>
      <c r="AZ1248" s="60"/>
      <c r="BA1248" s="38"/>
      <c r="BB1248" s="38"/>
      <c r="BC1248" s="60"/>
      <c r="BD1248" s="60"/>
      <c r="BE1248" s="304"/>
      <c r="BF1248" s="304"/>
      <c r="BG1248" s="304"/>
      <c r="BH1248" s="304"/>
      <c r="BI1248" s="304"/>
      <c r="BJ1248" s="304"/>
      <c r="BK1248" s="304"/>
    </row>
    <row r="1249" spans="1:63" s="287" customFormat="1" ht="93.75">
      <c r="A1249" s="401">
        <v>3</v>
      </c>
      <c r="B1249" s="38" t="s">
        <v>4073</v>
      </c>
      <c r="C1249" s="38" t="s">
        <v>83</v>
      </c>
      <c r="D1249" s="38" t="s">
        <v>4066</v>
      </c>
      <c r="E1249" s="38" t="s">
        <v>250</v>
      </c>
      <c r="F1249" s="38" t="s">
        <v>4074</v>
      </c>
      <c r="G1249" s="38">
        <v>9430000</v>
      </c>
      <c r="H1249" s="11">
        <v>626174</v>
      </c>
      <c r="I1249" s="16" t="s">
        <v>4075</v>
      </c>
      <c r="J1249" s="16" t="s">
        <v>192</v>
      </c>
      <c r="K1249" s="60" t="s">
        <v>4772</v>
      </c>
      <c r="L1249" s="16" t="s">
        <v>180</v>
      </c>
      <c r="M1249" s="95" t="s">
        <v>1175</v>
      </c>
      <c r="N1249" s="16" t="s">
        <v>825</v>
      </c>
      <c r="O1249" s="16" t="s">
        <v>271</v>
      </c>
      <c r="P1249" s="23">
        <v>4000</v>
      </c>
      <c r="Q1249" s="23">
        <v>4720</v>
      </c>
      <c r="R1249" s="23"/>
      <c r="S1249" s="29"/>
      <c r="T1249" s="38"/>
      <c r="U1249" s="38"/>
      <c r="V1249" s="38"/>
      <c r="W1249" s="38"/>
      <c r="X1249" s="38"/>
      <c r="Y1249" s="36">
        <v>4000</v>
      </c>
      <c r="Z1249" s="34">
        <v>4720</v>
      </c>
      <c r="AA1249" s="36" t="s">
        <v>132</v>
      </c>
      <c r="AB1249" s="36" t="s">
        <v>132</v>
      </c>
      <c r="AC1249" s="23">
        <v>4000</v>
      </c>
      <c r="AD1249" s="23">
        <v>4720</v>
      </c>
      <c r="AE1249" s="38" t="s">
        <v>173</v>
      </c>
      <c r="AF1249" s="38" t="s">
        <v>83</v>
      </c>
      <c r="AG1249" s="38" t="s">
        <v>83</v>
      </c>
      <c r="AH1249" s="38" t="s">
        <v>90</v>
      </c>
      <c r="AI1249" s="51">
        <v>41805</v>
      </c>
      <c r="AJ1249" s="51">
        <v>41852</v>
      </c>
      <c r="AK1249" s="369"/>
      <c r="AL1249" s="60"/>
      <c r="AM1249" s="60" t="s">
        <v>4075</v>
      </c>
      <c r="AN1249" s="60" t="s">
        <v>171</v>
      </c>
      <c r="AO1249" s="11">
        <v>796</v>
      </c>
      <c r="AP1249" s="38" t="s">
        <v>419</v>
      </c>
      <c r="AQ1249" s="38">
        <v>1</v>
      </c>
      <c r="AR1249" s="38" t="s">
        <v>2980</v>
      </c>
      <c r="AS1249" s="16" t="s">
        <v>3373</v>
      </c>
      <c r="AT1249" s="78">
        <v>41872</v>
      </c>
      <c r="AU1249" s="78">
        <v>41872</v>
      </c>
      <c r="AV1249" s="51">
        <v>42247</v>
      </c>
      <c r="AW1249" s="38" t="s">
        <v>99</v>
      </c>
      <c r="AX1249" s="60"/>
      <c r="AY1249" s="135"/>
      <c r="AZ1249" s="60"/>
      <c r="BA1249" s="38"/>
      <c r="BB1249" s="38"/>
      <c r="BC1249" s="60"/>
      <c r="BD1249" s="60"/>
      <c r="BE1249" s="304"/>
      <c r="BF1249" s="304"/>
      <c r="BG1249" s="304"/>
      <c r="BH1249" s="304"/>
      <c r="BI1249" s="304"/>
      <c r="BJ1249" s="304"/>
      <c r="BK1249" s="304"/>
    </row>
    <row r="1250" spans="1:63" s="287" customFormat="1" ht="75">
      <c r="A1250" s="401">
        <v>3</v>
      </c>
      <c r="B1250" s="38" t="s">
        <v>4076</v>
      </c>
      <c r="C1250" s="38" t="s">
        <v>83</v>
      </c>
      <c r="D1250" s="38" t="s">
        <v>4066</v>
      </c>
      <c r="E1250" s="38" t="s">
        <v>250</v>
      </c>
      <c r="F1250" s="38" t="s">
        <v>4067</v>
      </c>
      <c r="G1250" s="38">
        <v>9430000</v>
      </c>
      <c r="H1250" s="11">
        <v>626175</v>
      </c>
      <c r="I1250" s="16" t="s">
        <v>4077</v>
      </c>
      <c r="J1250" s="16" t="s">
        <v>192</v>
      </c>
      <c r="K1250" s="60" t="s">
        <v>4772</v>
      </c>
      <c r="L1250" s="16" t="s">
        <v>180</v>
      </c>
      <c r="M1250" s="95" t="s">
        <v>1175</v>
      </c>
      <c r="N1250" s="16" t="s">
        <v>825</v>
      </c>
      <c r="O1250" s="16" t="s">
        <v>271</v>
      </c>
      <c r="P1250" s="23">
        <v>4000</v>
      </c>
      <c r="Q1250" s="23">
        <v>4720</v>
      </c>
      <c r="R1250" s="23"/>
      <c r="S1250" s="29"/>
      <c r="T1250" s="38"/>
      <c r="U1250" s="38"/>
      <c r="V1250" s="38"/>
      <c r="W1250" s="38"/>
      <c r="X1250" s="38"/>
      <c r="Y1250" s="36">
        <v>4000</v>
      </c>
      <c r="Z1250" s="34">
        <v>4720</v>
      </c>
      <c r="AA1250" s="36" t="s">
        <v>132</v>
      </c>
      <c r="AB1250" s="36" t="s">
        <v>132</v>
      </c>
      <c r="AC1250" s="23">
        <v>4000</v>
      </c>
      <c r="AD1250" s="23">
        <v>4720</v>
      </c>
      <c r="AE1250" s="38" t="s">
        <v>173</v>
      </c>
      <c r="AF1250" s="38" t="s">
        <v>83</v>
      </c>
      <c r="AG1250" s="38" t="s">
        <v>83</v>
      </c>
      <c r="AH1250" s="38" t="s">
        <v>90</v>
      </c>
      <c r="AI1250" s="51">
        <v>41805</v>
      </c>
      <c r="AJ1250" s="51">
        <v>41852</v>
      </c>
      <c r="AK1250" s="369"/>
      <c r="AL1250" s="60"/>
      <c r="AM1250" s="60" t="s">
        <v>4077</v>
      </c>
      <c r="AN1250" s="60" t="s">
        <v>171</v>
      </c>
      <c r="AO1250" s="11">
        <v>796</v>
      </c>
      <c r="AP1250" s="38" t="s">
        <v>419</v>
      </c>
      <c r="AQ1250" s="38">
        <v>1</v>
      </c>
      <c r="AR1250" s="38" t="s">
        <v>2980</v>
      </c>
      <c r="AS1250" s="16" t="s">
        <v>3373</v>
      </c>
      <c r="AT1250" s="78">
        <v>41872</v>
      </c>
      <c r="AU1250" s="78">
        <v>41872</v>
      </c>
      <c r="AV1250" s="51">
        <v>42247</v>
      </c>
      <c r="AW1250" s="38" t="s">
        <v>99</v>
      </c>
      <c r="AX1250" s="60"/>
      <c r="AY1250" s="135"/>
      <c r="AZ1250" s="60"/>
      <c r="BA1250" s="38"/>
      <c r="BB1250" s="38"/>
      <c r="BC1250" s="60"/>
      <c r="BD1250" s="60"/>
      <c r="BE1250" s="304"/>
      <c r="BF1250" s="304"/>
      <c r="BG1250" s="304"/>
      <c r="BH1250" s="304"/>
      <c r="BI1250" s="304"/>
      <c r="BJ1250" s="304"/>
      <c r="BK1250" s="304"/>
    </row>
    <row r="1251" spans="1:63" s="606" customFormat="1" ht="75">
      <c r="A1251" s="25">
        <v>3</v>
      </c>
      <c r="B1251" s="38" t="s">
        <v>3324</v>
      </c>
      <c r="C1251" s="72" t="s">
        <v>83</v>
      </c>
      <c r="D1251" s="72" t="s">
        <v>3329</v>
      </c>
      <c r="E1251" s="72" t="s">
        <v>274</v>
      </c>
      <c r="F1251" s="60" t="s">
        <v>3340</v>
      </c>
      <c r="G1251" s="60" t="s">
        <v>3341</v>
      </c>
      <c r="H1251" s="11">
        <v>626095</v>
      </c>
      <c r="I1251" s="16" t="s">
        <v>3342</v>
      </c>
      <c r="J1251" s="16" t="s">
        <v>3331</v>
      </c>
      <c r="K1251" s="16" t="s">
        <v>4757</v>
      </c>
      <c r="L1251" s="16" t="s">
        <v>180</v>
      </c>
      <c r="M1251" s="134" t="s">
        <v>1175</v>
      </c>
      <c r="N1251" s="16" t="s">
        <v>825</v>
      </c>
      <c r="O1251" s="16" t="s">
        <v>3372</v>
      </c>
      <c r="P1251" s="23">
        <v>4471.2</v>
      </c>
      <c r="Q1251" s="23">
        <f t="shared" ref="Q1251:Q1268" si="162">P1251*1.18</f>
        <v>5276.0159999999996</v>
      </c>
      <c r="R1251" s="23"/>
      <c r="S1251" s="29"/>
      <c r="T1251" s="25"/>
      <c r="U1251" s="25"/>
      <c r="V1251" s="25"/>
      <c r="W1251" s="25"/>
      <c r="X1251" s="25"/>
      <c r="Y1251" s="23">
        <v>4471.2</v>
      </c>
      <c r="Z1251" s="23">
        <f t="shared" ref="Z1251:Z1268" si="163">Y1251*1.18</f>
        <v>5276.0159999999996</v>
      </c>
      <c r="AA1251" s="36" t="s">
        <v>132</v>
      </c>
      <c r="AB1251" s="36" t="s">
        <v>132</v>
      </c>
      <c r="AC1251" s="23">
        <v>4471.2</v>
      </c>
      <c r="AD1251" s="23">
        <f t="shared" ref="AD1251:AD1268" si="164">AC1251*1.18</f>
        <v>5276.0159999999996</v>
      </c>
      <c r="AE1251" s="38" t="s">
        <v>173</v>
      </c>
      <c r="AF1251" s="38" t="s">
        <v>83</v>
      </c>
      <c r="AG1251" s="38" t="s">
        <v>83</v>
      </c>
      <c r="AH1251" s="38" t="s">
        <v>90</v>
      </c>
      <c r="AI1251" s="51">
        <v>41625</v>
      </c>
      <c r="AJ1251" s="97">
        <v>41670</v>
      </c>
      <c r="AK1251" s="60"/>
      <c r="AL1251" s="60"/>
      <c r="AM1251" s="60" t="s">
        <v>3351</v>
      </c>
      <c r="AN1251" s="60" t="s">
        <v>171</v>
      </c>
      <c r="AO1251" s="11">
        <v>539</v>
      </c>
      <c r="AP1251" s="38" t="s">
        <v>3353</v>
      </c>
      <c r="AQ1251" s="25">
        <v>40</v>
      </c>
      <c r="AR1251" s="38">
        <v>46</v>
      </c>
      <c r="AS1251" s="29" t="s">
        <v>3354</v>
      </c>
      <c r="AT1251" s="52">
        <v>41690</v>
      </c>
      <c r="AU1251" s="52">
        <v>41690</v>
      </c>
      <c r="AV1251" s="52">
        <v>42005</v>
      </c>
      <c r="AW1251" s="38" t="s">
        <v>99</v>
      </c>
      <c r="AX1251" s="60" t="s">
        <v>4151</v>
      </c>
      <c r="AY1251" s="135"/>
      <c r="AZ1251" s="60"/>
      <c r="BA1251" s="38"/>
      <c r="BB1251" s="38"/>
      <c r="BC1251" s="60"/>
      <c r="BD1251" s="60"/>
      <c r="BE1251" s="331"/>
      <c r="BF1251" s="331"/>
      <c r="BG1251" s="331"/>
      <c r="BH1251" s="331"/>
      <c r="BI1251" s="331"/>
      <c r="BJ1251" s="331"/>
      <c r="BK1251" s="378"/>
    </row>
    <row r="1252" spans="1:63" s="606" customFormat="1" ht="187.5">
      <c r="A1252" s="25">
        <v>3</v>
      </c>
      <c r="B1252" s="38" t="s">
        <v>3325</v>
      </c>
      <c r="C1252" s="72" t="s">
        <v>83</v>
      </c>
      <c r="D1252" s="72" t="s">
        <v>3329</v>
      </c>
      <c r="E1252" s="72" t="s">
        <v>274</v>
      </c>
      <c r="F1252" s="60" t="s">
        <v>3340</v>
      </c>
      <c r="G1252" s="60" t="s">
        <v>3343</v>
      </c>
      <c r="H1252" s="11">
        <v>626094</v>
      </c>
      <c r="I1252" s="16" t="s">
        <v>3344</v>
      </c>
      <c r="J1252" s="16" t="s">
        <v>3331</v>
      </c>
      <c r="K1252" s="16" t="s">
        <v>4757</v>
      </c>
      <c r="L1252" s="16" t="s">
        <v>180</v>
      </c>
      <c r="M1252" s="134" t="s">
        <v>1175</v>
      </c>
      <c r="N1252" s="16" t="s">
        <v>825</v>
      </c>
      <c r="O1252" s="16" t="s">
        <v>3372</v>
      </c>
      <c r="P1252" s="23">
        <v>19428.39</v>
      </c>
      <c r="Q1252" s="23">
        <f t="shared" si="162"/>
        <v>22925.500199999999</v>
      </c>
      <c r="R1252" s="23"/>
      <c r="S1252" s="29"/>
      <c r="T1252" s="25"/>
      <c r="U1252" s="25"/>
      <c r="V1252" s="25"/>
      <c r="W1252" s="25"/>
      <c r="X1252" s="25"/>
      <c r="Y1252" s="23">
        <v>19428.39</v>
      </c>
      <c r="Z1252" s="23">
        <f t="shared" si="163"/>
        <v>22925.500199999999</v>
      </c>
      <c r="AA1252" s="36" t="s">
        <v>132</v>
      </c>
      <c r="AB1252" s="36" t="s">
        <v>132</v>
      </c>
      <c r="AC1252" s="23">
        <v>19428.39</v>
      </c>
      <c r="AD1252" s="23">
        <f t="shared" si="164"/>
        <v>22925.500199999999</v>
      </c>
      <c r="AE1252" s="38" t="s">
        <v>169</v>
      </c>
      <c r="AF1252" s="38" t="s">
        <v>83</v>
      </c>
      <c r="AG1252" s="38" t="s">
        <v>83</v>
      </c>
      <c r="AH1252" s="38" t="s">
        <v>90</v>
      </c>
      <c r="AI1252" s="52">
        <v>41650</v>
      </c>
      <c r="AJ1252" s="97">
        <v>41710</v>
      </c>
      <c r="AK1252" s="60"/>
      <c r="AL1252" s="60"/>
      <c r="AM1252" s="60" t="s">
        <v>3351</v>
      </c>
      <c r="AN1252" s="60" t="s">
        <v>171</v>
      </c>
      <c r="AO1252" s="11">
        <v>539</v>
      </c>
      <c r="AP1252" s="38" t="s">
        <v>3353</v>
      </c>
      <c r="AQ1252" s="25">
        <v>150</v>
      </c>
      <c r="AR1252" s="38">
        <v>46</v>
      </c>
      <c r="AS1252" s="29" t="s">
        <v>3354</v>
      </c>
      <c r="AT1252" s="52">
        <v>41730</v>
      </c>
      <c r="AU1252" s="52">
        <v>41730</v>
      </c>
      <c r="AV1252" s="52">
        <v>42094</v>
      </c>
      <c r="AW1252" s="38" t="s">
        <v>99</v>
      </c>
      <c r="AX1252" s="60" t="s">
        <v>5846</v>
      </c>
      <c r="AY1252" s="135"/>
      <c r="AZ1252" s="60"/>
      <c r="BA1252" s="38"/>
      <c r="BB1252" s="38"/>
      <c r="BC1252" s="60"/>
      <c r="BD1252" s="60"/>
      <c r="BE1252" s="331"/>
      <c r="BF1252" s="331"/>
      <c r="BG1252" s="331"/>
      <c r="BH1252" s="331"/>
      <c r="BI1252" s="331"/>
      <c r="BJ1252" s="331"/>
      <c r="BK1252" s="378"/>
    </row>
    <row r="1253" spans="1:63" s="606" customFormat="1" ht="75">
      <c r="A1253" s="25">
        <v>3</v>
      </c>
      <c r="B1253" s="38" t="s">
        <v>3326</v>
      </c>
      <c r="C1253" s="72" t="s">
        <v>83</v>
      </c>
      <c r="D1253" s="72" t="s">
        <v>3329</v>
      </c>
      <c r="E1253" s="72" t="s">
        <v>274</v>
      </c>
      <c r="F1253" s="60" t="s">
        <v>3340</v>
      </c>
      <c r="G1253" s="60" t="s">
        <v>3341</v>
      </c>
      <c r="H1253" s="11">
        <v>626093</v>
      </c>
      <c r="I1253" s="16" t="s">
        <v>3345</v>
      </c>
      <c r="J1253" s="16" t="s">
        <v>3331</v>
      </c>
      <c r="K1253" s="16" t="s">
        <v>4757</v>
      </c>
      <c r="L1253" s="16" t="s">
        <v>180</v>
      </c>
      <c r="M1253" s="134" t="s">
        <v>1175</v>
      </c>
      <c r="N1253" s="16" t="s">
        <v>825</v>
      </c>
      <c r="O1253" s="16" t="s">
        <v>3372</v>
      </c>
      <c r="P1253" s="451">
        <v>16100</v>
      </c>
      <c r="Q1253" s="23">
        <f t="shared" si="162"/>
        <v>18998</v>
      </c>
      <c r="R1253" s="23"/>
      <c r="S1253" s="29"/>
      <c r="T1253" s="25"/>
      <c r="U1253" s="25"/>
      <c r="V1253" s="25"/>
      <c r="W1253" s="25"/>
      <c r="X1253" s="25"/>
      <c r="Y1253" s="451">
        <v>16100</v>
      </c>
      <c r="Z1253" s="23">
        <f t="shared" si="163"/>
        <v>18998</v>
      </c>
      <c r="AA1253" s="36" t="s">
        <v>132</v>
      </c>
      <c r="AB1253" s="36" t="s">
        <v>132</v>
      </c>
      <c r="AC1253" s="451">
        <v>16100</v>
      </c>
      <c r="AD1253" s="23">
        <f t="shared" si="164"/>
        <v>18998</v>
      </c>
      <c r="AE1253" s="38" t="s">
        <v>169</v>
      </c>
      <c r="AF1253" s="38" t="s">
        <v>83</v>
      </c>
      <c r="AG1253" s="38" t="s">
        <v>83</v>
      </c>
      <c r="AH1253" s="38" t="s">
        <v>90</v>
      </c>
      <c r="AI1253" s="52">
        <v>41650</v>
      </c>
      <c r="AJ1253" s="97">
        <v>41710</v>
      </c>
      <c r="AK1253" s="60"/>
      <c r="AL1253" s="60"/>
      <c r="AM1253" s="60" t="s">
        <v>3351</v>
      </c>
      <c r="AN1253" s="60" t="s">
        <v>171</v>
      </c>
      <c r="AO1253" s="11">
        <v>539</v>
      </c>
      <c r="AP1253" s="38" t="s">
        <v>3353</v>
      </c>
      <c r="AQ1253" s="25">
        <v>100</v>
      </c>
      <c r="AR1253" s="38">
        <v>46</v>
      </c>
      <c r="AS1253" s="29" t="s">
        <v>3354</v>
      </c>
      <c r="AT1253" s="52">
        <v>41730</v>
      </c>
      <c r="AU1253" s="52">
        <v>41730</v>
      </c>
      <c r="AV1253" s="52">
        <v>42094</v>
      </c>
      <c r="AW1253" s="38" t="s">
        <v>99</v>
      </c>
      <c r="AX1253" s="452" t="s">
        <v>5863</v>
      </c>
      <c r="AY1253" s="135"/>
      <c r="AZ1253" s="60"/>
      <c r="BA1253" s="38"/>
      <c r="BB1253" s="38"/>
      <c r="BC1253" s="60"/>
      <c r="BD1253" s="60"/>
      <c r="BE1253" s="331"/>
      <c r="BF1253" s="331"/>
      <c r="BG1253" s="331"/>
      <c r="BH1253" s="331"/>
      <c r="BI1253" s="331"/>
      <c r="BJ1253" s="331"/>
      <c r="BK1253" s="378"/>
    </row>
    <row r="1254" spans="1:63" s="606" customFormat="1" ht="75">
      <c r="A1254" s="25">
        <v>3</v>
      </c>
      <c r="B1254" s="38" t="s">
        <v>3327</v>
      </c>
      <c r="C1254" s="72" t="s">
        <v>83</v>
      </c>
      <c r="D1254" s="72" t="s">
        <v>3329</v>
      </c>
      <c r="E1254" s="72" t="s">
        <v>274</v>
      </c>
      <c r="F1254" s="60" t="s">
        <v>3340</v>
      </c>
      <c r="G1254" s="60" t="s">
        <v>3341</v>
      </c>
      <c r="H1254" s="11">
        <v>626092</v>
      </c>
      <c r="I1254" s="16" t="s">
        <v>3346</v>
      </c>
      <c r="J1254" s="16" t="s">
        <v>3331</v>
      </c>
      <c r="K1254" s="60" t="s">
        <v>4757</v>
      </c>
      <c r="L1254" s="16" t="s">
        <v>180</v>
      </c>
      <c r="M1254" s="134" t="s">
        <v>1175</v>
      </c>
      <c r="N1254" s="16" t="s">
        <v>825</v>
      </c>
      <c r="O1254" s="16" t="s">
        <v>3372</v>
      </c>
      <c r="P1254" s="23">
        <v>9203.26</v>
      </c>
      <c r="Q1254" s="23">
        <f t="shared" si="162"/>
        <v>10859.846799999999</v>
      </c>
      <c r="R1254" s="23"/>
      <c r="S1254" s="29"/>
      <c r="T1254" s="25"/>
      <c r="U1254" s="25"/>
      <c r="V1254" s="25"/>
      <c r="W1254" s="25"/>
      <c r="X1254" s="25"/>
      <c r="Y1254" s="23">
        <v>9203.26</v>
      </c>
      <c r="Z1254" s="23">
        <f t="shared" si="163"/>
        <v>10859.846799999999</v>
      </c>
      <c r="AA1254" s="36" t="s">
        <v>132</v>
      </c>
      <c r="AB1254" s="36" t="s">
        <v>132</v>
      </c>
      <c r="AC1254" s="23">
        <v>9203.26</v>
      </c>
      <c r="AD1254" s="23">
        <f t="shared" si="164"/>
        <v>10859.846799999999</v>
      </c>
      <c r="AE1254" s="38" t="s">
        <v>169</v>
      </c>
      <c r="AF1254" s="38" t="s">
        <v>83</v>
      </c>
      <c r="AG1254" s="38" t="s">
        <v>83</v>
      </c>
      <c r="AH1254" s="38" t="s">
        <v>90</v>
      </c>
      <c r="AI1254" s="52">
        <v>41650</v>
      </c>
      <c r="AJ1254" s="97">
        <v>41710</v>
      </c>
      <c r="AK1254" s="60"/>
      <c r="AL1254" s="60"/>
      <c r="AM1254" s="60" t="s">
        <v>3351</v>
      </c>
      <c r="AN1254" s="60" t="s">
        <v>171</v>
      </c>
      <c r="AO1254" s="11">
        <v>539</v>
      </c>
      <c r="AP1254" s="38" t="s">
        <v>3353</v>
      </c>
      <c r="AQ1254" s="25">
        <v>30</v>
      </c>
      <c r="AR1254" s="38">
        <v>46</v>
      </c>
      <c r="AS1254" s="29" t="s">
        <v>3354</v>
      </c>
      <c r="AT1254" s="52">
        <v>41730</v>
      </c>
      <c r="AU1254" s="52">
        <v>41730</v>
      </c>
      <c r="AV1254" s="52">
        <v>42094</v>
      </c>
      <c r="AW1254" s="38" t="s">
        <v>99</v>
      </c>
      <c r="AX1254" s="60" t="s">
        <v>4150</v>
      </c>
      <c r="AY1254" s="135"/>
      <c r="AZ1254" s="60"/>
      <c r="BA1254" s="38"/>
      <c r="BB1254" s="38"/>
      <c r="BC1254" s="60"/>
      <c r="BD1254" s="60"/>
      <c r="BE1254" s="331"/>
      <c r="BF1254" s="331"/>
      <c r="BG1254" s="331"/>
      <c r="BH1254" s="331"/>
      <c r="BI1254" s="331"/>
      <c r="BJ1254" s="331"/>
      <c r="BK1254" s="378"/>
    </row>
    <row r="1255" spans="1:63" s="606" customFormat="1" ht="180.75" customHeight="1">
      <c r="A1255" s="25">
        <v>3</v>
      </c>
      <c r="B1255" s="38" t="s">
        <v>3328</v>
      </c>
      <c r="C1255" s="72" t="s">
        <v>83</v>
      </c>
      <c r="D1255" s="72" t="s">
        <v>3329</v>
      </c>
      <c r="E1255" s="72" t="s">
        <v>274</v>
      </c>
      <c r="F1255" s="60" t="s">
        <v>3340</v>
      </c>
      <c r="G1255" s="60" t="s">
        <v>3341</v>
      </c>
      <c r="H1255" s="11">
        <v>626091</v>
      </c>
      <c r="I1255" s="16" t="s">
        <v>3347</v>
      </c>
      <c r="J1255" s="16" t="s">
        <v>3331</v>
      </c>
      <c r="K1255" s="60" t="s">
        <v>4757</v>
      </c>
      <c r="L1255" s="16" t="s">
        <v>180</v>
      </c>
      <c r="M1255" s="134" t="s">
        <v>1175</v>
      </c>
      <c r="N1255" s="16" t="s">
        <v>825</v>
      </c>
      <c r="O1255" s="16" t="s">
        <v>3372</v>
      </c>
      <c r="P1255" s="451">
        <v>62782</v>
      </c>
      <c r="Q1255" s="23">
        <f t="shared" si="162"/>
        <v>74082.759999999995</v>
      </c>
      <c r="R1255" s="23"/>
      <c r="S1255" s="29"/>
      <c r="T1255" s="25"/>
      <c r="U1255" s="25"/>
      <c r="V1255" s="25"/>
      <c r="W1255" s="25"/>
      <c r="X1255" s="25"/>
      <c r="Y1255" s="451">
        <v>62782</v>
      </c>
      <c r="Z1255" s="23">
        <f t="shared" si="163"/>
        <v>74082.759999999995</v>
      </c>
      <c r="AA1255" s="36" t="s">
        <v>132</v>
      </c>
      <c r="AB1255" s="36" t="s">
        <v>132</v>
      </c>
      <c r="AC1255" s="451">
        <v>62782</v>
      </c>
      <c r="AD1255" s="23">
        <f t="shared" si="164"/>
        <v>74082.759999999995</v>
      </c>
      <c r="AE1255" s="38" t="s">
        <v>169</v>
      </c>
      <c r="AF1255" s="38" t="s">
        <v>83</v>
      </c>
      <c r="AG1255" s="38" t="s">
        <v>83</v>
      </c>
      <c r="AH1255" s="38" t="s">
        <v>90</v>
      </c>
      <c r="AI1255" s="52">
        <v>41650</v>
      </c>
      <c r="AJ1255" s="97">
        <v>41710</v>
      </c>
      <c r="AK1255" s="60"/>
      <c r="AL1255" s="60"/>
      <c r="AM1255" s="60" t="s">
        <v>3351</v>
      </c>
      <c r="AN1255" s="60" t="s">
        <v>171</v>
      </c>
      <c r="AO1255" s="11">
        <v>539</v>
      </c>
      <c r="AP1255" s="38" t="s">
        <v>3353</v>
      </c>
      <c r="AQ1255" s="25">
        <v>2100</v>
      </c>
      <c r="AR1255" s="38">
        <v>46</v>
      </c>
      <c r="AS1255" s="29" t="s">
        <v>3354</v>
      </c>
      <c r="AT1255" s="52">
        <v>41730</v>
      </c>
      <c r="AU1255" s="52">
        <v>41730</v>
      </c>
      <c r="AV1255" s="52">
        <v>42094</v>
      </c>
      <c r="AW1255" s="38" t="s">
        <v>99</v>
      </c>
      <c r="AX1255" s="452" t="s">
        <v>5861</v>
      </c>
      <c r="AY1255" s="135"/>
      <c r="AZ1255" s="60"/>
      <c r="BA1255" s="38"/>
      <c r="BB1255" s="38"/>
      <c r="BC1255" s="60"/>
      <c r="BD1255" s="60"/>
      <c r="BE1255" s="331"/>
      <c r="BF1255" s="331"/>
      <c r="BG1255" s="331"/>
      <c r="BH1255" s="331"/>
      <c r="BI1255" s="331"/>
      <c r="BJ1255" s="331"/>
      <c r="BK1255" s="378"/>
    </row>
    <row r="1256" spans="1:63" s="606" customFormat="1" ht="131.25">
      <c r="A1256" s="25">
        <v>3</v>
      </c>
      <c r="B1256" s="38" t="s">
        <v>4149</v>
      </c>
      <c r="C1256" s="72" t="s">
        <v>83</v>
      </c>
      <c r="D1256" s="72" t="s">
        <v>3329</v>
      </c>
      <c r="E1256" s="72" t="s">
        <v>274</v>
      </c>
      <c r="F1256" s="60" t="s">
        <v>3340</v>
      </c>
      <c r="G1256" s="60" t="s">
        <v>3341</v>
      </c>
      <c r="H1256" s="11">
        <v>626089</v>
      </c>
      <c r="I1256" s="16" t="s">
        <v>3348</v>
      </c>
      <c r="J1256" s="16" t="s">
        <v>3331</v>
      </c>
      <c r="K1256" s="60" t="s">
        <v>4757</v>
      </c>
      <c r="L1256" s="16" t="s">
        <v>180</v>
      </c>
      <c r="M1256" s="134" t="s">
        <v>1175</v>
      </c>
      <c r="N1256" s="16" t="s">
        <v>825</v>
      </c>
      <c r="O1256" s="16" t="s">
        <v>3372</v>
      </c>
      <c r="P1256" s="451">
        <v>17919</v>
      </c>
      <c r="Q1256" s="23">
        <f t="shared" si="162"/>
        <v>21144.42</v>
      </c>
      <c r="R1256" s="23"/>
      <c r="S1256" s="29"/>
      <c r="T1256" s="25"/>
      <c r="U1256" s="25"/>
      <c r="V1256" s="25"/>
      <c r="W1256" s="25"/>
      <c r="X1256" s="25"/>
      <c r="Y1256" s="451">
        <v>17919</v>
      </c>
      <c r="Z1256" s="23">
        <f t="shared" si="163"/>
        <v>21144.42</v>
      </c>
      <c r="AA1256" s="36" t="s">
        <v>132</v>
      </c>
      <c r="AB1256" s="36" t="s">
        <v>132</v>
      </c>
      <c r="AC1256" s="451">
        <v>17919</v>
      </c>
      <c r="AD1256" s="23">
        <f t="shared" si="164"/>
        <v>21144.42</v>
      </c>
      <c r="AE1256" s="38" t="s">
        <v>169</v>
      </c>
      <c r="AF1256" s="38" t="s">
        <v>83</v>
      </c>
      <c r="AG1256" s="38" t="s">
        <v>83</v>
      </c>
      <c r="AH1256" s="38" t="s">
        <v>90</v>
      </c>
      <c r="AI1256" s="52">
        <v>41650</v>
      </c>
      <c r="AJ1256" s="97">
        <v>41710</v>
      </c>
      <c r="AK1256" s="60"/>
      <c r="AL1256" s="60"/>
      <c r="AM1256" s="60" t="s">
        <v>3351</v>
      </c>
      <c r="AN1256" s="60" t="s">
        <v>171</v>
      </c>
      <c r="AO1256" s="11">
        <v>539</v>
      </c>
      <c r="AP1256" s="38" t="s">
        <v>3353</v>
      </c>
      <c r="AQ1256" s="25">
        <v>60</v>
      </c>
      <c r="AR1256" s="38">
        <v>46</v>
      </c>
      <c r="AS1256" s="29" t="s">
        <v>3354</v>
      </c>
      <c r="AT1256" s="52">
        <v>41730</v>
      </c>
      <c r="AU1256" s="52">
        <v>41730</v>
      </c>
      <c r="AV1256" s="52">
        <v>42094</v>
      </c>
      <c r="AW1256" s="38" t="s">
        <v>99</v>
      </c>
      <c r="AX1256" s="452" t="s">
        <v>5862</v>
      </c>
      <c r="AY1256" s="135"/>
      <c r="AZ1256" s="60"/>
      <c r="BA1256" s="38"/>
      <c r="BB1256" s="38"/>
      <c r="BC1256" s="60"/>
      <c r="BD1256" s="60"/>
      <c r="BE1256" s="331"/>
      <c r="BF1256" s="331"/>
      <c r="BG1256" s="331"/>
      <c r="BH1256" s="331"/>
      <c r="BI1256" s="331"/>
      <c r="BJ1256" s="331"/>
      <c r="BK1256" s="378"/>
    </row>
    <row r="1257" spans="1:63" s="606" customFormat="1" ht="90" customHeight="1">
      <c r="A1257" s="25">
        <v>3</v>
      </c>
      <c r="B1257" s="38" t="s">
        <v>4674</v>
      </c>
      <c r="C1257" s="72" t="s">
        <v>83</v>
      </c>
      <c r="D1257" s="72" t="s">
        <v>3423</v>
      </c>
      <c r="E1257" s="72" t="s">
        <v>250</v>
      </c>
      <c r="F1257" s="60" t="s">
        <v>3439</v>
      </c>
      <c r="G1257" s="60">
        <v>2911160</v>
      </c>
      <c r="H1257" s="11">
        <v>825953</v>
      </c>
      <c r="I1257" s="16" t="s">
        <v>3440</v>
      </c>
      <c r="J1257" s="16" t="s">
        <v>4756</v>
      </c>
      <c r="K1257" s="60" t="s">
        <v>4717</v>
      </c>
      <c r="L1257" s="16" t="s">
        <v>180</v>
      </c>
      <c r="M1257" s="16">
        <v>2010201</v>
      </c>
      <c r="N1257" s="16" t="s">
        <v>768</v>
      </c>
      <c r="O1257" s="16" t="s">
        <v>271</v>
      </c>
      <c r="P1257" s="23">
        <v>40000</v>
      </c>
      <c r="Q1257" s="23">
        <f t="shared" si="162"/>
        <v>47200</v>
      </c>
      <c r="R1257" s="23" t="s">
        <v>1759</v>
      </c>
      <c r="S1257" s="29"/>
      <c r="T1257" s="25"/>
      <c r="U1257" s="25"/>
      <c r="V1257" s="25"/>
      <c r="W1257" s="25"/>
      <c r="X1257" s="25"/>
      <c r="Y1257" s="23">
        <v>40000</v>
      </c>
      <c r="Z1257" s="23">
        <f t="shared" si="163"/>
        <v>47200</v>
      </c>
      <c r="AA1257" s="36" t="s">
        <v>132</v>
      </c>
      <c r="AB1257" s="36" t="s">
        <v>132</v>
      </c>
      <c r="AC1257" s="23">
        <v>40000</v>
      </c>
      <c r="AD1257" s="23">
        <f t="shared" si="164"/>
        <v>47200</v>
      </c>
      <c r="AE1257" s="38" t="s">
        <v>169</v>
      </c>
      <c r="AF1257" s="38" t="s">
        <v>83</v>
      </c>
      <c r="AG1257" s="38" t="s">
        <v>83</v>
      </c>
      <c r="AH1257" s="38" t="s">
        <v>90</v>
      </c>
      <c r="AI1257" s="52">
        <v>41631</v>
      </c>
      <c r="AJ1257" s="51">
        <v>41691</v>
      </c>
      <c r="AK1257" s="60"/>
      <c r="AL1257" s="60"/>
      <c r="AM1257" s="60" t="s">
        <v>3440</v>
      </c>
      <c r="AN1257" s="60" t="s">
        <v>171</v>
      </c>
      <c r="AO1257" s="11">
        <v>796</v>
      </c>
      <c r="AP1257" s="38" t="s">
        <v>256</v>
      </c>
      <c r="AQ1257" s="25">
        <v>1</v>
      </c>
      <c r="AR1257" s="38">
        <v>46460</v>
      </c>
      <c r="AS1257" s="29" t="s">
        <v>258</v>
      </c>
      <c r="AT1257" s="97">
        <v>41699</v>
      </c>
      <c r="AU1257" s="97">
        <v>41699</v>
      </c>
      <c r="AV1257" s="52">
        <v>42369</v>
      </c>
      <c r="AW1257" s="38" t="s">
        <v>99</v>
      </c>
      <c r="AX1257" s="60"/>
      <c r="AY1257" s="135"/>
      <c r="AZ1257" s="60"/>
      <c r="BA1257" s="38"/>
      <c r="BB1257" s="38"/>
      <c r="BC1257" s="60"/>
      <c r="BD1257" s="60"/>
      <c r="BE1257" s="331"/>
      <c r="BF1257" s="331"/>
      <c r="BG1257" s="331"/>
      <c r="BH1257" s="331"/>
      <c r="BI1257" s="331"/>
      <c r="BJ1257" s="331"/>
      <c r="BK1257" s="378"/>
    </row>
    <row r="1258" spans="1:63" s="606" customFormat="1" ht="89.25" customHeight="1">
      <c r="A1258" s="25">
        <v>3</v>
      </c>
      <c r="B1258" s="38" t="s">
        <v>4675</v>
      </c>
      <c r="C1258" s="72" t="s">
        <v>83</v>
      </c>
      <c r="D1258" s="72" t="s">
        <v>3423</v>
      </c>
      <c r="E1258" s="72" t="s">
        <v>250</v>
      </c>
      <c r="F1258" s="60" t="s">
        <v>3476</v>
      </c>
      <c r="G1258" s="60">
        <v>2911160</v>
      </c>
      <c r="H1258" s="11">
        <v>825954</v>
      </c>
      <c r="I1258" s="16" t="s">
        <v>3477</v>
      </c>
      <c r="J1258" s="16" t="s">
        <v>3444</v>
      </c>
      <c r="K1258" s="60" t="s">
        <v>4717</v>
      </c>
      <c r="L1258" s="16" t="s">
        <v>180</v>
      </c>
      <c r="M1258" s="134">
        <v>2010201</v>
      </c>
      <c r="N1258" s="16" t="s">
        <v>768</v>
      </c>
      <c r="O1258" s="16" t="s">
        <v>271</v>
      </c>
      <c r="P1258" s="23">
        <v>69000</v>
      </c>
      <c r="Q1258" s="23">
        <f t="shared" si="162"/>
        <v>81420</v>
      </c>
      <c r="R1258" s="23" t="s">
        <v>1759</v>
      </c>
      <c r="S1258" s="29"/>
      <c r="T1258" s="25"/>
      <c r="U1258" s="25"/>
      <c r="V1258" s="25"/>
      <c r="W1258" s="25"/>
      <c r="X1258" s="25"/>
      <c r="Y1258" s="23">
        <v>69000</v>
      </c>
      <c r="Z1258" s="23">
        <f t="shared" si="163"/>
        <v>81420</v>
      </c>
      <c r="AA1258" s="36" t="s">
        <v>132</v>
      </c>
      <c r="AB1258" s="36" t="s">
        <v>132</v>
      </c>
      <c r="AC1258" s="23">
        <v>69000</v>
      </c>
      <c r="AD1258" s="23">
        <f t="shared" si="164"/>
        <v>81420</v>
      </c>
      <c r="AE1258" s="38" t="s">
        <v>169</v>
      </c>
      <c r="AF1258" s="38" t="s">
        <v>83</v>
      </c>
      <c r="AG1258" s="38" t="s">
        <v>83</v>
      </c>
      <c r="AH1258" s="38" t="s">
        <v>90</v>
      </c>
      <c r="AI1258" s="52">
        <v>41631</v>
      </c>
      <c r="AJ1258" s="51">
        <v>41691</v>
      </c>
      <c r="AK1258" s="60"/>
      <c r="AL1258" s="60"/>
      <c r="AM1258" s="60" t="s">
        <v>3477</v>
      </c>
      <c r="AN1258" s="60" t="s">
        <v>171</v>
      </c>
      <c r="AO1258" s="11">
        <v>796</v>
      </c>
      <c r="AP1258" s="38" t="s">
        <v>256</v>
      </c>
      <c r="AQ1258" s="25">
        <v>1</v>
      </c>
      <c r="AR1258" s="38">
        <v>46460</v>
      </c>
      <c r="AS1258" s="29" t="s">
        <v>258</v>
      </c>
      <c r="AT1258" s="97">
        <v>41699</v>
      </c>
      <c r="AU1258" s="97">
        <v>41699</v>
      </c>
      <c r="AV1258" s="52">
        <v>42369</v>
      </c>
      <c r="AW1258" s="38" t="s">
        <v>99</v>
      </c>
      <c r="AX1258" s="60"/>
      <c r="AY1258" s="135"/>
      <c r="AZ1258" s="60"/>
      <c r="BA1258" s="38"/>
      <c r="BB1258" s="38"/>
      <c r="BC1258" s="60"/>
      <c r="BD1258" s="60"/>
      <c r="BE1258" s="331"/>
      <c r="BF1258" s="331"/>
      <c r="BG1258" s="331"/>
      <c r="BH1258" s="331"/>
      <c r="BI1258" s="331"/>
      <c r="BJ1258" s="331"/>
      <c r="BK1258" s="378"/>
    </row>
    <row r="1259" spans="1:63" s="606" customFormat="1" ht="92.25" customHeight="1">
      <c r="A1259" s="25">
        <v>3</v>
      </c>
      <c r="B1259" s="38" t="s">
        <v>4676</v>
      </c>
      <c r="C1259" s="72" t="s">
        <v>83</v>
      </c>
      <c r="D1259" s="72" t="s">
        <v>3423</v>
      </c>
      <c r="E1259" s="72" t="s">
        <v>250</v>
      </c>
      <c r="F1259" s="60" t="s">
        <v>3489</v>
      </c>
      <c r="G1259" s="60">
        <v>2911160</v>
      </c>
      <c r="H1259" s="11">
        <v>825955</v>
      </c>
      <c r="I1259" s="16" t="s">
        <v>3490</v>
      </c>
      <c r="J1259" s="16" t="s">
        <v>979</v>
      </c>
      <c r="K1259" s="60" t="s">
        <v>4717</v>
      </c>
      <c r="L1259" s="16" t="s">
        <v>180</v>
      </c>
      <c r="M1259" s="134" t="s">
        <v>4758</v>
      </c>
      <c r="N1259" s="16" t="s">
        <v>768</v>
      </c>
      <c r="O1259" s="16" t="s">
        <v>271</v>
      </c>
      <c r="P1259" s="23">
        <v>50000</v>
      </c>
      <c r="Q1259" s="23">
        <f t="shared" si="162"/>
        <v>59000</v>
      </c>
      <c r="R1259" s="23" t="s">
        <v>1759</v>
      </c>
      <c r="S1259" s="29"/>
      <c r="T1259" s="25"/>
      <c r="U1259" s="25"/>
      <c r="V1259" s="25"/>
      <c r="W1259" s="25"/>
      <c r="X1259" s="25"/>
      <c r="Y1259" s="23">
        <v>50000</v>
      </c>
      <c r="Z1259" s="23">
        <f t="shared" si="163"/>
        <v>59000</v>
      </c>
      <c r="AA1259" s="36" t="s">
        <v>132</v>
      </c>
      <c r="AB1259" s="36" t="s">
        <v>132</v>
      </c>
      <c r="AC1259" s="23">
        <v>50000</v>
      </c>
      <c r="AD1259" s="23">
        <f t="shared" si="164"/>
        <v>59000</v>
      </c>
      <c r="AE1259" s="38" t="s">
        <v>169</v>
      </c>
      <c r="AF1259" s="38" t="s">
        <v>83</v>
      </c>
      <c r="AG1259" s="38" t="s">
        <v>83</v>
      </c>
      <c r="AH1259" s="38" t="s">
        <v>90</v>
      </c>
      <c r="AI1259" s="52">
        <v>41631</v>
      </c>
      <c r="AJ1259" s="51">
        <v>41691</v>
      </c>
      <c r="AK1259" s="60"/>
      <c r="AL1259" s="60"/>
      <c r="AM1259" s="60" t="s">
        <v>3490</v>
      </c>
      <c r="AN1259" s="60" t="s">
        <v>171</v>
      </c>
      <c r="AO1259" s="11">
        <v>796</v>
      </c>
      <c r="AP1259" s="38" t="s">
        <v>256</v>
      </c>
      <c r="AQ1259" s="25">
        <v>1</v>
      </c>
      <c r="AR1259" s="38">
        <v>46460</v>
      </c>
      <c r="AS1259" s="29" t="s">
        <v>258</v>
      </c>
      <c r="AT1259" s="97">
        <v>41699</v>
      </c>
      <c r="AU1259" s="97">
        <v>41699</v>
      </c>
      <c r="AV1259" s="52">
        <v>42369</v>
      </c>
      <c r="AW1259" s="38" t="s">
        <v>99</v>
      </c>
      <c r="AX1259" s="60"/>
      <c r="AY1259" s="135"/>
      <c r="AZ1259" s="60"/>
      <c r="BA1259" s="38"/>
      <c r="BB1259" s="38"/>
      <c r="BC1259" s="60"/>
      <c r="BD1259" s="60"/>
      <c r="BE1259" s="331"/>
      <c r="BF1259" s="331"/>
      <c r="BG1259" s="331"/>
      <c r="BH1259" s="331"/>
      <c r="BI1259" s="331"/>
      <c r="BJ1259" s="331"/>
      <c r="BK1259" s="378"/>
    </row>
    <row r="1260" spans="1:63" s="287" customFormat="1" ht="75">
      <c r="A1260" s="127">
        <v>3</v>
      </c>
      <c r="B1260" s="125" t="s">
        <v>5310</v>
      </c>
      <c r="C1260" s="127" t="s">
        <v>83</v>
      </c>
      <c r="D1260" s="127" t="s">
        <v>160</v>
      </c>
      <c r="E1260" s="127" t="s">
        <v>250</v>
      </c>
      <c r="F1260" s="127" t="s">
        <v>957</v>
      </c>
      <c r="G1260" s="127">
        <v>4000000</v>
      </c>
      <c r="H1260" s="126">
        <v>626696</v>
      </c>
      <c r="I1260" s="298" t="s">
        <v>5311</v>
      </c>
      <c r="J1260" s="226" t="s">
        <v>964</v>
      </c>
      <c r="K1260" s="366" t="s">
        <v>4717</v>
      </c>
      <c r="L1260" s="137" t="s">
        <v>180</v>
      </c>
      <c r="M1260" s="370" t="s">
        <v>1249</v>
      </c>
      <c r="N1260" s="137" t="s">
        <v>5903</v>
      </c>
      <c r="O1260" s="137" t="s">
        <v>960</v>
      </c>
      <c r="P1260" s="156">
        <v>237780.68</v>
      </c>
      <c r="Q1260" s="156">
        <f t="shared" si="162"/>
        <v>280581.20239999995</v>
      </c>
      <c r="R1260" s="227">
        <v>237780.68</v>
      </c>
      <c r="S1260" s="230" t="s">
        <v>974</v>
      </c>
      <c r="T1260" s="172">
        <v>1.0840000000000001</v>
      </c>
      <c r="U1260" s="172">
        <v>1.0509999999999999</v>
      </c>
      <c r="V1260" s="172">
        <v>1.0669999999999999</v>
      </c>
      <c r="W1260" s="172">
        <v>1.0529999999999999</v>
      </c>
      <c r="X1260" s="172">
        <v>0.9</v>
      </c>
      <c r="Y1260" s="156">
        <v>237780.68</v>
      </c>
      <c r="Z1260" s="228">
        <f t="shared" si="163"/>
        <v>280581.20239999995</v>
      </c>
      <c r="AA1260" s="225" t="s">
        <v>132</v>
      </c>
      <c r="AB1260" s="225" t="s">
        <v>132</v>
      </c>
      <c r="AC1260" s="156">
        <v>237780.68</v>
      </c>
      <c r="AD1260" s="228">
        <f t="shared" si="164"/>
        <v>280581.20239999995</v>
      </c>
      <c r="AE1260" s="155" t="s">
        <v>169</v>
      </c>
      <c r="AF1260" s="127" t="s">
        <v>83</v>
      </c>
      <c r="AG1260" s="127" t="s">
        <v>83</v>
      </c>
      <c r="AH1260" s="127" t="s">
        <v>545</v>
      </c>
      <c r="AI1260" s="128">
        <v>41654</v>
      </c>
      <c r="AJ1260" s="128">
        <v>41729</v>
      </c>
      <c r="AK1260" s="366"/>
      <c r="AL1260" s="366"/>
      <c r="AM1260" s="226" t="s">
        <v>964</v>
      </c>
      <c r="AN1260" s="366" t="s">
        <v>171</v>
      </c>
      <c r="AO1260" s="133">
        <v>796</v>
      </c>
      <c r="AP1260" s="127" t="s">
        <v>419</v>
      </c>
      <c r="AQ1260" s="127">
        <v>1</v>
      </c>
      <c r="AR1260" s="127">
        <v>46434</v>
      </c>
      <c r="AS1260" s="366" t="s">
        <v>5312</v>
      </c>
      <c r="AT1260" s="128">
        <v>41749</v>
      </c>
      <c r="AU1260" s="128">
        <v>41749</v>
      </c>
      <c r="AV1260" s="180">
        <v>42004</v>
      </c>
      <c r="AW1260" s="127">
        <v>2014</v>
      </c>
      <c r="AX1260" s="366"/>
      <c r="AY1260" s="129"/>
      <c r="AZ1260" s="366"/>
      <c r="BA1260" s="127"/>
      <c r="BB1260" s="127"/>
      <c r="BC1260" s="366"/>
      <c r="BD1260" s="366"/>
      <c r="BE1260" s="367"/>
      <c r="BF1260" s="367"/>
      <c r="BG1260" s="367"/>
      <c r="BH1260" s="367"/>
      <c r="BI1260" s="367"/>
      <c r="BJ1260" s="367"/>
      <c r="BK1260" s="367"/>
    </row>
    <row r="1261" spans="1:63" s="605" customFormat="1" ht="75">
      <c r="A1261" s="389">
        <v>3</v>
      </c>
      <c r="B1261" s="185" t="s">
        <v>1290</v>
      </c>
      <c r="C1261" s="185" t="s">
        <v>5313</v>
      </c>
      <c r="D1261" s="185" t="s">
        <v>3357</v>
      </c>
      <c r="E1261" s="42" t="s">
        <v>250</v>
      </c>
      <c r="F1261" s="145" t="s">
        <v>816</v>
      </c>
      <c r="G1261" s="145">
        <v>9430000</v>
      </c>
      <c r="H1261" s="390">
        <v>641332</v>
      </c>
      <c r="I1261" s="391" t="s">
        <v>1291</v>
      </c>
      <c r="J1261" s="391" t="s">
        <v>1292</v>
      </c>
      <c r="K1261" s="195" t="s">
        <v>4717</v>
      </c>
      <c r="L1261" s="13" t="s">
        <v>180</v>
      </c>
      <c r="M1261" s="189" t="s">
        <v>1249</v>
      </c>
      <c r="N1261" s="146" t="s">
        <v>768</v>
      </c>
      <c r="O1261" s="146" t="s">
        <v>3312</v>
      </c>
      <c r="P1261" s="105">
        <v>55336.277759999997</v>
      </c>
      <c r="Q1261" s="105">
        <f t="shared" si="162"/>
        <v>65296.807756799994</v>
      </c>
      <c r="R1261" s="105">
        <v>50436.71</v>
      </c>
      <c r="S1261" s="201" t="s">
        <v>974</v>
      </c>
      <c r="T1261" s="163">
        <v>1.0840000000000001</v>
      </c>
      <c r="U1261" s="163">
        <v>1.0509999999999999</v>
      </c>
      <c r="V1261" s="163">
        <v>1.0669999999999999</v>
      </c>
      <c r="W1261" s="163">
        <v>1.0529999999999999</v>
      </c>
      <c r="X1261" s="164">
        <v>0.9</v>
      </c>
      <c r="Y1261" s="105">
        <v>58105.072573734629</v>
      </c>
      <c r="Z1261" s="105">
        <f t="shared" si="163"/>
        <v>68563.985637006859</v>
      </c>
      <c r="AA1261" s="114" t="s">
        <v>132</v>
      </c>
      <c r="AB1261" s="114" t="s">
        <v>132</v>
      </c>
      <c r="AC1261" s="105">
        <v>55336.277759999997</v>
      </c>
      <c r="AD1261" s="105">
        <f t="shared" si="164"/>
        <v>65296.807756799994</v>
      </c>
      <c r="AE1261" s="42" t="s">
        <v>169</v>
      </c>
      <c r="AF1261" s="42" t="s">
        <v>83</v>
      </c>
      <c r="AG1261" s="392" t="s">
        <v>83</v>
      </c>
      <c r="AH1261" s="392" t="s">
        <v>90</v>
      </c>
      <c r="AI1261" s="402">
        <v>41625</v>
      </c>
      <c r="AJ1261" s="299">
        <v>41685</v>
      </c>
      <c r="AK1261" s="147"/>
      <c r="AL1261" s="147"/>
      <c r="AM1261" s="147" t="s">
        <v>1291</v>
      </c>
      <c r="AN1261" s="185" t="s">
        <v>171</v>
      </c>
      <c r="AO1261" s="166">
        <v>796</v>
      </c>
      <c r="AP1261" s="149" t="s">
        <v>419</v>
      </c>
      <c r="AQ1261" s="150">
        <v>40</v>
      </c>
      <c r="AR1261" s="151" t="s">
        <v>1176</v>
      </c>
      <c r="AS1261" s="146" t="s">
        <v>547</v>
      </c>
      <c r="AT1261" s="165">
        <v>41705</v>
      </c>
      <c r="AU1261" s="50">
        <v>41705</v>
      </c>
      <c r="AV1261" s="50">
        <v>42004</v>
      </c>
      <c r="AW1261" s="149">
        <v>2014</v>
      </c>
      <c r="AX1261" s="147"/>
      <c r="AY1261" s="117"/>
      <c r="AZ1261" s="147"/>
      <c r="BA1261" s="149"/>
      <c r="BB1261" s="149"/>
      <c r="BC1261" s="147"/>
      <c r="BD1261" s="147"/>
      <c r="BE1261" s="233"/>
      <c r="BF1261" s="233"/>
      <c r="BG1261" s="233"/>
      <c r="BH1261" s="233"/>
      <c r="BI1261" s="233"/>
      <c r="BJ1261" s="393"/>
      <c r="BK1261" s="147"/>
    </row>
    <row r="1262" spans="1:63" s="605" customFormat="1" ht="75">
      <c r="A1262" s="389">
        <v>3</v>
      </c>
      <c r="B1262" s="185" t="s">
        <v>5314</v>
      </c>
      <c r="C1262" s="185" t="s">
        <v>5313</v>
      </c>
      <c r="D1262" s="185" t="s">
        <v>3357</v>
      </c>
      <c r="E1262" s="42" t="s">
        <v>250</v>
      </c>
      <c r="F1262" s="145" t="s">
        <v>816</v>
      </c>
      <c r="G1262" s="145">
        <v>9430000</v>
      </c>
      <c r="H1262" s="390">
        <v>641390</v>
      </c>
      <c r="I1262" s="391" t="s">
        <v>5315</v>
      </c>
      <c r="J1262" s="391" t="s">
        <v>1292</v>
      </c>
      <c r="K1262" s="195" t="s">
        <v>4717</v>
      </c>
      <c r="L1262" s="13" t="s">
        <v>180</v>
      </c>
      <c r="M1262" s="189" t="s">
        <v>1249</v>
      </c>
      <c r="N1262" s="146" t="s">
        <v>768</v>
      </c>
      <c r="O1262" s="146" t="s">
        <v>3312</v>
      </c>
      <c r="P1262" s="105">
        <v>41828.127999999997</v>
      </c>
      <c r="Q1262" s="105">
        <f t="shared" si="162"/>
        <v>49357.191039999991</v>
      </c>
      <c r="R1262" s="105">
        <v>41828.127999999997</v>
      </c>
      <c r="S1262" s="201" t="s">
        <v>974</v>
      </c>
      <c r="T1262" s="163">
        <v>1.0840000000000001</v>
      </c>
      <c r="U1262" s="163">
        <v>1.0509999999999999</v>
      </c>
      <c r="V1262" s="163">
        <v>1.0669999999999999</v>
      </c>
      <c r="W1262" s="163">
        <v>1.0529999999999999</v>
      </c>
      <c r="X1262" s="164">
        <v>0.9</v>
      </c>
      <c r="Y1262" s="105">
        <v>41828.127999999997</v>
      </c>
      <c r="Z1262" s="105">
        <f t="shared" si="163"/>
        <v>49357.191039999991</v>
      </c>
      <c r="AA1262" s="114" t="s">
        <v>132</v>
      </c>
      <c r="AB1262" s="114" t="s">
        <v>132</v>
      </c>
      <c r="AC1262" s="105">
        <v>41828.127999999997</v>
      </c>
      <c r="AD1262" s="105">
        <f t="shared" si="164"/>
        <v>49357.191039999991</v>
      </c>
      <c r="AE1262" s="42" t="s">
        <v>169</v>
      </c>
      <c r="AF1262" s="42" t="s">
        <v>83</v>
      </c>
      <c r="AG1262" s="392" t="s">
        <v>83</v>
      </c>
      <c r="AH1262" s="392" t="s">
        <v>90</v>
      </c>
      <c r="AI1262" s="402">
        <v>41625</v>
      </c>
      <c r="AJ1262" s="299">
        <v>41685</v>
      </c>
      <c r="AK1262" s="147"/>
      <c r="AL1262" s="147"/>
      <c r="AM1262" s="147" t="s">
        <v>1291</v>
      </c>
      <c r="AN1262" s="185" t="s">
        <v>171</v>
      </c>
      <c r="AO1262" s="166">
        <v>796</v>
      </c>
      <c r="AP1262" s="149" t="s">
        <v>419</v>
      </c>
      <c r="AQ1262" s="150">
        <v>40</v>
      </c>
      <c r="AR1262" s="151" t="s">
        <v>1176</v>
      </c>
      <c r="AS1262" s="146" t="s">
        <v>547</v>
      </c>
      <c r="AT1262" s="165">
        <v>41705</v>
      </c>
      <c r="AU1262" s="50">
        <v>41705</v>
      </c>
      <c r="AV1262" s="50">
        <v>42004</v>
      </c>
      <c r="AW1262" s="149">
        <v>2014</v>
      </c>
      <c r="AX1262" s="147"/>
      <c r="AY1262" s="117"/>
      <c r="AZ1262" s="147"/>
      <c r="BA1262" s="149"/>
      <c r="BB1262" s="149"/>
      <c r="BC1262" s="147"/>
      <c r="BD1262" s="147"/>
      <c r="BE1262" s="233"/>
      <c r="BF1262" s="233"/>
      <c r="BG1262" s="233"/>
      <c r="BH1262" s="233"/>
      <c r="BI1262" s="233"/>
      <c r="BJ1262" s="393"/>
      <c r="BK1262" s="147"/>
    </row>
    <row r="1263" spans="1:63" s="268" customFormat="1" ht="69.95" customHeight="1">
      <c r="A1263" s="69">
        <v>3</v>
      </c>
      <c r="B1263" s="42" t="s">
        <v>3071</v>
      </c>
      <c r="C1263" s="185" t="s">
        <v>5313</v>
      </c>
      <c r="D1263" s="42" t="s">
        <v>3072</v>
      </c>
      <c r="E1263" s="42" t="s">
        <v>250</v>
      </c>
      <c r="F1263" s="42" t="s">
        <v>1378</v>
      </c>
      <c r="G1263" s="42">
        <v>4010412</v>
      </c>
      <c r="H1263" s="143">
        <v>842567</v>
      </c>
      <c r="I1263" s="13" t="s">
        <v>3073</v>
      </c>
      <c r="J1263" s="120" t="s">
        <v>1292</v>
      </c>
      <c r="K1263" s="57" t="s">
        <v>4717</v>
      </c>
      <c r="L1263" s="13" t="s">
        <v>180</v>
      </c>
      <c r="M1263" s="187" t="s">
        <v>1249</v>
      </c>
      <c r="N1263" s="113" t="s">
        <v>768</v>
      </c>
      <c r="O1263" s="13" t="s">
        <v>4135</v>
      </c>
      <c r="P1263" s="103">
        <v>38949.409</v>
      </c>
      <c r="Q1263" s="373">
        <f t="shared" si="162"/>
        <v>45960.302619999995</v>
      </c>
      <c r="R1263" s="21">
        <v>35010.71</v>
      </c>
      <c r="S1263" s="201" t="s">
        <v>1373</v>
      </c>
      <c r="T1263" s="69">
        <v>1.0840000000000001</v>
      </c>
      <c r="U1263" s="69">
        <v>1.0509999999999999</v>
      </c>
      <c r="V1263" s="69">
        <v>1.0669999999999999</v>
      </c>
      <c r="W1263" s="69">
        <v>1.0529999999999999</v>
      </c>
      <c r="X1263" s="69">
        <v>0.9</v>
      </c>
      <c r="Y1263" s="21">
        <v>40332.33</v>
      </c>
      <c r="Z1263" s="21">
        <f t="shared" si="163"/>
        <v>47592.149400000002</v>
      </c>
      <c r="AA1263" s="114" t="s">
        <v>132</v>
      </c>
      <c r="AB1263" s="114" t="s">
        <v>132</v>
      </c>
      <c r="AC1263" s="121">
        <v>38949.409</v>
      </c>
      <c r="AD1263" s="374">
        <f t="shared" si="164"/>
        <v>45960.302619999995</v>
      </c>
      <c r="AE1263" s="42" t="s">
        <v>169</v>
      </c>
      <c r="AF1263" s="42" t="s">
        <v>83</v>
      </c>
      <c r="AG1263" s="140" t="s">
        <v>83</v>
      </c>
      <c r="AH1263" s="122" t="s">
        <v>90</v>
      </c>
      <c r="AI1263" s="50">
        <v>41625</v>
      </c>
      <c r="AJ1263" s="115">
        <v>41685</v>
      </c>
      <c r="AK1263" s="57"/>
      <c r="AL1263" s="57"/>
      <c r="AM1263" s="123" t="s">
        <v>3074</v>
      </c>
      <c r="AN1263" s="123" t="s">
        <v>3052</v>
      </c>
      <c r="AO1263" s="70">
        <v>796</v>
      </c>
      <c r="AP1263" s="42" t="s">
        <v>419</v>
      </c>
      <c r="AQ1263" s="124" t="s">
        <v>3075</v>
      </c>
      <c r="AR1263" s="42" t="s">
        <v>3053</v>
      </c>
      <c r="AS1263" s="13" t="s">
        <v>3054</v>
      </c>
      <c r="AT1263" s="50">
        <v>41705</v>
      </c>
      <c r="AU1263" s="50">
        <v>41705</v>
      </c>
      <c r="AV1263" s="50">
        <v>42004</v>
      </c>
      <c r="AW1263" s="42">
        <v>2014</v>
      </c>
      <c r="AX1263" s="57"/>
      <c r="AY1263" s="117"/>
      <c r="AZ1263" s="57"/>
      <c r="BA1263" s="42" t="s">
        <v>132</v>
      </c>
      <c r="BB1263" s="42" t="s">
        <v>132</v>
      </c>
      <c r="BC1263" s="57" t="s">
        <v>132</v>
      </c>
      <c r="BD1263" s="57" t="s">
        <v>132</v>
      </c>
      <c r="BE1263" s="375" t="s">
        <v>132</v>
      </c>
      <c r="BF1263" s="375" t="s">
        <v>132</v>
      </c>
      <c r="BG1263" s="375" t="s">
        <v>132</v>
      </c>
      <c r="BH1263" s="375" t="s">
        <v>132</v>
      </c>
      <c r="BI1263" s="375" t="s">
        <v>132</v>
      </c>
      <c r="BJ1263" s="375" t="s">
        <v>132</v>
      </c>
      <c r="BK1263" s="368"/>
    </row>
    <row r="1264" spans="1:63" s="268" customFormat="1" ht="69.95" customHeight="1">
      <c r="A1264" s="69">
        <v>3</v>
      </c>
      <c r="B1264" s="42" t="s">
        <v>3076</v>
      </c>
      <c r="C1264" s="185" t="s">
        <v>5313</v>
      </c>
      <c r="D1264" s="42" t="s">
        <v>3056</v>
      </c>
      <c r="E1264" s="42" t="s">
        <v>250</v>
      </c>
      <c r="F1264" s="42" t="s">
        <v>1378</v>
      </c>
      <c r="G1264" s="42">
        <v>4010412</v>
      </c>
      <c r="H1264" s="143">
        <v>842569</v>
      </c>
      <c r="I1264" s="13" t="s">
        <v>3077</v>
      </c>
      <c r="J1264" s="120" t="s">
        <v>1292</v>
      </c>
      <c r="K1264" s="57" t="s">
        <v>4717</v>
      </c>
      <c r="L1264" s="13" t="s">
        <v>180</v>
      </c>
      <c r="M1264" s="187" t="s">
        <v>1249</v>
      </c>
      <c r="N1264" s="113" t="s">
        <v>768</v>
      </c>
      <c r="O1264" s="13" t="s">
        <v>4134</v>
      </c>
      <c r="P1264" s="103">
        <v>2024.66</v>
      </c>
      <c r="Q1264" s="373">
        <f t="shared" si="162"/>
        <v>2389.0987999999998</v>
      </c>
      <c r="R1264" s="21">
        <v>1626.35</v>
      </c>
      <c r="S1264" s="201" t="s">
        <v>1373</v>
      </c>
      <c r="T1264" s="69">
        <v>1.0840000000000001</v>
      </c>
      <c r="U1264" s="69">
        <v>1.0509999999999999</v>
      </c>
      <c r="V1264" s="69">
        <v>1.0669999999999999</v>
      </c>
      <c r="W1264" s="69">
        <v>1.0529999999999999</v>
      </c>
      <c r="X1264" s="69">
        <v>0.9</v>
      </c>
      <c r="Y1264" s="21">
        <v>2040.1</v>
      </c>
      <c r="Z1264" s="21">
        <f t="shared" si="163"/>
        <v>2407.3179999999998</v>
      </c>
      <c r="AA1264" s="114" t="s">
        <v>132</v>
      </c>
      <c r="AB1264" s="114" t="s">
        <v>132</v>
      </c>
      <c r="AC1264" s="121">
        <v>2024.66</v>
      </c>
      <c r="AD1264" s="374">
        <f t="shared" si="164"/>
        <v>2389.0987999999998</v>
      </c>
      <c r="AE1264" s="42" t="s">
        <v>173</v>
      </c>
      <c r="AF1264" s="42" t="s">
        <v>83</v>
      </c>
      <c r="AG1264" s="140" t="s">
        <v>83</v>
      </c>
      <c r="AH1264" s="122" t="s">
        <v>90</v>
      </c>
      <c r="AI1264" s="50">
        <v>41625</v>
      </c>
      <c r="AJ1264" s="115">
        <v>41670</v>
      </c>
      <c r="AK1264" s="57"/>
      <c r="AL1264" s="57"/>
      <c r="AM1264" s="123" t="s">
        <v>3078</v>
      </c>
      <c r="AN1264" s="123" t="s">
        <v>3052</v>
      </c>
      <c r="AO1264" s="70">
        <v>796</v>
      </c>
      <c r="AP1264" s="42" t="s">
        <v>419</v>
      </c>
      <c r="AQ1264" s="300">
        <v>18</v>
      </c>
      <c r="AR1264" s="42" t="s">
        <v>3053</v>
      </c>
      <c r="AS1264" s="13" t="s">
        <v>3054</v>
      </c>
      <c r="AT1264" s="50">
        <v>41690</v>
      </c>
      <c r="AU1264" s="50">
        <v>41690</v>
      </c>
      <c r="AV1264" s="50">
        <v>42004</v>
      </c>
      <c r="AW1264" s="42">
        <v>2014</v>
      </c>
      <c r="AX1264" s="57"/>
      <c r="AY1264" s="117"/>
      <c r="AZ1264" s="57"/>
      <c r="BA1264" s="42" t="s">
        <v>132</v>
      </c>
      <c r="BB1264" s="42" t="s">
        <v>132</v>
      </c>
      <c r="BC1264" s="57" t="s">
        <v>132</v>
      </c>
      <c r="BD1264" s="57" t="s">
        <v>132</v>
      </c>
      <c r="BE1264" s="375" t="s">
        <v>132</v>
      </c>
      <c r="BF1264" s="375" t="s">
        <v>132</v>
      </c>
      <c r="BG1264" s="375" t="s">
        <v>132</v>
      </c>
      <c r="BH1264" s="375" t="s">
        <v>132</v>
      </c>
      <c r="BI1264" s="375" t="s">
        <v>132</v>
      </c>
      <c r="BJ1264" s="375" t="s">
        <v>132</v>
      </c>
      <c r="BK1264" s="368"/>
    </row>
    <row r="1265" spans="1:63" s="287" customFormat="1" ht="112.5">
      <c r="A1265" s="42">
        <v>3</v>
      </c>
      <c r="B1265" s="111" t="s">
        <v>980</v>
      </c>
      <c r="C1265" s="185" t="s">
        <v>5313</v>
      </c>
      <c r="D1265" s="42" t="s">
        <v>956</v>
      </c>
      <c r="E1265" s="42" t="s">
        <v>250</v>
      </c>
      <c r="F1265" s="42" t="s">
        <v>957</v>
      </c>
      <c r="G1265" s="42">
        <v>4000000</v>
      </c>
      <c r="H1265" s="112">
        <v>813069</v>
      </c>
      <c r="I1265" s="113" t="s">
        <v>981</v>
      </c>
      <c r="J1265" s="13" t="s">
        <v>964</v>
      </c>
      <c r="K1265" s="57" t="s">
        <v>4717</v>
      </c>
      <c r="L1265" s="13" t="s">
        <v>180</v>
      </c>
      <c r="M1265" s="182" t="s">
        <v>1249</v>
      </c>
      <c r="N1265" s="13" t="s">
        <v>959</v>
      </c>
      <c r="O1265" s="13" t="s">
        <v>960</v>
      </c>
      <c r="P1265" s="183">
        <v>34889.64</v>
      </c>
      <c r="Q1265" s="21">
        <f t="shared" si="162"/>
        <v>41169.775199999996</v>
      </c>
      <c r="R1265" s="21">
        <v>33823.870000000003</v>
      </c>
      <c r="S1265" s="201" t="s">
        <v>974</v>
      </c>
      <c r="T1265" s="42">
        <v>1.0840000000000001</v>
      </c>
      <c r="U1265" s="42">
        <v>1.0509999999999999</v>
      </c>
      <c r="V1265" s="42">
        <v>1.0669999999999999</v>
      </c>
      <c r="W1265" s="42">
        <v>1.0529999999999999</v>
      </c>
      <c r="X1265" s="42">
        <v>0.9</v>
      </c>
      <c r="Y1265" s="114">
        <v>38966.43</v>
      </c>
      <c r="Z1265" s="35">
        <f t="shared" si="163"/>
        <v>45980.3874</v>
      </c>
      <c r="AA1265" s="114" t="s">
        <v>132</v>
      </c>
      <c r="AB1265" s="114" t="s">
        <v>132</v>
      </c>
      <c r="AC1265" s="114">
        <v>34889.635999999999</v>
      </c>
      <c r="AD1265" s="35">
        <f t="shared" si="164"/>
        <v>41169.770479999999</v>
      </c>
      <c r="AE1265" s="42" t="s">
        <v>169</v>
      </c>
      <c r="AF1265" s="42" t="s">
        <v>83</v>
      </c>
      <c r="AG1265" s="42" t="s">
        <v>83</v>
      </c>
      <c r="AH1265" s="42" t="s">
        <v>545</v>
      </c>
      <c r="AI1265" s="115">
        <v>41650</v>
      </c>
      <c r="AJ1265" s="115">
        <v>41710</v>
      </c>
      <c r="AK1265" s="57"/>
      <c r="AL1265" s="57"/>
      <c r="AM1265" s="116" t="s">
        <v>981</v>
      </c>
      <c r="AN1265" s="57" t="s">
        <v>353</v>
      </c>
      <c r="AO1265" s="9">
        <v>796</v>
      </c>
      <c r="AP1265" s="42" t="s">
        <v>419</v>
      </c>
      <c r="AQ1265" s="42">
        <v>23</v>
      </c>
      <c r="AR1265" s="42">
        <v>46434</v>
      </c>
      <c r="AS1265" s="13" t="s">
        <v>961</v>
      </c>
      <c r="AT1265" s="50">
        <v>41730</v>
      </c>
      <c r="AU1265" s="50">
        <v>41730</v>
      </c>
      <c r="AV1265" s="50">
        <v>42004</v>
      </c>
      <c r="AW1265" s="42">
        <v>2014</v>
      </c>
      <c r="AX1265" s="57"/>
      <c r="AY1265" s="117"/>
      <c r="AZ1265" s="57"/>
      <c r="BA1265" s="42"/>
      <c r="BB1265" s="42"/>
      <c r="BC1265" s="57"/>
      <c r="BD1265" s="57"/>
      <c r="BE1265" s="368"/>
      <c r="BF1265" s="368"/>
      <c r="BG1265" s="368"/>
      <c r="BH1265" s="368"/>
      <c r="BI1265" s="368"/>
      <c r="BJ1265" s="368"/>
      <c r="BK1265" s="368"/>
    </row>
    <row r="1266" spans="1:63" s="287" customFormat="1" ht="75">
      <c r="A1266" s="42">
        <v>3</v>
      </c>
      <c r="B1266" s="111" t="s">
        <v>991</v>
      </c>
      <c r="C1266" s="185" t="s">
        <v>5313</v>
      </c>
      <c r="D1266" s="42" t="s">
        <v>956</v>
      </c>
      <c r="E1266" s="42" t="s">
        <v>250</v>
      </c>
      <c r="F1266" s="42" t="s">
        <v>957</v>
      </c>
      <c r="G1266" s="42">
        <v>4000000</v>
      </c>
      <c r="H1266" s="112">
        <v>813080</v>
      </c>
      <c r="I1266" s="113" t="s">
        <v>992</v>
      </c>
      <c r="J1266" s="13" t="s">
        <v>964</v>
      </c>
      <c r="K1266" s="57" t="s">
        <v>4717</v>
      </c>
      <c r="L1266" s="13" t="s">
        <v>180</v>
      </c>
      <c r="M1266" s="182" t="s">
        <v>1249</v>
      </c>
      <c r="N1266" s="13" t="s">
        <v>959</v>
      </c>
      <c r="O1266" s="13" t="s">
        <v>960</v>
      </c>
      <c r="P1266" s="183">
        <v>8187.19</v>
      </c>
      <c r="Q1266" s="21">
        <f t="shared" si="162"/>
        <v>9660.8841999999986</v>
      </c>
      <c r="R1266" s="21">
        <f>Y1266/X1266/0.9</f>
        <v>12476.989151192578</v>
      </c>
      <c r="S1266" s="201" t="s">
        <v>974</v>
      </c>
      <c r="T1266" s="42">
        <v>1.0840000000000001</v>
      </c>
      <c r="U1266" s="42">
        <v>1.0509999999999999</v>
      </c>
      <c r="V1266" s="42">
        <v>1.0669999999999999</v>
      </c>
      <c r="W1266" s="42">
        <v>1.0529999999999999</v>
      </c>
      <c r="X1266" s="42">
        <v>0.9</v>
      </c>
      <c r="Y1266" s="114">
        <v>10106.361212465989</v>
      </c>
      <c r="Z1266" s="35">
        <f t="shared" si="163"/>
        <v>11925.506230709865</v>
      </c>
      <c r="AA1266" s="114" t="s">
        <v>132</v>
      </c>
      <c r="AB1266" s="114" t="s">
        <v>132</v>
      </c>
      <c r="AC1266" s="114">
        <v>8187.1902899999995</v>
      </c>
      <c r="AD1266" s="35">
        <f t="shared" si="164"/>
        <v>9660.8845421999995</v>
      </c>
      <c r="AE1266" s="42" t="s">
        <v>173</v>
      </c>
      <c r="AF1266" s="42" t="s">
        <v>83</v>
      </c>
      <c r="AG1266" s="42" t="s">
        <v>83</v>
      </c>
      <c r="AH1266" s="42" t="s">
        <v>545</v>
      </c>
      <c r="AI1266" s="115">
        <v>41650</v>
      </c>
      <c r="AJ1266" s="115">
        <v>41710</v>
      </c>
      <c r="AK1266" s="57"/>
      <c r="AL1266" s="57"/>
      <c r="AM1266" s="116" t="s">
        <v>992</v>
      </c>
      <c r="AN1266" s="57" t="s">
        <v>353</v>
      </c>
      <c r="AO1266" s="9">
        <v>796</v>
      </c>
      <c r="AP1266" s="42" t="s">
        <v>419</v>
      </c>
      <c r="AQ1266" s="42">
        <v>69</v>
      </c>
      <c r="AR1266" s="42">
        <v>46434</v>
      </c>
      <c r="AS1266" s="13" t="s">
        <v>961</v>
      </c>
      <c r="AT1266" s="50">
        <v>41730</v>
      </c>
      <c r="AU1266" s="50">
        <v>41730</v>
      </c>
      <c r="AV1266" s="50">
        <v>42004</v>
      </c>
      <c r="AW1266" s="42">
        <v>2014</v>
      </c>
      <c r="AX1266" s="57"/>
      <c r="AY1266" s="117"/>
      <c r="AZ1266" s="57"/>
      <c r="BA1266" s="42"/>
      <c r="BB1266" s="42"/>
      <c r="BC1266" s="57"/>
      <c r="BD1266" s="57"/>
      <c r="BE1266" s="368"/>
      <c r="BF1266" s="368"/>
      <c r="BG1266" s="368"/>
      <c r="BH1266" s="368"/>
      <c r="BI1266" s="368"/>
      <c r="BJ1266" s="368"/>
      <c r="BK1266" s="368"/>
    </row>
    <row r="1267" spans="1:63" s="268" customFormat="1" ht="73.5" customHeight="1">
      <c r="A1267" s="119">
        <v>3</v>
      </c>
      <c r="B1267" s="9" t="s">
        <v>3729</v>
      </c>
      <c r="C1267" s="185" t="s">
        <v>5313</v>
      </c>
      <c r="D1267" s="42" t="s">
        <v>3704</v>
      </c>
      <c r="E1267" s="42" t="s">
        <v>250</v>
      </c>
      <c r="F1267" s="42" t="s">
        <v>3615</v>
      </c>
      <c r="G1267" s="42">
        <v>7422000</v>
      </c>
      <c r="H1267" s="9">
        <v>833961</v>
      </c>
      <c r="I1267" s="13" t="s">
        <v>3730</v>
      </c>
      <c r="J1267" s="13" t="s">
        <v>3731</v>
      </c>
      <c r="K1267" s="57" t="s">
        <v>4717</v>
      </c>
      <c r="L1267" s="13" t="s">
        <v>180</v>
      </c>
      <c r="M1267" s="182" t="s">
        <v>1175</v>
      </c>
      <c r="N1267" s="57" t="s">
        <v>5903</v>
      </c>
      <c r="O1267" s="13" t="s">
        <v>3609</v>
      </c>
      <c r="P1267" s="21">
        <v>24997.867999999999</v>
      </c>
      <c r="Q1267" s="21">
        <f t="shared" si="162"/>
        <v>29497.484239999998</v>
      </c>
      <c r="R1267" s="21">
        <v>21171.395496348567</v>
      </c>
      <c r="S1267" s="35"/>
      <c r="T1267" s="69">
        <v>1.0840000000000001</v>
      </c>
      <c r="U1267" s="69">
        <v>1.0509999999999999</v>
      </c>
      <c r="V1267" s="69">
        <v>1.0669999999999999</v>
      </c>
      <c r="W1267" s="69">
        <v>1.0529999999999999</v>
      </c>
      <c r="X1267" s="69">
        <v>0.9</v>
      </c>
      <c r="Y1267" s="21">
        <v>24997.867999999999</v>
      </c>
      <c r="Z1267" s="21">
        <f t="shared" si="163"/>
        <v>29497.484239999998</v>
      </c>
      <c r="AA1267" s="114" t="s">
        <v>132</v>
      </c>
      <c r="AB1267" s="114" t="s">
        <v>132</v>
      </c>
      <c r="AC1267" s="21">
        <v>24997.867999999999</v>
      </c>
      <c r="AD1267" s="21">
        <f t="shared" si="164"/>
        <v>29497.484239999998</v>
      </c>
      <c r="AE1267" s="42" t="s">
        <v>169</v>
      </c>
      <c r="AF1267" s="42" t="s">
        <v>83</v>
      </c>
      <c r="AG1267" s="42" t="s">
        <v>83</v>
      </c>
      <c r="AH1267" s="42" t="s">
        <v>545</v>
      </c>
      <c r="AI1267" s="50">
        <v>41625</v>
      </c>
      <c r="AJ1267" s="115">
        <v>41685</v>
      </c>
      <c r="AK1267" s="57"/>
      <c r="AL1267" s="57"/>
      <c r="AM1267" s="57" t="s">
        <v>3730</v>
      </c>
      <c r="AN1267" s="57" t="s">
        <v>353</v>
      </c>
      <c r="AO1267" s="9">
        <v>90</v>
      </c>
      <c r="AP1267" s="42" t="s">
        <v>419</v>
      </c>
      <c r="AQ1267" s="42">
        <v>90</v>
      </c>
      <c r="AR1267" s="42">
        <v>46209</v>
      </c>
      <c r="AS1267" s="13" t="s">
        <v>3383</v>
      </c>
      <c r="AT1267" s="50">
        <v>41705</v>
      </c>
      <c r="AU1267" s="50">
        <v>41705</v>
      </c>
      <c r="AV1267" s="50">
        <v>42004</v>
      </c>
      <c r="AW1267" s="42">
        <v>2014</v>
      </c>
      <c r="AX1267" s="57"/>
      <c r="AY1267" s="117"/>
      <c r="AZ1267" s="57"/>
      <c r="BA1267" s="42"/>
      <c r="BB1267" s="42"/>
      <c r="BC1267" s="57"/>
      <c r="BD1267" s="57"/>
      <c r="BE1267" s="371"/>
      <c r="BF1267" s="371"/>
      <c r="BG1267" s="371"/>
      <c r="BH1267" s="371"/>
      <c r="BI1267" s="371"/>
      <c r="BJ1267" s="368"/>
      <c r="BK1267" s="371"/>
    </row>
    <row r="1268" spans="1:63" s="268" customFormat="1" ht="164.25" customHeight="1">
      <c r="A1268" s="119">
        <v>3</v>
      </c>
      <c r="B1268" s="42" t="s">
        <v>3459</v>
      </c>
      <c r="C1268" s="185" t="s">
        <v>5313</v>
      </c>
      <c r="D1268" s="42" t="s">
        <v>3423</v>
      </c>
      <c r="E1268" s="42" t="s">
        <v>250</v>
      </c>
      <c r="F1268" s="42" t="s">
        <v>3460</v>
      </c>
      <c r="G1268" s="42">
        <v>2911160</v>
      </c>
      <c r="H1268" s="143">
        <v>825111</v>
      </c>
      <c r="I1268" s="13" t="s">
        <v>3461</v>
      </c>
      <c r="J1268" s="13" t="s">
        <v>3462</v>
      </c>
      <c r="K1268" s="57" t="s">
        <v>4717</v>
      </c>
      <c r="L1268" s="13" t="s">
        <v>180</v>
      </c>
      <c r="M1268" s="182" t="s">
        <v>1358</v>
      </c>
      <c r="N1268" s="13" t="s">
        <v>768</v>
      </c>
      <c r="O1268" s="13" t="s">
        <v>271</v>
      </c>
      <c r="P1268" s="21">
        <v>31567.507000000001</v>
      </c>
      <c r="Q1268" s="21">
        <f t="shared" si="162"/>
        <v>37249.658259999997</v>
      </c>
      <c r="R1268" s="35">
        <v>30936.159</v>
      </c>
      <c r="S1268" s="182" t="s">
        <v>255</v>
      </c>
      <c r="T1268" s="69">
        <v>1.0840000000000001</v>
      </c>
      <c r="U1268" s="69">
        <v>1.0509999999999999</v>
      </c>
      <c r="V1268" s="69">
        <v>1.0669999999999999</v>
      </c>
      <c r="W1268" s="69">
        <v>1.0529999999999999</v>
      </c>
      <c r="X1268" s="69">
        <v>0.9</v>
      </c>
      <c r="Y1268" s="21">
        <v>35639.67126023076</v>
      </c>
      <c r="Z1268" s="21">
        <f t="shared" si="163"/>
        <v>42054.812087072292</v>
      </c>
      <c r="AA1268" s="114" t="s">
        <v>132</v>
      </c>
      <c r="AB1268" s="114" t="s">
        <v>132</v>
      </c>
      <c r="AC1268" s="21">
        <v>31567.507000000001</v>
      </c>
      <c r="AD1268" s="21">
        <f t="shared" si="164"/>
        <v>37249.658259999997</v>
      </c>
      <c r="AE1268" s="42" t="s">
        <v>169</v>
      </c>
      <c r="AF1268" s="42" t="s">
        <v>83</v>
      </c>
      <c r="AG1268" s="42" t="s">
        <v>83</v>
      </c>
      <c r="AH1268" s="118" t="s">
        <v>90</v>
      </c>
      <c r="AI1268" s="50">
        <v>41625</v>
      </c>
      <c r="AJ1268" s="115">
        <v>41685</v>
      </c>
      <c r="AK1268" s="57"/>
      <c r="AL1268" s="57"/>
      <c r="AM1268" s="57" t="s">
        <v>3461</v>
      </c>
      <c r="AN1268" s="57" t="s">
        <v>171</v>
      </c>
      <c r="AO1268" s="9">
        <v>796</v>
      </c>
      <c r="AP1268" s="42" t="s">
        <v>256</v>
      </c>
      <c r="AQ1268" s="42" t="s">
        <v>3463</v>
      </c>
      <c r="AR1268" s="42">
        <v>46460</v>
      </c>
      <c r="AS1268" s="13" t="s">
        <v>258</v>
      </c>
      <c r="AT1268" s="50">
        <v>41705</v>
      </c>
      <c r="AU1268" s="50">
        <v>41705</v>
      </c>
      <c r="AV1268" s="50">
        <v>42004</v>
      </c>
      <c r="AW1268" s="42">
        <v>2014</v>
      </c>
      <c r="AX1268" s="57"/>
      <c r="AY1268" s="117"/>
      <c r="AZ1268" s="57"/>
      <c r="BA1268" s="42"/>
      <c r="BB1268" s="42"/>
      <c r="BC1268" s="57"/>
      <c r="BD1268" s="57"/>
      <c r="BE1268" s="371"/>
      <c r="BF1268" s="371"/>
      <c r="BG1268" s="371"/>
      <c r="BH1268" s="371"/>
      <c r="BI1268" s="371"/>
      <c r="BJ1268" s="368"/>
      <c r="BK1268" s="394"/>
    </row>
    <row r="1269" spans="1:63" s="603" customFormat="1" ht="31.5" customHeight="1">
      <c r="A1269" s="91" t="s">
        <v>132</v>
      </c>
      <c r="B1269" s="7" t="s">
        <v>132</v>
      </c>
      <c r="C1269" s="7" t="s">
        <v>132</v>
      </c>
      <c r="D1269" s="7" t="s">
        <v>132</v>
      </c>
      <c r="E1269" s="7" t="s">
        <v>132</v>
      </c>
      <c r="F1269" s="7" t="s">
        <v>132</v>
      </c>
      <c r="G1269" s="7" t="s">
        <v>132</v>
      </c>
      <c r="H1269" s="7" t="s">
        <v>132</v>
      </c>
      <c r="I1269" s="7" t="s">
        <v>4156</v>
      </c>
      <c r="J1269" s="7" t="s">
        <v>132</v>
      </c>
      <c r="K1269" s="7" t="s">
        <v>132</v>
      </c>
      <c r="L1269" s="7" t="s">
        <v>132</v>
      </c>
      <c r="M1269" s="190" t="s">
        <v>132</v>
      </c>
      <c r="N1269" s="7" t="s">
        <v>132</v>
      </c>
      <c r="O1269" s="7" t="s">
        <v>132</v>
      </c>
      <c r="P1269" s="7" t="s">
        <v>132</v>
      </c>
      <c r="Q1269" s="7" t="s">
        <v>132</v>
      </c>
      <c r="R1269" s="7" t="s">
        <v>132</v>
      </c>
      <c r="S1269" s="7" t="s">
        <v>132</v>
      </c>
      <c r="T1269" s="7" t="s">
        <v>132</v>
      </c>
      <c r="U1269" s="7" t="s">
        <v>132</v>
      </c>
      <c r="V1269" s="7" t="s">
        <v>132</v>
      </c>
      <c r="W1269" s="7" t="s">
        <v>132</v>
      </c>
      <c r="X1269" s="7" t="s">
        <v>132</v>
      </c>
      <c r="Y1269" s="7" t="s">
        <v>132</v>
      </c>
      <c r="Z1269" s="7" t="s">
        <v>132</v>
      </c>
      <c r="AA1269" s="225" t="s">
        <v>132</v>
      </c>
      <c r="AB1269" s="225" t="s">
        <v>132</v>
      </c>
      <c r="AC1269" s="7" t="s">
        <v>132</v>
      </c>
      <c r="AD1269" s="7" t="s">
        <v>132</v>
      </c>
      <c r="AE1269" s="7" t="s">
        <v>132</v>
      </c>
      <c r="AF1269" s="7" t="s">
        <v>132</v>
      </c>
      <c r="AG1269" s="7" t="s">
        <v>132</v>
      </c>
      <c r="AH1269" s="7" t="s">
        <v>132</v>
      </c>
      <c r="AI1269" s="7" t="s">
        <v>132</v>
      </c>
      <c r="AJ1269" s="7" t="s">
        <v>132</v>
      </c>
      <c r="AK1269" s="7" t="s">
        <v>132</v>
      </c>
      <c r="AL1269" s="7" t="s">
        <v>132</v>
      </c>
      <c r="AM1269" s="7" t="s">
        <v>132</v>
      </c>
      <c r="AN1269" s="7" t="s">
        <v>132</v>
      </c>
      <c r="AO1269" s="7" t="s">
        <v>132</v>
      </c>
      <c r="AP1269" s="7" t="s">
        <v>132</v>
      </c>
      <c r="AQ1269" s="7" t="s">
        <v>132</v>
      </c>
      <c r="AR1269" s="7" t="s">
        <v>132</v>
      </c>
      <c r="AS1269" s="7" t="s">
        <v>132</v>
      </c>
      <c r="AT1269" s="7" t="s">
        <v>132</v>
      </c>
      <c r="AU1269" s="7" t="s">
        <v>132</v>
      </c>
      <c r="AV1269" s="7" t="s">
        <v>132</v>
      </c>
      <c r="AW1269" s="7" t="s">
        <v>132</v>
      </c>
      <c r="AX1269" s="7" t="s">
        <v>132</v>
      </c>
      <c r="AY1269" s="7" t="s">
        <v>132</v>
      </c>
      <c r="AZ1269" s="7" t="s">
        <v>132</v>
      </c>
      <c r="BA1269" s="7" t="s">
        <v>132</v>
      </c>
      <c r="BB1269" s="7" t="s">
        <v>132</v>
      </c>
      <c r="BC1269" s="7" t="s">
        <v>132</v>
      </c>
      <c r="BD1269" s="7" t="s">
        <v>132</v>
      </c>
      <c r="BE1269" s="7" t="s">
        <v>132</v>
      </c>
      <c r="BF1269" s="7" t="s">
        <v>132</v>
      </c>
      <c r="BG1269" s="7" t="s">
        <v>132</v>
      </c>
      <c r="BH1269" s="7" t="s">
        <v>132</v>
      </c>
      <c r="BI1269" s="7" t="s">
        <v>132</v>
      </c>
      <c r="BJ1269" s="7" t="s">
        <v>132</v>
      </c>
      <c r="BK1269" s="7"/>
    </row>
    <row r="1270" spans="1:63" s="287" customFormat="1" ht="133.5" customHeight="1">
      <c r="A1270" s="401">
        <v>3</v>
      </c>
      <c r="B1270" s="38" t="s">
        <v>4161</v>
      </c>
      <c r="C1270" s="38" t="s">
        <v>83</v>
      </c>
      <c r="D1270" s="38" t="s">
        <v>4158</v>
      </c>
      <c r="E1270" s="38" t="s">
        <v>274</v>
      </c>
      <c r="F1270" s="38" t="s">
        <v>4620</v>
      </c>
      <c r="G1270" s="38">
        <v>31</v>
      </c>
      <c r="H1270" s="11">
        <v>626050</v>
      </c>
      <c r="I1270" s="16" t="s">
        <v>4160</v>
      </c>
      <c r="J1270" s="16" t="s">
        <v>4282</v>
      </c>
      <c r="K1270" s="29" t="s">
        <v>4917</v>
      </c>
      <c r="L1270" s="16" t="s">
        <v>180</v>
      </c>
      <c r="M1270" s="95" t="s">
        <v>4170</v>
      </c>
      <c r="N1270" s="15" t="s">
        <v>4171</v>
      </c>
      <c r="O1270" s="16" t="s">
        <v>4172</v>
      </c>
      <c r="P1270" s="23">
        <v>3029.34458</v>
      </c>
      <c r="Q1270" s="23">
        <f t="shared" ref="Q1270:Q1333" si="165">P1270*1.18</f>
        <v>3574.6266043999999</v>
      </c>
      <c r="R1270" s="23">
        <v>2749.4809455482391</v>
      </c>
      <c r="S1270" s="29" t="s">
        <v>4652</v>
      </c>
      <c r="T1270" s="312">
        <v>1.0900000000000001</v>
      </c>
      <c r="U1270" s="312">
        <v>1.0409999999999999</v>
      </c>
      <c r="V1270" s="312">
        <v>1.0229999999999999</v>
      </c>
      <c r="W1270" s="312">
        <v>1.0444</v>
      </c>
      <c r="X1270" s="403">
        <v>0.9</v>
      </c>
      <c r="Y1270" s="23">
        <v>2999.9426199999998</v>
      </c>
      <c r="Z1270" s="23">
        <f t="shared" ref="Z1270:Z1333" si="166">Y1270*1.18</f>
        <v>3539.9322915999996</v>
      </c>
      <c r="AA1270" s="36" t="s">
        <v>132</v>
      </c>
      <c r="AB1270" s="36" t="s">
        <v>132</v>
      </c>
      <c r="AC1270" s="23">
        <v>2999.9426199999998</v>
      </c>
      <c r="AD1270" s="23">
        <f t="shared" ref="AD1270:AD1333" si="167">AC1270*1.18</f>
        <v>3539.9322915999996</v>
      </c>
      <c r="AE1270" s="38" t="s">
        <v>1775</v>
      </c>
      <c r="AF1270" s="38" t="s">
        <v>83</v>
      </c>
      <c r="AG1270" s="38" t="s">
        <v>83</v>
      </c>
      <c r="AH1270" s="38" t="s">
        <v>90</v>
      </c>
      <c r="AI1270" s="51">
        <v>41562</v>
      </c>
      <c r="AJ1270" s="51">
        <v>41593</v>
      </c>
      <c r="AK1270" s="369"/>
      <c r="AL1270" s="60"/>
      <c r="AM1270" s="60" t="s">
        <v>4159</v>
      </c>
      <c r="AN1270" s="60" t="s">
        <v>171</v>
      </c>
      <c r="AO1270" s="11">
        <v>796</v>
      </c>
      <c r="AP1270" s="38" t="s">
        <v>419</v>
      </c>
      <c r="AQ1270" s="38">
        <v>1</v>
      </c>
      <c r="AR1270" s="38" t="s">
        <v>2980</v>
      </c>
      <c r="AS1270" s="16" t="s">
        <v>3373</v>
      </c>
      <c r="AT1270" s="78">
        <v>41640</v>
      </c>
      <c r="AU1270" s="78">
        <v>41640</v>
      </c>
      <c r="AV1270" s="78">
        <v>42004</v>
      </c>
      <c r="AW1270" s="38">
        <v>2014</v>
      </c>
      <c r="AX1270" s="60"/>
      <c r="AY1270" s="135"/>
      <c r="AZ1270" s="60"/>
      <c r="BA1270" s="38"/>
      <c r="BB1270" s="38"/>
      <c r="BC1270" s="60"/>
      <c r="BD1270" s="60"/>
      <c r="BE1270" s="304"/>
      <c r="BF1270" s="304"/>
      <c r="BG1270" s="304"/>
      <c r="BH1270" s="304"/>
      <c r="BI1270" s="304"/>
      <c r="BJ1270" s="304"/>
      <c r="BK1270" s="304"/>
    </row>
    <row r="1271" spans="1:63" s="287" customFormat="1" ht="114" customHeight="1">
      <c r="A1271" s="401">
        <v>3</v>
      </c>
      <c r="B1271" s="38" t="s">
        <v>4162</v>
      </c>
      <c r="C1271" s="38" t="s">
        <v>83</v>
      </c>
      <c r="D1271" s="38" t="s">
        <v>4158</v>
      </c>
      <c r="E1271" s="38" t="s">
        <v>274</v>
      </c>
      <c r="F1271" s="38" t="s">
        <v>4621</v>
      </c>
      <c r="G1271" s="38">
        <v>20</v>
      </c>
      <c r="H1271" s="11">
        <v>626296</v>
      </c>
      <c r="I1271" s="16" t="s">
        <v>4184</v>
      </c>
      <c r="J1271" s="16" t="s">
        <v>4282</v>
      </c>
      <c r="K1271" s="29" t="s">
        <v>4917</v>
      </c>
      <c r="L1271" s="16" t="s">
        <v>180</v>
      </c>
      <c r="M1271" s="95" t="s">
        <v>4170</v>
      </c>
      <c r="N1271" s="15" t="s">
        <v>4171</v>
      </c>
      <c r="O1271" s="16" t="s">
        <v>4172</v>
      </c>
      <c r="P1271" s="23">
        <v>8901.09</v>
      </c>
      <c r="Q1271" s="23">
        <f t="shared" si="165"/>
        <v>10503.2862</v>
      </c>
      <c r="R1271" s="23">
        <v>9305.4274902405978</v>
      </c>
      <c r="S1271" s="29" t="s">
        <v>4653</v>
      </c>
      <c r="T1271" s="312">
        <v>1.113</v>
      </c>
      <c r="U1271" s="312">
        <v>1.0409999999999999</v>
      </c>
      <c r="V1271" s="312">
        <v>1.038</v>
      </c>
      <c r="W1271" s="312">
        <v>1</v>
      </c>
      <c r="X1271" s="403">
        <v>0.9</v>
      </c>
      <c r="Y1271" s="23">
        <v>10072.147709999999</v>
      </c>
      <c r="Z1271" s="23">
        <f t="shared" si="166"/>
        <v>11885.134297799999</v>
      </c>
      <c r="AA1271" s="36" t="s">
        <v>132</v>
      </c>
      <c r="AB1271" s="36" t="s">
        <v>132</v>
      </c>
      <c r="AC1271" s="23">
        <v>8901.09</v>
      </c>
      <c r="AD1271" s="23">
        <f t="shared" si="167"/>
        <v>10503.2862</v>
      </c>
      <c r="AE1271" s="38" t="s">
        <v>1775</v>
      </c>
      <c r="AF1271" s="38" t="s">
        <v>83</v>
      </c>
      <c r="AG1271" s="38" t="s">
        <v>83</v>
      </c>
      <c r="AH1271" s="38" t="s">
        <v>90</v>
      </c>
      <c r="AI1271" s="51">
        <v>41562</v>
      </c>
      <c r="AJ1271" s="51">
        <v>41593</v>
      </c>
      <c r="AK1271" s="369"/>
      <c r="AL1271" s="60"/>
      <c r="AM1271" s="60" t="s">
        <v>4159</v>
      </c>
      <c r="AN1271" s="60" t="s">
        <v>171</v>
      </c>
      <c r="AO1271" s="11">
        <v>796</v>
      </c>
      <c r="AP1271" s="38" t="s">
        <v>419</v>
      </c>
      <c r="AQ1271" s="38">
        <v>1</v>
      </c>
      <c r="AR1271" s="38" t="s">
        <v>2980</v>
      </c>
      <c r="AS1271" s="16" t="s">
        <v>3373</v>
      </c>
      <c r="AT1271" s="78">
        <v>41640</v>
      </c>
      <c r="AU1271" s="78">
        <v>41640</v>
      </c>
      <c r="AV1271" s="78">
        <v>42004</v>
      </c>
      <c r="AW1271" s="38">
        <v>2014</v>
      </c>
      <c r="AX1271" s="60"/>
      <c r="AY1271" s="135"/>
      <c r="AZ1271" s="60"/>
      <c r="BA1271" s="38"/>
      <c r="BB1271" s="38"/>
      <c r="BC1271" s="60"/>
      <c r="BD1271" s="60"/>
      <c r="BE1271" s="304"/>
      <c r="BF1271" s="304"/>
      <c r="BG1271" s="304"/>
      <c r="BH1271" s="304"/>
      <c r="BI1271" s="304"/>
      <c r="BJ1271" s="304"/>
      <c r="BK1271" s="304"/>
    </row>
    <row r="1272" spans="1:63" s="287" customFormat="1" ht="83.25" customHeight="1">
      <c r="A1272" s="401">
        <v>3</v>
      </c>
      <c r="B1272" s="38" t="s">
        <v>4163</v>
      </c>
      <c r="C1272" s="38" t="s">
        <v>83</v>
      </c>
      <c r="D1272" s="38" t="s">
        <v>4158</v>
      </c>
      <c r="E1272" s="38" t="s">
        <v>274</v>
      </c>
      <c r="F1272" s="38" t="s">
        <v>4620</v>
      </c>
      <c r="G1272" s="38">
        <v>31</v>
      </c>
      <c r="H1272" s="11">
        <v>626341</v>
      </c>
      <c r="I1272" s="16" t="s">
        <v>4185</v>
      </c>
      <c r="J1272" s="16" t="s">
        <v>4282</v>
      </c>
      <c r="K1272" s="29" t="s">
        <v>4917</v>
      </c>
      <c r="L1272" s="16" t="s">
        <v>180</v>
      </c>
      <c r="M1272" s="95" t="s">
        <v>4170</v>
      </c>
      <c r="N1272" s="15" t="s">
        <v>4171</v>
      </c>
      <c r="O1272" s="16" t="s">
        <v>4172</v>
      </c>
      <c r="P1272" s="23">
        <v>37705.704640000004</v>
      </c>
      <c r="Q1272" s="23">
        <f t="shared" si="165"/>
        <v>44492.731475200002</v>
      </c>
      <c r="R1272" s="23">
        <v>30135.483225509546</v>
      </c>
      <c r="S1272" s="29" t="s">
        <v>4180</v>
      </c>
      <c r="T1272" s="312">
        <v>1.0840000000000001</v>
      </c>
      <c r="U1272" s="312">
        <v>1.0509999999999999</v>
      </c>
      <c r="V1272" s="312">
        <v>1.0669999999999999</v>
      </c>
      <c r="W1272" s="312">
        <v>1.056</v>
      </c>
      <c r="X1272" s="403">
        <v>0.9</v>
      </c>
      <c r="Y1272" s="23">
        <v>34816.170870000002</v>
      </c>
      <c r="Z1272" s="23">
        <f t="shared" si="166"/>
        <v>41083.081626599997</v>
      </c>
      <c r="AA1272" s="36" t="s">
        <v>132</v>
      </c>
      <c r="AB1272" s="36" t="s">
        <v>132</v>
      </c>
      <c r="AC1272" s="23">
        <v>37705.704640000004</v>
      </c>
      <c r="AD1272" s="23">
        <f t="shared" si="167"/>
        <v>44492.731475200002</v>
      </c>
      <c r="AE1272" s="38" t="s">
        <v>1775</v>
      </c>
      <c r="AF1272" s="38" t="s">
        <v>83</v>
      </c>
      <c r="AG1272" s="38" t="s">
        <v>83</v>
      </c>
      <c r="AH1272" s="38" t="s">
        <v>90</v>
      </c>
      <c r="AI1272" s="51">
        <v>41593</v>
      </c>
      <c r="AJ1272" s="51">
        <v>41623</v>
      </c>
      <c r="AK1272" s="369"/>
      <c r="AL1272" s="60"/>
      <c r="AM1272" s="60" t="s">
        <v>4159</v>
      </c>
      <c r="AN1272" s="60" t="s">
        <v>171</v>
      </c>
      <c r="AO1272" s="11">
        <v>796</v>
      </c>
      <c r="AP1272" s="38" t="s">
        <v>419</v>
      </c>
      <c r="AQ1272" s="38">
        <v>1</v>
      </c>
      <c r="AR1272" s="38" t="s">
        <v>2980</v>
      </c>
      <c r="AS1272" s="16" t="s">
        <v>3373</v>
      </c>
      <c r="AT1272" s="78">
        <v>41640</v>
      </c>
      <c r="AU1272" s="78">
        <v>41640</v>
      </c>
      <c r="AV1272" s="78">
        <v>42004</v>
      </c>
      <c r="AW1272" s="38">
        <v>2014</v>
      </c>
      <c r="AX1272" s="60"/>
      <c r="AY1272" s="135"/>
      <c r="AZ1272" s="60"/>
      <c r="BA1272" s="38"/>
      <c r="BB1272" s="38"/>
      <c r="BC1272" s="60"/>
      <c r="BD1272" s="60"/>
      <c r="BE1272" s="304"/>
      <c r="BF1272" s="304"/>
      <c r="BG1272" s="304"/>
      <c r="BH1272" s="304"/>
      <c r="BI1272" s="304"/>
      <c r="BJ1272" s="304"/>
      <c r="BK1272" s="304"/>
    </row>
    <row r="1273" spans="1:63" s="287" customFormat="1" ht="168.75">
      <c r="A1273" s="401">
        <v>3</v>
      </c>
      <c r="B1273" s="38" t="s">
        <v>4164</v>
      </c>
      <c r="C1273" s="38" t="s">
        <v>83</v>
      </c>
      <c r="D1273" s="38" t="s">
        <v>4158</v>
      </c>
      <c r="E1273" s="38" t="s">
        <v>274</v>
      </c>
      <c r="F1273" s="38" t="s">
        <v>4620</v>
      </c>
      <c r="G1273" s="38">
        <v>31</v>
      </c>
      <c r="H1273" s="11">
        <v>626343</v>
      </c>
      <c r="I1273" s="16" t="s">
        <v>4186</v>
      </c>
      <c r="J1273" s="16" t="s">
        <v>4282</v>
      </c>
      <c r="K1273" s="29" t="s">
        <v>4917</v>
      </c>
      <c r="L1273" s="16" t="s">
        <v>180</v>
      </c>
      <c r="M1273" s="95" t="s">
        <v>4170</v>
      </c>
      <c r="N1273" s="15" t="s">
        <v>4171</v>
      </c>
      <c r="O1273" s="16" t="s">
        <v>4172</v>
      </c>
      <c r="P1273" s="23">
        <v>4517.1927699999997</v>
      </c>
      <c r="Q1273" s="23">
        <f t="shared" si="165"/>
        <v>5330.2874685999996</v>
      </c>
      <c r="R1273" s="23">
        <v>4920.268521165146</v>
      </c>
      <c r="S1273" s="29" t="s">
        <v>4652</v>
      </c>
      <c r="T1273" s="312">
        <v>1.0900000000000001</v>
      </c>
      <c r="U1273" s="312">
        <v>1.0409999999999999</v>
      </c>
      <c r="V1273" s="312">
        <v>1.0229999999999999</v>
      </c>
      <c r="W1273" s="312">
        <v>1.0444</v>
      </c>
      <c r="X1273" s="403">
        <v>0.9</v>
      </c>
      <c r="Y1273" s="23">
        <v>5368.4762799999999</v>
      </c>
      <c r="Z1273" s="23">
        <f t="shared" si="166"/>
        <v>6334.8020103999997</v>
      </c>
      <c r="AA1273" s="36" t="s">
        <v>132</v>
      </c>
      <c r="AB1273" s="36" t="s">
        <v>132</v>
      </c>
      <c r="AC1273" s="23">
        <v>4517.1927699999997</v>
      </c>
      <c r="AD1273" s="23">
        <f t="shared" si="167"/>
        <v>5330.2874685999996</v>
      </c>
      <c r="AE1273" s="38" t="s">
        <v>1775</v>
      </c>
      <c r="AF1273" s="38" t="s">
        <v>83</v>
      </c>
      <c r="AG1273" s="38" t="s">
        <v>83</v>
      </c>
      <c r="AH1273" s="38" t="s">
        <v>90</v>
      </c>
      <c r="AI1273" s="51">
        <v>41562</v>
      </c>
      <c r="AJ1273" s="51">
        <v>41593</v>
      </c>
      <c r="AK1273" s="369"/>
      <c r="AL1273" s="60"/>
      <c r="AM1273" s="60" t="s">
        <v>4159</v>
      </c>
      <c r="AN1273" s="60" t="s">
        <v>171</v>
      </c>
      <c r="AO1273" s="11">
        <v>796</v>
      </c>
      <c r="AP1273" s="38" t="s">
        <v>419</v>
      </c>
      <c r="AQ1273" s="38">
        <v>1</v>
      </c>
      <c r="AR1273" s="38" t="s">
        <v>2980</v>
      </c>
      <c r="AS1273" s="16" t="s">
        <v>3373</v>
      </c>
      <c r="AT1273" s="78">
        <v>41640</v>
      </c>
      <c r="AU1273" s="78">
        <v>41640</v>
      </c>
      <c r="AV1273" s="78">
        <v>42004</v>
      </c>
      <c r="AW1273" s="38">
        <v>2014</v>
      </c>
      <c r="AX1273" s="60"/>
      <c r="AY1273" s="135"/>
      <c r="AZ1273" s="60"/>
      <c r="BA1273" s="38"/>
      <c r="BB1273" s="38"/>
      <c r="BC1273" s="60"/>
      <c r="BD1273" s="60"/>
      <c r="BE1273" s="304"/>
      <c r="BF1273" s="304"/>
      <c r="BG1273" s="304"/>
      <c r="BH1273" s="304"/>
      <c r="BI1273" s="304"/>
      <c r="BJ1273" s="304"/>
      <c r="BK1273" s="304"/>
    </row>
    <row r="1274" spans="1:63" s="287" customFormat="1" ht="93.75">
      <c r="A1274" s="401">
        <v>3</v>
      </c>
      <c r="B1274" s="38" t="s">
        <v>4165</v>
      </c>
      <c r="C1274" s="38" t="s">
        <v>83</v>
      </c>
      <c r="D1274" s="38" t="s">
        <v>4158</v>
      </c>
      <c r="E1274" s="38" t="s">
        <v>274</v>
      </c>
      <c r="F1274" s="38" t="s">
        <v>4620</v>
      </c>
      <c r="G1274" s="38">
        <v>31</v>
      </c>
      <c r="H1274" s="11">
        <v>626352</v>
      </c>
      <c r="I1274" s="16" t="s">
        <v>4187</v>
      </c>
      <c r="J1274" s="16" t="s">
        <v>4282</v>
      </c>
      <c r="K1274" s="29" t="s">
        <v>4917</v>
      </c>
      <c r="L1274" s="16" t="s">
        <v>180</v>
      </c>
      <c r="M1274" s="95" t="s">
        <v>4170</v>
      </c>
      <c r="N1274" s="15" t="s">
        <v>4171</v>
      </c>
      <c r="O1274" s="16" t="s">
        <v>4172</v>
      </c>
      <c r="P1274" s="23">
        <v>4649.1107300000003</v>
      </c>
      <c r="Q1274" s="23">
        <f t="shared" si="165"/>
        <v>5485.9506614000002</v>
      </c>
      <c r="R1274" s="23">
        <v>3402.7890607395375</v>
      </c>
      <c r="S1274" s="29" t="s">
        <v>4180</v>
      </c>
      <c r="T1274" s="312">
        <v>1.0840000000000001</v>
      </c>
      <c r="U1274" s="312">
        <v>1.0509999999999999</v>
      </c>
      <c r="V1274" s="312">
        <v>1.0669999999999999</v>
      </c>
      <c r="W1274" s="312">
        <v>1.056</v>
      </c>
      <c r="X1274" s="403">
        <v>0.9</v>
      </c>
      <c r="Y1274" s="23">
        <v>3931.3152700000001</v>
      </c>
      <c r="Z1274" s="23">
        <f t="shared" si="166"/>
        <v>4638.9520186</v>
      </c>
      <c r="AA1274" s="36" t="s">
        <v>132</v>
      </c>
      <c r="AB1274" s="36" t="s">
        <v>132</v>
      </c>
      <c r="AC1274" s="23">
        <v>4649.1107300000003</v>
      </c>
      <c r="AD1274" s="23">
        <f t="shared" si="167"/>
        <v>5485.9506614000002</v>
      </c>
      <c r="AE1274" s="38" t="s">
        <v>1775</v>
      </c>
      <c r="AF1274" s="38" t="s">
        <v>83</v>
      </c>
      <c r="AG1274" s="38" t="s">
        <v>83</v>
      </c>
      <c r="AH1274" s="38" t="s">
        <v>90</v>
      </c>
      <c r="AI1274" s="51">
        <v>41593</v>
      </c>
      <c r="AJ1274" s="51">
        <v>41623</v>
      </c>
      <c r="AK1274" s="369"/>
      <c r="AL1274" s="60"/>
      <c r="AM1274" s="60" t="s">
        <v>4159</v>
      </c>
      <c r="AN1274" s="60" t="s">
        <v>171</v>
      </c>
      <c r="AO1274" s="11">
        <v>796</v>
      </c>
      <c r="AP1274" s="38" t="s">
        <v>419</v>
      </c>
      <c r="AQ1274" s="38">
        <v>1</v>
      </c>
      <c r="AR1274" s="38" t="s">
        <v>2980</v>
      </c>
      <c r="AS1274" s="16" t="s">
        <v>3373</v>
      </c>
      <c r="AT1274" s="78">
        <v>41640</v>
      </c>
      <c r="AU1274" s="78">
        <v>41640</v>
      </c>
      <c r="AV1274" s="78">
        <v>42004</v>
      </c>
      <c r="AW1274" s="38">
        <v>2014</v>
      </c>
      <c r="AX1274" s="60"/>
      <c r="AY1274" s="135"/>
      <c r="AZ1274" s="60"/>
      <c r="BA1274" s="38"/>
      <c r="BB1274" s="38"/>
      <c r="BC1274" s="60"/>
      <c r="BD1274" s="60"/>
      <c r="BE1274" s="304"/>
      <c r="BF1274" s="304"/>
      <c r="BG1274" s="304"/>
      <c r="BH1274" s="304"/>
      <c r="BI1274" s="304"/>
      <c r="BJ1274" s="304"/>
      <c r="BK1274" s="304"/>
    </row>
    <row r="1275" spans="1:63" s="287" customFormat="1" ht="168.75">
      <c r="A1275" s="401">
        <v>3</v>
      </c>
      <c r="B1275" s="38" t="s">
        <v>4166</v>
      </c>
      <c r="C1275" s="38" t="s">
        <v>83</v>
      </c>
      <c r="D1275" s="38" t="s">
        <v>4158</v>
      </c>
      <c r="E1275" s="38" t="s">
        <v>274</v>
      </c>
      <c r="F1275" s="38" t="s">
        <v>4620</v>
      </c>
      <c r="G1275" s="38">
        <v>31</v>
      </c>
      <c r="H1275" s="11">
        <v>626382</v>
      </c>
      <c r="I1275" s="16" t="s">
        <v>4188</v>
      </c>
      <c r="J1275" s="16" t="s">
        <v>4282</v>
      </c>
      <c r="K1275" s="29" t="s">
        <v>4917</v>
      </c>
      <c r="L1275" s="16" t="s">
        <v>180</v>
      </c>
      <c r="M1275" s="95" t="s">
        <v>4170</v>
      </c>
      <c r="N1275" s="15" t="s">
        <v>4171</v>
      </c>
      <c r="O1275" s="16" t="s">
        <v>4172</v>
      </c>
      <c r="P1275" s="23">
        <v>1621.44974</v>
      </c>
      <c r="Q1275" s="23">
        <f t="shared" si="165"/>
        <v>1913.3106931999998</v>
      </c>
      <c r="R1275" s="23">
        <v>1493.8193790818625</v>
      </c>
      <c r="S1275" s="29" t="s">
        <v>4652</v>
      </c>
      <c r="T1275" s="312">
        <v>1.0900000000000001</v>
      </c>
      <c r="U1275" s="312">
        <v>1.0409999999999999</v>
      </c>
      <c r="V1275" s="312">
        <v>1.0229999999999999</v>
      </c>
      <c r="W1275" s="312">
        <v>1.0444</v>
      </c>
      <c r="X1275" s="403">
        <v>0.9</v>
      </c>
      <c r="Y1275" s="23">
        <v>1629.89761</v>
      </c>
      <c r="Z1275" s="23">
        <f t="shared" si="166"/>
        <v>1923.2791797999998</v>
      </c>
      <c r="AA1275" s="36" t="s">
        <v>132</v>
      </c>
      <c r="AB1275" s="36" t="s">
        <v>132</v>
      </c>
      <c r="AC1275" s="23">
        <v>1621.44974</v>
      </c>
      <c r="AD1275" s="23">
        <f t="shared" si="167"/>
        <v>1913.3106931999998</v>
      </c>
      <c r="AE1275" s="38" t="s">
        <v>1775</v>
      </c>
      <c r="AF1275" s="38" t="s">
        <v>83</v>
      </c>
      <c r="AG1275" s="38" t="s">
        <v>83</v>
      </c>
      <c r="AH1275" s="38" t="s">
        <v>90</v>
      </c>
      <c r="AI1275" s="51">
        <v>41562</v>
      </c>
      <c r="AJ1275" s="51">
        <v>41593</v>
      </c>
      <c r="AK1275" s="369"/>
      <c r="AL1275" s="60"/>
      <c r="AM1275" s="60" t="s">
        <v>4159</v>
      </c>
      <c r="AN1275" s="60" t="s">
        <v>171</v>
      </c>
      <c r="AO1275" s="11">
        <v>796</v>
      </c>
      <c r="AP1275" s="38" t="s">
        <v>419</v>
      </c>
      <c r="AQ1275" s="38">
        <v>1</v>
      </c>
      <c r="AR1275" s="38" t="s">
        <v>2980</v>
      </c>
      <c r="AS1275" s="16" t="s">
        <v>3373</v>
      </c>
      <c r="AT1275" s="78">
        <v>41640</v>
      </c>
      <c r="AU1275" s="78">
        <v>41640</v>
      </c>
      <c r="AV1275" s="78">
        <v>42004</v>
      </c>
      <c r="AW1275" s="38">
        <v>2014</v>
      </c>
      <c r="AX1275" s="60"/>
      <c r="AY1275" s="135"/>
      <c r="AZ1275" s="60"/>
      <c r="BA1275" s="38"/>
      <c r="BB1275" s="38"/>
      <c r="BC1275" s="60"/>
      <c r="BD1275" s="60"/>
      <c r="BE1275" s="304"/>
      <c r="BF1275" s="304"/>
      <c r="BG1275" s="304"/>
      <c r="BH1275" s="304"/>
      <c r="BI1275" s="304"/>
      <c r="BJ1275" s="304"/>
      <c r="BK1275" s="304"/>
    </row>
    <row r="1276" spans="1:63" s="287" customFormat="1" ht="168.75">
      <c r="A1276" s="401">
        <v>3</v>
      </c>
      <c r="B1276" s="38" t="s">
        <v>4167</v>
      </c>
      <c r="C1276" s="38" t="s">
        <v>83</v>
      </c>
      <c r="D1276" s="38" t="s">
        <v>4158</v>
      </c>
      <c r="E1276" s="38" t="s">
        <v>274</v>
      </c>
      <c r="F1276" s="38" t="s">
        <v>4620</v>
      </c>
      <c r="G1276" s="38">
        <v>31</v>
      </c>
      <c r="H1276" s="11">
        <v>626395</v>
      </c>
      <c r="I1276" s="16" t="s">
        <v>4189</v>
      </c>
      <c r="J1276" s="16" t="s">
        <v>4282</v>
      </c>
      <c r="K1276" s="29" t="s">
        <v>4917</v>
      </c>
      <c r="L1276" s="16" t="s">
        <v>180</v>
      </c>
      <c r="M1276" s="95" t="s">
        <v>4170</v>
      </c>
      <c r="N1276" s="15" t="s">
        <v>4171</v>
      </c>
      <c r="O1276" s="16" t="s">
        <v>4172</v>
      </c>
      <c r="P1276" s="23">
        <v>999.27864</v>
      </c>
      <c r="Q1276" s="23">
        <f t="shared" si="165"/>
        <v>1179.1487952</v>
      </c>
      <c r="R1276" s="23">
        <v>930.93710092708591</v>
      </c>
      <c r="S1276" s="29" t="s">
        <v>4652</v>
      </c>
      <c r="T1276" s="312">
        <v>1.0900000000000001</v>
      </c>
      <c r="U1276" s="312">
        <v>1.0409999999999999</v>
      </c>
      <c r="V1276" s="312">
        <v>1.0229999999999999</v>
      </c>
      <c r="W1276" s="312">
        <v>1.0444</v>
      </c>
      <c r="X1276" s="403">
        <v>0.9</v>
      </c>
      <c r="Y1276" s="23">
        <v>1015.74004</v>
      </c>
      <c r="Z1276" s="23">
        <f t="shared" si="166"/>
        <v>1198.5732472</v>
      </c>
      <c r="AA1276" s="36" t="s">
        <v>132</v>
      </c>
      <c r="AB1276" s="36" t="s">
        <v>132</v>
      </c>
      <c r="AC1276" s="23">
        <v>999.27864</v>
      </c>
      <c r="AD1276" s="23">
        <f t="shared" si="167"/>
        <v>1179.1487952</v>
      </c>
      <c r="AE1276" s="38" t="s">
        <v>1775</v>
      </c>
      <c r="AF1276" s="38" t="s">
        <v>83</v>
      </c>
      <c r="AG1276" s="38" t="s">
        <v>83</v>
      </c>
      <c r="AH1276" s="38" t="s">
        <v>90</v>
      </c>
      <c r="AI1276" s="51">
        <v>41562</v>
      </c>
      <c r="AJ1276" s="51">
        <v>41593</v>
      </c>
      <c r="AK1276" s="369"/>
      <c r="AL1276" s="60"/>
      <c r="AM1276" s="60" t="s">
        <v>4159</v>
      </c>
      <c r="AN1276" s="60" t="s">
        <v>171</v>
      </c>
      <c r="AO1276" s="11">
        <v>796</v>
      </c>
      <c r="AP1276" s="38" t="s">
        <v>419</v>
      </c>
      <c r="AQ1276" s="38">
        <v>1</v>
      </c>
      <c r="AR1276" s="38" t="s">
        <v>2980</v>
      </c>
      <c r="AS1276" s="16" t="s">
        <v>3373</v>
      </c>
      <c r="AT1276" s="78">
        <v>41640</v>
      </c>
      <c r="AU1276" s="78">
        <v>41640</v>
      </c>
      <c r="AV1276" s="78">
        <v>42004</v>
      </c>
      <c r="AW1276" s="38">
        <v>2014</v>
      </c>
      <c r="AX1276" s="60"/>
      <c r="AY1276" s="135"/>
      <c r="AZ1276" s="60"/>
      <c r="BA1276" s="38"/>
      <c r="BB1276" s="38"/>
      <c r="BC1276" s="60"/>
      <c r="BD1276" s="60"/>
      <c r="BE1276" s="304"/>
      <c r="BF1276" s="304"/>
      <c r="BG1276" s="304"/>
      <c r="BH1276" s="304"/>
      <c r="BI1276" s="304"/>
      <c r="BJ1276" s="304"/>
      <c r="BK1276" s="304"/>
    </row>
    <row r="1277" spans="1:63" s="287" customFormat="1" ht="93.75">
      <c r="A1277" s="401">
        <v>3</v>
      </c>
      <c r="B1277" s="38" t="s">
        <v>4168</v>
      </c>
      <c r="C1277" s="38" t="s">
        <v>83</v>
      </c>
      <c r="D1277" s="38" t="s">
        <v>4158</v>
      </c>
      <c r="E1277" s="38" t="s">
        <v>274</v>
      </c>
      <c r="F1277" s="38" t="s">
        <v>4620</v>
      </c>
      <c r="G1277" s="38">
        <v>31</v>
      </c>
      <c r="H1277" s="11">
        <v>626374</v>
      </c>
      <c r="I1277" s="16" t="s">
        <v>4190</v>
      </c>
      <c r="J1277" s="16" t="s">
        <v>4282</v>
      </c>
      <c r="K1277" s="29" t="s">
        <v>4917</v>
      </c>
      <c r="L1277" s="16" t="s">
        <v>180</v>
      </c>
      <c r="M1277" s="95" t="s">
        <v>4170</v>
      </c>
      <c r="N1277" s="15" t="s">
        <v>4171</v>
      </c>
      <c r="O1277" s="16" t="s">
        <v>4172</v>
      </c>
      <c r="P1277" s="23">
        <v>69504.2448</v>
      </c>
      <c r="Q1277" s="23">
        <f t="shared" si="165"/>
        <v>82015.008864000003</v>
      </c>
      <c r="R1277" s="23">
        <v>70522.859769620278</v>
      </c>
      <c r="S1277" s="29" t="s">
        <v>4180</v>
      </c>
      <c r="T1277" s="312">
        <v>1.0840000000000001</v>
      </c>
      <c r="U1277" s="312">
        <v>1.0509999999999999</v>
      </c>
      <c r="V1277" s="312">
        <v>1.0669999999999999</v>
      </c>
      <c r="W1277" s="312">
        <v>1.056</v>
      </c>
      <c r="X1277" s="403">
        <v>0.9</v>
      </c>
      <c r="Y1277" s="23">
        <v>81476.574229999998</v>
      </c>
      <c r="Z1277" s="23">
        <f t="shared" si="166"/>
        <v>96142.357591399996</v>
      </c>
      <c r="AA1277" s="36" t="s">
        <v>132</v>
      </c>
      <c r="AB1277" s="36" t="s">
        <v>132</v>
      </c>
      <c r="AC1277" s="23">
        <v>69504.2448</v>
      </c>
      <c r="AD1277" s="23">
        <f t="shared" si="167"/>
        <v>82015.008864000003</v>
      </c>
      <c r="AE1277" s="38" t="s">
        <v>1775</v>
      </c>
      <c r="AF1277" s="38" t="s">
        <v>83</v>
      </c>
      <c r="AG1277" s="38" t="s">
        <v>83</v>
      </c>
      <c r="AH1277" s="38" t="s">
        <v>90</v>
      </c>
      <c r="AI1277" s="51">
        <v>41562</v>
      </c>
      <c r="AJ1277" s="51">
        <v>41593</v>
      </c>
      <c r="AK1277" s="369"/>
      <c r="AL1277" s="60"/>
      <c r="AM1277" s="60" t="s">
        <v>4159</v>
      </c>
      <c r="AN1277" s="60" t="s">
        <v>171</v>
      </c>
      <c r="AO1277" s="11">
        <v>796</v>
      </c>
      <c r="AP1277" s="38" t="s">
        <v>419</v>
      </c>
      <c r="AQ1277" s="38">
        <v>1</v>
      </c>
      <c r="AR1277" s="38" t="s">
        <v>2980</v>
      </c>
      <c r="AS1277" s="16" t="s">
        <v>3373</v>
      </c>
      <c r="AT1277" s="78">
        <v>41640</v>
      </c>
      <c r="AU1277" s="78">
        <v>41640</v>
      </c>
      <c r="AV1277" s="78">
        <v>42004</v>
      </c>
      <c r="AW1277" s="38">
        <v>2014</v>
      </c>
      <c r="AX1277" s="60"/>
      <c r="AY1277" s="135"/>
      <c r="AZ1277" s="60"/>
      <c r="BA1277" s="38"/>
      <c r="BB1277" s="38"/>
      <c r="BC1277" s="60"/>
      <c r="BD1277" s="60"/>
      <c r="BE1277" s="304"/>
      <c r="BF1277" s="304"/>
      <c r="BG1277" s="304"/>
      <c r="BH1277" s="304"/>
      <c r="BI1277" s="304"/>
      <c r="BJ1277" s="304"/>
      <c r="BK1277" s="304"/>
    </row>
    <row r="1278" spans="1:63" s="287" customFormat="1" ht="93.75">
      <c r="A1278" s="401">
        <v>3</v>
      </c>
      <c r="B1278" s="38" t="s">
        <v>4169</v>
      </c>
      <c r="C1278" s="38" t="s">
        <v>83</v>
      </c>
      <c r="D1278" s="38" t="s">
        <v>4158</v>
      </c>
      <c r="E1278" s="38" t="s">
        <v>274</v>
      </c>
      <c r="F1278" s="38" t="s">
        <v>4620</v>
      </c>
      <c r="G1278" s="38">
        <v>31</v>
      </c>
      <c r="H1278" s="11">
        <v>626372</v>
      </c>
      <c r="I1278" s="16" t="s">
        <v>4191</v>
      </c>
      <c r="J1278" s="16" t="s">
        <v>4282</v>
      </c>
      <c r="K1278" s="29" t="s">
        <v>4917</v>
      </c>
      <c r="L1278" s="16" t="s">
        <v>180</v>
      </c>
      <c r="M1278" s="95" t="s">
        <v>4170</v>
      </c>
      <c r="N1278" s="15" t="s">
        <v>4171</v>
      </c>
      <c r="O1278" s="16" t="s">
        <v>4172</v>
      </c>
      <c r="P1278" s="23">
        <v>63991.640290000003</v>
      </c>
      <c r="Q1278" s="23">
        <f t="shared" si="165"/>
        <v>75510.135542200005</v>
      </c>
      <c r="R1278" s="23">
        <v>61135.850072887275</v>
      </c>
      <c r="S1278" s="29" t="s">
        <v>4180</v>
      </c>
      <c r="T1278" s="312">
        <v>1.0840000000000001</v>
      </c>
      <c r="U1278" s="312">
        <v>1.0509999999999999</v>
      </c>
      <c r="V1278" s="312">
        <v>1.0669999999999999</v>
      </c>
      <c r="W1278" s="312">
        <v>1.056</v>
      </c>
      <c r="X1278" s="403">
        <v>0.9</v>
      </c>
      <c r="Y1278" s="23">
        <v>70631.560360000003</v>
      </c>
      <c r="Z1278" s="23">
        <f t="shared" si="166"/>
        <v>83345.241224800004</v>
      </c>
      <c r="AA1278" s="36" t="s">
        <v>132</v>
      </c>
      <c r="AB1278" s="36" t="s">
        <v>132</v>
      </c>
      <c r="AC1278" s="23">
        <v>63991.640290000003</v>
      </c>
      <c r="AD1278" s="23">
        <f t="shared" si="167"/>
        <v>75510.135542200005</v>
      </c>
      <c r="AE1278" s="38" t="s">
        <v>1775</v>
      </c>
      <c r="AF1278" s="38" t="s">
        <v>83</v>
      </c>
      <c r="AG1278" s="38" t="s">
        <v>83</v>
      </c>
      <c r="AH1278" s="38" t="s">
        <v>90</v>
      </c>
      <c r="AI1278" s="51">
        <v>41593</v>
      </c>
      <c r="AJ1278" s="51">
        <v>41638</v>
      </c>
      <c r="AK1278" s="369"/>
      <c r="AL1278" s="60"/>
      <c r="AM1278" s="60" t="s">
        <v>4159</v>
      </c>
      <c r="AN1278" s="60" t="s">
        <v>171</v>
      </c>
      <c r="AO1278" s="11">
        <v>796</v>
      </c>
      <c r="AP1278" s="38" t="s">
        <v>419</v>
      </c>
      <c r="AQ1278" s="38">
        <v>1</v>
      </c>
      <c r="AR1278" s="38" t="s">
        <v>2980</v>
      </c>
      <c r="AS1278" s="16" t="s">
        <v>3373</v>
      </c>
      <c r="AT1278" s="78">
        <v>41640</v>
      </c>
      <c r="AU1278" s="78">
        <v>41640</v>
      </c>
      <c r="AV1278" s="78">
        <v>41942</v>
      </c>
      <c r="AW1278" s="38">
        <v>2014</v>
      </c>
      <c r="AX1278" s="60"/>
      <c r="AY1278" s="135"/>
      <c r="AZ1278" s="60"/>
      <c r="BA1278" s="38"/>
      <c r="BB1278" s="38"/>
      <c r="BC1278" s="60"/>
      <c r="BD1278" s="60"/>
      <c r="BE1278" s="304"/>
      <c r="BF1278" s="304"/>
      <c r="BG1278" s="304"/>
      <c r="BH1278" s="304"/>
      <c r="BI1278" s="304"/>
      <c r="BJ1278" s="304"/>
      <c r="BK1278" s="304"/>
    </row>
    <row r="1279" spans="1:63" s="287" customFormat="1" ht="93.75">
      <c r="A1279" s="401">
        <v>3</v>
      </c>
      <c r="B1279" s="38" t="s">
        <v>4183</v>
      </c>
      <c r="C1279" s="38" t="s">
        <v>83</v>
      </c>
      <c r="D1279" s="38" t="s">
        <v>4158</v>
      </c>
      <c r="E1279" s="38" t="s">
        <v>274</v>
      </c>
      <c r="F1279" s="38" t="s">
        <v>4620</v>
      </c>
      <c r="G1279" s="38">
        <v>31</v>
      </c>
      <c r="H1279" s="11">
        <v>626406</v>
      </c>
      <c r="I1279" s="16" t="s">
        <v>4192</v>
      </c>
      <c r="J1279" s="16" t="s">
        <v>4282</v>
      </c>
      <c r="K1279" s="29" t="s">
        <v>4917</v>
      </c>
      <c r="L1279" s="16" t="s">
        <v>180</v>
      </c>
      <c r="M1279" s="95" t="s">
        <v>4170</v>
      </c>
      <c r="N1279" s="15" t="s">
        <v>4171</v>
      </c>
      <c r="O1279" s="16" t="s">
        <v>4172</v>
      </c>
      <c r="P1279" s="23">
        <v>619.95554000000004</v>
      </c>
      <c r="Q1279" s="23">
        <f t="shared" si="165"/>
        <v>731.54753719999997</v>
      </c>
      <c r="R1279" s="23">
        <v>571.09436240315063</v>
      </c>
      <c r="S1279" s="29" t="s">
        <v>4180</v>
      </c>
      <c r="T1279" s="312">
        <v>1.0840000000000001</v>
      </c>
      <c r="U1279" s="312">
        <v>1.0509999999999999</v>
      </c>
      <c r="V1279" s="312">
        <v>1.0669999999999999</v>
      </c>
      <c r="W1279" s="312">
        <v>1.056</v>
      </c>
      <c r="X1279" s="403">
        <v>0.9</v>
      </c>
      <c r="Y1279" s="23">
        <v>659.79758000000004</v>
      </c>
      <c r="Z1279" s="23">
        <f t="shared" si="166"/>
        <v>778.56114439999999</v>
      </c>
      <c r="AA1279" s="36" t="s">
        <v>132</v>
      </c>
      <c r="AB1279" s="36" t="s">
        <v>132</v>
      </c>
      <c r="AC1279" s="23">
        <v>619.95554000000004</v>
      </c>
      <c r="AD1279" s="23">
        <f t="shared" si="167"/>
        <v>731.54753719999997</v>
      </c>
      <c r="AE1279" s="38" t="s">
        <v>1775</v>
      </c>
      <c r="AF1279" s="38" t="s">
        <v>83</v>
      </c>
      <c r="AG1279" s="38" t="s">
        <v>83</v>
      </c>
      <c r="AH1279" s="38" t="s">
        <v>90</v>
      </c>
      <c r="AI1279" s="51">
        <v>41577</v>
      </c>
      <c r="AJ1279" s="51">
        <v>41622</v>
      </c>
      <c r="AK1279" s="369"/>
      <c r="AL1279" s="60"/>
      <c r="AM1279" s="60" t="s">
        <v>4159</v>
      </c>
      <c r="AN1279" s="60" t="s">
        <v>171</v>
      </c>
      <c r="AO1279" s="11">
        <v>796</v>
      </c>
      <c r="AP1279" s="38" t="s">
        <v>419</v>
      </c>
      <c r="AQ1279" s="38">
        <v>1</v>
      </c>
      <c r="AR1279" s="38" t="s">
        <v>2980</v>
      </c>
      <c r="AS1279" s="16" t="s">
        <v>3373</v>
      </c>
      <c r="AT1279" s="78">
        <v>41640</v>
      </c>
      <c r="AU1279" s="78">
        <v>41640</v>
      </c>
      <c r="AV1279" s="78">
        <v>41942</v>
      </c>
      <c r="AW1279" s="38">
        <v>2014</v>
      </c>
      <c r="AX1279" s="60"/>
      <c r="AY1279" s="135"/>
      <c r="AZ1279" s="60"/>
      <c r="BA1279" s="38"/>
      <c r="BB1279" s="38"/>
      <c r="BC1279" s="60"/>
      <c r="BD1279" s="60"/>
      <c r="BE1279" s="304"/>
      <c r="BF1279" s="304"/>
      <c r="BG1279" s="304"/>
      <c r="BH1279" s="304"/>
      <c r="BI1279" s="304"/>
      <c r="BJ1279" s="304"/>
      <c r="BK1279" s="16"/>
    </row>
    <row r="1280" spans="1:63" s="287" customFormat="1" ht="75">
      <c r="A1280" s="401">
        <v>3</v>
      </c>
      <c r="B1280" s="38" t="s">
        <v>4193</v>
      </c>
      <c r="C1280" s="38" t="s">
        <v>83</v>
      </c>
      <c r="D1280" s="38" t="s">
        <v>4158</v>
      </c>
      <c r="E1280" s="38" t="s">
        <v>274</v>
      </c>
      <c r="F1280" s="38" t="s">
        <v>4622</v>
      </c>
      <c r="G1280" s="38">
        <v>27</v>
      </c>
      <c r="H1280" s="11">
        <v>626260</v>
      </c>
      <c r="I1280" s="16" t="s">
        <v>4194</v>
      </c>
      <c r="J1280" s="16" t="s">
        <v>4282</v>
      </c>
      <c r="K1280" s="29" t="s">
        <v>4917</v>
      </c>
      <c r="L1280" s="16" t="s">
        <v>180</v>
      </c>
      <c r="M1280" s="95" t="s">
        <v>4170</v>
      </c>
      <c r="N1280" s="15" t="s">
        <v>4171</v>
      </c>
      <c r="O1280" s="16" t="s">
        <v>4172</v>
      </c>
      <c r="P1280" s="23">
        <v>1041.664</v>
      </c>
      <c r="Q1280" s="23">
        <f t="shared" si="165"/>
        <v>1229.1635199999998</v>
      </c>
      <c r="R1280" s="23">
        <v>681.84493675758347</v>
      </c>
      <c r="S1280" s="29" t="s">
        <v>4180</v>
      </c>
      <c r="T1280" s="312">
        <v>1.0840000000000001</v>
      </c>
      <c r="U1280" s="312">
        <v>1.0509999999999999</v>
      </c>
      <c r="V1280" s="312">
        <v>1.0669999999999999</v>
      </c>
      <c r="W1280" s="312">
        <v>1.056</v>
      </c>
      <c r="X1280" s="403">
        <v>0.9</v>
      </c>
      <c r="Y1280" s="23">
        <v>787.75009669999997</v>
      </c>
      <c r="Z1280" s="23">
        <f t="shared" si="166"/>
        <v>929.54511410599991</v>
      </c>
      <c r="AA1280" s="36" t="s">
        <v>132</v>
      </c>
      <c r="AB1280" s="36" t="s">
        <v>132</v>
      </c>
      <c r="AC1280" s="23">
        <v>787.75009669999997</v>
      </c>
      <c r="AD1280" s="23">
        <f t="shared" si="167"/>
        <v>929.54511410599991</v>
      </c>
      <c r="AE1280" s="38" t="s">
        <v>173</v>
      </c>
      <c r="AF1280" s="38" t="s">
        <v>83</v>
      </c>
      <c r="AG1280" s="38" t="s">
        <v>83</v>
      </c>
      <c r="AH1280" s="38" t="s">
        <v>90</v>
      </c>
      <c r="AI1280" s="51">
        <v>41577</v>
      </c>
      <c r="AJ1280" s="51">
        <v>41622</v>
      </c>
      <c r="AK1280" s="369"/>
      <c r="AL1280" s="60"/>
      <c r="AM1280" s="60" t="s">
        <v>4159</v>
      </c>
      <c r="AN1280" s="60" t="s">
        <v>171</v>
      </c>
      <c r="AO1280" s="11">
        <v>796</v>
      </c>
      <c r="AP1280" s="38" t="s">
        <v>419</v>
      </c>
      <c r="AQ1280" s="38">
        <v>1</v>
      </c>
      <c r="AR1280" s="38" t="s">
        <v>2980</v>
      </c>
      <c r="AS1280" s="16" t="s">
        <v>3373</v>
      </c>
      <c r="AT1280" s="78">
        <v>41640</v>
      </c>
      <c r="AU1280" s="78">
        <v>41640</v>
      </c>
      <c r="AV1280" s="78">
        <v>41942</v>
      </c>
      <c r="AW1280" s="38">
        <v>2014</v>
      </c>
      <c r="AX1280" s="60"/>
      <c r="AY1280" s="135"/>
      <c r="AZ1280" s="60"/>
      <c r="BA1280" s="38"/>
      <c r="BB1280" s="38"/>
      <c r="BC1280" s="60"/>
      <c r="BD1280" s="60"/>
      <c r="BE1280" s="304"/>
      <c r="BF1280" s="304"/>
      <c r="BG1280" s="304"/>
      <c r="BH1280" s="304"/>
      <c r="BI1280" s="304"/>
      <c r="BJ1280" s="304"/>
      <c r="BK1280" s="16"/>
    </row>
    <row r="1281" spans="1:63" s="287" customFormat="1" ht="168.75">
      <c r="A1281" s="401">
        <v>3</v>
      </c>
      <c r="B1281" s="38" t="s">
        <v>4195</v>
      </c>
      <c r="C1281" s="38" t="s">
        <v>83</v>
      </c>
      <c r="D1281" s="38" t="s">
        <v>4158</v>
      </c>
      <c r="E1281" s="38" t="s">
        <v>274</v>
      </c>
      <c r="F1281" s="38" t="s">
        <v>4620</v>
      </c>
      <c r="G1281" s="38">
        <v>31</v>
      </c>
      <c r="H1281" s="11">
        <v>626294</v>
      </c>
      <c r="I1281" s="16" t="s">
        <v>4196</v>
      </c>
      <c r="J1281" s="16" t="s">
        <v>4282</v>
      </c>
      <c r="K1281" s="29" t="s">
        <v>4917</v>
      </c>
      <c r="L1281" s="16" t="s">
        <v>180</v>
      </c>
      <c r="M1281" s="95" t="s">
        <v>4170</v>
      </c>
      <c r="N1281" s="15" t="s">
        <v>4171</v>
      </c>
      <c r="O1281" s="16" t="s">
        <v>4172</v>
      </c>
      <c r="P1281" s="23">
        <v>3114.5771800000002</v>
      </c>
      <c r="Q1281" s="23">
        <f t="shared" si="165"/>
        <v>3675.2010724000002</v>
      </c>
      <c r="R1281" s="23">
        <v>3115.7244566619697</v>
      </c>
      <c r="S1281" s="29" t="s">
        <v>4652</v>
      </c>
      <c r="T1281" s="312">
        <v>1.0900000000000001</v>
      </c>
      <c r="U1281" s="312">
        <v>1.0409999999999999</v>
      </c>
      <c r="V1281" s="312">
        <v>1.0229999999999999</v>
      </c>
      <c r="W1281" s="312">
        <v>1</v>
      </c>
      <c r="X1281" s="403">
        <v>0.9</v>
      </c>
      <c r="Y1281" s="23">
        <v>3255.0256399999998</v>
      </c>
      <c r="Z1281" s="23">
        <f t="shared" si="166"/>
        <v>3840.9302551999995</v>
      </c>
      <c r="AA1281" s="36" t="s">
        <v>132</v>
      </c>
      <c r="AB1281" s="36" t="s">
        <v>132</v>
      </c>
      <c r="AC1281" s="23">
        <v>3114.5771800000002</v>
      </c>
      <c r="AD1281" s="23">
        <f t="shared" si="167"/>
        <v>3675.2010724000002</v>
      </c>
      <c r="AE1281" s="38" t="s">
        <v>1775</v>
      </c>
      <c r="AF1281" s="38" t="s">
        <v>83</v>
      </c>
      <c r="AG1281" s="38" t="s">
        <v>83</v>
      </c>
      <c r="AH1281" s="38" t="s">
        <v>90</v>
      </c>
      <c r="AI1281" s="51">
        <v>41577</v>
      </c>
      <c r="AJ1281" s="51">
        <v>41622</v>
      </c>
      <c r="AK1281" s="369"/>
      <c r="AL1281" s="60"/>
      <c r="AM1281" s="60" t="s">
        <v>4159</v>
      </c>
      <c r="AN1281" s="60" t="s">
        <v>171</v>
      </c>
      <c r="AO1281" s="11">
        <v>796</v>
      </c>
      <c r="AP1281" s="38" t="s">
        <v>419</v>
      </c>
      <c r="AQ1281" s="38">
        <v>1</v>
      </c>
      <c r="AR1281" s="38" t="s">
        <v>2980</v>
      </c>
      <c r="AS1281" s="16" t="s">
        <v>3373</v>
      </c>
      <c r="AT1281" s="78">
        <v>41640</v>
      </c>
      <c r="AU1281" s="78">
        <v>41640</v>
      </c>
      <c r="AV1281" s="78">
        <v>41942</v>
      </c>
      <c r="AW1281" s="38">
        <v>2014</v>
      </c>
      <c r="AX1281" s="60"/>
      <c r="AY1281" s="135"/>
      <c r="AZ1281" s="60"/>
      <c r="BA1281" s="38"/>
      <c r="BB1281" s="38"/>
      <c r="BC1281" s="60"/>
      <c r="BD1281" s="60"/>
      <c r="BE1281" s="304"/>
      <c r="BF1281" s="304"/>
      <c r="BG1281" s="304"/>
      <c r="BH1281" s="304"/>
      <c r="BI1281" s="304"/>
      <c r="BJ1281" s="304"/>
      <c r="BK1281" s="16"/>
    </row>
    <row r="1282" spans="1:63" s="287" customFormat="1" ht="168.75">
      <c r="A1282" s="401">
        <v>3</v>
      </c>
      <c r="B1282" s="38" t="s">
        <v>4197</v>
      </c>
      <c r="C1282" s="38" t="s">
        <v>83</v>
      </c>
      <c r="D1282" s="38" t="s">
        <v>4158</v>
      </c>
      <c r="E1282" s="38" t="s">
        <v>274</v>
      </c>
      <c r="F1282" s="38" t="s">
        <v>4620</v>
      </c>
      <c r="G1282" s="38">
        <v>31</v>
      </c>
      <c r="H1282" s="11">
        <v>626290</v>
      </c>
      <c r="I1282" s="16" t="s">
        <v>4198</v>
      </c>
      <c r="J1282" s="16" t="s">
        <v>4282</v>
      </c>
      <c r="K1282" s="29" t="s">
        <v>4917</v>
      </c>
      <c r="L1282" s="16" t="s">
        <v>180</v>
      </c>
      <c r="M1282" s="95" t="s">
        <v>4170</v>
      </c>
      <c r="N1282" s="15" t="s">
        <v>4171</v>
      </c>
      <c r="O1282" s="16" t="s">
        <v>4172</v>
      </c>
      <c r="P1282" s="23">
        <v>39321.256999999998</v>
      </c>
      <c r="Q1282" s="23">
        <f t="shared" si="165"/>
        <v>46399.083259999992</v>
      </c>
      <c r="R1282" s="23">
        <v>31744.708004993961</v>
      </c>
      <c r="S1282" s="29" t="s">
        <v>4652</v>
      </c>
      <c r="T1282" s="312">
        <v>1.0900000000000001</v>
      </c>
      <c r="U1282" s="312">
        <v>1.0409999999999999</v>
      </c>
      <c r="V1282" s="312">
        <v>1.0229999999999999</v>
      </c>
      <c r="W1282" s="312">
        <v>1</v>
      </c>
      <c r="X1282" s="403">
        <v>0.9</v>
      </c>
      <c r="Y1282" s="23">
        <v>33163.984790000002</v>
      </c>
      <c r="Z1282" s="23">
        <f t="shared" si="166"/>
        <v>39133.502052199998</v>
      </c>
      <c r="AA1282" s="36" t="s">
        <v>132</v>
      </c>
      <c r="AB1282" s="36" t="s">
        <v>132</v>
      </c>
      <c r="AC1282" s="23">
        <v>39321.256999999998</v>
      </c>
      <c r="AD1282" s="23">
        <f t="shared" si="167"/>
        <v>46399.083259999992</v>
      </c>
      <c r="AE1282" s="38" t="s">
        <v>1775</v>
      </c>
      <c r="AF1282" s="38" t="s">
        <v>83</v>
      </c>
      <c r="AG1282" s="38" t="s">
        <v>83</v>
      </c>
      <c r="AH1282" s="38" t="s">
        <v>90</v>
      </c>
      <c r="AI1282" s="51">
        <v>41577</v>
      </c>
      <c r="AJ1282" s="51">
        <v>41622</v>
      </c>
      <c r="AK1282" s="369"/>
      <c r="AL1282" s="60"/>
      <c r="AM1282" s="60" t="s">
        <v>4159</v>
      </c>
      <c r="AN1282" s="60" t="s">
        <v>171</v>
      </c>
      <c r="AO1282" s="11">
        <v>796</v>
      </c>
      <c r="AP1282" s="38" t="s">
        <v>419</v>
      </c>
      <c r="AQ1282" s="38">
        <v>1</v>
      </c>
      <c r="AR1282" s="38" t="s">
        <v>2980</v>
      </c>
      <c r="AS1282" s="16" t="s">
        <v>3373</v>
      </c>
      <c r="AT1282" s="78">
        <v>41640</v>
      </c>
      <c r="AU1282" s="78">
        <v>41640</v>
      </c>
      <c r="AV1282" s="78">
        <v>41850</v>
      </c>
      <c r="AW1282" s="38">
        <v>2014</v>
      </c>
      <c r="AX1282" s="60"/>
      <c r="AY1282" s="135"/>
      <c r="AZ1282" s="60"/>
      <c r="BA1282" s="38"/>
      <c r="BB1282" s="38"/>
      <c r="BC1282" s="60"/>
      <c r="BD1282" s="60"/>
      <c r="BE1282" s="304"/>
      <c r="BF1282" s="304"/>
      <c r="BG1282" s="304"/>
      <c r="BH1282" s="304"/>
      <c r="BI1282" s="304"/>
      <c r="BJ1282" s="304"/>
      <c r="BK1282" s="16"/>
    </row>
    <row r="1283" spans="1:63" s="287" customFormat="1" ht="168.75">
      <c r="A1283" s="401">
        <v>3</v>
      </c>
      <c r="B1283" s="38" t="s">
        <v>4199</v>
      </c>
      <c r="C1283" s="38" t="s">
        <v>83</v>
      </c>
      <c r="D1283" s="38" t="s">
        <v>4158</v>
      </c>
      <c r="E1283" s="38" t="s">
        <v>274</v>
      </c>
      <c r="F1283" s="38" t="s">
        <v>4620</v>
      </c>
      <c r="G1283" s="38">
        <v>31</v>
      </c>
      <c r="H1283" s="11">
        <v>626289</v>
      </c>
      <c r="I1283" s="16" t="s">
        <v>4200</v>
      </c>
      <c r="J1283" s="16" t="s">
        <v>4282</v>
      </c>
      <c r="K1283" s="29" t="s">
        <v>4917</v>
      </c>
      <c r="L1283" s="16" t="s">
        <v>180</v>
      </c>
      <c r="M1283" s="95" t="s">
        <v>4170</v>
      </c>
      <c r="N1283" s="15" t="s">
        <v>4171</v>
      </c>
      <c r="O1283" s="16" t="s">
        <v>4172</v>
      </c>
      <c r="P1283" s="23">
        <v>19897.8027</v>
      </c>
      <c r="Q1283" s="23">
        <f t="shared" si="165"/>
        <v>23479.407186</v>
      </c>
      <c r="R1283" s="23">
        <v>23991.579720954716</v>
      </c>
      <c r="S1283" s="29" t="s">
        <v>4652</v>
      </c>
      <c r="T1283" s="312">
        <v>1.0900000000000001</v>
      </c>
      <c r="U1283" s="312">
        <v>1.0409999999999999</v>
      </c>
      <c r="V1283" s="312">
        <v>1.0229999999999999</v>
      </c>
      <c r="W1283" s="312">
        <v>1</v>
      </c>
      <c r="X1283" s="403">
        <v>0.9</v>
      </c>
      <c r="Y1283" s="23">
        <v>25064.221249999999</v>
      </c>
      <c r="Z1283" s="23">
        <f t="shared" si="166"/>
        <v>29575.781074999995</v>
      </c>
      <c r="AA1283" s="36" t="s">
        <v>132</v>
      </c>
      <c r="AB1283" s="36" t="s">
        <v>132</v>
      </c>
      <c r="AC1283" s="23">
        <v>19897.8027</v>
      </c>
      <c r="AD1283" s="23">
        <f t="shared" si="167"/>
        <v>23479.407186</v>
      </c>
      <c r="AE1283" s="38" t="s">
        <v>1775</v>
      </c>
      <c r="AF1283" s="38" t="s">
        <v>83</v>
      </c>
      <c r="AG1283" s="38" t="s">
        <v>83</v>
      </c>
      <c r="AH1283" s="38" t="s">
        <v>90</v>
      </c>
      <c r="AI1283" s="51">
        <v>41577</v>
      </c>
      <c r="AJ1283" s="51">
        <v>41622</v>
      </c>
      <c r="AK1283" s="369"/>
      <c r="AL1283" s="60"/>
      <c r="AM1283" s="60" t="s">
        <v>4159</v>
      </c>
      <c r="AN1283" s="60" t="s">
        <v>171</v>
      </c>
      <c r="AO1283" s="11">
        <v>796</v>
      </c>
      <c r="AP1283" s="38" t="s">
        <v>419</v>
      </c>
      <c r="AQ1283" s="38">
        <v>1</v>
      </c>
      <c r="AR1283" s="38" t="s">
        <v>2980</v>
      </c>
      <c r="AS1283" s="16" t="s">
        <v>3373</v>
      </c>
      <c r="AT1283" s="78">
        <v>41640</v>
      </c>
      <c r="AU1283" s="78">
        <v>41640</v>
      </c>
      <c r="AV1283" s="78">
        <v>41850</v>
      </c>
      <c r="AW1283" s="38">
        <v>2014</v>
      </c>
      <c r="AX1283" s="60"/>
      <c r="AY1283" s="135"/>
      <c r="AZ1283" s="60"/>
      <c r="BA1283" s="38"/>
      <c r="BB1283" s="38"/>
      <c r="BC1283" s="60"/>
      <c r="BD1283" s="60"/>
      <c r="BE1283" s="304"/>
      <c r="BF1283" s="304"/>
      <c r="BG1283" s="304"/>
      <c r="BH1283" s="304"/>
      <c r="BI1283" s="304"/>
      <c r="BJ1283" s="304"/>
      <c r="BK1283" s="16"/>
    </row>
    <row r="1284" spans="1:63" s="287" customFormat="1" ht="168.75">
      <c r="A1284" s="401">
        <v>3</v>
      </c>
      <c r="B1284" s="38" t="s">
        <v>4201</v>
      </c>
      <c r="C1284" s="38" t="s">
        <v>83</v>
      </c>
      <c r="D1284" s="38" t="s">
        <v>4158</v>
      </c>
      <c r="E1284" s="38" t="s">
        <v>274</v>
      </c>
      <c r="F1284" s="38" t="s">
        <v>4620</v>
      </c>
      <c r="G1284" s="38">
        <v>31</v>
      </c>
      <c r="H1284" s="11">
        <v>626365</v>
      </c>
      <c r="I1284" s="16" t="s">
        <v>4202</v>
      </c>
      <c r="J1284" s="16" t="s">
        <v>4282</v>
      </c>
      <c r="K1284" s="29" t="s">
        <v>4917</v>
      </c>
      <c r="L1284" s="16" t="s">
        <v>180</v>
      </c>
      <c r="M1284" s="95" t="s">
        <v>4170</v>
      </c>
      <c r="N1284" s="15" t="s">
        <v>4171</v>
      </c>
      <c r="O1284" s="16" t="s">
        <v>4172</v>
      </c>
      <c r="P1284" s="23">
        <v>9892.9500000000007</v>
      </c>
      <c r="Q1284" s="23">
        <f t="shared" si="165"/>
        <v>11673.681</v>
      </c>
      <c r="R1284" s="23">
        <v>11239.71038547963</v>
      </c>
      <c r="S1284" s="29" t="s">
        <v>4652</v>
      </c>
      <c r="T1284" s="312">
        <v>1.0900000000000001</v>
      </c>
      <c r="U1284" s="312">
        <v>1.0409999999999999</v>
      </c>
      <c r="V1284" s="312">
        <v>1.0229999999999999</v>
      </c>
      <c r="W1284" s="312">
        <v>1</v>
      </c>
      <c r="X1284" s="403">
        <v>0.9</v>
      </c>
      <c r="Y1284" s="23">
        <v>11742.22753</v>
      </c>
      <c r="Z1284" s="23">
        <f t="shared" si="166"/>
        <v>13855.828485399999</v>
      </c>
      <c r="AA1284" s="36" t="s">
        <v>132</v>
      </c>
      <c r="AB1284" s="36" t="s">
        <v>132</v>
      </c>
      <c r="AC1284" s="23">
        <v>9892.9500000000007</v>
      </c>
      <c r="AD1284" s="23">
        <f t="shared" si="167"/>
        <v>11673.681</v>
      </c>
      <c r="AE1284" s="38" t="s">
        <v>1775</v>
      </c>
      <c r="AF1284" s="38" t="s">
        <v>83</v>
      </c>
      <c r="AG1284" s="38" t="s">
        <v>83</v>
      </c>
      <c r="AH1284" s="38" t="s">
        <v>90</v>
      </c>
      <c r="AI1284" s="51">
        <v>41577</v>
      </c>
      <c r="AJ1284" s="51">
        <v>41622</v>
      </c>
      <c r="AK1284" s="369"/>
      <c r="AL1284" s="60"/>
      <c r="AM1284" s="60" t="s">
        <v>4159</v>
      </c>
      <c r="AN1284" s="60" t="s">
        <v>171</v>
      </c>
      <c r="AO1284" s="11">
        <v>796</v>
      </c>
      <c r="AP1284" s="38" t="s">
        <v>419</v>
      </c>
      <c r="AQ1284" s="38">
        <v>1</v>
      </c>
      <c r="AR1284" s="38" t="s">
        <v>2980</v>
      </c>
      <c r="AS1284" s="16" t="s">
        <v>3373</v>
      </c>
      <c r="AT1284" s="78">
        <v>41640</v>
      </c>
      <c r="AU1284" s="78">
        <v>41640</v>
      </c>
      <c r="AV1284" s="78">
        <v>41942</v>
      </c>
      <c r="AW1284" s="38">
        <v>2014</v>
      </c>
      <c r="AX1284" s="60"/>
      <c r="AY1284" s="135"/>
      <c r="AZ1284" s="60"/>
      <c r="BA1284" s="38"/>
      <c r="BB1284" s="38"/>
      <c r="BC1284" s="60"/>
      <c r="BD1284" s="60"/>
      <c r="BE1284" s="304"/>
      <c r="BF1284" s="304"/>
      <c r="BG1284" s="304"/>
      <c r="BH1284" s="304"/>
      <c r="BI1284" s="304"/>
      <c r="BJ1284" s="304"/>
      <c r="BK1284" s="16"/>
    </row>
    <row r="1285" spans="1:63" s="287" customFormat="1" ht="168.75">
      <c r="A1285" s="401">
        <v>3</v>
      </c>
      <c r="B1285" s="38" t="s">
        <v>4203</v>
      </c>
      <c r="C1285" s="38" t="s">
        <v>83</v>
      </c>
      <c r="D1285" s="38" t="s">
        <v>4158</v>
      </c>
      <c r="E1285" s="38" t="s">
        <v>274</v>
      </c>
      <c r="F1285" s="38" t="s">
        <v>4620</v>
      </c>
      <c r="G1285" s="38">
        <v>31</v>
      </c>
      <c r="H1285" s="11">
        <v>626272</v>
      </c>
      <c r="I1285" s="16" t="s">
        <v>4204</v>
      </c>
      <c r="J1285" s="16" t="s">
        <v>4282</v>
      </c>
      <c r="K1285" s="29" t="s">
        <v>4917</v>
      </c>
      <c r="L1285" s="16" t="s">
        <v>180</v>
      </c>
      <c r="M1285" s="95" t="s">
        <v>4170</v>
      </c>
      <c r="N1285" s="15" t="s">
        <v>4171</v>
      </c>
      <c r="O1285" s="16" t="s">
        <v>4172</v>
      </c>
      <c r="P1285" s="23">
        <v>1536.9395500000001</v>
      </c>
      <c r="Q1285" s="23">
        <f t="shared" si="165"/>
        <v>1813.588669</v>
      </c>
      <c r="R1285" s="23">
        <v>1517.0730453005929</v>
      </c>
      <c r="S1285" s="29" t="s">
        <v>4654</v>
      </c>
      <c r="T1285" s="312">
        <v>1.0900000000000001</v>
      </c>
      <c r="U1285" s="312">
        <v>1.0409999999999999</v>
      </c>
      <c r="V1285" s="312">
        <v>1.0229999999999999</v>
      </c>
      <c r="W1285" s="312">
        <v>1</v>
      </c>
      <c r="X1285" s="403">
        <v>0.9</v>
      </c>
      <c r="Y1285" s="23">
        <v>1584.8999899999999</v>
      </c>
      <c r="Z1285" s="23">
        <f t="shared" si="166"/>
        <v>1870.1819881999998</v>
      </c>
      <c r="AA1285" s="36" t="s">
        <v>132</v>
      </c>
      <c r="AB1285" s="36" t="s">
        <v>132</v>
      </c>
      <c r="AC1285" s="23">
        <v>1536.9395500000001</v>
      </c>
      <c r="AD1285" s="23">
        <f t="shared" si="167"/>
        <v>1813.588669</v>
      </c>
      <c r="AE1285" s="38" t="s">
        <v>1775</v>
      </c>
      <c r="AF1285" s="38" t="s">
        <v>83</v>
      </c>
      <c r="AG1285" s="38" t="s">
        <v>83</v>
      </c>
      <c r="AH1285" s="38" t="s">
        <v>90</v>
      </c>
      <c r="AI1285" s="51">
        <v>41577</v>
      </c>
      <c r="AJ1285" s="51">
        <v>41622</v>
      </c>
      <c r="AK1285" s="369"/>
      <c r="AL1285" s="60"/>
      <c r="AM1285" s="60" t="s">
        <v>4159</v>
      </c>
      <c r="AN1285" s="60" t="s">
        <v>171</v>
      </c>
      <c r="AO1285" s="11">
        <v>796</v>
      </c>
      <c r="AP1285" s="38" t="s">
        <v>419</v>
      </c>
      <c r="AQ1285" s="38">
        <v>1</v>
      </c>
      <c r="AR1285" s="38" t="s">
        <v>2980</v>
      </c>
      <c r="AS1285" s="16" t="s">
        <v>3373</v>
      </c>
      <c r="AT1285" s="78">
        <v>41640</v>
      </c>
      <c r="AU1285" s="78">
        <v>41640</v>
      </c>
      <c r="AV1285" s="78">
        <v>41850</v>
      </c>
      <c r="AW1285" s="38">
        <v>2014</v>
      </c>
      <c r="AX1285" s="60"/>
      <c r="AY1285" s="135"/>
      <c r="AZ1285" s="60"/>
      <c r="BA1285" s="38"/>
      <c r="BB1285" s="38"/>
      <c r="BC1285" s="60"/>
      <c r="BD1285" s="60"/>
      <c r="BE1285" s="304"/>
      <c r="BF1285" s="304"/>
      <c r="BG1285" s="304"/>
      <c r="BH1285" s="304"/>
      <c r="BI1285" s="304"/>
      <c r="BJ1285" s="304"/>
      <c r="BK1285" s="16"/>
    </row>
    <row r="1286" spans="1:63" s="287" customFormat="1" ht="168.75">
      <c r="A1286" s="401">
        <v>3</v>
      </c>
      <c r="B1286" s="38" t="s">
        <v>4205</v>
      </c>
      <c r="C1286" s="38" t="s">
        <v>83</v>
      </c>
      <c r="D1286" s="38" t="s">
        <v>4158</v>
      </c>
      <c r="E1286" s="38" t="s">
        <v>274</v>
      </c>
      <c r="F1286" s="38" t="s">
        <v>4620</v>
      </c>
      <c r="G1286" s="38">
        <v>31</v>
      </c>
      <c r="H1286" s="11">
        <v>626257</v>
      </c>
      <c r="I1286" s="16" t="s">
        <v>4206</v>
      </c>
      <c r="J1286" s="16" t="s">
        <v>4282</v>
      </c>
      <c r="K1286" s="29" t="s">
        <v>4917</v>
      </c>
      <c r="L1286" s="16" t="s">
        <v>180</v>
      </c>
      <c r="M1286" s="95" t="s">
        <v>4170</v>
      </c>
      <c r="N1286" s="15" t="s">
        <v>4171</v>
      </c>
      <c r="O1286" s="16" t="s">
        <v>4172</v>
      </c>
      <c r="P1286" s="23">
        <v>4253.4860200000003</v>
      </c>
      <c r="Q1286" s="23">
        <f t="shared" si="165"/>
        <v>5019.1135036000005</v>
      </c>
      <c r="R1286" s="23">
        <v>5139.553467441232</v>
      </c>
      <c r="S1286" s="29" t="s">
        <v>4654</v>
      </c>
      <c r="T1286" s="312">
        <v>1.0900000000000001</v>
      </c>
      <c r="U1286" s="312">
        <v>1.0409999999999999</v>
      </c>
      <c r="V1286" s="312">
        <v>1.0229999999999999</v>
      </c>
      <c r="W1286" s="312">
        <v>1</v>
      </c>
      <c r="X1286" s="403">
        <v>0.9</v>
      </c>
      <c r="Y1286" s="23">
        <v>5369.3381900000004</v>
      </c>
      <c r="Z1286" s="23">
        <f t="shared" si="166"/>
        <v>6335.8190642</v>
      </c>
      <c r="AA1286" s="36" t="s">
        <v>132</v>
      </c>
      <c r="AB1286" s="36" t="s">
        <v>132</v>
      </c>
      <c r="AC1286" s="23">
        <v>4253.4860200000003</v>
      </c>
      <c r="AD1286" s="23">
        <f t="shared" si="167"/>
        <v>5019.1135036000005</v>
      </c>
      <c r="AE1286" s="38" t="s">
        <v>173</v>
      </c>
      <c r="AF1286" s="38" t="s">
        <v>83</v>
      </c>
      <c r="AG1286" s="38" t="s">
        <v>83</v>
      </c>
      <c r="AH1286" s="38" t="s">
        <v>90</v>
      </c>
      <c r="AI1286" s="51">
        <v>41598</v>
      </c>
      <c r="AJ1286" s="51">
        <v>41622</v>
      </c>
      <c r="AK1286" s="369"/>
      <c r="AL1286" s="60"/>
      <c r="AM1286" s="60" t="s">
        <v>4159</v>
      </c>
      <c r="AN1286" s="60" t="s">
        <v>171</v>
      </c>
      <c r="AO1286" s="11">
        <v>796</v>
      </c>
      <c r="AP1286" s="38" t="s">
        <v>419</v>
      </c>
      <c r="AQ1286" s="38">
        <v>1</v>
      </c>
      <c r="AR1286" s="38" t="s">
        <v>2980</v>
      </c>
      <c r="AS1286" s="16" t="s">
        <v>3373</v>
      </c>
      <c r="AT1286" s="78">
        <v>41640</v>
      </c>
      <c r="AU1286" s="78">
        <v>41640</v>
      </c>
      <c r="AV1286" s="78">
        <v>41850</v>
      </c>
      <c r="AW1286" s="38">
        <v>2014</v>
      </c>
      <c r="AX1286" s="60"/>
      <c r="AY1286" s="135"/>
      <c r="AZ1286" s="60"/>
      <c r="BA1286" s="38"/>
      <c r="BB1286" s="38"/>
      <c r="BC1286" s="60"/>
      <c r="BD1286" s="60"/>
      <c r="BE1286" s="304"/>
      <c r="BF1286" s="304"/>
      <c r="BG1286" s="304"/>
      <c r="BH1286" s="304"/>
      <c r="BI1286" s="304"/>
      <c r="BJ1286" s="304"/>
      <c r="BK1286" s="16"/>
    </row>
    <row r="1287" spans="1:63" s="287" customFormat="1" ht="168.75">
      <c r="A1287" s="401">
        <v>3</v>
      </c>
      <c r="B1287" s="38" t="s">
        <v>4207</v>
      </c>
      <c r="C1287" s="38" t="s">
        <v>83</v>
      </c>
      <c r="D1287" s="38" t="s">
        <v>4158</v>
      </c>
      <c r="E1287" s="38" t="s">
        <v>274</v>
      </c>
      <c r="F1287" s="38" t="s">
        <v>4620</v>
      </c>
      <c r="G1287" s="38">
        <v>31</v>
      </c>
      <c r="H1287" s="11">
        <v>626249</v>
      </c>
      <c r="I1287" s="16" t="s">
        <v>4208</v>
      </c>
      <c r="J1287" s="16" t="s">
        <v>4282</v>
      </c>
      <c r="K1287" s="29" t="s">
        <v>4917</v>
      </c>
      <c r="L1287" s="16" t="s">
        <v>180</v>
      </c>
      <c r="M1287" s="95" t="s">
        <v>4170</v>
      </c>
      <c r="N1287" s="15" t="s">
        <v>4171</v>
      </c>
      <c r="O1287" s="16" t="s">
        <v>4172</v>
      </c>
      <c r="P1287" s="23">
        <v>9837.2060299999994</v>
      </c>
      <c r="Q1287" s="23">
        <f t="shared" si="165"/>
        <v>11607.903115399999</v>
      </c>
      <c r="R1287" s="23">
        <v>9950.949216214809</v>
      </c>
      <c r="S1287" s="29" t="s">
        <v>4654</v>
      </c>
      <c r="T1287" s="312">
        <v>1.0900000000000001</v>
      </c>
      <c r="U1287" s="312">
        <v>1.0409999999999999</v>
      </c>
      <c r="V1287" s="312">
        <v>1.0229999999999999</v>
      </c>
      <c r="W1287" s="312">
        <v>1.044</v>
      </c>
      <c r="X1287" s="403">
        <v>0.9</v>
      </c>
      <c r="Y1287" s="23">
        <v>10853.264300000001</v>
      </c>
      <c r="Z1287" s="23">
        <f t="shared" si="166"/>
        <v>12806.851874</v>
      </c>
      <c r="AA1287" s="36" t="s">
        <v>132</v>
      </c>
      <c r="AB1287" s="36" t="s">
        <v>132</v>
      </c>
      <c r="AC1287" s="23">
        <v>9837.2060299999994</v>
      </c>
      <c r="AD1287" s="23">
        <f t="shared" si="167"/>
        <v>11607.903115399999</v>
      </c>
      <c r="AE1287" s="38" t="s">
        <v>169</v>
      </c>
      <c r="AF1287" s="38" t="s">
        <v>83</v>
      </c>
      <c r="AG1287" s="38" t="s">
        <v>83</v>
      </c>
      <c r="AH1287" s="38" t="s">
        <v>90</v>
      </c>
      <c r="AI1287" s="51">
        <v>41638</v>
      </c>
      <c r="AJ1287" s="51">
        <v>41688</v>
      </c>
      <c r="AK1287" s="369"/>
      <c r="AL1287" s="60"/>
      <c r="AM1287" s="60" t="s">
        <v>4159</v>
      </c>
      <c r="AN1287" s="60" t="s">
        <v>171</v>
      </c>
      <c r="AO1287" s="11">
        <v>796</v>
      </c>
      <c r="AP1287" s="38" t="s">
        <v>419</v>
      </c>
      <c r="AQ1287" s="38">
        <v>1</v>
      </c>
      <c r="AR1287" s="38" t="s">
        <v>2980</v>
      </c>
      <c r="AS1287" s="16" t="s">
        <v>3373</v>
      </c>
      <c r="AT1287" s="78">
        <v>41688</v>
      </c>
      <c r="AU1287" s="78">
        <v>41688</v>
      </c>
      <c r="AV1287" s="78">
        <v>41942</v>
      </c>
      <c r="AW1287" s="38">
        <v>2014</v>
      </c>
      <c r="AX1287" s="60"/>
      <c r="AY1287" s="135"/>
      <c r="AZ1287" s="60"/>
      <c r="BA1287" s="38"/>
      <c r="BB1287" s="38"/>
      <c r="BC1287" s="60"/>
      <c r="BD1287" s="60"/>
      <c r="BE1287" s="304"/>
      <c r="BF1287" s="304"/>
      <c r="BG1287" s="304"/>
      <c r="BH1287" s="304"/>
      <c r="BI1287" s="304"/>
      <c r="BJ1287" s="304"/>
      <c r="BK1287" s="16"/>
    </row>
    <row r="1288" spans="1:63" s="287" customFormat="1" ht="168.75">
      <c r="A1288" s="401">
        <v>3</v>
      </c>
      <c r="B1288" s="38" t="s">
        <v>4209</v>
      </c>
      <c r="C1288" s="38" t="s">
        <v>83</v>
      </c>
      <c r="D1288" s="38" t="s">
        <v>4158</v>
      </c>
      <c r="E1288" s="38" t="s">
        <v>274</v>
      </c>
      <c r="F1288" s="38" t="s">
        <v>4620</v>
      </c>
      <c r="G1288" s="38">
        <v>31</v>
      </c>
      <c r="H1288" s="11">
        <v>626247</v>
      </c>
      <c r="I1288" s="16" t="s">
        <v>4210</v>
      </c>
      <c r="J1288" s="16" t="s">
        <v>4282</v>
      </c>
      <c r="K1288" s="29" t="s">
        <v>4917</v>
      </c>
      <c r="L1288" s="16" t="s">
        <v>180</v>
      </c>
      <c r="M1288" s="95" t="s">
        <v>4170</v>
      </c>
      <c r="N1288" s="15" t="s">
        <v>4171</v>
      </c>
      <c r="O1288" s="16" t="s">
        <v>4172</v>
      </c>
      <c r="P1288" s="23">
        <v>4942.3660600000003</v>
      </c>
      <c r="Q1288" s="23">
        <f t="shared" si="165"/>
        <v>5831.9919508000003</v>
      </c>
      <c r="R1288" s="23">
        <v>5552.3056843184349</v>
      </c>
      <c r="S1288" s="29" t="s">
        <v>4654</v>
      </c>
      <c r="T1288" s="312">
        <v>1.0900000000000001</v>
      </c>
      <c r="U1288" s="312">
        <v>1.0409999999999999</v>
      </c>
      <c r="V1288" s="312">
        <v>1.0229999999999999</v>
      </c>
      <c r="W1288" s="312">
        <v>1</v>
      </c>
      <c r="X1288" s="403">
        <v>0.9</v>
      </c>
      <c r="Y1288" s="23">
        <v>5800.5441799999999</v>
      </c>
      <c r="Z1288" s="23">
        <f t="shared" si="166"/>
        <v>6844.6421323999994</v>
      </c>
      <c r="AA1288" s="36" t="s">
        <v>132</v>
      </c>
      <c r="AB1288" s="36" t="s">
        <v>132</v>
      </c>
      <c r="AC1288" s="23">
        <v>4942.3660600000003</v>
      </c>
      <c r="AD1288" s="23">
        <f t="shared" si="167"/>
        <v>5831.9919508000003</v>
      </c>
      <c r="AE1288" s="38" t="s">
        <v>173</v>
      </c>
      <c r="AF1288" s="38" t="s">
        <v>83</v>
      </c>
      <c r="AG1288" s="38" t="s">
        <v>83</v>
      </c>
      <c r="AH1288" s="38" t="s">
        <v>90</v>
      </c>
      <c r="AI1288" s="51">
        <v>41577</v>
      </c>
      <c r="AJ1288" s="51">
        <v>41622</v>
      </c>
      <c r="AK1288" s="369"/>
      <c r="AL1288" s="60"/>
      <c r="AM1288" s="60" t="s">
        <v>4159</v>
      </c>
      <c r="AN1288" s="60" t="s">
        <v>171</v>
      </c>
      <c r="AO1288" s="11">
        <v>796</v>
      </c>
      <c r="AP1288" s="38" t="s">
        <v>419</v>
      </c>
      <c r="AQ1288" s="38">
        <v>1</v>
      </c>
      <c r="AR1288" s="38" t="s">
        <v>2980</v>
      </c>
      <c r="AS1288" s="16" t="s">
        <v>3373</v>
      </c>
      <c r="AT1288" s="78">
        <v>41640</v>
      </c>
      <c r="AU1288" s="78">
        <v>41640</v>
      </c>
      <c r="AV1288" s="78">
        <v>41942</v>
      </c>
      <c r="AW1288" s="38">
        <v>2014</v>
      </c>
      <c r="AX1288" s="60"/>
      <c r="AY1288" s="135"/>
      <c r="AZ1288" s="60"/>
      <c r="BA1288" s="38"/>
      <c r="BB1288" s="38"/>
      <c r="BC1288" s="60"/>
      <c r="BD1288" s="60"/>
      <c r="BE1288" s="304"/>
      <c r="BF1288" s="304"/>
      <c r="BG1288" s="304"/>
      <c r="BH1288" s="304"/>
      <c r="BI1288" s="304"/>
      <c r="BJ1288" s="304"/>
      <c r="BK1288" s="16"/>
    </row>
    <row r="1289" spans="1:63" s="287" customFormat="1" ht="75">
      <c r="A1289" s="401">
        <v>3</v>
      </c>
      <c r="B1289" s="38" t="s">
        <v>4211</v>
      </c>
      <c r="C1289" s="38" t="s">
        <v>83</v>
      </c>
      <c r="D1289" s="38" t="s">
        <v>4158</v>
      </c>
      <c r="E1289" s="38" t="s">
        <v>274</v>
      </c>
      <c r="F1289" s="38" t="s">
        <v>4620</v>
      </c>
      <c r="G1289" s="38">
        <v>31</v>
      </c>
      <c r="H1289" s="11">
        <v>626378</v>
      </c>
      <c r="I1289" s="16" t="s">
        <v>4212</v>
      </c>
      <c r="J1289" s="16" t="s">
        <v>4282</v>
      </c>
      <c r="K1289" s="29" t="s">
        <v>4917</v>
      </c>
      <c r="L1289" s="16" t="s">
        <v>180</v>
      </c>
      <c r="M1289" s="95" t="s">
        <v>4170</v>
      </c>
      <c r="N1289" s="15" t="s">
        <v>4171</v>
      </c>
      <c r="O1289" s="16" t="s">
        <v>4172</v>
      </c>
      <c r="P1289" s="23">
        <v>5880</v>
      </c>
      <c r="Q1289" s="23">
        <f t="shared" si="165"/>
        <v>6938.4</v>
      </c>
      <c r="R1289" s="23">
        <v>5089.4925242534619</v>
      </c>
      <c r="S1289" s="29" t="s">
        <v>4180</v>
      </c>
      <c r="T1289" s="312">
        <v>1.0840000000000001</v>
      </c>
      <c r="U1289" s="312">
        <v>1.0509999999999999</v>
      </c>
      <c r="V1289" s="312">
        <v>1.0669999999999999</v>
      </c>
      <c r="W1289" s="312">
        <v>1.056</v>
      </c>
      <c r="X1289" s="403">
        <v>0.9</v>
      </c>
      <c r="Y1289" s="23">
        <v>5880</v>
      </c>
      <c r="Z1289" s="23">
        <f t="shared" si="166"/>
        <v>6938.4</v>
      </c>
      <c r="AA1289" s="36" t="s">
        <v>132</v>
      </c>
      <c r="AB1289" s="36" t="s">
        <v>132</v>
      </c>
      <c r="AC1289" s="23">
        <v>5880</v>
      </c>
      <c r="AD1289" s="23">
        <f t="shared" si="167"/>
        <v>6938.4</v>
      </c>
      <c r="AE1289" s="38" t="s">
        <v>173</v>
      </c>
      <c r="AF1289" s="38" t="s">
        <v>83</v>
      </c>
      <c r="AG1289" s="38" t="s">
        <v>83</v>
      </c>
      <c r="AH1289" s="38" t="s">
        <v>90</v>
      </c>
      <c r="AI1289" s="51">
        <v>41577</v>
      </c>
      <c r="AJ1289" s="51">
        <v>41622</v>
      </c>
      <c r="AK1289" s="369"/>
      <c r="AL1289" s="60"/>
      <c r="AM1289" s="60" t="s">
        <v>4159</v>
      </c>
      <c r="AN1289" s="60" t="s">
        <v>171</v>
      </c>
      <c r="AO1289" s="11">
        <v>796</v>
      </c>
      <c r="AP1289" s="38" t="s">
        <v>419</v>
      </c>
      <c r="AQ1289" s="38">
        <v>1</v>
      </c>
      <c r="AR1289" s="38" t="s">
        <v>2980</v>
      </c>
      <c r="AS1289" s="16" t="s">
        <v>3373</v>
      </c>
      <c r="AT1289" s="78">
        <v>41640</v>
      </c>
      <c r="AU1289" s="78">
        <v>41640</v>
      </c>
      <c r="AV1289" s="763">
        <v>41912</v>
      </c>
      <c r="AW1289" s="38">
        <v>2014</v>
      </c>
      <c r="AX1289" s="60"/>
      <c r="AY1289" s="135"/>
      <c r="AZ1289" s="60"/>
      <c r="BA1289" s="38"/>
      <c r="BB1289" s="38"/>
      <c r="BC1289" s="60"/>
      <c r="BD1289" s="60"/>
      <c r="BE1289" s="304"/>
      <c r="BF1289" s="304"/>
      <c r="BG1289" s="304"/>
      <c r="BH1289" s="304"/>
      <c r="BI1289" s="304"/>
      <c r="BJ1289" s="304"/>
      <c r="BK1289" s="16"/>
    </row>
    <row r="1290" spans="1:63" s="287" customFormat="1" ht="168.75">
      <c r="A1290" s="401">
        <v>3</v>
      </c>
      <c r="B1290" s="38" t="s">
        <v>4213</v>
      </c>
      <c r="C1290" s="38" t="s">
        <v>83</v>
      </c>
      <c r="D1290" s="38" t="s">
        <v>4158</v>
      </c>
      <c r="E1290" s="38" t="s">
        <v>274</v>
      </c>
      <c r="F1290" s="38" t="s">
        <v>4620</v>
      </c>
      <c r="G1290" s="38">
        <v>31</v>
      </c>
      <c r="H1290" s="11">
        <v>626248</v>
      </c>
      <c r="I1290" s="16" t="s">
        <v>4214</v>
      </c>
      <c r="J1290" s="16" t="s">
        <v>4282</v>
      </c>
      <c r="K1290" s="29" t="s">
        <v>4917</v>
      </c>
      <c r="L1290" s="16" t="s">
        <v>180</v>
      </c>
      <c r="M1290" s="95" t="s">
        <v>4170</v>
      </c>
      <c r="N1290" s="15" t="s">
        <v>4171</v>
      </c>
      <c r="O1290" s="16" t="s">
        <v>4172</v>
      </c>
      <c r="P1290" s="23">
        <v>8202.5828999999994</v>
      </c>
      <c r="Q1290" s="23">
        <f t="shared" si="165"/>
        <v>9679.0478219999986</v>
      </c>
      <c r="R1290" s="23">
        <v>7729.7970721290258</v>
      </c>
      <c r="S1290" s="29" t="s">
        <v>4654</v>
      </c>
      <c r="T1290" s="312">
        <v>1.0900000000000001</v>
      </c>
      <c r="U1290" s="312">
        <v>1.0409999999999999</v>
      </c>
      <c r="V1290" s="312">
        <v>1.0229999999999999</v>
      </c>
      <c r="W1290" s="312">
        <v>1</v>
      </c>
      <c r="X1290" s="403">
        <v>0.9</v>
      </c>
      <c r="Y1290" s="23">
        <v>8075.3892109999997</v>
      </c>
      <c r="Z1290" s="23">
        <f t="shared" si="166"/>
        <v>9528.9592689799993</v>
      </c>
      <c r="AA1290" s="36" t="s">
        <v>132</v>
      </c>
      <c r="AB1290" s="36" t="s">
        <v>132</v>
      </c>
      <c r="AC1290" s="23">
        <v>8075.3892109999997</v>
      </c>
      <c r="AD1290" s="23">
        <f t="shared" si="167"/>
        <v>9528.9592689799993</v>
      </c>
      <c r="AE1290" s="38" t="s">
        <v>173</v>
      </c>
      <c r="AF1290" s="38" t="s">
        <v>83</v>
      </c>
      <c r="AG1290" s="38" t="s">
        <v>83</v>
      </c>
      <c r="AH1290" s="38" t="s">
        <v>90</v>
      </c>
      <c r="AI1290" s="51">
        <v>41577</v>
      </c>
      <c r="AJ1290" s="51">
        <v>41622</v>
      </c>
      <c r="AK1290" s="369"/>
      <c r="AL1290" s="60"/>
      <c r="AM1290" s="60" t="s">
        <v>4159</v>
      </c>
      <c r="AN1290" s="60" t="s">
        <v>171</v>
      </c>
      <c r="AO1290" s="11">
        <v>796</v>
      </c>
      <c r="AP1290" s="38" t="s">
        <v>419</v>
      </c>
      <c r="AQ1290" s="38">
        <v>1</v>
      </c>
      <c r="AR1290" s="38" t="s">
        <v>2980</v>
      </c>
      <c r="AS1290" s="16" t="s">
        <v>3373</v>
      </c>
      <c r="AT1290" s="78">
        <v>41640</v>
      </c>
      <c r="AU1290" s="78">
        <v>41640</v>
      </c>
      <c r="AV1290" s="78">
        <v>41942</v>
      </c>
      <c r="AW1290" s="38">
        <v>2014</v>
      </c>
      <c r="AX1290" s="60"/>
      <c r="AY1290" s="135"/>
      <c r="AZ1290" s="60"/>
      <c r="BA1290" s="38"/>
      <c r="BB1290" s="38"/>
      <c r="BC1290" s="60"/>
      <c r="BD1290" s="60"/>
      <c r="BE1290" s="304"/>
      <c r="BF1290" s="304"/>
      <c r="BG1290" s="304"/>
      <c r="BH1290" s="304"/>
      <c r="BI1290" s="304"/>
      <c r="BJ1290" s="304"/>
      <c r="BK1290" s="16"/>
    </row>
    <row r="1291" spans="1:63" s="287" customFormat="1" ht="168.75">
      <c r="A1291" s="401">
        <v>3</v>
      </c>
      <c r="B1291" s="38" t="s">
        <v>4215</v>
      </c>
      <c r="C1291" s="38" t="s">
        <v>83</v>
      </c>
      <c r="D1291" s="38" t="s">
        <v>4158</v>
      </c>
      <c r="E1291" s="38" t="s">
        <v>274</v>
      </c>
      <c r="F1291" s="38" t="s">
        <v>4620</v>
      </c>
      <c r="G1291" s="38">
        <v>31</v>
      </c>
      <c r="H1291" s="11">
        <v>626323</v>
      </c>
      <c r="I1291" s="16" t="s">
        <v>4216</v>
      </c>
      <c r="J1291" s="16" t="s">
        <v>4282</v>
      </c>
      <c r="K1291" s="29" t="s">
        <v>4917</v>
      </c>
      <c r="L1291" s="16" t="s">
        <v>180</v>
      </c>
      <c r="M1291" s="95" t="s">
        <v>4170</v>
      </c>
      <c r="N1291" s="15" t="s">
        <v>4171</v>
      </c>
      <c r="O1291" s="16" t="s">
        <v>4172</v>
      </c>
      <c r="P1291" s="23">
        <v>426.40199999999999</v>
      </c>
      <c r="Q1291" s="23">
        <f t="shared" si="165"/>
        <v>503.15435999999994</v>
      </c>
      <c r="R1291" s="23">
        <v>418.20240400838941</v>
      </c>
      <c r="S1291" s="29" t="s">
        <v>4652</v>
      </c>
      <c r="T1291" s="312">
        <v>1.0900000000000001</v>
      </c>
      <c r="U1291" s="312">
        <v>1.0409999999999999</v>
      </c>
      <c r="V1291" s="312">
        <v>1.0229999999999999</v>
      </c>
      <c r="W1291" s="312">
        <v>1</v>
      </c>
      <c r="X1291" s="403">
        <v>0.9</v>
      </c>
      <c r="Y1291" s="23">
        <v>436.89985000000001</v>
      </c>
      <c r="Z1291" s="23">
        <f t="shared" si="166"/>
        <v>515.54182300000002</v>
      </c>
      <c r="AA1291" s="36" t="s">
        <v>132</v>
      </c>
      <c r="AB1291" s="36" t="s">
        <v>132</v>
      </c>
      <c r="AC1291" s="23">
        <v>426.40199999999999</v>
      </c>
      <c r="AD1291" s="23">
        <f t="shared" si="167"/>
        <v>503.15435999999994</v>
      </c>
      <c r="AE1291" s="38" t="s">
        <v>1775</v>
      </c>
      <c r="AF1291" s="38" t="s">
        <v>83</v>
      </c>
      <c r="AG1291" s="38" t="s">
        <v>83</v>
      </c>
      <c r="AH1291" s="38" t="s">
        <v>90</v>
      </c>
      <c r="AI1291" s="51">
        <v>41577</v>
      </c>
      <c r="AJ1291" s="51">
        <v>41622</v>
      </c>
      <c r="AK1291" s="369"/>
      <c r="AL1291" s="60"/>
      <c r="AM1291" s="60" t="s">
        <v>4159</v>
      </c>
      <c r="AN1291" s="60" t="s">
        <v>171</v>
      </c>
      <c r="AO1291" s="11">
        <v>796</v>
      </c>
      <c r="AP1291" s="38" t="s">
        <v>419</v>
      </c>
      <c r="AQ1291" s="38">
        <v>20</v>
      </c>
      <c r="AR1291" s="38" t="s">
        <v>2980</v>
      </c>
      <c r="AS1291" s="16" t="s">
        <v>3373</v>
      </c>
      <c r="AT1291" s="78">
        <v>41640</v>
      </c>
      <c r="AU1291" s="78">
        <v>41640</v>
      </c>
      <c r="AV1291" s="78">
        <v>41850</v>
      </c>
      <c r="AW1291" s="38">
        <v>2014</v>
      </c>
      <c r="AX1291" s="60"/>
      <c r="AY1291" s="135"/>
      <c r="AZ1291" s="60"/>
      <c r="BA1291" s="38"/>
      <c r="BB1291" s="38"/>
      <c r="BC1291" s="60"/>
      <c r="BD1291" s="60"/>
      <c r="BE1291" s="304"/>
      <c r="BF1291" s="304"/>
      <c r="BG1291" s="304"/>
      <c r="BH1291" s="304"/>
      <c r="BI1291" s="304"/>
      <c r="BJ1291" s="304"/>
      <c r="BK1291" s="16"/>
    </row>
    <row r="1292" spans="1:63" s="287" customFormat="1" ht="168.75">
      <c r="A1292" s="401">
        <v>3</v>
      </c>
      <c r="B1292" s="38" t="s">
        <v>4217</v>
      </c>
      <c r="C1292" s="38" t="s">
        <v>83</v>
      </c>
      <c r="D1292" s="38" t="s">
        <v>4158</v>
      </c>
      <c r="E1292" s="38" t="s">
        <v>274</v>
      </c>
      <c r="F1292" s="38" t="s">
        <v>4620</v>
      </c>
      <c r="G1292" s="38">
        <v>31</v>
      </c>
      <c r="H1292" s="11">
        <v>626256</v>
      </c>
      <c r="I1292" s="16" t="s">
        <v>4218</v>
      </c>
      <c r="J1292" s="16" t="s">
        <v>4282</v>
      </c>
      <c r="K1292" s="29" t="s">
        <v>4917</v>
      </c>
      <c r="L1292" s="16" t="s">
        <v>180</v>
      </c>
      <c r="M1292" s="95" t="s">
        <v>4170</v>
      </c>
      <c r="N1292" s="15" t="s">
        <v>4171</v>
      </c>
      <c r="O1292" s="16" t="s">
        <v>4172</v>
      </c>
      <c r="P1292" s="23">
        <v>4573.0900600000004</v>
      </c>
      <c r="Q1292" s="23">
        <f t="shared" si="165"/>
        <v>5396.2462708000003</v>
      </c>
      <c r="R1292" s="23">
        <v>4551.2070272677047</v>
      </c>
      <c r="S1292" s="29" t="s">
        <v>4654</v>
      </c>
      <c r="T1292" s="312">
        <v>1.0900000000000001</v>
      </c>
      <c r="U1292" s="312">
        <v>1.0409999999999999</v>
      </c>
      <c r="V1292" s="312">
        <v>1.0229999999999999</v>
      </c>
      <c r="W1292" s="312">
        <v>1</v>
      </c>
      <c r="X1292" s="403">
        <v>0.9</v>
      </c>
      <c r="Y1292" s="23">
        <v>4754.68732</v>
      </c>
      <c r="Z1292" s="23">
        <f t="shared" si="166"/>
        <v>5610.5310375999998</v>
      </c>
      <c r="AA1292" s="36" t="s">
        <v>132</v>
      </c>
      <c r="AB1292" s="36" t="s">
        <v>132</v>
      </c>
      <c r="AC1292" s="23">
        <v>4573.0900600000004</v>
      </c>
      <c r="AD1292" s="23">
        <f t="shared" si="167"/>
        <v>5396.2462708000003</v>
      </c>
      <c r="AE1292" s="38" t="s">
        <v>173</v>
      </c>
      <c r="AF1292" s="38" t="s">
        <v>83</v>
      </c>
      <c r="AG1292" s="38" t="s">
        <v>83</v>
      </c>
      <c r="AH1292" s="38" t="s">
        <v>90</v>
      </c>
      <c r="AI1292" s="51">
        <v>41598</v>
      </c>
      <c r="AJ1292" s="51">
        <v>41622</v>
      </c>
      <c r="AK1292" s="369"/>
      <c r="AL1292" s="60"/>
      <c r="AM1292" s="60" t="s">
        <v>4159</v>
      </c>
      <c r="AN1292" s="60" t="s">
        <v>171</v>
      </c>
      <c r="AO1292" s="11">
        <v>796</v>
      </c>
      <c r="AP1292" s="38" t="s">
        <v>419</v>
      </c>
      <c r="AQ1292" s="38">
        <v>1</v>
      </c>
      <c r="AR1292" s="38" t="s">
        <v>2980</v>
      </c>
      <c r="AS1292" s="16" t="s">
        <v>3373</v>
      </c>
      <c r="AT1292" s="78">
        <v>41640</v>
      </c>
      <c r="AU1292" s="78">
        <v>41640</v>
      </c>
      <c r="AV1292" s="78">
        <v>41942</v>
      </c>
      <c r="AW1292" s="38">
        <v>2014</v>
      </c>
      <c r="AX1292" s="60"/>
      <c r="AY1292" s="135"/>
      <c r="AZ1292" s="60"/>
      <c r="BA1292" s="38"/>
      <c r="BB1292" s="38"/>
      <c r="BC1292" s="60"/>
      <c r="BD1292" s="60"/>
      <c r="BE1292" s="304"/>
      <c r="BF1292" s="304"/>
      <c r="BG1292" s="304"/>
      <c r="BH1292" s="304"/>
      <c r="BI1292" s="304"/>
      <c r="BJ1292" s="304"/>
      <c r="BK1292" s="16"/>
    </row>
    <row r="1293" spans="1:63" s="287" customFormat="1" ht="168.75">
      <c r="A1293" s="401">
        <v>3</v>
      </c>
      <c r="B1293" s="38" t="s">
        <v>4219</v>
      </c>
      <c r="C1293" s="38" t="s">
        <v>83</v>
      </c>
      <c r="D1293" s="38" t="s">
        <v>4158</v>
      </c>
      <c r="E1293" s="38" t="s">
        <v>274</v>
      </c>
      <c r="F1293" s="38" t="s">
        <v>4620</v>
      </c>
      <c r="G1293" s="38">
        <v>31</v>
      </c>
      <c r="H1293" s="11">
        <v>626259</v>
      </c>
      <c r="I1293" s="16" t="s">
        <v>4220</v>
      </c>
      <c r="J1293" s="16" t="s">
        <v>4282</v>
      </c>
      <c r="K1293" s="29" t="s">
        <v>4917</v>
      </c>
      <c r="L1293" s="16" t="s">
        <v>180</v>
      </c>
      <c r="M1293" s="95" t="s">
        <v>4170</v>
      </c>
      <c r="N1293" s="15" t="s">
        <v>4171</v>
      </c>
      <c r="O1293" s="16" t="s">
        <v>4172</v>
      </c>
      <c r="P1293" s="23">
        <v>1421.509</v>
      </c>
      <c r="Q1293" s="23">
        <f t="shared" si="165"/>
        <v>1677.3806199999999</v>
      </c>
      <c r="R1293" s="23">
        <v>1713.3799917388101</v>
      </c>
      <c r="S1293" s="29" t="s">
        <v>4654</v>
      </c>
      <c r="T1293" s="312">
        <v>1.0900000000000001</v>
      </c>
      <c r="U1293" s="312">
        <v>1.0409999999999999</v>
      </c>
      <c r="V1293" s="312">
        <v>1.0229999999999999</v>
      </c>
      <c r="W1293" s="312">
        <v>1</v>
      </c>
      <c r="X1293" s="403">
        <v>0.9</v>
      </c>
      <c r="Y1293" s="23">
        <v>1789.9836399999999</v>
      </c>
      <c r="Z1293" s="23">
        <f t="shared" si="166"/>
        <v>2112.1806951999997</v>
      </c>
      <c r="AA1293" s="36" t="s">
        <v>132</v>
      </c>
      <c r="AB1293" s="36" t="s">
        <v>132</v>
      </c>
      <c r="AC1293" s="23">
        <v>1421.509</v>
      </c>
      <c r="AD1293" s="23">
        <f t="shared" si="167"/>
        <v>1677.3806199999999</v>
      </c>
      <c r="AE1293" s="38" t="s">
        <v>173</v>
      </c>
      <c r="AF1293" s="38" t="s">
        <v>83</v>
      </c>
      <c r="AG1293" s="38" t="s">
        <v>83</v>
      </c>
      <c r="AH1293" s="38" t="s">
        <v>90</v>
      </c>
      <c r="AI1293" s="51">
        <v>41577</v>
      </c>
      <c r="AJ1293" s="51">
        <v>41622</v>
      </c>
      <c r="AK1293" s="369"/>
      <c r="AL1293" s="60"/>
      <c r="AM1293" s="60" t="s">
        <v>4159</v>
      </c>
      <c r="AN1293" s="60" t="s">
        <v>171</v>
      </c>
      <c r="AO1293" s="11">
        <v>796</v>
      </c>
      <c r="AP1293" s="38" t="s">
        <v>419</v>
      </c>
      <c r="AQ1293" s="38">
        <v>1</v>
      </c>
      <c r="AR1293" s="38" t="s">
        <v>2980</v>
      </c>
      <c r="AS1293" s="16" t="s">
        <v>3373</v>
      </c>
      <c r="AT1293" s="78">
        <v>41640</v>
      </c>
      <c r="AU1293" s="78">
        <v>41640</v>
      </c>
      <c r="AV1293" s="78">
        <v>41942</v>
      </c>
      <c r="AW1293" s="38">
        <v>2014</v>
      </c>
      <c r="AX1293" s="60"/>
      <c r="AY1293" s="135"/>
      <c r="AZ1293" s="60"/>
      <c r="BA1293" s="38"/>
      <c r="BB1293" s="38"/>
      <c r="BC1293" s="60"/>
      <c r="BD1293" s="60"/>
      <c r="BE1293" s="304"/>
      <c r="BF1293" s="304"/>
      <c r="BG1293" s="304"/>
      <c r="BH1293" s="304"/>
      <c r="BI1293" s="304"/>
      <c r="BJ1293" s="304"/>
      <c r="BK1293" s="16"/>
    </row>
    <row r="1294" spans="1:63" s="287" customFormat="1" ht="168.75">
      <c r="A1294" s="401">
        <v>3</v>
      </c>
      <c r="B1294" s="38" t="s">
        <v>4221</v>
      </c>
      <c r="C1294" s="38" t="s">
        <v>83</v>
      </c>
      <c r="D1294" s="38" t="s">
        <v>4158</v>
      </c>
      <c r="E1294" s="38" t="s">
        <v>274</v>
      </c>
      <c r="F1294" s="38" t="s">
        <v>4620</v>
      </c>
      <c r="G1294" s="38">
        <v>31</v>
      </c>
      <c r="H1294" s="11">
        <v>626400</v>
      </c>
      <c r="I1294" s="16" t="s">
        <v>4222</v>
      </c>
      <c r="J1294" s="16" t="s">
        <v>4282</v>
      </c>
      <c r="K1294" s="29" t="s">
        <v>4917</v>
      </c>
      <c r="L1294" s="16" t="s">
        <v>180</v>
      </c>
      <c r="M1294" s="95" t="s">
        <v>4170</v>
      </c>
      <c r="N1294" s="15" t="s">
        <v>4171</v>
      </c>
      <c r="O1294" s="16" t="s">
        <v>4172</v>
      </c>
      <c r="P1294" s="23">
        <v>1631.37158</v>
      </c>
      <c r="Q1294" s="23">
        <f t="shared" si="165"/>
        <v>1925.0184643999999</v>
      </c>
      <c r="R1294" s="23">
        <v>1921.5079993709596</v>
      </c>
      <c r="S1294" s="29" t="s">
        <v>4654</v>
      </c>
      <c r="T1294" s="312">
        <v>1.0900000000000001</v>
      </c>
      <c r="U1294" s="312">
        <v>1.0409999999999999</v>
      </c>
      <c r="V1294" s="312">
        <v>1.0229999999999999</v>
      </c>
      <c r="W1294" s="312">
        <v>1</v>
      </c>
      <c r="X1294" s="403">
        <v>0.9</v>
      </c>
      <c r="Y1294" s="23">
        <v>2007.41686</v>
      </c>
      <c r="Z1294" s="23">
        <f t="shared" si="166"/>
        <v>2368.7518947999997</v>
      </c>
      <c r="AA1294" s="36" t="s">
        <v>132</v>
      </c>
      <c r="AB1294" s="36" t="s">
        <v>132</v>
      </c>
      <c r="AC1294" s="23">
        <v>1631.37158</v>
      </c>
      <c r="AD1294" s="23">
        <f t="shared" si="167"/>
        <v>1925.0184643999999</v>
      </c>
      <c r="AE1294" s="38" t="s">
        <v>173</v>
      </c>
      <c r="AF1294" s="38" t="s">
        <v>83</v>
      </c>
      <c r="AG1294" s="38" t="s">
        <v>83</v>
      </c>
      <c r="AH1294" s="38" t="s">
        <v>90</v>
      </c>
      <c r="AI1294" s="51">
        <v>41577</v>
      </c>
      <c r="AJ1294" s="51">
        <v>41622</v>
      </c>
      <c r="AK1294" s="369"/>
      <c r="AL1294" s="60"/>
      <c r="AM1294" s="60" t="s">
        <v>4159</v>
      </c>
      <c r="AN1294" s="60" t="s">
        <v>171</v>
      </c>
      <c r="AO1294" s="11">
        <v>796</v>
      </c>
      <c r="AP1294" s="38" t="s">
        <v>419</v>
      </c>
      <c r="AQ1294" s="38">
        <v>1</v>
      </c>
      <c r="AR1294" s="38" t="s">
        <v>2980</v>
      </c>
      <c r="AS1294" s="16" t="s">
        <v>3373</v>
      </c>
      <c r="AT1294" s="78">
        <v>41640</v>
      </c>
      <c r="AU1294" s="78">
        <v>41640</v>
      </c>
      <c r="AV1294" s="78">
        <v>41942</v>
      </c>
      <c r="AW1294" s="38">
        <v>2014</v>
      </c>
      <c r="AX1294" s="60"/>
      <c r="AY1294" s="135"/>
      <c r="AZ1294" s="60"/>
      <c r="BA1294" s="38"/>
      <c r="BB1294" s="38"/>
      <c r="BC1294" s="60"/>
      <c r="BD1294" s="60"/>
      <c r="BE1294" s="304"/>
      <c r="BF1294" s="304"/>
      <c r="BG1294" s="304"/>
      <c r="BH1294" s="304"/>
      <c r="BI1294" s="304"/>
      <c r="BJ1294" s="304"/>
      <c r="BK1294" s="16"/>
    </row>
    <row r="1295" spans="1:63" s="287" customFormat="1" ht="93.75">
      <c r="A1295" s="401">
        <v>3</v>
      </c>
      <c r="B1295" s="38" t="s">
        <v>4223</v>
      </c>
      <c r="C1295" s="38" t="s">
        <v>83</v>
      </c>
      <c r="D1295" s="38" t="s">
        <v>4158</v>
      </c>
      <c r="E1295" s="38" t="s">
        <v>274</v>
      </c>
      <c r="F1295" s="38" t="s">
        <v>4620</v>
      </c>
      <c r="G1295" s="38">
        <v>31</v>
      </c>
      <c r="H1295" s="11">
        <v>626386</v>
      </c>
      <c r="I1295" s="16" t="s">
        <v>4224</v>
      </c>
      <c r="J1295" s="16" t="s">
        <v>4282</v>
      </c>
      <c r="K1295" s="29" t="s">
        <v>4917</v>
      </c>
      <c r="L1295" s="16" t="s">
        <v>180</v>
      </c>
      <c r="M1295" s="95" t="s">
        <v>4170</v>
      </c>
      <c r="N1295" s="15" t="s">
        <v>4171</v>
      </c>
      <c r="O1295" s="16" t="s">
        <v>4172</v>
      </c>
      <c r="P1295" s="23">
        <v>25098.714339999999</v>
      </c>
      <c r="Q1295" s="23">
        <f t="shared" si="165"/>
        <v>29616.482921199997</v>
      </c>
      <c r="R1295" s="23">
        <v>33568.505664867902</v>
      </c>
      <c r="S1295" s="29" t="s">
        <v>4180</v>
      </c>
      <c r="T1295" s="312">
        <v>1.0840000000000001</v>
      </c>
      <c r="U1295" s="312">
        <v>1.0509999999999999</v>
      </c>
      <c r="V1295" s="312">
        <v>1.0669999999999999</v>
      </c>
      <c r="W1295" s="312">
        <v>1</v>
      </c>
      <c r="X1295" s="403">
        <v>0.9</v>
      </c>
      <c r="Y1295" s="23">
        <v>36725.772169999997</v>
      </c>
      <c r="Z1295" s="23">
        <f t="shared" si="166"/>
        <v>43336.411160599993</v>
      </c>
      <c r="AA1295" s="36" t="s">
        <v>132</v>
      </c>
      <c r="AB1295" s="36" t="s">
        <v>132</v>
      </c>
      <c r="AC1295" s="23">
        <v>25098.714339999999</v>
      </c>
      <c r="AD1295" s="23">
        <f t="shared" si="167"/>
        <v>29616.482921199997</v>
      </c>
      <c r="AE1295" s="38" t="s">
        <v>1775</v>
      </c>
      <c r="AF1295" s="38" t="s">
        <v>83</v>
      </c>
      <c r="AG1295" s="38" t="s">
        <v>83</v>
      </c>
      <c r="AH1295" s="38" t="s">
        <v>90</v>
      </c>
      <c r="AI1295" s="51">
        <v>41577</v>
      </c>
      <c r="AJ1295" s="51">
        <v>41622</v>
      </c>
      <c r="AK1295" s="369"/>
      <c r="AL1295" s="60"/>
      <c r="AM1295" s="60" t="s">
        <v>4159</v>
      </c>
      <c r="AN1295" s="60" t="s">
        <v>171</v>
      </c>
      <c r="AO1295" s="11">
        <v>796</v>
      </c>
      <c r="AP1295" s="38" t="s">
        <v>419</v>
      </c>
      <c r="AQ1295" s="38">
        <v>1</v>
      </c>
      <c r="AR1295" s="38" t="s">
        <v>2980</v>
      </c>
      <c r="AS1295" s="16" t="s">
        <v>3373</v>
      </c>
      <c r="AT1295" s="78">
        <v>41640</v>
      </c>
      <c r="AU1295" s="78">
        <v>41640</v>
      </c>
      <c r="AV1295" s="78">
        <v>41942</v>
      </c>
      <c r="AW1295" s="38">
        <v>2014</v>
      </c>
      <c r="AX1295" s="60"/>
      <c r="AY1295" s="135"/>
      <c r="AZ1295" s="60"/>
      <c r="BA1295" s="38"/>
      <c r="BB1295" s="38"/>
      <c r="BC1295" s="60"/>
      <c r="BD1295" s="60"/>
      <c r="BE1295" s="304"/>
      <c r="BF1295" s="304"/>
      <c r="BG1295" s="304"/>
      <c r="BH1295" s="304"/>
      <c r="BI1295" s="304"/>
      <c r="BJ1295" s="304"/>
      <c r="BK1295" s="16"/>
    </row>
    <row r="1296" spans="1:63" s="287" customFormat="1" ht="168.75">
      <c r="A1296" s="401">
        <v>3</v>
      </c>
      <c r="B1296" s="38" t="s">
        <v>4225</v>
      </c>
      <c r="C1296" s="38" t="s">
        <v>83</v>
      </c>
      <c r="D1296" s="38" t="s">
        <v>4158</v>
      </c>
      <c r="E1296" s="38" t="s">
        <v>274</v>
      </c>
      <c r="F1296" s="38" t="s">
        <v>4620</v>
      </c>
      <c r="G1296" s="38">
        <v>31</v>
      </c>
      <c r="H1296" s="11">
        <v>626051</v>
      </c>
      <c r="I1296" s="16" t="s">
        <v>4227</v>
      </c>
      <c r="J1296" s="16" t="s">
        <v>4282</v>
      </c>
      <c r="K1296" s="29" t="s">
        <v>4917</v>
      </c>
      <c r="L1296" s="16" t="s">
        <v>180</v>
      </c>
      <c r="M1296" s="95" t="s">
        <v>4170</v>
      </c>
      <c r="N1296" s="15" t="s">
        <v>4171</v>
      </c>
      <c r="O1296" s="16" t="s">
        <v>4172</v>
      </c>
      <c r="P1296" s="23">
        <v>579.32050000000004</v>
      </c>
      <c r="Q1296" s="23">
        <f t="shared" si="165"/>
        <v>683.59819000000005</v>
      </c>
      <c r="R1296" s="23">
        <v>574.65449763582399</v>
      </c>
      <c r="S1296" s="29" t="s">
        <v>4652</v>
      </c>
      <c r="T1296" s="312">
        <v>1.0900000000000001</v>
      </c>
      <c r="U1296" s="312">
        <v>1.0409999999999999</v>
      </c>
      <c r="V1296" s="312">
        <v>1.0229999999999999</v>
      </c>
      <c r="W1296" s="312">
        <v>1.0444</v>
      </c>
      <c r="X1296" s="403">
        <v>0.9</v>
      </c>
      <c r="Y1296" s="23">
        <v>627.00216999999998</v>
      </c>
      <c r="Z1296" s="23">
        <f t="shared" si="166"/>
        <v>739.86256059999994</v>
      </c>
      <c r="AA1296" s="36" t="s">
        <v>132</v>
      </c>
      <c r="AB1296" s="36" t="s">
        <v>132</v>
      </c>
      <c r="AC1296" s="23">
        <v>627.00216999999998</v>
      </c>
      <c r="AD1296" s="23">
        <f t="shared" si="167"/>
        <v>739.86256059999994</v>
      </c>
      <c r="AE1296" s="38" t="s">
        <v>173</v>
      </c>
      <c r="AF1296" s="38" t="s">
        <v>83</v>
      </c>
      <c r="AG1296" s="38" t="s">
        <v>83</v>
      </c>
      <c r="AH1296" s="38" t="s">
        <v>90</v>
      </c>
      <c r="AI1296" s="51">
        <v>41598</v>
      </c>
      <c r="AJ1296" s="51">
        <v>41638</v>
      </c>
      <c r="AK1296" s="369"/>
      <c r="AL1296" s="60"/>
      <c r="AM1296" s="60" t="s">
        <v>4159</v>
      </c>
      <c r="AN1296" s="60" t="s">
        <v>171</v>
      </c>
      <c r="AO1296" s="11">
        <v>796</v>
      </c>
      <c r="AP1296" s="38" t="s">
        <v>419</v>
      </c>
      <c r="AQ1296" s="38">
        <v>1</v>
      </c>
      <c r="AR1296" s="38" t="s">
        <v>2980</v>
      </c>
      <c r="AS1296" s="16" t="s">
        <v>3373</v>
      </c>
      <c r="AT1296" s="78">
        <v>41640</v>
      </c>
      <c r="AU1296" s="78">
        <v>41640</v>
      </c>
      <c r="AV1296" s="78">
        <v>41759</v>
      </c>
      <c r="AW1296" s="38">
        <v>2014</v>
      </c>
      <c r="AX1296" s="60"/>
      <c r="AY1296" s="135"/>
      <c r="AZ1296" s="60"/>
      <c r="BA1296" s="38"/>
      <c r="BB1296" s="38"/>
      <c r="BC1296" s="60"/>
      <c r="BD1296" s="60"/>
      <c r="BE1296" s="304"/>
      <c r="BF1296" s="304"/>
      <c r="BG1296" s="304"/>
      <c r="BH1296" s="304"/>
      <c r="BI1296" s="304"/>
      <c r="BJ1296" s="304"/>
      <c r="BK1296" s="16"/>
    </row>
    <row r="1297" spans="1:63" s="287" customFormat="1" ht="168.75">
      <c r="A1297" s="401">
        <v>3</v>
      </c>
      <c r="B1297" s="38" t="s">
        <v>4226</v>
      </c>
      <c r="C1297" s="38" t="s">
        <v>83</v>
      </c>
      <c r="D1297" s="38" t="s">
        <v>4158</v>
      </c>
      <c r="E1297" s="38" t="s">
        <v>274</v>
      </c>
      <c r="F1297" s="38" t="s">
        <v>4620</v>
      </c>
      <c r="G1297" s="38">
        <v>31</v>
      </c>
      <c r="H1297" s="11">
        <v>626317</v>
      </c>
      <c r="I1297" s="16" t="s">
        <v>4228</v>
      </c>
      <c r="J1297" s="16" t="s">
        <v>4282</v>
      </c>
      <c r="K1297" s="29" t="s">
        <v>4917</v>
      </c>
      <c r="L1297" s="16" t="s">
        <v>180</v>
      </c>
      <c r="M1297" s="95" t="s">
        <v>4170</v>
      </c>
      <c r="N1297" s="15" t="s">
        <v>4171</v>
      </c>
      <c r="O1297" s="16" t="s">
        <v>4172</v>
      </c>
      <c r="P1297" s="23">
        <v>2741.1803300000001</v>
      </c>
      <c r="Q1297" s="23">
        <f t="shared" si="165"/>
        <v>3234.5927894000001</v>
      </c>
      <c r="R1297" s="23">
        <v>3091.5129604554227</v>
      </c>
      <c r="S1297" s="29" t="s">
        <v>4652</v>
      </c>
      <c r="T1297" s="312">
        <v>1.0900000000000001</v>
      </c>
      <c r="U1297" s="312">
        <v>1.0409999999999999</v>
      </c>
      <c r="V1297" s="312">
        <v>1.0229999999999999</v>
      </c>
      <c r="W1297" s="312">
        <v>1</v>
      </c>
      <c r="X1297" s="403">
        <v>0.9</v>
      </c>
      <c r="Y1297" s="23">
        <v>3229.7316700000001</v>
      </c>
      <c r="Z1297" s="23">
        <f t="shared" si="166"/>
        <v>3811.0833705999999</v>
      </c>
      <c r="AA1297" s="36" t="s">
        <v>132</v>
      </c>
      <c r="AB1297" s="36" t="s">
        <v>132</v>
      </c>
      <c r="AC1297" s="23">
        <v>2741.1803300000001</v>
      </c>
      <c r="AD1297" s="23">
        <f t="shared" si="167"/>
        <v>3234.5927894000001</v>
      </c>
      <c r="AE1297" s="38" t="s">
        <v>173</v>
      </c>
      <c r="AF1297" s="38" t="s">
        <v>83</v>
      </c>
      <c r="AG1297" s="38" t="s">
        <v>83</v>
      </c>
      <c r="AH1297" s="38" t="s">
        <v>90</v>
      </c>
      <c r="AI1297" s="51">
        <v>41593</v>
      </c>
      <c r="AJ1297" s="51">
        <v>41638</v>
      </c>
      <c r="AK1297" s="369"/>
      <c r="AL1297" s="60"/>
      <c r="AM1297" s="60" t="s">
        <v>4159</v>
      </c>
      <c r="AN1297" s="60" t="s">
        <v>171</v>
      </c>
      <c r="AO1297" s="11">
        <v>796</v>
      </c>
      <c r="AP1297" s="38" t="s">
        <v>419</v>
      </c>
      <c r="AQ1297" s="38">
        <v>1</v>
      </c>
      <c r="AR1297" s="38" t="s">
        <v>2980</v>
      </c>
      <c r="AS1297" s="16" t="s">
        <v>3373</v>
      </c>
      <c r="AT1297" s="78">
        <v>41640</v>
      </c>
      <c r="AU1297" s="78">
        <v>41640</v>
      </c>
      <c r="AV1297" s="78">
        <v>41942</v>
      </c>
      <c r="AW1297" s="38">
        <v>2014</v>
      </c>
      <c r="AX1297" s="60"/>
      <c r="AY1297" s="135"/>
      <c r="AZ1297" s="60"/>
      <c r="BA1297" s="38"/>
      <c r="BB1297" s="38"/>
      <c r="BC1297" s="60"/>
      <c r="BD1297" s="60"/>
      <c r="BE1297" s="304"/>
      <c r="BF1297" s="304"/>
      <c r="BG1297" s="304"/>
      <c r="BH1297" s="304"/>
      <c r="BI1297" s="304"/>
      <c r="BJ1297" s="304"/>
      <c r="BK1297" s="16"/>
    </row>
    <row r="1298" spans="1:63" s="287" customFormat="1" ht="75">
      <c r="A1298" s="401">
        <v>3</v>
      </c>
      <c r="B1298" s="38" t="s">
        <v>4229</v>
      </c>
      <c r="C1298" s="38" t="s">
        <v>83</v>
      </c>
      <c r="D1298" s="38" t="s">
        <v>4158</v>
      </c>
      <c r="E1298" s="38" t="s">
        <v>274</v>
      </c>
      <c r="F1298" s="38" t="s">
        <v>4620</v>
      </c>
      <c r="G1298" s="38">
        <v>31</v>
      </c>
      <c r="H1298" s="11">
        <v>626311</v>
      </c>
      <c r="I1298" s="16" t="s">
        <v>4230</v>
      </c>
      <c r="J1298" s="16" t="s">
        <v>4282</v>
      </c>
      <c r="K1298" s="29" t="s">
        <v>4917</v>
      </c>
      <c r="L1298" s="16" t="s">
        <v>180</v>
      </c>
      <c r="M1298" s="95" t="s">
        <v>4170</v>
      </c>
      <c r="N1298" s="15" t="s">
        <v>4171</v>
      </c>
      <c r="O1298" s="16" t="s">
        <v>4172</v>
      </c>
      <c r="P1298" s="23">
        <v>1667.5962500000001</v>
      </c>
      <c r="Q1298" s="23">
        <f t="shared" si="165"/>
        <v>1967.7635749999999</v>
      </c>
      <c r="R1298" s="23">
        <v>1411.8806393761081</v>
      </c>
      <c r="S1298" s="29" t="s">
        <v>4180</v>
      </c>
      <c r="T1298" s="312">
        <v>1.0840000000000001</v>
      </c>
      <c r="U1298" s="312">
        <v>1.0509999999999999</v>
      </c>
      <c r="V1298" s="312">
        <v>1.0669999999999999</v>
      </c>
      <c r="W1298" s="312">
        <v>1.056</v>
      </c>
      <c r="X1298" s="403">
        <v>0.9</v>
      </c>
      <c r="Y1298" s="23">
        <v>1631.1760200000001</v>
      </c>
      <c r="Z1298" s="23">
        <f t="shared" si="166"/>
        <v>1924.7877036</v>
      </c>
      <c r="AA1298" s="36" t="s">
        <v>132</v>
      </c>
      <c r="AB1298" s="36" t="s">
        <v>132</v>
      </c>
      <c r="AC1298" s="23">
        <v>1631.1760200000001</v>
      </c>
      <c r="AD1298" s="23">
        <f t="shared" si="167"/>
        <v>1924.7877036</v>
      </c>
      <c r="AE1298" s="38" t="s">
        <v>173</v>
      </c>
      <c r="AF1298" s="38" t="s">
        <v>83</v>
      </c>
      <c r="AG1298" s="38" t="s">
        <v>83</v>
      </c>
      <c r="AH1298" s="38" t="s">
        <v>90</v>
      </c>
      <c r="AI1298" s="51">
        <v>41598</v>
      </c>
      <c r="AJ1298" s="51">
        <v>41638</v>
      </c>
      <c r="AK1298" s="369"/>
      <c r="AL1298" s="60"/>
      <c r="AM1298" s="60" t="s">
        <v>4159</v>
      </c>
      <c r="AN1298" s="60" t="s">
        <v>171</v>
      </c>
      <c r="AO1298" s="11">
        <v>796</v>
      </c>
      <c r="AP1298" s="38" t="s">
        <v>419</v>
      </c>
      <c r="AQ1298" s="38">
        <v>1</v>
      </c>
      <c r="AR1298" s="38" t="s">
        <v>2980</v>
      </c>
      <c r="AS1298" s="16" t="s">
        <v>3373</v>
      </c>
      <c r="AT1298" s="78">
        <v>41640</v>
      </c>
      <c r="AU1298" s="78">
        <v>41640</v>
      </c>
      <c r="AV1298" s="78">
        <v>41942</v>
      </c>
      <c r="AW1298" s="38">
        <v>2014</v>
      </c>
      <c r="AX1298" s="60"/>
      <c r="AY1298" s="135"/>
      <c r="AZ1298" s="60"/>
      <c r="BA1298" s="38"/>
      <c r="BB1298" s="38"/>
      <c r="BC1298" s="60"/>
      <c r="BD1298" s="60"/>
      <c r="BE1298" s="304"/>
      <c r="BF1298" s="304"/>
      <c r="BG1298" s="304"/>
      <c r="BH1298" s="304"/>
      <c r="BI1298" s="304"/>
      <c r="BJ1298" s="304"/>
      <c r="BK1298" s="16"/>
    </row>
    <row r="1299" spans="1:63" s="287" customFormat="1" ht="75">
      <c r="A1299" s="401">
        <v>3</v>
      </c>
      <c r="B1299" s="38" t="s">
        <v>4231</v>
      </c>
      <c r="C1299" s="38" t="s">
        <v>83</v>
      </c>
      <c r="D1299" s="38" t="s">
        <v>4158</v>
      </c>
      <c r="E1299" s="38" t="s">
        <v>274</v>
      </c>
      <c r="F1299" s="38" t="s">
        <v>4623</v>
      </c>
      <c r="G1299" s="38">
        <v>23</v>
      </c>
      <c r="H1299" s="11">
        <v>626340</v>
      </c>
      <c r="I1299" s="16" t="s">
        <v>4232</v>
      </c>
      <c r="J1299" s="16" t="s">
        <v>4282</v>
      </c>
      <c r="K1299" s="29" t="s">
        <v>4917</v>
      </c>
      <c r="L1299" s="16" t="s">
        <v>180</v>
      </c>
      <c r="M1299" s="95" t="s">
        <v>4170</v>
      </c>
      <c r="N1299" s="15" t="s">
        <v>4171</v>
      </c>
      <c r="O1299" s="16" t="s">
        <v>4172</v>
      </c>
      <c r="P1299" s="23">
        <v>306314.26165</v>
      </c>
      <c r="Q1299" s="23">
        <f t="shared" si="165"/>
        <v>361450.82874699996</v>
      </c>
      <c r="R1299" s="23">
        <v>237711.26330397092</v>
      </c>
      <c r="S1299" s="29" t="s">
        <v>4655</v>
      </c>
      <c r="T1299" s="312">
        <v>1.2883135638996805</v>
      </c>
      <c r="U1299" s="312">
        <v>1.093</v>
      </c>
      <c r="V1299" s="312">
        <v>1.04</v>
      </c>
      <c r="W1299" s="312">
        <v>1.03</v>
      </c>
      <c r="X1299" s="403">
        <v>0.9</v>
      </c>
      <c r="Y1299" s="23">
        <v>322704.16800000001</v>
      </c>
      <c r="Z1299" s="23">
        <f t="shared" si="166"/>
        <v>380790.91823999997</v>
      </c>
      <c r="AA1299" s="36" t="s">
        <v>132</v>
      </c>
      <c r="AB1299" s="36" t="s">
        <v>132</v>
      </c>
      <c r="AC1299" s="23">
        <v>306314.26165</v>
      </c>
      <c r="AD1299" s="23">
        <f t="shared" si="167"/>
        <v>361450.82874699996</v>
      </c>
      <c r="AE1299" s="38" t="s">
        <v>97</v>
      </c>
      <c r="AF1299" s="38" t="s">
        <v>83</v>
      </c>
      <c r="AG1299" s="38" t="s">
        <v>83</v>
      </c>
      <c r="AH1299" s="38" t="s">
        <v>90</v>
      </c>
      <c r="AI1299" s="51">
        <v>41593</v>
      </c>
      <c r="AJ1299" s="51">
        <v>41638</v>
      </c>
      <c r="AK1299" s="369"/>
      <c r="AL1299" s="60"/>
      <c r="AM1299" s="60" t="s">
        <v>4159</v>
      </c>
      <c r="AN1299" s="60" t="s">
        <v>171</v>
      </c>
      <c r="AO1299" s="11">
        <v>796</v>
      </c>
      <c r="AP1299" s="38" t="s">
        <v>419</v>
      </c>
      <c r="AQ1299" s="38">
        <v>1</v>
      </c>
      <c r="AR1299" s="38" t="s">
        <v>2980</v>
      </c>
      <c r="AS1299" s="16" t="s">
        <v>3373</v>
      </c>
      <c r="AT1299" s="78">
        <v>41640</v>
      </c>
      <c r="AU1299" s="78">
        <v>41640</v>
      </c>
      <c r="AV1299" s="78">
        <v>41942</v>
      </c>
      <c r="AW1299" s="38">
        <v>2014</v>
      </c>
      <c r="AX1299" s="60"/>
      <c r="AY1299" s="135"/>
      <c r="AZ1299" s="60"/>
      <c r="BA1299" s="38"/>
      <c r="BB1299" s="38"/>
      <c r="BC1299" s="60"/>
      <c r="BD1299" s="60"/>
      <c r="BE1299" s="304"/>
      <c r="BF1299" s="304"/>
      <c r="BG1299" s="304"/>
      <c r="BH1299" s="304"/>
      <c r="BI1299" s="304"/>
      <c r="BJ1299" s="304"/>
      <c r="BK1299" s="16"/>
    </row>
    <row r="1300" spans="1:63" s="287" customFormat="1" ht="168.75">
      <c r="A1300" s="401">
        <v>3</v>
      </c>
      <c r="B1300" s="38" t="s">
        <v>4233</v>
      </c>
      <c r="C1300" s="38" t="s">
        <v>83</v>
      </c>
      <c r="D1300" s="38" t="s">
        <v>4158</v>
      </c>
      <c r="E1300" s="38" t="s">
        <v>274</v>
      </c>
      <c r="F1300" s="38" t="s">
        <v>4620</v>
      </c>
      <c r="G1300" s="38">
        <v>31</v>
      </c>
      <c r="H1300" s="11">
        <v>626414</v>
      </c>
      <c r="I1300" s="16" t="s">
        <v>4473</v>
      </c>
      <c r="J1300" s="16" t="s">
        <v>4282</v>
      </c>
      <c r="K1300" s="29" t="s">
        <v>4917</v>
      </c>
      <c r="L1300" s="16" t="s">
        <v>180</v>
      </c>
      <c r="M1300" s="95" t="s">
        <v>4170</v>
      </c>
      <c r="N1300" s="15" t="s">
        <v>4171</v>
      </c>
      <c r="O1300" s="16" t="s">
        <v>4172</v>
      </c>
      <c r="P1300" s="23">
        <v>1830.5540000000001</v>
      </c>
      <c r="Q1300" s="23">
        <f t="shared" si="165"/>
        <v>2160.0537199999999</v>
      </c>
      <c r="R1300" s="23">
        <v>1605.7268260584269</v>
      </c>
      <c r="S1300" s="29" t="s">
        <v>4654</v>
      </c>
      <c r="T1300" s="312">
        <v>1.0900000000000001</v>
      </c>
      <c r="U1300" s="312">
        <v>1.0409999999999999</v>
      </c>
      <c r="V1300" s="312">
        <v>1.0229999999999999</v>
      </c>
      <c r="W1300" s="312">
        <v>1</v>
      </c>
      <c r="X1300" s="403">
        <v>0.9</v>
      </c>
      <c r="Y1300" s="23">
        <v>1677.5174</v>
      </c>
      <c r="Z1300" s="23">
        <f t="shared" si="166"/>
        <v>1979.4705319999998</v>
      </c>
      <c r="AA1300" s="36" t="s">
        <v>132</v>
      </c>
      <c r="AB1300" s="36" t="s">
        <v>132</v>
      </c>
      <c r="AC1300" s="23">
        <v>1830.5540000000001</v>
      </c>
      <c r="AD1300" s="23">
        <f t="shared" si="167"/>
        <v>2160.0537199999999</v>
      </c>
      <c r="AE1300" s="38" t="s">
        <v>173</v>
      </c>
      <c r="AF1300" s="38" t="s">
        <v>83</v>
      </c>
      <c r="AG1300" s="38" t="s">
        <v>83</v>
      </c>
      <c r="AH1300" s="38" t="s">
        <v>90</v>
      </c>
      <c r="AI1300" s="51">
        <v>41598</v>
      </c>
      <c r="AJ1300" s="51">
        <v>41638</v>
      </c>
      <c r="AK1300" s="369"/>
      <c r="AL1300" s="60"/>
      <c r="AM1300" s="60" t="s">
        <v>4159</v>
      </c>
      <c r="AN1300" s="60" t="s">
        <v>171</v>
      </c>
      <c r="AO1300" s="11">
        <v>796</v>
      </c>
      <c r="AP1300" s="38" t="s">
        <v>419</v>
      </c>
      <c r="AQ1300" s="38">
        <v>1</v>
      </c>
      <c r="AR1300" s="38" t="s">
        <v>2980</v>
      </c>
      <c r="AS1300" s="16" t="s">
        <v>3373</v>
      </c>
      <c r="AT1300" s="78">
        <v>41640</v>
      </c>
      <c r="AU1300" s="78">
        <v>41640</v>
      </c>
      <c r="AV1300" s="78">
        <v>41942</v>
      </c>
      <c r="AW1300" s="38">
        <v>2014</v>
      </c>
      <c r="AX1300" s="60"/>
      <c r="AY1300" s="135"/>
      <c r="AZ1300" s="60"/>
      <c r="BA1300" s="38"/>
      <c r="BB1300" s="38"/>
      <c r="BC1300" s="60"/>
      <c r="BD1300" s="60"/>
      <c r="BE1300" s="304"/>
      <c r="BF1300" s="304"/>
      <c r="BG1300" s="304"/>
      <c r="BH1300" s="304"/>
      <c r="BI1300" s="304"/>
      <c r="BJ1300" s="304"/>
      <c r="BK1300" s="16"/>
    </row>
    <row r="1301" spans="1:63" s="287" customFormat="1" ht="75">
      <c r="A1301" s="401">
        <v>3</v>
      </c>
      <c r="B1301" s="38" t="s">
        <v>4234</v>
      </c>
      <c r="C1301" s="38" t="s">
        <v>83</v>
      </c>
      <c r="D1301" s="38" t="s">
        <v>4158</v>
      </c>
      <c r="E1301" s="38" t="s">
        <v>274</v>
      </c>
      <c r="F1301" s="38" t="s">
        <v>4620</v>
      </c>
      <c r="G1301" s="38">
        <v>31</v>
      </c>
      <c r="H1301" s="11">
        <v>626354</v>
      </c>
      <c r="I1301" s="16" t="s">
        <v>4235</v>
      </c>
      <c r="J1301" s="16" t="s">
        <v>4282</v>
      </c>
      <c r="K1301" s="29" t="s">
        <v>4917</v>
      </c>
      <c r="L1301" s="16" t="s">
        <v>180</v>
      </c>
      <c r="M1301" s="95" t="s">
        <v>4170</v>
      </c>
      <c r="N1301" s="15" t="s">
        <v>4171</v>
      </c>
      <c r="O1301" s="16" t="s">
        <v>4172</v>
      </c>
      <c r="P1301" s="23">
        <v>5305.9285799999998</v>
      </c>
      <c r="Q1301" s="23">
        <f t="shared" si="165"/>
        <v>6260.9957243999997</v>
      </c>
      <c r="R1301" s="23">
        <v>5931.8312782139064</v>
      </c>
      <c r="S1301" s="29" t="s">
        <v>4180</v>
      </c>
      <c r="T1301" s="312">
        <v>1.0840000000000001</v>
      </c>
      <c r="U1301" s="312">
        <v>1.0509999999999999</v>
      </c>
      <c r="V1301" s="312">
        <v>1.0669999999999999</v>
      </c>
      <c r="W1301" s="312">
        <v>1.056</v>
      </c>
      <c r="X1301" s="403">
        <v>0.9</v>
      </c>
      <c r="Y1301" s="23">
        <v>6853.1720500000001</v>
      </c>
      <c r="Z1301" s="23">
        <f t="shared" si="166"/>
        <v>8086.7430189999995</v>
      </c>
      <c r="AA1301" s="36" t="s">
        <v>132</v>
      </c>
      <c r="AB1301" s="36" t="s">
        <v>132</v>
      </c>
      <c r="AC1301" s="23">
        <v>5305.9285799999998</v>
      </c>
      <c r="AD1301" s="23">
        <f t="shared" si="167"/>
        <v>6260.9957243999997</v>
      </c>
      <c r="AE1301" s="38" t="s">
        <v>173</v>
      </c>
      <c r="AF1301" s="38" t="s">
        <v>83</v>
      </c>
      <c r="AG1301" s="38" t="s">
        <v>83</v>
      </c>
      <c r="AH1301" s="38" t="s">
        <v>90</v>
      </c>
      <c r="AI1301" s="51">
        <v>41593</v>
      </c>
      <c r="AJ1301" s="51">
        <v>41638</v>
      </c>
      <c r="AK1301" s="369"/>
      <c r="AL1301" s="60"/>
      <c r="AM1301" s="60" t="s">
        <v>4159</v>
      </c>
      <c r="AN1301" s="60" t="s">
        <v>171</v>
      </c>
      <c r="AO1301" s="11">
        <v>796</v>
      </c>
      <c r="AP1301" s="38" t="s">
        <v>419</v>
      </c>
      <c r="AQ1301" s="38">
        <v>1</v>
      </c>
      <c r="AR1301" s="38" t="s">
        <v>2980</v>
      </c>
      <c r="AS1301" s="16" t="s">
        <v>3373</v>
      </c>
      <c r="AT1301" s="78">
        <v>41640</v>
      </c>
      <c r="AU1301" s="78">
        <v>41640</v>
      </c>
      <c r="AV1301" s="78">
        <v>41942</v>
      </c>
      <c r="AW1301" s="38">
        <v>2014</v>
      </c>
      <c r="AX1301" s="60"/>
      <c r="AY1301" s="135"/>
      <c r="AZ1301" s="60"/>
      <c r="BA1301" s="38"/>
      <c r="BB1301" s="38"/>
      <c r="BC1301" s="60"/>
      <c r="BD1301" s="60"/>
      <c r="BE1301" s="304"/>
      <c r="BF1301" s="304"/>
      <c r="BG1301" s="304"/>
      <c r="BH1301" s="304"/>
      <c r="BI1301" s="304"/>
      <c r="BJ1301" s="304"/>
      <c r="BK1301" s="16"/>
    </row>
    <row r="1302" spans="1:63" s="287" customFormat="1" ht="75">
      <c r="A1302" s="401">
        <v>3</v>
      </c>
      <c r="B1302" s="38" t="s">
        <v>4236</v>
      </c>
      <c r="C1302" s="38" t="s">
        <v>83</v>
      </c>
      <c r="D1302" s="38" t="s">
        <v>4158</v>
      </c>
      <c r="E1302" s="38" t="s">
        <v>274</v>
      </c>
      <c r="F1302" s="38" t="s">
        <v>4620</v>
      </c>
      <c r="G1302" s="38">
        <v>31</v>
      </c>
      <c r="H1302" s="11">
        <v>626346</v>
      </c>
      <c r="I1302" s="16" t="s">
        <v>4237</v>
      </c>
      <c r="J1302" s="16" t="s">
        <v>4282</v>
      </c>
      <c r="K1302" s="29" t="s">
        <v>4917</v>
      </c>
      <c r="L1302" s="16" t="s">
        <v>180</v>
      </c>
      <c r="M1302" s="95" t="s">
        <v>4170</v>
      </c>
      <c r="N1302" s="15" t="s">
        <v>4171</v>
      </c>
      <c r="O1302" s="16" t="s">
        <v>4172</v>
      </c>
      <c r="P1302" s="23">
        <v>2339.1056400000002</v>
      </c>
      <c r="Q1302" s="23">
        <f t="shared" si="165"/>
        <v>2760.1446552000002</v>
      </c>
      <c r="R1302" s="23">
        <v>2167.0836200027325</v>
      </c>
      <c r="S1302" s="29" t="s">
        <v>4180</v>
      </c>
      <c r="T1302" s="312">
        <v>1.0840000000000001</v>
      </c>
      <c r="U1302" s="312">
        <v>1.0509999999999999</v>
      </c>
      <c r="V1302" s="312">
        <v>1.0669999999999999</v>
      </c>
      <c r="W1302" s="312">
        <v>1.056</v>
      </c>
      <c r="X1302" s="403">
        <v>0.9</v>
      </c>
      <c r="Y1302" s="23">
        <v>2503.6782400000002</v>
      </c>
      <c r="Z1302" s="23">
        <f t="shared" si="166"/>
        <v>2954.3403232000001</v>
      </c>
      <c r="AA1302" s="36" t="s">
        <v>132</v>
      </c>
      <c r="AB1302" s="36" t="s">
        <v>132</v>
      </c>
      <c r="AC1302" s="23">
        <v>2339.1056400000002</v>
      </c>
      <c r="AD1302" s="23">
        <f t="shared" si="167"/>
        <v>2760.1446552000002</v>
      </c>
      <c r="AE1302" s="38" t="s">
        <v>173</v>
      </c>
      <c r="AF1302" s="38" t="s">
        <v>83</v>
      </c>
      <c r="AG1302" s="38" t="s">
        <v>83</v>
      </c>
      <c r="AH1302" s="38" t="s">
        <v>90</v>
      </c>
      <c r="AI1302" s="51">
        <v>41593</v>
      </c>
      <c r="AJ1302" s="51">
        <v>41638</v>
      </c>
      <c r="AK1302" s="369"/>
      <c r="AL1302" s="60"/>
      <c r="AM1302" s="60" t="s">
        <v>4159</v>
      </c>
      <c r="AN1302" s="60" t="s">
        <v>171</v>
      </c>
      <c r="AO1302" s="11">
        <v>796</v>
      </c>
      <c r="AP1302" s="38" t="s">
        <v>419</v>
      </c>
      <c r="AQ1302" s="38">
        <v>1</v>
      </c>
      <c r="AR1302" s="38" t="s">
        <v>2980</v>
      </c>
      <c r="AS1302" s="16" t="s">
        <v>3373</v>
      </c>
      <c r="AT1302" s="78">
        <v>41640</v>
      </c>
      <c r="AU1302" s="78">
        <v>41640</v>
      </c>
      <c r="AV1302" s="78">
        <v>41942</v>
      </c>
      <c r="AW1302" s="38">
        <v>2014</v>
      </c>
      <c r="AX1302" s="60"/>
      <c r="AY1302" s="135"/>
      <c r="AZ1302" s="60"/>
      <c r="BA1302" s="38"/>
      <c r="BB1302" s="38"/>
      <c r="BC1302" s="60"/>
      <c r="BD1302" s="60"/>
      <c r="BE1302" s="304"/>
      <c r="BF1302" s="304"/>
      <c r="BG1302" s="304"/>
      <c r="BH1302" s="304"/>
      <c r="BI1302" s="304"/>
      <c r="BJ1302" s="304"/>
      <c r="BK1302" s="16"/>
    </row>
    <row r="1303" spans="1:63" s="287" customFormat="1" ht="75">
      <c r="A1303" s="401">
        <v>3</v>
      </c>
      <c r="B1303" s="38" t="s">
        <v>4238</v>
      </c>
      <c r="C1303" s="38" t="s">
        <v>83</v>
      </c>
      <c r="D1303" s="38" t="s">
        <v>4158</v>
      </c>
      <c r="E1303" s="38" t="s">
        <v>274</v>
      </c>
      <c r="F1303" s="38" t="s">
        <v>4620</v>
      </c>
      <c r="G1303" s="38">
        <v>31</v>
      </c>
      <c r="H1303" s="11">
        <v>626312</v>
      </c>
      <c r="I1303" s="16" t="s">
        <v>4239</v>
      </c>
      <c r="J1303" s="16" t="s">
        <v>4282</v>
      </c>
      <c r="K1303" s="29" t="s">
        <v>4917</v>
      </c>
      <c r="L1303" s="16" t="s">
        <v>180</v>
      </c>
      <c r="M1303" s="95" t="s">
        <v>4170</v>
      </c>
      <c r="N1303" s="15" t="s">
        <v>4171</v>
      </c>
      <c r="O1303" s="16" t="s">
        <v>4172</v>
      </c>
      <c r="P1303" s="23">
        <v>1735.8138300000001</v>
      </c>
      <c r="Q1303" s="23">
        <f t="shared" si="165"/>
        <v>2048.2603193999998</v>
      </c>
      <c r="R1303" s="23">
        <v>1773.1469160187078</v>
      </c>
      <c r="S1303" s="29" t="s">
        <v>4180</v>
      </c>
      <c r="T1303" s="312">
        <v>1.0840000000000001</v>
      </c>
      <c r="U1303" s="312">
        <v>1.0509999999999999</v>
      </c>
      <c r="V1303" s="312">
        <v>1.0669999999999999</v>
      </c>
      <c r="W1303" s="312">
        <v>1</v>
      </c>
      <c r="X1303" s="403">
        <v>0.9</v>
      </c>
      <c r="Y1303" s="23">
        <v>1939.91923</v>
      </c>
      <c r="Z1303" s="23">
        <f t="shared" si="166"/>
        <v>2289.1046913999999</v>
      </c>
      <c r="AA1303" s="36" t="s">
        <v>132</v>
      </c>
      <c r="AB1303" s="36" t="s">
        <v>132</v>
      </c>
      <c r="AC1303" s="23">
        <v>1735.8138300000001</v>
      </c>
      <c r="AD1303" s="23">
        <f t="shared" si="167"/>
        <v>2048.2603193999998</v>
      </c>
      <c r="AE1303" s="38" t="s">
        <v>173</v>
      </c>
      <c r="AF1303" s="38" t="s">
        <v>83</v>
      </c>
      <c r="AG1303" s="38" t="s">
        <v>83</v>
      </c>
      <c r="AH1303" s="38" t="s">
        <v>90</v>
      </c>
      <c r="AI1303" s="51">
        <v>41593</v>
      </c>
      <c r="AJ1303" s="51">
        <v>41638</v>
      </c>
      <c r="AK1303" s="369"/>
      <c r="AL1303" s="60"/>
      <c r="AM1303" s="60" t="s">
        <v>4159</v>
      </c>
      <c r="AN1303" s="60" t="s">
        <v>171</v>
      </c>
      <c r="AO1303" s="11">
        <v>796</v>
      </c>
      <c r="AP1303" s="38" t="s">
        <v>419</v>
      </c>
      <c r="AQ1303" s="38">
        <v>1</v>
      </c>
      <c r="AR1303" s="38" t="s">
        <v>2980</v>
      </c>
      <c r="AS1303" s="16" t="s">
        <v>3373</v>
      </c>
      <c r="AT1303" s="78">
        <v>41640</v>
      </c>
      <c r="AU1303" s="78">
        <v>41640</v>
      </c>
      <c r="AV1303" s="78">
        <v>41942</v>
      </c>
      <c r="AW1303" s="38">
        <v>2014</v>
      </c>
      <c r="AX1303" s="60"/>
      <c r="AY1303" s="135"/>
      <c r="AZ1303" s="60"/>
      <c r="BA1303" s="38"/>
      <c r="BB1303" s="38"/>
      <c r="BC1303" s="60"/>
      <c r="BD1303" s="60"/>
      <c r="BE1303" s="304"/>
      <c r="BF1303" s="304"/>
      <c r="BG1303" s="304"/>
      <c r="BH1303" s="304"/>
      <c r="BI1303" s="304"/>
      <c r="BJ1303" s="304"/>
      <c r="BK1303" s="16"/>
    </row>
    <row r="1304" spans="1:63" s="287" customFormat="1" ht="168.75">
      <c r="A1304" s="401">
        <v>3</v>
      </c>
      <c r="B1304" s="38" t="s">
        <v>4240</v>
      </c>
      <c r="C1304" s="38" t="s">
        <v>83</v>
      </c>
      <c r="D1304" s="38" t="s">
        <v>4158</v>
      </c>
      <c r="E1304" s="38" t="s">
        <v>274</v>
      </c>
      <c r="F1304" s="38" t="s">
        <v>4620</v>
      </c>
      <c r="G1304" s="38">
        <v>31</v>
      </c>
      <c r="H1304" s="11">
        <v>626303</v>
      </c>
      <c r="I1304" s="16" t="s">
        <v>4241</v>
      </c>
      <c r="J1304" s="16" t="s">
        <v>4282</v>
      </c>
      <c r="K1304" s="29" t="s">
        <v>4917</v>
      </c>
      <c r="L1304" s="16" t="s">
        <v>180</v>
      </c>
      <c r="M1304" s="95" t="s">
        <v>4170</v>
      </c>
      <c r="N1304" s="15" t="s">
        <v>4171</v>
      </c>
      <c r="O1304" s="16" t="s">
        <v>4172</v>
      </c>
      <c r="P1304" s="23">
        <v>5826.6538300000002</v>
      </c>
      <c r="Q1304" s="23">
        <f t="shared" si="165"/>
        <v>6875.4515193999996</v>
      </c>
      <c r="R1304" s="23">
        <v>5163.7289996861318</v>
      </c>
      <c r="S1304" s="29" t="s">
        <v>4652</v>
      </c>
      <c r="T1304" s="312">
        <v>1.0900000000000001</v>
      </c>
      <c r="U1304" s="312">
        <v>1.0409999999999999</v>
      </c>
      <c r="V1304" s="312">
        <v>1.0229999999999999</v>
      </c>
      <c r="W1304" s="312">
        <v>1.044</v>
      </c>
      <c r="X1304" s="403">
        <v>0.9</v>
      </c>
      <c r="Y1304" s="23">
        <v>5631.9567500000003</v>
      </c>
      <c r="Z1304" s="23">
        <f t="shared" si="166"/>
        <v>6645.7089649999998</v>
      </c>
      <c r="AA1304" s="36" t="s">
        <v>132</v>
      </c>
      <c r="AB1304" s="36" t="s">
        <v>132</v>
      </c>
      <c r="AC1304" s="23">
        <v>5631.9567500000003</v>
      </c>
      <c r="AD1304" s="23">
        <f t="shared" si="167"/>
        <v>6645.7089649999998</v>
      </c>
      <c r="AE1304" s="38" t="s">
        <v>173</v>
      </c>
      <c r="AF1304" s="38" t="s">
        <v>83</v>
      </c>
      <c r="AG1304" s="38" t="s">
        <v>83</v>
      </c>
      <c r="AH1304" s="38" t="s">
        <v>90</v>
      </c>
      <c r="AI1304" s="51">
        <v>41631</v>
      </c>
      <c r="AJ1304" s="51">
        <v>41676</v>
      </c>
      <c r="AK1304" s="369"/>
      <c r="AL1304" s="60"/>
      <c r="AM1304" s="60" t="s">
        <v>4159</v>
      </c>
      <c r="AN1304" s="60" t="s">
        <v>171</v>
      </c>
      <c r="AO1304" s="11">
        <v>796</v>
      </c>
      <c r="AP1304" s="38" t="s">
        <v>419</v>
      </c>
      <c r="AQ1304" s="38">
        <v>1</v>
      </c>
      <c r="AR1304" s="38" t="s">
        <v>2980</v>
      </c>
      <c r="AS1304" s="16" t="s">
        <v>3373</v>
      </c>
      <c r="AT1304" s="51">
        <v>41676</v>
      </c>
      <c r="AU1304" s="51">
        <v>41676</v>
      </c>
      <c r="AV1304" s="78">
        <v>41942</v>
      </c>
      <c r="AW1304" s="38">
        <v>2014</v>
      </c>
      <c r="AX1304" s="60"/>
      <c r="AY1304" s="135"/>
      <c r="AZ1304" s="60"/>
      <c r="BA1304" s="38"/>
      <c r="BB1304" s="38"/>
      <c r="BC1304" s="60"/>
      <c r="BD1304" s="60"/>
      <c r="BE1304" s="304"/>
      <c r="BF1304" s="304"/>
      <c r="BG1304" s="304"/>
      <c r="BH1304" s="304"/>
      <c r="BI1304" s="304"/>
      <c r="BJ1304" s="304"/>
      <c r="BK1304" s="16"/>
    </row>
    <row r="1305" spans="1:63" s="287" customFormat="1" ht="168.75">
      <c r="A1305" s="401">
        <v>3</v>
      </c>
      <c r="B1305" s="38" t="s">
        <v>4242</v>
      </c>
      <c r="C1305" s="38" t="s">
        <v>83</v>
      </c>
      <c r="D1305" s="38" t="s">
        <v>4158</v>
      </c>
      <c r="E1305" s="38" t="s">
        <v>274</v>
      </c>
      <c r="F1305" s="38" t="s">
        <v>4620</v>
      </c>
      <c r="G1305" s="38">
        <v>31</v>
      </c>
      <c r="H1305" s="11">
        <v>626258</v>
      </c>
      <c r="I1305" s="16" t="s">
        <v>4243</v>
      </c>
      <c r="J1305" s="16" t="s">
        <v>4282</v>
      </c>
      <c r="K1305" s="29" t="s">
        <v>4917</v>
      </c>
      <c r="L1305" s="16" t="s">
        <v>180</v>
      </c>
      <c r="M1305" s="95" t="s">
        <v>4170</v>
      </c>
      <c r="N1305" s="15" t="s">
        <v>4171</v>
      </c>
      <c r="O1305" s="16" t="s">
        <v>4172</v>
      </c>
      <c r="P1305" s="23">
        <v>8586.5020000000004</v>
      </c>
      <c r="Q1305" s="23">
        <f t="shared" si="165"/>
        <v>10132.07236</v>
      </c>
      <c r="R1305" s="23">
        <v>10532.890631917633</v>
      </c>
      <c r="S1305" s="29" t="s">
        <v>4652</v>
      </c>
      <c r="T1305" s="312">
        <v>1.0900000000000001</v>
      </c>
      <c r="U1305" s="312">
        <v>1.0409999999999999</v>
      </c>
      <c r="V1305" s="312">
        <v>1.0229999999999999</v>
      </c>
      <c r="W1305" s="312">
        <v>1.044</v>
      </c>
      <c r="X1305" s="403">
        <v>0.9</v>
      </c>
      <c r="Y1305" s="23">
        <v>11487.974</v>
      </c>
      <c r="Z1305" s="23">
        <f t="shared" si="166"/>
        <v>13555.80932</v>
      </c>
      <c r="AA1305" s="36" t="s">
        <v>132</v>
      </c>
      <c r="AB1305" s="36" t="s">
        <v>132</v>
      </c>
      <c r="AC1305" s="23">
        <v>8586.5020000000004</v>
      </c>
      <c r="AD1305" s="23">
        <f t="shared" si="167"/>
        <v>10132.07236</v>
      </c>
      <c r="AE1305" s="38" t="s">
        <v>169</v>
      </c>
      <c r="AF1305" s="38" t="s">
        <v>83</v>
      </c>
      <c r="AG1305" s="38" t="s">
        <v>83</v>
      </c>
      <c r="AH1305" s="38" t="s">
        <v>90</v>
      </c>
      <c r="AI1305" s="51">
        <v>41625</v>
      </c>
      <c r="AJ1305" s="51">
        <v>41670</v>
      </c>
      <c r="AK1305" s="369"/>
      <c r="AL1305" s="60"/>
      <c r="AM1305" s="60" t="s">
        <v>4159</v>
      </c>
      <c r="AN1305" s="60" t="s">
        <v>171</v>
      </c>
      <c r="AO1305" s="11">
        <v>796</v>
      </c>
      <c r="AP1305" s="38" t="s">
        <v>419</v>
      </c>
      <c r="AQ1305" s="38">
        <v>1</v>
      </c>
      <c r="AR1305" s="38" t="s">
        <v>2980</v>
      </c>
      <c r="AS1305" s="16" t="s">
        <v>3373</v>
      </c>
      <c r="AT1305" s="51">
        <v>41670</v>
      </c>
      <c r="AU1305" s="51">
        <v>41670</v>
      </c>
      <c r="AV1305" s="78">
        <v>41942</v>
      </c>
      <c r="AW1305" s="38">
        <v>2014</v>
      </c>
      <c r="AX1305" s="60"/>
      <c r="AY1305" s="135"/>
      <c r="AZ1305" s="60"/>
      <c r="BA1305" s="38"/>
      <c r="BB1305" s="38"/>
      <c r="BC1305" s="60"/>
      <c r="BD1305" s="60"/>
      <c r="BE1305" s="304"/>
      <c r="BF1305" s="304"/>
      <c r="BG1305" s="304"/>
      <c r="BH1305" s="304"/>
      <c r="BI1305" s="304"/>
      <c r="BJ1305" s="304"/>
      <c r="BK1305" s="16"/>
    </row>
    <row r="1306" spans="1:63" s="287" customFormat="1" ht="75">
      <c r="A1306" s="401">
        <v>3</v>
      </c>
      <c r="B1306" s="38" t="s">
        <v>4244</v>
      </c>
      <c r="C1306" s="38" t="s">
        <v>83</v>
      </c>
      <c r="D1306" s="38" t="s">
        <v>4158</v>
      </c>
      <c r="E1306" s="38" t="s">
        <v>274</v>
      </c>
      <c r="F1306" s="38" t="s">
        <v>4620</v>
      </c>
      <c r="G1306" s="38">
        <v>31</v>
      </c>
      <c r="H1306" s="11">
        <v>626361</v>
      </c>
      <c r="I1306" s="16" t="s">
        <v>4245</v>
      </c>
      <c r="J1306" s="16" t="s">
        <v>4282</v>
      </c>
      <c r="K1306" s="29" t="s">
        <v>4917</v>
      </c>
      <c r="L1306" s="16" t="s">
        <v>180</v>
      </c>
      <c r="M1306" s="95" t="s">
        <v>4170</v>
      </c>
      <c r="N1306" s="15" t="s">
        <v>4171</v>
      </c>
      <c r="O1306" s="16" t="s">
        <v>4172</v>
      </c>
      <c r="P1306" s="23">
        <v>1780.97462</v>
      </c>
      <c r="Q1306" s="23">
        <f t="shared" si="165"/>
        <v>2101.5500515999997</v>
      </c>
      <c r="R1306" s="23">
        <v>1208.6564931235057</v>
      </c>
      <c r="S1306" s="29" t="s">
        <v>4180</v>
      </c>
      <c r="T1306" s="312">
        <v>1.0840000000000001</v>
      </c>
      <c r="U1306" s="312">
        <v>1.0509999999999999</v>
      </c>
      <c r="V1306" s="312">
        <v>1.0669999999999999</v>
      </c>
      <c r="W1306" s="312">
        <v>1.056</v>
      </c>
      <c r="X1306" s="403">
        <v>0.9</v>
      </c>
      <c r="Y1306" s="23">
        <v>1396.3868</v>
      </c>
      <c r="Z1306" s="23">
        <f t="shared" si="166"/>
        <v>1647.7364239999999</v>
      </c>
      <c r="AA1306" s="36" t="s">
        <v>132</v>
      </c>
      <c r="AB1306" s="36" t="s">
        <v>132</v>
      </c>
      <c r="AC1306" s="23">
        <v>1780.97462</v>
      </c>
      <c r="AD1306" s="23">
        <f t="shared" si="167"/>
        <v>2101.5500515999997</v>
      </c>
      <c r="AE1306" s="38" t="s">
        <v>173</v>
      </c>
      <c r="AF1306" s="38" t="s">
        <v>83</v>
      </c>
      <c r="AG1306" s="38" t="s">
        <v>83</v>
      </c>
      <c r="AH1306" s="38" t="s">
        <v>90</v>
      </c>
      <c r="AI1306" s="51">
        <v>41623</v>
      </c>
      <c r="AJ1306" s="51">
        <v>41669</v>
      </c>
      <c r="AK1306" s="369"/>
      <c r="AL1306" s="60"/>
      <c r="AM1306" s="60" t="s">
        <v>4159</v>
      </c>
      <c r="AN1306" s="60" t="s">
        <v>171</v>
      </c>
      <c r="AO1306" s="11">
        <v>796</v>
      </c>
      <c r="AP1306" s="38" t="s">
        <v>419</v>
      </c>
      <c r="AQ1306" s="38">
        <v>1</v>
      </c>
      <c r="AR1306" s="38" t="s">
        <v>2980</v>
      </c>
      <c r="AS1306" s="16" t="s">
        <v>3373</v>
      </c>
      <c r="AT1306" s="51">
        <v>41669</v>
      </c>
      <c r="AU1306" s="78">
        <v>41640</v>
      </c>
      <c r="AV1306" s="78">
        <v>41942</v>
      </c>
      <c r="AW1306" s="38">
        <v>2014</v>
      </c>
      <c r="AX1306" s="60"/>
      <c r="AY1306" s="135"/>
      <c r="AZ1306" s="60"/>
      <c r="BA1306" s="38"/>
      <c r="BB1306" s="38"/>
      <c r="BC1306" s="60"/>
      <c r="BD1306" s="60"/>
      <c r="BE1306" s="304"/>
      <c r="BF1306" s="304"/>
      <c r="BG1306" s="304"/>
      <c r="BH1306" s="304"/>
      <c r="BI1306" s="304"/>
      <c r="BJ1306" s="304"/>
      <c r="BK1306" s="16"/>
    </row>
    <row r="1307" spans="1:63" s="287" customFormat="1" ht="75">
      <c r="A1307" s="401">
        <v>3</v>
      </c>
      <c r="B1307" s="38" t="s">
        <v>4246</v>
      </c>
      <c r="C1307" s="38" t="s">
        <v>83</v>
      </c>
      <c r="D1307" s="38" t="s">
        <v>4158</v>
      </c>
      <c r="E1307" s="38" t="s">
        <v>274</v>
      </c>
      <c r="F1307" s="38" t="s">
        <v>4620</v>
      </c>
      <c r="G1307" s="38">
        <v>31</v>
      </c>
      <c r="H1307" s="11">
        <v>626379</v>
      </c>
      <c r="I1307" s="16" t="s">
        <v>4247</v>
      </c>
      <c r="J1307" s="16" t="s">
        <v>4282</v>
      </c>
      <c r="K1307" s="29" t="s">
        <v>4917</v>
      </c>
      <c r="L1307" s="16" t="s">
        <v>180</v>
      </c>
      <c r="M1307" s="95" t="s">
        <v>4170</v>
      </c>
      <c r="N1307" s="15" t="s">
        <v>4171</v>
      </c>
      <c r="O1307" s="16" t="s">
        <v>4172</v>
      </c>
      <c r="P1307" s="23">
        <v>31654.073349999999</v>
      </c>
      <c r="Q1307" s="23">
        <f t="shared" si="165"/>
        <v>37351.806552999995</v>
      </c>
      <c r="R1307" s="23">
        <v>29603.884848480124</v>
      </c>
      <c r="S1307" s="29" t="s">
        <v>4180</v>
      </c>
      <c r="T1307" s="312">
        <v>1.0840000000000001</v>
      </c>
      <c r="U1307" s="312">
        <v>1.0509999999999999</v>
      </c>
      <c r="V1307" s="312">
        <v>1.0669999999999999</v>
      </c>
      <c r="W1307" s="312">
        <v>1.056</v>
      </c>
      <c r="X1307" s="403">
        <v>0.9</v>
      </c>
      <c r="Y1307" s="23">
        <v>34202.003850000001</v>
      </c>
      <c r="Z1307" s="23">
        <f t="shared" si="166"/>
        <v>40358.364542999996</v>
      </c>
      <c r="AA1307" s="36" t="s">
        <v>132</v>
      </c>
      <c r="AB1307" s="36" t="s">
        <v>132</v>
      </c>
      <c r="AC1307" s="23">
        <v>31654.073349999999</v>
      </c>
      <c r="AD1307" s="23">
        <f t="shared" si="167"/>
        <v>37351.806552999995</v>
      </c>
      <c r="AE1307" s="38" t="s">
        <v>169</v>
      </c>
      <c r="AF1307" s="38" t="s">
        <v>83</v>
      </c>
      <c r="AG1307" s="38" t="s">
        <v>83</v>
      </c>
      <c r="AH1307" s="38" t="s">
        <v>90</v>
      </c>
      <c r="AI1307" s="51">
        <v>41593</v>
      </c>
      <c r="AJ1307" s="51">
        <v>41638</v>
      </c>
      <c r="AK1307" s="369"/>
      <c r="AL1307" s="60"/>
      <c r="AM1307" s="60" t="s">
        <v>4159</v>
      </c>
      <c r="AN1307" s="60" t="s">
        <v>171</v>
      </c>
      <c r="AO1307" s="11">
        <v>796</v>
      </c>
      <c r="AP1307" s="38" t="s">
        <v>419</v>
      </c>
      <c r="AQ1307" s="38">
        <v>1</v>
      </c>
      <c r="AR1307" s="38" t="s">
        <v>2980</v>
      </c>
      <c r="AS1307" s="16" t="s">
        <v>3373</v>
      </c>
      <c r="AT1307" s="78">
        <v>41640</v>
      </c>
      <c r="AU1307" s="78">
        <v>41640</v>
      </c>
      <c r="AV1307" s="78">
        <v>41942</v>
      </c>
      <c r="AW1307" s="38">
        <v>2014</v>
      </c>
      <c r="AX1307" s="60"/>
      <c r="AY1307" s="135"/>
      <c r="AZ1307" s="60"/>
      <c r="BA1307" s="38"/>
      <c r="BB1307" s="38"/>
      <c r="BC1307" s="60"/>
      <c r="BD1307" s="60"/>
      <c r="BE1307" s="304"/>
      <c r="BF1307" s="304"/>
      <c r="BG1307" s="304"/>
      <c r="BH1307" s="304"/>
      <c r="BI1307" s="304"/>
      <c r="BJ1307" s="304"/>
      <c r="BK1307" s="16"/>
    </row>
    <row r="1308" spans="1:63" s="287" customFormat="1" ht="168.75">
      <c r="A1308" s="401">
        <v>3</v>
      </c>
      <c r="B1308" s="38" t="s">
        <v>4248</v>
      </c>
      <c r="C1308" s="38" t="s">
        <v>83</v>
      </c>
      <c r="D1308" s="38" t="s">
        <v>4158</v>
      </c>
      <c r="E1308" s="38" t="s">
        <v>274</v>
      </c>
      <c r="F1308" s="38" t="s">
        <v>4620</v>
      </c>
      <c r="G1308" s="38">
        <v>31</v>
      </c>
      <c r="H1308" s="11">
        <v>626413</v>
      </c>
      <c r="I1308" s="16" t="s">
        <v>4249</v>
      </c>
      <c r="J1308" s="16" t="s">
        <v>4282</v>
      </c>
      <c r="K1308" s="29" t="s">
        <v>4917</v>
      </c>
      <c r="L1308" s="16" t="s">
        <v>180</v>
      </c>
      <c r="M1308" s="95" t="s">
        <v>4170</v>
      </c>
      <c r="N1308" s="15" t="s">
        <v>4171</v>
      </c>
      <c r="O1308" s="16" t="s">
        <v>4172</v>
      </c>
      <c r="P1308" s="23">
        <v>616.18298000000004</v>
      </c>
      <c r="Q1308" s="23">
        <f t="shared" si="165"/>
        <v>727.09591639999996</v>
      </c>
      <c r="R1308" s="23">
        <v>581.50159684215168</v>
      </c>
      <c r="S1308" s="29" t="s">
        <v>4652</v>
      </c>
      <c r="T1308" s="312">
        <v>1.0900000000000001</v>
      </c>
      <c r="U1308" s="312">
        <v>1.0409999999999999</v>
      </c>
      <c r="V1308" s="312">
        <v>1.0229999999999999</v>
      </c>
      <c r="W1308" s="312">
        <v>1</v>
      </c>
      <c r="X1308" s="403">
        <v>0.9</v>
      </c>
      <c r="Y1308" s="23">
        <v>607.5</v>
      </c>
      <c r="Z1308" s="23">
        <f t="shared" si="166"/>
        <v>716.84999999999991</v>
      </c>
      <c r="AA1308" s="36" t="s">
        <v>132</v>
      </c>
      <c r="AB1308" s="36" t="s">
        <v>132</v>
      </c>
      <c r="AC1308" s="23">
        <v>616.18298000000004</v>
      </c>
      <c r="AD1308" s="23">
        <f t="shared" si="167"/>
        <v>727.09591639999996</v>
      </c>
      <c r="AE1308" s="38" t="s">
        <v>173</v>
      </c>
      <c r="AF1308" s="38" t="s">
        <v>83</v>
      </c>
      <c r="AG1308" s="38" t="s">
        <v>83</v>
      </c>
      <c r="AH1308" s="38" t="s">
        <v>90</v>
      </c>
      <c r="AI1308" s="51">
        <v>41608</v>
      </c>
      <c r="AJ1308" s="51">
        <v>41638</v>
      </c>
      <c r="AK1308" s="369"/>
      <c r="AL1308" s="60"/>
      <c r="AM1308" s="60" t="s">
        <v>4159</v>
      </c>
      <c r="AN1308" s="60" t="s">
        <v>171</v>
      </c>
      <c r="AO1308" s="11">
        <v>796</v>
      </c>
      <c r="AP1308" s="38" t="s">
        <v>419</v>
      </c>
      <c r="AQ1308" s="38">
        <v>3</v>
      </c>
      <c r="AR1308" s="38" t="s">
        <v>2980</v>
      </c>
      <c r="AS1308" s="16" t="s">
        <v>3373</v>
      </c>
      <c r="AT1308" s="78">
        <v>41640</v>
      </c>
      <c r="AU1308" s="78">
        <v>41640</v>
      </c>
      <c r="AV1308" s="78">
        <v>41759</v>
      </c>
      <c r="AW1308" s="38">
        <v>2014</v>
      </c>
      <c r="AX1308" s="60"/>
      <c r="AY1308" s="135"/>
      <c r="AZ1308" s="60"/>
      <c r="BA1308" s="38"/>
      <c r="BB1308" s="38"/>
      <c r="BC1308" s="60"/>
      <c r="BD1308" s="60"/>
      <c r="BE1308" s="304"/>
      <c r="BF1308" s="304"/>
      <c r="BG1308" s="304"/>
      <c r="BH1308" s="304"/>
      <c r="BI1308" s="304"/>
      <c r="BJ1308" s="304"/>
      <c r="BK1308" s="16"/>
    </row>
    <row r="1309" spans="1:63" s="287" customFormat="1" ht="168.75">
      <c r="A1309" s="401">
        <v>3</v>
      </c>
      <c r="B1309" s="38" t="s">
        <v>4250</v>
      </c>
      <c r="C1309" s="38" t="s">
        <v>83</v>
      </c>
      <c r="D1309" s="38" t="s">
        <v>4158</v>
      </c>
      <c r="E1309" s="38" t="s">
        <v>274</v>
      </c>
      <c r="F1309" s="38" t="s">
        <v>4620</v>
      </c>
      <c r="G1309" s="38">
        <v>31</v>
      </c>
      <c r="H1309" s="11">
        <v>626302</v>
      </c>
      <c r="I1309" s="16" t="s">
        <v>4251</v>
      </c>
      <c r="J1309" s="16" t="s">
        <v>4282</v>
      </c>
      <c r="K1309" s="29" t="s">
        <v>4917</v>
      </c>
      <c r="L1309" s="16" t="s">
        <v>180</v>
      </c>
      <c r="M1309" s="95" t="s">
        <v>4170</v>
      </c>
      <c r="N1309" s="15" t="s">
        <v>4171</v>
      </c>
      <c r="O1309" s="16" t="s">
        <v>4172</v>
      </c>
      <c r="P1309" s="23">
        <v>2901.3094599999999</v>
      </c>
      <c r="Q1309" s="23">
        <f t="shared" si="165"/>
        <v>3423.5451627999996</v>
      </c>
      <c r="R1309" s="23">
        <v>4123.3239761159421</v>
      </c>
      <c r="S1309" s="29" t="s">
        <v>4652</v>
      </c>
      <c r="T1309" s="312">
        <v>1.0900000000000001</v>
      </c>
      <c r="U1309" s="312">
        <v>1.0409999999999999</v>
      </c>
      <c r="V1309" s="312">
        <v>1.0229999999999999</v>
      </c>
      <c r="W1309" s="312">
        <v>1</v>
      </c>
      <c r="X1309" s="403">
        <v>0.9</v>
      </c>
      <c r="Y1309" s="23">
        <v>4307.6740099999997</v>
      </c>
      <c r="Z1309" s="23">
        <f t="shared" si="166"/>
        <v>5083.0553317999993</v>
      </c>
      <c r="AA1309" s="36" t="s">
        <v>132</v>
      </c>
      <c r="AB1309" s="36" t="s">
        <v>132</v>
      </c>
      <c r="AC1309" s="23">
        <v>2901.3094599999999</v>
      </c>
      <c r="AD1309" s="23">
        <f t="shared" si="167"/>
        <v>3423.5451627999996</v>
      </c>
      <c r="AE1309" s="38" t="s">
        <v>173</v>
      </c>
      <c r="AF1309" s="38" t="s">
        <v>83</v>
      </c>
      <c r="AG1309" s="38" t="s">
        <v>83</v>
      </c>
      <c r="AH1309" s="38" t="s">
        <v>90</v>
      </c>
      <c r="AI1309" s="51">
        <v>41593</v>
      </c>
      <c r="AJ1309" s="51">
        <v>41638</v>
      </c>
      <c r="AK1309" s="369"/>
      <c r="AL1309" s="60"/>
      <c r="AM1309" s="60" t="s">
        <v>4159</v>
      </c>
      <c r="AN1309" s="60" t="s">
        <v>171</v>
      </c>
      <c r="AO1309" s="11">
        <v>796</v>
      </c>
      <c r="AP1309" s="38" t="s">
        <v>419</v>
      </c>
      <c r="AQ1309" s="38">
        <v>1</v>
      </c>
      <c r="AR1309" s="38" t="s">
        <v>2980</v>
      </c>
      <c r="AS1309" s="16" t="s">
        <v>3373</v>
      </c>
      <c r="AT1309" s="78">
        <v>41640</v>
      </c>
      <c r="AU1309" s="78">
        <v>41640</v>
      </c>
      <c r="AV1309" s="78">
        <v>41850</v>
      </c>
      <c r="AW1309" s="38">
        <v>2014</v>
      </c>
      <c r="AX1309" s="60"/>
      <c r="AY1309" s="135"/>
      <c r="AZ1309" s="60"/>
      <c r="BA1309" s="38"/>
      <c r="BB1309" s="38"/>
      <c r="BC1309" s="60"/>
      <c r="BD1309" s="60"/>
      <c r="BE1309" s="304"/>
      <c r="BF1309" s="304"/>
      <c r="BG1309" s="304"/>
      <c r="BH1309" s="304"/>
      <c r="BI1309" s="304"/>
      <c r="BJ1309" s="304"/>
      <c r="BK1309" s="16"/>
    </row>
    <row r="1310" spans="1:63" s="287" customFormat="1" ht="168.75">
      <c r="A1310" s="401">
        <v>3</v>
      </c>
      <c r="B1310" s="38" t="s">
        <v>4252</v>
      </c>
      <c r="C1310" s="38" t="s">
        <v>83</v>
      </c>
      <c r="D1310" s="38" t="s">
        <v>4158</v>
      </c>
      <c r="E1310" s="38" t="s">
        <v>274</v>
      </c>
      <c r="F1310" s="38" t="s">
        <v>4620</v>
      </c>
      <c r="G1310" s="38">
        <v>31</v>
      </c>
      <c r="H1310" s="11">
        <v>626287</v>
      </c>
      <c r="I1310" s="16" t="s">
        <v>4253</v>
      </c>
      <c r="J1310" s="16" t="s">
        <v>4282</v>
      </c>
      <c r="K1310" s="29" t="s">
        <v>4917</v>
      </c>
      <c r="L1310" s="16" t="s">
        <v>180</v>
      </c>
      <c r="M1310" s="95" t="s">
        <v>4170</v>
      </c>
      <c r="N1310" s="15" t="s">
        <v>4171</v>
      </c>
      <c r="O1310" s="16" t="s">
        <v>4172</v>
      </c>
      <c r="P1310" s="23">
        <v>5312.6311999999998</v>
      </c>
      <c r="Q1310" s="23">
        <f t="shared" si="165"/>
        <v>6268.9048159999993</v>
      </c>
      <c r="R1310" s="23">
        <v>6860.9193570110847</v>
      </c>
      <c r="S1310" s="29" t="s">
        <v>4652</v>
      </c>
      <c r="T1310" s="312">
        <v>1.0900000000000001</v>
      </c>
      <c r="U1310" s="312">
        <v>1.0409999999999999</v>
      </c>
      <c r="V1310" s="312">
        <v>1.0229999999999999</v>
      </c>
      <c r="W1310" s="312">
        <v>1</v>
      </c>
      <c r="X1310" s="403">
        <v>0.9</v>
      </c>
      <c r="Y1310" s="23">
        <v>7167.6647700000003</v>
      </c>
      <c r="Z1310" s="23">
        <f t="shared" si="166"/>
        <v>8457.8444285999994</v>
      </c>
      <c r="AA1310" s="36" t="s">
        <v>132</v>
      </c>
      <c r="AB1310" s="36" t="s">
        <v>132</v>
      </c>
      <c r="AC1310" s="23">
        <v>5312.6311999999998</v>
      </c>
      <c r="AD1310" s="23">
        <f t="shared" si="167"/>
        <v>6268.9048159999993</v>
      </c>
      <c r="AE1310" s="38" t="s">
        <v>173</v>
      </c>
      <c r="AF1310" s="38" t="s">
        <v>83</v>
      </c>
      <c r="AG1310" s="38" t="s">
        <v>83</v>
      </c>
      <c r="AH1310" s="38" t="s">
        <v>90</v>
      </c>
      <c r="AI1310" s="51">
        <v>41593</v>
      </c>
      <c r="AJ1310" s="51">
        <v>41638</v>
      </c>
      <c r="AK1310" s="369"/>
      <c r="AL1310" s="60"/>
      <c r="AM1310" s="60" t="s">
        <v>4159</v>
      </c>
      <c r="AN1310" s="60" t="s">
        <v>171</v>
      </c>
      <c r="AO1310" s="11">
        <v>796</v>
      </c>
      <c r="AP1310" s="38" t="s">
        <v>419</v>
      </c>
      <c r="AQ1310" s="38">
        <v>1</v>
      </c>
      <c r="AR1310" s="38" t="s">
        <v>2980</v>
      </c>
      <c r="AS1310" s="16" t="s">
        <v>3373</v>
      </c>
      <c r="AT1310" s="78">
        <v>41640</v>
      </c>
      <c r="AU1310" s="78">
        <v>41640</v>
      </c>
      <c r="AV1310" s="78">
        <v>41942</v>
      </c>
      <c r="AW1310" s="38">
        <v>2014</v>
      </c>
      <c r="AX1310" s="60"/>
      <c r="AY1310" s="135"/>
      <c r="AZ1310" s="60"/>
      <c r="BA1310" s="38"/>
      <c r="BB1310" s="38"/>
      <c r="BC1310" s="60"/>
      <c r="BD1310" s="60"/>
      <c r="BE1310" s="304"/>
      <c r="BF1310" s="304"/>
      <c r="BG1310" s="304"/>
      <c r="BH1310" s="304"/>
      <c r="BI1310" s="304"/>
      <c r="BJ1310" s="304"/>
      <c r="BK1310" s="16"/>
    </row>
    <row r="1311" spans="1:63" s="287" customFormat="1" ht="168.75">
      <c r="A1311" s="401">
        <v>3</v>
      </c>
      <c r="B1311" s="38" t="s">
        <v>4254</v>
      </c>
      <c r="C1311" s="38" t="s">
        <v>83</v>
      </c>
      <c r="D1311" s="38" t="s">
        <v>4158</v>
      </c>
      <c r="E1311" s="38" t="s">
        <v>274</v>
      </c>
      <c r="F1311" s="38" t="s">
        <v>4620</v>
      </c>
      <c r="G1311" s="38">
        <v>31</v>
      </c>
      <c r="H1311" s="11">
        <v>626286</v>
      </c>
      <c r="I1311" s="16" t="s">
        <v>4255</v>
      </c>
      <c r="J1311" s="16" t="s">
        <v>4282</v>
      </c>
      <c r="K1311" s="29" t="s">
        <v>4917</v>
      </c>
      <c r="L1311" s="16" t="s">
        <v>180</v>
      </c>
      <c r="M1311" s="95" t="s">
        <v>4170</v>
      </c>
      <c r="N1311" s="15" t="s">
        <v>4171</v>
      </c>
      <c r="O1311" s="16" t="s">
        <v>4172</v>
      </c>
      <c r="P1311" s="23">
        <v>12764.84778</v>
      </c>
      <c r="Q1311" s="23">
        <f t="shared" si="165"/>
        <v>15062.520380399999</v>
      </c>
      <c r="R1311" s="23">
        <v>18269.824844626142</v>
      </c>
      <c r="S1311" s="29" t="s">
        <v>4652</v>
      </c>
      <c r="T1311" s="312">
        <v>1.0900000000000001</v>
      </c>
      <c r="U1311" s="312">
        <v>1.0409999999999999</v>
      </c>
      <c r="V1311" s="312">
        <v>1.0229999999999999</v>
      </c>
      <c r="W1311" s="312">
        <v>1</v>
      </c>
      <c r="X1311" s="403">
        <v>0.9</v>
      </c>
      <c r="Y1311" s="23">
        <v>19086.651959999999</v>
      </c>
      <c r="Z1311" s="23">
        <f t="shared" si="166"/>
        <v>22522.249312799999</v>
      </c>
      <c r="AA1311" s="36" t="s">
        <v>132</v>
      </c>
      <c r="AB1311" s="36" t="s">
        <v>132</v>
      </c>
      <c r="AC1311" s="23">
        <v>12764.84778</v>
      </c>
      <c r="AD1311" s="23">
        <f t="shared" si="167"/>
        <v>15062.520380399999</v>
      </c>
      <c r="AE1311" s="38" t="s">
        <v>169</v>
      </c>
      <c r="AF1311" s="38" t="s">
        <v>83</v>
      </c>
      <c r="AG1311" s="38" t="s">
        <v>83</v>
      </c>
      <c r="AH1311" s="38" t="s">
        <v>90</v>
      </c>
      <c r="AI1311" s="51">
        <v>41593</v>
      </c>
      <c r="AJ1311" s="51">
        <v>41638</v>
      </c>
      <c r="AK1311" s="369"/>
      <c r="AL1311" s="60"/>
      <c r="AM1311" s="60" t="s">
        <v>4159</v>
      </c>
      <c r="AN1311" s="60" t="s">
        <v>171</v>
      </c>
      <c r="AO1311" s="11">
        <v>796</v>
      </c>
      <c r="AP1311" s="38" t="s">
        <v>419</v>
      </c>
      <c r="AQ1311" s="38">
        <v>1</v>
      </c>
      <c r="AR1311" s="38" t="s">
        <v>2980</v>
      </c>
      <c r="AS1311" s="16" t="s">
        <v>3373</v>
      </c>
      <c r="AT1311" s="78">
        <v>41640</v>
      </c>
      <c r="AU1311" s="78">
        <v>41640</v>
      </c>
      <c r="AV1311" s="78">
        <v>41942</v>
      </c>
      <c r="AW1311" s="38">
        <v>2014</v>
      </c>
      <c r="AX1311" s="60"/>
      <c r="AY1311" s="135"/>
      <c r="AZ1311" s="60"/>
      <c r="BA1311" s="38"/>
      <c r="BB1311" s="38"/>
      <c r="BC1311" s="60"/>
      <c r="BD1311" s="60"/>
      <c r="BE1311" s="304"/>
      <c r="BF1311" s="304"/>
      <c r="BG1311" s="304"/>
      <c r="BH1311" s="304"/>
      <c r="BI1311" s="304"/>
      <c r="BJ1311" s="304"/>
      <c r="BK1311" s="16"/>
    </row>
    <row r="1312" spans="1:63" s="287" customFormat="1" ht="75">
      <c r="A1312" s="401">
        <v>3</v>
      </c>
      <c r="B1312" s="38" t="s">
        <v>4256</v>
      </c>
      <c r="C1312" s="38" t="s">
        <v>83</v>
      </c>
      <c r="D1312" s="38" t="s">
        <v>4158</v>
      </c>
      <c r="E1312" s="38" t="s">
        <v>274</v>
      </c>
      <c r="F1312" s="38" t="s">
        <v>4624</v>
      </c>
      <c r="G1312" s="38">
        <v>24</v>
      </c>
      <c r="H1312" s="11">
        <v>626325</v>
      </c>
      <c r="I1312" s="16" t="s">
        <v>4257</v>
      </c>
      <c r="J1312" s="16" t="s">
        <v>4282</v>
      </c>
      <c r="K1312" s="29" t="s">
        <v>4917</v>
      </c>
      <c r="L1312" s="16" t="s">
        <v>180</v>
      </c>
      <c r="M1312" s="95" t="s">
        <v>4170</v>
      </c>
      <c r="N1312" s="15" t="s">
        <v>4171</v>
      </c>
      <c r="O1312" s="16" t="s">
        <v>4172</v>
      </c>
      <c r="P1312" s="23">
        <v>6441.3367900000003</v>
      </c>
      <c r="Q1312" s="23">
        <f t="shared" si="165"/>
        <v>7600.7774122000001</v>
      </c>
      <c r="R1312" s="23">
        <v>8689.4361112447514</v>
      </c>
      <c r="S1312" s="29" t="s">
        <v>4656</v>
      </c>
      <c r="T1312" s="312">
        <v>1.0840000000000001</v>
      </c>
      <c r="U1312" s="312">
        <v>1.0509999999999999</v>
      </c>
      <c r="V1312" s="312">
        <v>1.0669999999999999</v>
      </c>
      <c r="W1312" s="312">
        <v>1</v>
      </c>
      <c r="X1312" s="403">
        <v>0.9</v>
      </c>
      <c r="Y1312" s="23">
        <v>9506.7160299999996</v>
      </c>
      <c r="Z1312" s="23">
        <f t="shared" si="166"/>
        <v>11217.924915399999</v>
      </c>
      <c r="AA1312" s="36" t="s">
        <v>132</v>
      </c>
      <c r="AB1312" s="36" t="s">
        <v>132</v>
      </c>
      <c r="AC1312" s="23">
        <v>6441.3367900000003</v>
      </c>
      <c r="AD1312" s="23">
        <f t="shared" si="167"/>
        <v>7600.7774122000001</v>
      </c>
      <c r="AE1312" s="38" t="s">
        <v>173</v>
      </c>
      <c r="AF1312" s="38" t="s">
        <v>83</v>
      </c>
      <c r="AG1312" s="38" t="s">
        <v>83</v>
      </c>
      <c r="AH1312" s="38" t="s">
        <v>90</v>
      </c>
      <c r="AI1312" s="51">
        <v>41593</v>
      </c>
      <c r="AJ1312" s="51">
        <v>41638</v>
      </c>
      <c r="AK1312" s="369"/>
      <c r="AL1312" s="60"/>
      <c r="AM1312" s="60" t="s">
        <v>4159</v>
      </c>
      <c r="AN1312" s="60" t="s">
        <v>171</v>
      </c>
      <c r="AO1312" s="11">
        <v>796</v>
      </c>
      <c r="AP1312" s="38" t="s">
        <v>419</v>
      </c>
      <c r="AQ1312" s="38">
        <v>1</v>
      </c>
      <c r="AR1312" s="38" t="s">
        <v>2980</v>
      </c>
      <c r="AS1312" s="16" t="s">
        <v>3373</v>
      </c>
      <c r="AT1312" s="78">
        <v>41640</v>
      </c>
      <c r="AU1312" s="78">
        <v>41640</v>
      </c>
      <c r="AV1312" s="78">
        <v>41973</v>
      </c>
      <c r="AW1312" s="38">
        <v>2014</v>
      </c>
      <c r="AX1312" s="60"/>
      <c r="AY1312" s="135"/>
      <c r="AZ1312" s="60"/>
      <c r="BA1312" s="38"/>
      <c r="BB1312" s="38"/>
      <c r="BC1312" s="60"/>
      <c r="BD1312" s="60"/>
      <c r="BE1312" s="304"/>
      <c r="BF1312" s="304"/>
      <c r="BG1312" s="304"/>
      <c r="BH1312" s="304"/>
      <c r="BI1312" s="304"/>
      <c r="BJ1312" s="304"/>
      <c r="BK1312" s="16"/>
    </row>
    <row r="1313" spans="1:63" s="287" customFormat="1" ht="75">
      <c r="A1313" s="401">
        <v>3</v>
      </c>
      <c r="B1313" s="38" t="s">
        <v>4258</v>
      </c>
      <c r="C1313" s="38" t="s">
        <v>83</v>
      </c>
      <c r="D1313" s="38" t="s">
        <v>4158</v>
      </c>
      <c r="E1313" s="38" t="s">
        <v>274</v>
      </c>
      <c r="F1313" s="38" t="s">
        <v>4623</v>
      </c>
      <c r="G1313" s="38">
        <v>23</v>
      </c>
      <c r="H1313" s="11">
        <v>626267</v>
      </c>
      <c r="I1313" s="16" t="s">
        <v>4261</v>
      </c>
      <c r="J1313" s="16" t="s">
        <v>4282</v>
      </c>
      <c r="K1313" s="29" t="s">
        <v>4917</v>
      </c>
      <c r="L1313" s="16" t="s">
        <v>180</v>
      </c>
      <c r="M1313" s="95" t="s">
        <v>4170</v>
      </c>
      <c r="N1313" s="15" t="s">
        <v>4171</v>
      </c>
      <c r="O1313" s="16" t="s">
        <v>4172</v>
      </c>
      <c r="P1313" s="23">
        <v>30100.5</v>
      </c>
      <c r="Q1313" s="23">
        <f t="shared" si="165"/>
        <v>35518.589999999997</v>
      </c>
      <c r="R1313" s="23">
        <v>18637.695658706049</v>
      </c>
      <c r="S1313" s="29" t="s">
        <v>4657</v>
      </c>
      <c r="T1313" s="312">
        <v>1.2883135638996805</v>
      </c>
      <c r="U1313" s="312">
        <v>1.093</v>
      </c>
      <c r="V1313" s="312">
        <v>1.04</v>
      </c>
      <c r="W1313" s="312">
        <v>1.03</v>
      </c>
      <c r="X1313" s="403">
        <v>0.9</v>
      </c>
      <c r="Y1313" s="23">
        <v>25301.54435</v>
      </c>
      <c r="Z1313" s="23">
        <f t="shared" si="166"/>
        <v>29855.822333</v>
      </c>
      <c r="AA1313" s="36" t="s">
        <v>132</v>
      </c>
      <c r="AB1313" s="36" t="s">
        <v>132</v>
      </c>
      <c r="AC1313" s="23">
        <v>25301.54435</v>
      </c>
      <c r="AD1313" s="23">
        <f t="shared" si="167"/>
        <v>29855.822333</v>
      </c>
      <c r="AE1313" s="38" t="s">
        <v>169</v>
      </c>
      <c r="AF1313" s="38" t="s">
        <v>83</v>
      </c>
      <c r="AG1313" s="38" t="s">
        <v>83</v>
      </c>
      <c r="AH1313" s="38" t="s">
        <v>90</v>
      </c>
      <c r="AI1313" s="51">
        <v>41593</v>
      </c>
      <c r="AJ1313" s="51">
        <v>41638</v>
      </c>
      <c r="AK1313" s="369"/>
      <c r="AL1313" s="60"/>
      <c r="AM1313" s="60" t="s">
        <v>4159</v>
      </c>
      <c r="AN1313" s="60" t="s">
        <v>171</v>
      </c>
      <c r="AO1313" s="11">
        <v>796</v>
      </c>
      <c r="AP1313" s="38" t="s">
        <v>419</v>
      </c>
      <c r="AQ1313" s="38">
        <v>1</v>
      </c>
      <c r="AR1313" s="38" t="s">
        <v>2980</v>
      </c>
      <c r="AS1313" s="16" t="s">
        <v>3373</v>
      </c>
      <c r="AT1313" s="78">
        <v>41640</v>
      </c>
      <c r="AU1313" s="78">
        <v>41640</v>
      </c>
      <c r="AV1313" s="78">
        <v>41942</v>
      </c>
      <c r="AW1313" s="38">
        <v>2014</v>
      </c>
      <c r="AX1313" s="60"/>
      <c r="AY1313" s="135"/>
      <c r="AZ1313" s="60"/>
      <c r="BA1313" s="38"/>
      <c r="BB1313" s="38"/>
      <c r="BC1313" s="60"/>
      <c r="BD1313" s="60"/>
      <c r="BE1313" s="304"/>
      <c r="BF1313" s="304"/>
      <c r="BG1313" s="304"/>
      <c r="BH1313" s="304"/>
      <c r="BI1313" s="304"/>
      <c r="BJ1313" s="304"/>
      <c r="BK1313" s="16"/>
    </row>
    <row r="1314" spans="1:63" s="287" customFormat="1" ht="75">
      <c r="A1314" s="401">
        <v>3</v>
      </c>
      <c r="B1314" s="38" t="s">
        <v>4259</v>
      </c>
      <c r="C1314" s="38" t="s">
        <v>83</v>
      </c>
      <c r="D1314" s="38" t="s">
        <v>4158</v>
      </c>
      <c r="E1314" s="38" t="s">
        <v>274</v>
      </c>
      <c r="F1314" s="38" t="s">
        <v>4625</v>
      </c>
      <c r="G1314" s="38">
        <v>29</v>
      </c>
      <c r="H1314" s="11">
        <v>626264</v>
      </c>
      <c r="I1314" s="16" t="s">
        <v>4260</v>
      </c>
      <c r="J1314" s="16" t="s">
        <v>4282</v>
      </c>
      <c r="K1314" s="29" t="s">
        <v>4917</v>
      </c>
      <c r="L1314" s="16" t="s">
        <v>180</v>
      </c>
      <c r="M1314" s="95" t="s">
        <v>4170</v>
      </c>
      <c r="N1314" s="15" t="s">
        <v>4171</v>
      </c>
      <c r="O1314" s="16" t="s">
        <v>4172</v>
      </c>
      <c r="P1314" s="23">
        <v>1456.5372600000001</v>
      </c>
      <c r="Q1314" s="23">
        <f t="shared" si="165"/>
        <v>1718.7139668</v>
      </c>
      <c r="R1314" s="23">
        <v>1441.080442883675</v>
      </c>
      <c r="S1314" s="29" t="s">
        <v>4656</v>
      </c>
      <c r="T1314" s="312">
        <v>1.0840000000000001</v>
      </c>
      <c r="U1314" s="312">
        <v>1.0509999999999999</v>
      </c>
      <c r="V1314" s="312">
        <v>1.0669999999999999</v>
      </c>
      <c r="W1314" s="312">
        <v>1.056</v>
      </c>
      <c r="X1314" s="403">
        <v>0.9</v>
      </c>
      <c r="Y1314" s="23">
        <v>1664.9111800000001</v>
      </c>
      <c r="Z1314" s="23">
        <f t="shared" si="166"/>
        <v>1964.5951923999999</v>
      </c>
      <c r="AA1314" s="36" t="s">
        <v>132</v>
      </c>
      <c r="AB1314" s="36" t="s">
        <v>132</v>
      </c>
      <c r="AC1314" s="23">
        <v>1664.9111800000001</v>
      </c>
      <c r="AD1314" s="23">
        <f t="shared" si="167"/>
        <v>1964.5951923999999</v>
      </c>
      <c r="AE1314" s="38" t="s">
        <v>173</v>
      </c>
      <c r="AF1314" s="38" t="s">
        <v>83</v>
      </c>
      <c r="AG1314" s="38" t="s">
        <v>83</v>
      </c>
      <c r="AH1314" s="38" t="s">
        <v>90</v>
      </c>
      <c r="AI1314" s="51">
        <v>41598</v>
      </c>
      <c r="AJ1314" s="51">
        <v>41638</v>
      </c>
      <c r="AK1314" s="369"/>
      <c r="AL1314" s="60"/>
      <c r="AM1314" s="60" t="s">
        <v>4159</v>
      </c>
      <c r="AN1314" s="60" t="s">
        <v>171</v>
      </c>
      <c r="AO1314" s="11">
        <v>796</v>
      </c>
      <c r="AP1314" s="38" t="s">
        <v>419</v>
      </c>
      <c r="AQ1314" s="38">
        <v>1</v>
      </c>
      <c r="AR1314" s="38" t="s">
        <v>2980</v>
      </c>
      <c r="AS1314" s="16" t="s">
        <v>3373</v>
      </c>
      <c r="AT1314" s="78">
        <v>41640</v>
      </c>
      <c r="AU1314" s="78">
        <v>41640</v>
      </c>
      <c r="AV1314" s="78">
        <v>41942</v>
      </c>
      <c r="AW1314" s="38">
        <v>2014</v>
      </c>
      <c r="AX1314" s="60"/>
      <c r="AY1314" s="135"/>
      <c r="AZ1314" s="60"/>
      <c r="BA1314" s="38"/>
      <c r="BB1314" s="38"/>
      <c r="BC1314" s="60"/>
      <c r="BD1314" s="60"/>
      <c r="BE1314" s="304"/>
      <c r="BF1314" s="304"/>
      <c r="BG1314" s="304"/>
      <c r="BH1314" s="304"/>
      <c r="BI1314" s="304"/>
      <c r="BJ1314" s="304"/>
      <c r="BK1314" s="16"/>
    </row>
    <row r="1315" spans="1:63" s="287" customFormat="1" ht="75">
      <c r="A1315" s="401">
        <v>3</v>
      </c>
      <c r="B1315" s="38" t="s">
        <v>4262</v>
      </c>
      <c r="C1315" s="38" t="s">
        <v>83</v>
      </c>
      <c r="D1315" s="38" t="s">
        <v>4158</v>
      </c>
      <c r="E1315" s="38" t="s">
        <v>274</v>
      </c>
      <c r="F1315" s="38" t="s">
        <v>4625</v>
      </c>
      <c r="G1315" s="38">
        <v>29</v>
      </c>
      <c r="H1315" s="11">
        <v>626261</v>
      </c>
      <c r="I1315" s="16" t="s">
        <v>4263</v>
      </c>
      <c r="J1315" s="16" t="s">
        <v>4282</v>
      </c>
      <c r="K1315" s="29" t="s">
        <v>4917</v>
      </c>
      <c r="L1315" s="16" t="s">
        <v>180</v>
      </c>
      <c r="M1315" s="95" t="s">
        <v>4170</v>
      </c>
      <c r="N1315" s="15" t="s">
        <v>4171</v>
      </c>
      <c r="O1315" s="16" t="s">
        <v>4172</v>
      </c>
      <c r="P1315" s="23">
        <v>2682.9219499999999</v>
      </c>
      <c r="Q1315" s="23">
        <f t="shared" si="165"/>
        <v>3165.8479009999996</v>
      </c>
      <c r="R1315" s="23">
        <v>2537.7251860111296</v>
      </c>
      <c r="S1315" s="29" t="s">
        <v>4656</v>
      </c>
      <c r="T1315" s="312">
        <v>1.0840000000000001</v>
      </c>
      <c r="U1315" s="312">
        <v>1.0509999999999999</v>
      </c>
      <c r="V1315" s="312">
        <v>1.0669999999999999</v>
      </c>
      <c r="W1315" s="312">
        <v>1.056</v>
      </c>
      <c r="X1315" s="403">
        <v>0.9</v>
      </c>
      <c r="Y1315" s="23">
        <v>2931.8883999999998</v>
      </c>
      <c r="Z1315" s="23">
        <f t="shared" si="166"/>
        <v>3459.6283119999998</v>
      </c>
      <c r="AA1315" s="36" t="s">
        <v>132</v>
      </c>
      <c r="AB1315" s="36" t="s">
        <v>132</v>
      </c>
      <c r="AC1315" s="23">
        <v>2682.9219499999999</v>
      </c>
      <c r="AD1315" s="23">
        <f t="shared" si="167"/>
        <v>3165.8479009999996</v>
      </c>
      <c r="AE1315" s="38" t="s">
        <v>173</v>
      </c>
      <c r="AF1315" s="38" t="s">
        <v>83</v>
      </c>
      <c r="AG1315" s="38" t="s">
        <v>83</v>
      </c>
      <c r="AH1315" s="38" t="s">
        <v>90</v>
      </c>
      <c r="AI1315" s="51">
        <v>41593</v>
      </c>
      <c r="AJ1315" s="51">
        <v>41638</v>
      </c>
      <c r="AK1315" s="369"/>
      <c r="AL1315" s="60"/>
      <c r="AM1315" s="60" t="s">
        <v>4159</v>
      </c>
      <c r="AN1315" s="60" t="s">
        <v>171</v>
      </c>
      <c r="AO1315" s="11">
        <v>796</v>
      </c>
      <c r="AP1315" s="38" t="s">
        <v>419</v>
      </c>
      <c r="AQ1315" s="38">
        <v>1</v>
      </c>
      <c r="AR1315" s="38" t="s">
        <v>2980</v>
      </c>
      <c r="AS1315" s="16" t="s">
        <v>3373</v>
      </c>
      <c r="AT1315" s="78">
        <v>41640</v>
      </c>
      <c r="AU1315" s="78">
        <v>41640</v>
      </c>
      <c r="AV1315" s="78">
        <v>41942</v>
      </c>
      <c r="AW1315" s="38">
        <v>2014</v>
      </c>
      <c r="AX1315" s="60"/>
      <c r="AY1315" s="135"/>
      <c r="AZ1315" s="60"/>
      <c r="BA1315" s="38"/>
      <c r="BB1315" s="38"/>
      <c r="BC1315" s="60"/>
      <c r="BD1315" s="60"/>
      <c r="BE1315" s="304"/>
      <c r="BF1315" s="304"/>
      <c r="BG1315" s="304"/>
      <c r="BH1315" s="304"/>
      <c r="BI1315" s="304"/>
      <c r="BJ1315" s="304"/>
      <c r="BK1315" s="16"/>
    </row>
    <row r="1316" spans="1:63" s="287" customFormat="1" ht="131.25">
      <c r="A1316" s="401">
        <v>3</v>
      </c>
      <c r="B1316" s="38" t="s">
        <v>4264</v>
      </c>
      <c r="C1316" s="38" t="s">
        <v>83</v>
      </c>
      <c r="D1316" s="38" t="s">
        <v>4158</v>
      </c>
      <c r="E1316" s="38" t="s">
        <v>274</v>
      </c>
      <c r="F1316" s="38" t="s">
        <v>4626</v>
      </c>
      <c r="G1316" s="38">
        <v>25</v>
      </c>
      <c r="H1316" s="11">
        <v>626268</v>
      </c>
      <c r="I1316" s="16" t="s">
        <v>4265</v>
      </c>
      <c r="J1316" s="16" t="s">
        <v>4282</v>
      </c>
      <c r="K1316" s="29" t="s">
        <v>4917</v>
      </c>
      <c r="L1316" s="16" t="s">
        <v>180</v>
      </c>
      <c r="M1316" s="95" t="s">
        <v>4170</v>
      </c>
      <c r="N1316" s="15" t="s">
        <v>4171</v>
      </c>
      <c r="O1316" s="16" t="s">
        <v>4172</v>
      </c>
      <c r="P1316" s="23">
        <v>22283.392380000001</v>
      </c>
      <c r="Q1316" s="23">
        <f t="shared" si="165"/>
        <v>26294.403008400001</v>
      </c>
      <c r="R1316" s="23">
        <v>20914.431116924898</v>
      </c>
      <c r="S1316" s="29" t="s">
        <v>4658</v>
      </c>
      <c r="T1316" s="312">
        <v>1.19183134536057</v>
      </c>
      <c r="U1316" s="312">
        <v>1.042</v>
      </c>
      <c r="V1316" s="312">
        <v>1.014</v>
      </c>
      <c r="W1316" s="312">
        <v>1.0209999999999999</v>
      </c>
      <c r="X1316" s="403">
        <v>0.9</v>
      </c>
      <c r="Y1316" s="23">
        <v>24201.08209</v>
      </c>
      <c r="Z1316" s="23">
        <f t="shared" si="166"/>
        <v>28557.276866199998</v>
      </c>
      <c r="AA1316" s="36" t="s">
        <v>132</v>
      </c>
      <c r="AB1316" s="36" t="s">
        <v>132</v>
      </c>
      <c r="AC1316" s="23">
        <v>22283.392380000001</v>
      </c>
      <c r="AD1316" s="23">
        <f t="shared" si="167"/>
        <v>26294.403008400001</v>
      </c>
      <c r="AE1316" s="38" t="s">
        <v>169</v>
      </c>
      <c r="AF1316" s="38" t="s">
        <v>83</v>
      </c>
      <c r="AG1316" s="38" t="s">
        <v>83</v>
      </c>
      <c r="AH1316" s="38" t="s">
        <v>90</v>
      </c>
      <c r="AI1316" s="51">
        <v>41593</v>
      </c>
      <c r="AJ1316" s="51">
        <v>41638</v>
      </c>
      <c r="AK1316" s="369"/>
      <c r="AL1316" s="60"/>
      <c r="AM1316" s="60" t="s">
        <v>4159</v>
      </c>
      <c r="AN1316" s="60" t="s">
        <v>171</v>
      </c>
      <c r="AO1316" s="11">
        <v>796</v>
      </c>
      <c r="AP1316" s="38" t="s">
        <v>419</v>
      </c>
      <c r="AQ1316" s="38">
        <v>1</v>
      </c>
      <c r="AR1316" s="38" t="s">
        <v>2980</v>
      </c>
      <c r="AS1316" s="16" t="s">
        <v>3373</v>
      </c>
      <c r="AT1316" s="78">
        <v>41640</v>
      </c>
      <c r="AU1316" s="78">
        <v>41640</v>
      </c>
      <c r="AV1316" s="78">
        <v>41942</v>
      </c>
      <c r="AW1316" s="38">
        <v>2014</v>
      </c>
      <c r="AX1316" s="60"/>
      <c r="AY1316" s="135"/>
      <c r="AZ1316" s="60"/>
      <c r="BA1316" s="38"/>
      <c r="BB1316" s="38"/>
      <c r="BC1316" s="60"/>
      <c r="BD1316" s="60"/>
      <c r="BE1316" s="304"/>
      <c r="BF1316" s="304"/>
      <c r="BG1316" s="304"/>
      <c r="BH1316" s="304"/>
      <c r="BI1316" s="304"/>
      <c r="BJ1316" s="304"/>
      <c r="BK1316" s="16"/>
    </row>
    <row r="1317" spans="1:63" s="287" customFormat="1" ht="75">
      <c r="A1317" s="401">
        <v>3</v>
      </c>
      <c r="B1317" s="38" t="s">
        <v>4266</v>
      </c>
      <c r="C1317" s="38" t="s">
        <v>83</v>
      </c>
      <c r="D1317" s="38" t="s">
        <v>4158</v>
      </c>
      <c r="E1317" s="38" t="s">
        <v>274</v>
      </c>
      <c r="F1317" s="38" t="s">
        <v>4625</v>
      </c>
      <c r="G1317" s="38">
        <v>29</v>
      </c>
      <c r="H1317" s="11">
        <v>626265</v>
      </c>
      <c r="I1317" s="16" t="s">
        <v>4267</v>
      </c>
      <c r="J1317" s="16" t="s">
        <v>4282</v>
      </c>
      <c r="K1317" s="29" t="s">
        <v>4917</v>
      </c>
      <c r="L1317" s="16" t="s">
        <v>180</v>
      </c>
      <c r="M1317" s="95" t="s">
        <v>4170</v>
      </c>
      <c r="N1317" s="15" t="s">
        <v>4171</v>
      </c>
      <c r="O1317" s="16" t="s">
        <v>4172</v>
      </c>
      <c r="P1317" s="23">
        <v>1079.53287</v>
      </c>
      <c r="Q1317" s="23">
        <f t="shared" si="165"/>
        <v>1273.8487866</v>
      </c>
      <c r="R1317" s="23">
        <v>978.07821147373886</v>
      </c>
      <c r="S1317" s="29" t="s">
        <v>4656</v>
      </c>
      <c r="T1317" s="312">
        <v>1.0840000000000001</v>
      </c>
      <c r="U1317" s="312">
        <v>1.0509999999999999</v>
      </c>
      <c r="V1317" s="312">
        <v>1.0669999999999999</v>
      </c>
      <c r="W1317" s="312">
        <v>1.056</v>
      </c>
      <c r="X1317" s="403">
        <v>0.9</v>
      </c>
      <c r="Y1317" s="23">
        <v>1129.99476</v>
      </c>
      <c r="Z1317" s="23">
        <f t="shared" si="166"/>
        <v>1333.3938168</v>
      </c>
      <c r="AA1317" s="36" t="s">
        <v>132</v>
      </c>
      <c r="AB1317" s="36" t="s">
        <v>132</v>
      </c>
      <c r="AC1317" s="23">
        <v>1079.53287</v>
      </c>
      <c r="AD1317" s="23">
        <f t="shared" si="167"/>
        <v>1273.8487866</v>
      </c>
      <c r="AE1317" s="38" t="s">
        <v>173</v>
      </c>
      <c r="AF1317" s="38" t="s">
        <v>83</v>
      </c>
      <c r="AG1317" s="38" t="s">
        <v>83</v>
      </c>
      <c r="AH1317" s="38" t="s">
        <v>90</v>
      </c>
      <c r="AI1317" s="51">
        <v>41593</v>
      </c>
      <c r="AJ1317" s="51">
        <v>41638</v>
      </c>
      <c r="AK1317" s="369"/>
      <c r="AL1317" s="60"/>
      <c r="AM1317" s="60" t="s">
        <v>4159</v>
      </c>
      <c r="AN1317" s="60" t="s">
        <v>171</v>
      </c>
      <c r="AO1317" s="11">
        <v>796</v>
      </c>
      <c r="AP1317" s="38" t="s">
        <v>419</v>
      </c>
      <c r="AQ1317" s="38">
        <v>1</v>
      </c>
      <c r="AR1317" s="38" t="s">
        <v>2980</v>
      </c>
      <c r="AS1317" s="16" t="s">
        <v>3373</v>
      </c>
      <c r="AT1317" s="78">
        <v>41640</v>
      </c>
      <c r="AU1317" s="78">
        <v>41640</v>
      </c>
      <c r="AV1317" s="78">
        <v>41942</v>
      </c>
      <c r="AW1317" s="38">
        <v>2014</v>
      </c>
      <c r="AX1317" s="60"/>
      <c r="AY1317" s="135"/>
      <c r="AZ1317" s="60"/>
      <c r="BA1317" s="38"/>
      <c r="BB1317" s="38"/>
      <c r="BC1317" s="60"/>
      <c r="BD1317" s="60"/>
      <c r="BE1317" s="304"/>
      <c r="BF1317" s="304"/>
      <c r="BG1317" s="304"/>
      <c r="BH1317" s="304"/>
      <c r="BI1317" s="304"/>
      <c r="BJ1317" s="304"/>
      <c r="BK1317" s="16"/>
    </row>
    <row r="1318" spans="1:63" s="287" customFormat="1" ht="75">
      <c r="A1318" s="401">
        <v>3</v>
      </c>
      <c r="B1318" s="38" t="s">
        <v>4270</v>
      </c>
      <c r="C1318" s="38" t="s">
        <v>83</v>
      </c>
      <c r="D1318" s="38" t="s">
        <v>4158</v>
      </c>
      <c r="E1318" s="38" t="s">
        <v>274</v>
      </c>
      <c r="F1318" s="38" t="s">
        <v>4620</v>
      </c>
      <c r="G1318" s="38">
        <v>31</v>
      </c>
      <c r="H1318" s="11">
        <v>626333</v>
      </c>
      <c r="I1318" s="16" t="s">
        <v>4271</v>
      </c>
      <c r="J1318" s="16" t="s">
        <v>4282</v>
      </c>
      <c r="K1318" s="29" t="s">
        <v>4917</v>
      </c>
      <c r="L1318" s="16" t="s">
        <v>180</v>
      </c>
      <c r="M1318" s="95" t="s">
        <v>4170</v>
      </c>
      <c r="N1318" s="15" t="s">
        <v>4171</v>
      </c>
      <c r="O1318" s="16" t="s">
        <v>4172</v>
      </c>
      <c r="P1318" s="23">
        <v>8806.8797699999996</v>
      </c>
      <c r="Q1318" s="23">
        <f t="shared" si="165"/>
        <v>10392.118128599999</v>
      </c>
      <c r="R1318" s="23">
        <v>9392.0772891363104</v>
      </c>
      <c r="S1318" s="29" t="s">
        <v>4656</v>
      </c>
      <c r="T1318" s="312">
        <v>1.0840000000000001</v>
      </c>
      <c r="U1318" s="312">
        <v>1.0509999999999999</v>
      </c>
      <c r="V1318" s="312">
        <v>1.0669999999999999</v>
      </c>
      <c r="W1318" s="312">
        <v>1</v>
      </c>
      <c r="X1318" s="403">
        <v>0.9</v>
      </c>
      <c r="Y1318" s="23">
        <v>10275.443719999999</v>
      </c>
      <c r="Z1318" s="23">
        <f t="shared" si="166"/>
        <v>12125.023589599998</v>
      </c>
      <c r="AA1318" s="36" t="s">
        <v>132</v>
      </c>
      <c r="AB1318" s="36" t="s">
        <v>132</v>
      </c>
      <c r="AC1318" s="23">
        <v>8806.8797699999996</v>
      </c>
      <c r="AD1318" s="23">
        <f t="shared" si="167"/>
        <v>10392.118128599999</v>
      </c>
      <c r="AE1318" s="38" t="s">
        <v>169</v>
      </c>
      <c r="AF1318" s="38" t="s">
        <v>83</v>
      </c>
      <c r="AG1318" s="38" t="s">
        <v>83</v>
      </c>
      <c r="AH1318" s="38" t="s">
        <v>90</v>
      </c>
      <c r="AI1318" s="51">
        <v>41593</v>
      </c>
      <c r="AJ1318" s="51">
        <v>41638</v>
      </c>
      <c r="AK1318" s="369"/>
      <c r="AL1318" s="60"/>
      <c r="AM1318" s="60" t="s">
        <v>4159</v>
      </c>
      <c r="AN1318" s="60" t="s">
        <v>171</v>
      </c>
      <c r="AO1318" s="11">
        <v>796</v>
      </c>
      <c r="AP1318" s="38" t="s">
        <v>419</v>
      </c>
      <c r="AQ1318" s="38">
        <v>1</v>
      </c>
      <c r="AR1318" s="38" t="s">
        <v>2980</v>
      </c>
      <c r="AS1318" s="16" t="s">
        <v>3373</v>
      </c>
      <c r="AT1318" s="78">
        <v>41640</v>
      </c>
      <c r="AU1318" s="78">
        <v>41640</v>
      </c>
      <c r="AV1318" s="78">
        <v>41942</v>
      </c>
      <c r="AW1318" s="38">
        <v>2014</v>
      </c>
      <c r="AX1318" s="60"/>
      <c r="AY1318" s="135"/>
      <c r="AZ1318" s="60"/>
      <c r="BA1318" s="38"/>
      <c r="BB1318" s="38"/>
      <c r="BC1318" s="60"/>
      <c r="BD1318" s="60"/>
      <c r="BE1318" s="304"/>
      <c r="BF1318" s="304"/>
      <c r="BG1318" s="304"/>
      <c r="BH1318" s="304"/>
      <c r="BI1318" s="304"/>
      <c r="BJ1318" s="304"/>
      <c r="BK1318" s="16"/>
    </row>
    <row r="1319" spans="1:63" s="287" customFormat="1" ht="131.25">
      <c r="A1319" s="401">
        <v>3</v>
      </c>
      <c r="B1319" s="38" t="s">
        <v>4272</v>
      </c>
      <c r="C1319" s="38" t="s">
        <v>83</v>
      </c>
      <c r="D1319" s="38" t="s">
        <v>4158</v>
      </c>
      <c r="E1319" s="38" t="s">
        <v>274</v>
      </c>
      <c r="F1319" s="38" t="s">
        <v>4626</v>
      </c>
      <c r="G1319" s="38">
        <v>25</v>
      </c>
      <c r="H1319" s="11">
        <v>626331</v>
      </c>
      <c r="I1319" s="16" t="s">
        <v>4273</v>
      </c>
      <c r="J1319" s="16" t="s">
        <v>4282</v>
      </c>
      <c r="K1319" s="29" t="s">
        <v>4917</v>
      </c>
      <c r="L1319" s="16" t="s">
        <v>180</v>
      </c>
      <c r="M1319" s="95" t="s">
        <v>4170</v>
      </c>
      <c r="N1319" s="15" t="s">
        <v>4171</v>
      </c>
      <c r="O1319" s="16" t="s">
        <v>4172</v>
      </c>
      <c r="P1319" s="23">
        <v>1245.4657</v>
      </c>
      <c r="Q1319" s="23">
        <f t="shared" si="165"/>
        <v>1469.6495259999999</v>
      </c>
      <c r="R1319" s="23">
        <v>1292.6445147266618</v>
      </c>
      <c r="S1319" s="29" t="s">
        <v>4658</v>
      </c>
      <c r="T1319" s="312">
        <v>1.1919999999999999</v>
      </c>
      <c r="U1319" s="312">
        <v>1.042</v>
      </c>
      <c r="V1319" s="312">
        <v>1.014</v>
      </c>
      <c r="W1319" s="312">
        <v>1.0209999999999999</v>
      </c>
      <c r="X1319" s="403">
        <v>0.9</v>
      </c>
      <c r="Y1319" s="23">
        <v>1495.99206</v>
      </c>
      <c r="Z1319" s="23">
        <f t="shared" si="166"/>
        <v>1765.2706307999999</v>
      </c>
      <c r="AA1319" s="36" t="s">
        <v>132</v>
      </c>
      <c r="AB1319" s="36" t="s">
        <v>132</v>
      </c>
      <c r="AC1319" s="23">
        <v>1245.4657</v>
      </c>
      <c r="AD1319" s="23">
        <f t="shared" si="167"/>
        <v>1469.6495259999999</v>
      </c>
      <c r="AE1319" s="38" t="s">
        <v>173</v>
      </c>
      <c r="AF1319" s="38" t="s">
        <v>83</v>
      </c>
      <c r="AG1319" s="38" t="s">
        <v>83</v>
      </c>
      <c r="AH1319" s="38" t="s">
        <v>90</v>
      </c>
      <c r="AI1319" s="51">
        <v>41631</v>
      </c>
      <c r="AJ1319" s="51">
        <v>41676</v>
      </c>
      <c r="AK1319" s="369"/>
      <c r="AL1319" s="60"/>
      <c r="AM1319" s="60" t="s">
        <v>4159</v>
      </c>
      <c r="AN1319" s="60" t="s">
        <v>171</v>
      </c>
      <c r="AO1319" s="11">
        <v>796</v>
      </c>
      <c r="AP1319" s="38" t="s">
        <v>419</v>
      </c>
      <c r="AQ1319" s="38">
        <v>1</v>
      </c>
      <c r="AR1319" s="38" t="s">
        <v>2980</v>
      </c>
      <c r="AS1319" s="16" t="s">
        <v>3373</v>
      </c>
      <c r="AT1319" s="51">
        <v>41676</v>
      </c>
      <c r="AU1319" s="51">
        <v>41676</v>
      </c>
      <c r="AV1319" s="78">
        <v>41942</v>
      </c>
      <c r="AW1319" s="38">
        <v>2014</v>
      </c>
      <c r="AX1319" s="60"/>
      <c r="AY1319" s="135"/>
      <c r="AZ1319" s="60"/>
      <c r="BA1319" s="38"/>
      <c r="BB1319" s="38"/>
      <c r="BC1319" s="60"/>
      <c r="BD1319" s="60"/>
      <c r="BE1319" s="304"/>
      <c r="BF1319" s="304"/>
      <c r="BG1319" s="304"/>
      <c r="BH1319" s="304"/>
      <c r="BI1319" s="304"/>
      <c r="BJ1319" s="304"/>
      <c r="BK1319" s="16"/>
    </row>
    <row r="1320" spans="1:63" s="287" customFormat="1" ht="75">
      <c r="A1320" s="401">
        <v>3</v>
      </c>
      <c r="B1320" s="38" t="s">
        <v>4274</v>
      </c>
      <c r="C1320" s="38" t="s">
        <v>83</v>
      </c>
      <c r="D1320" s="38" t="s">
        <v>4158</v>
      </c>
      <c r="E1320" s="38" t="s">
        <v>274</v>
      </c>
      <c r="F1320" s="38" t="s">
        <v>4624</v>
      </c>
      <c r="G1320" s="38">
        <v>24</v>
      </c>
      <c r="H1320" s="11">
        <v>626324</v>
      </c>
      <c r="I1320" s="16" t="s">
        <v>4275</v>
      </c>
      <c r="J1320" s="16" t="s">
        <v>4282</v>
      </c>
      <c r="K1320" s="29" t="s">
        <v>4917</v>
      </c>
      <c r="L1320" s="16" t="s">
        <v>180</v>
      </c>
      <c r="M1320" s="95" t="s">
        <v>4170</v>
      </c>
      <c r="N1320" s="15" t="s">
        <v>4171</v>
      </c>
      <c r="O1320" s="16" t="s">
        <v>4172</v>
      </c>
      <c r="P1320" s="23">
        <v>1239.7175099999999</v>
      </c>
      <c r="Q1320" s="23">
        <f t="shared" si="165"/>
        <v>1462.8666618</v>
      </c>
      <c r="R1320" s="23">
        <v>1795.0103347381444</v>
      </c>
      <c r="S1320" s="29" t="s">
        <v>4656</v>
      </c>
      <c r="T1320" s="312">
        <v>1.0840000000000001</v>
      </c>
      <c r="U1320" s="312">
        <v>1.0509999999999999</v>
      </c>
      <c r="V1320" s="312">
        <v>1.0669999999999999</v>
      </c>
      <c r="W1320" s="312">
        <v>1</v>
      </c>
      <c r="X1320" s="403">
        <v>0.9</v>
      </c>
      <c r="Y1320" s="23">
        <v>1963.8389999999999</v>
      </c>
      <c r="Z1320" s="23">
        <f t="shared" si="166"/>
        <v>2317.3300199999999</v>
      </c>
      <c r="AA1320" s="36" t="s">
        <v>132</v>
      </c>
      <c r="AB1320" s="36" t="s">
        <v>132</v>
      </c>
      <c r="AC1320" s="23">
        <v>1239.7175099999999</v>
      </c>
      <c r="AD1320" s="23">
        <f t="shared" si="167"/>
        <v>1462.8666618</v>
      </c>
      <c r="AE1320" s="38" t="s">
        <v>173</v>
      </c>
      <c r="AF1320" s="38" t="s">
        <v>83</v>
      </c>
      <c r="AG1320" s="38" t="s">
        <v>83</v>
      </c>
      <c r="AH1320" s="38" t="s">
        <v>90</v>
      </c>
      <c r="AI1320" s="51">
        <v>41593</v>
      </c>
      <c r="AJ1320" s="51">
        <v>41638</v>
      </c>
      <c r="AK1320" s="369"/>
      <c r="AL1320" s="60"/>
      <c r="AM1320" s="60" t="s">
        <v>4159</v>
      </c>
      <c r="AN1320" s="60" t="s">
        <v>171</v>
      </c>
      <c r="AO1320" s="11">
        <v>796</v>
      </c>
      <c r="AP1320" s="38" t="s">
        <v>419</v>
      </c>
      <c r="AQ1320" s="38">
        <v>1</v>
      </c>
      <c r="AR1320" s="38" t="s">
        <v>2980</v>
      </c>
      <c r="AS1320" s="16" t="s">
        <v>3373</v>
      </c>
      <c r="AT1320" s="78">
        <v>41640</v>
      </c>
      <c r="AU1320" s="78">
        <v>41640</v>
      </c>
      <c r="AV1320" s="78">
        <v>41942</v>
      </c>
      <c r="AW1320" s="38">
        <v>2014</v>
      </c>
      <c r="AX1320" s="60"/>
      <c r="AY1320" s="135"/>
      <c r="AZ1320" s="60"/>
      <c r="BA1320" s="38"/>
      <c r="BB1320" s="38"/>
      <c r="BC1320" s="60"/>
      <c r="BD1320" s="60"/>
      <c r="BE1320" s="304"/>
      <c r="BF1320" s="304"/>
      <c r="BG1320" s="304"/>
      <c r="BH1320" s="304"/>
      <c r="BI1320" s="304"/>
      <c r="BJ1320" s="304"/>
      <c r="BK1320" s="16"/>
    </row>
    <row r="1321" spans="1:63" s="287" customFormat="1" ht="75">
      <c r="A1321" s="401">
        <v>3</v>
      </c>
      <c r="B1321" s="38" t="s">
        <v>4276</v>
      </c>
      <c r="C1321" s="38" t="s">
        <v>83</v>
      </c>
      <c r="D1321" s="38" t="s">
        <v>4158</v>
      </c>
      <c r="E1321" s="38" t="s">
        <v>274</v>
      </c>
      <c r="F1321" s="38" t="s">
        <v>4623</v>
      </c>
      <c r="G1321" s="38">
        <v>23</v>
      </c>
      <c r="H1321" s="11">
        <v>626270</v>
      </c>
      <c r="I1321" s="16" t="s">
        <v>4277</v>
      </c>
      <c r="J1321" s="16" t="s">
        <v>4282</v>
      </c>
      <c r="K1321" s="29" t="s">
        <v>4917</v>
      </c>
      <c r="L1321" s="16" t="s">
        <v>180</v>
      </c>
      <c r="M1321" s="95" t="s">
        <v>4170</v>
      </c>
      <c r="N1321" s="15" t="s">
        <v>4171</v>
      </c>
      <c r="O1321" s="16" t="s">
        <v>4172</v>
      </c>
      <c r="P1321" s="23">
        <v>8083.2595799999999</v>
      </c>
      <c r="Q1321" s="23">
        <f t="shared" si="165"/>
        <v>9538.2463043999996</v>
      </c>
      <c r="R1321" s="23">
        <v>8633.5138166777942</v>
      </c>
      <c r="S1321" s="29" t="s">
        <v>4657</v>
      </c>
      <c r="T1321" s="312">
        <v>1.2883135638996805</v>
      </c>
      <c r="U1321" s="312">
        <v>1.093</v>
      </c>
      <c r="V1321" s="312">
        <v>1.04</v>
      </c>
      <c r="W1321" s="312">
        <v>1.03</v>
      </c>
      <c r="X1321" s="403">
        <v>0.9</v>
      </c>
      <c r="Y1321" s="23">
        <v>11720.399170000001</v>
      </c>
      <c r="Z1321" s="23">
        <f t="shared" si="166"/>
        <v>13830.0710206</v>
      </c>
      <c r="AA1321" s="36" t="s">
        <v>132</v>
      </c>
      <c r="AB1321" s="36" t="s">
        <v>132</v>
      </c>
      <c r="AC1321" s="23">
        <v>8083.2595799999999</v>
      </c>
      <c r="AD1321" s="23">
        <f t="shared" si="167"/>
        <v>9538.2463043999996</v>
      </c>
      <c r="AE1321" s="38" t="s">
        <v>173</v>
      </c>
      <c r="AF1321" s="38" t="s">
        <v>83</v>
      </c>
      <c r="AG1321" s="38" t="s">
        <v>83</v>
      </c>
      <c r="AH1321" s="38" t="s">
        <v>90</v>
      </c>
      <c r="AI1321" s="51">
        <v>41593</v>
      </c>
      <c r="AJ1321" s="51">
        <v>41638</v>
      </c>
      <c r="AK1321" s="369"/>
      <c r="AL1321" s="60"/>
      <c r="AM1321" s="60" t="s">
        <v>4159</v>
      </c>
      <c r="AN1321" s="60" t="s">
        <v>171</v>
      </c>
      <c r="AO1321" s="11">
        <v>796</v>
      </c>
      <c r="AP1321" s="38" t="s">
        <v>419</v>
      </c>
      <c r="AQ1321" s="38">
        <v>1</v>
      </c>
      <c r="AR1321" s="38" t="s">
        <v>2980</v>
      </c>
      <c r="AS1321" s="16" t="s">
        <v>3373</v>
      </c>
      <c r="AT1321" s="78">
        <v>41640</v>
      </c>
      <c r="AU1321" s="78">
        <v>41640</v>
      </c>
      <c r="AV1321" s="78">
        <v>41942</v>
      </c>
      <c r="AW1321" s="38">
        <v>2014</v>
      </c>
      <c r="AX1321" s="60"/>
      <c r="AY1321" s="135"/>
      <c r="AZ1321" s="60"/>
      <c r="BA1321" s="38"/>
      <c r="BB1321" s="38"/>
      <c r="BC1321" s="60"/>
      <c r="BD1321" s="60"/>
      <c r="BE1321" s="304"/>
      <c r="BF1321" s="304"/>
      <c r="BG1321" s="304"/>
      <c r="BH1321" s="304"/>
      <c r="BI1321" s="304"/>
      <c r="BJ1321" s="304"/>
      <c r="BK1321" s="16"/>
    </row>
    <row r="1322" spans="1:63" s="287" customFormat="1" ht="75">
      <c r="A1322" s="401">
        <v>3</v>
      </c>
      <c r="B1322" s="38" t="s">
        <v>4278</v>
      </c>
      <c r="C1322" s="38" t="s">
        <v>83</v>
      </c>
      <c r="D1322" s="38" t="s">
        <v>4158</v>
      </c>
      <c r="E1322" s="38" t="s">
        <v>274</v>
      </c>
      <c r="F1322" s="38" t="s">
        <v>4625</v>
      </c>
      <c r="G1322" s="38">
        <v>29</v>
      </c>
      <c r="H1322" s="11">
        <v>626269</v>
      </c>
      <c r="I1322" s="16" t="s">
        <v>4279</v>
      </c>
      <c r="J1322" s="16" t="s">
        <v>4282</v>
      </c>
      <c r="K1322" s="29" t="s">
        <v>4917</v>
      </c>
      <c r="L1322" s="16" t="s">
        <v>180</v>
      </c>
      <c r="M1322" s="95" t="s">
        <v>4170</v>
      </c>
      <c r="N1322" s="15" t="s">
        <v>4171</v>
      </c>
      <c r="O1322" s="16" t="s">
        <v>4172</v>
      </c>
      <c r="P1322" s="23">
        <v>18739.308389999998</v>
      </c>
      <c r="Q1322" s="23">
        <f t="shared" si="165"/>
        <v>22112.383900199999</v>
      </c>
      <c r="R1322" s="23">
        <v>17448.850628092303</v>
      </c>
      <c r="S1322" s="29" t="s">
        <v>4656</v>
      </c>
      <c r="T1322" s="312">
        <v>1.0840000000000001</v>
      </c>
      <c r="U1322" s="312">
        <v>1.0509999999999999</v>
      </c>
      <c r="V1322" s="312">
        <v>1.0669999999999999</v>
      </c>
      <c r="W1322" s="312">
        <v>1.056</v>
      </c>
      <c r="X1322" s="403">
        <v>0.9</v>
      </c>
      <c r="Y1322" s="23">
        <v>20159.03181</v>
      </c>
      <c r="Z1322" s="23">
        <f t="shared" si="166"/>
        <v>23787.657535800001</v>
      </c>
      <c r="AA1322" s="36" t="s">
        <v>132</v>
      </c>
      <c r="AB1322" s="36" t="s">
        <v>132</v>
      </c>
      <c r="AC1322" s="23">
        <v>18739.308389999998</v>
      </c>
      <c r="AD1322" s="23">
        <f t="shared" si="167"/>
        <v>22112.383900199999</v>
      </c>
      <c r="AE1322" s="38" t="s">
        <v>169</v>
      </c>
      <c r="AF1322" s="38" t="s">
        <v>83</v>
      </c>
      <c r="AG1322" s="38" t="s">
        <v>83</v>
      </c>
      <c r="AH1322" s="38" t="s">
        <v>90</v>
      </c>
      <c r="AI1322" s="51">
        <v>41593</v>
      </c>
      <c r="AJ1322" s="51">
        <v>41638</v>
      </c>
      <c r="AK1322" s="369"/>
      <c r="AL1322" s="60"/>
      <c r="AM1322" s="60" t="s">
        <v>4159</v>
      </c>
      <c r="AN1322" s="60" t="s">
        <v>171</v>
      </c>
      <c r="AO1322" s="11">
        <v>796</v>
      </c>
      <c r="AP1322" s="38" t="s">
        <v>419</v>
      </c>
      <c r="AQ1322" s="38">
        <v>1</v>
      </c>
      <c r="AR1322" s="38" t="s">
        <v>2980</v>
      </c>
      <c r="AS1322" s="16" t="s">
        <v>3373</v>
      </c>
      <c r="AT1322" s="78">
        <v>41640</v>
      </c>
      <c r="AU1322" s="78">
        <v>41640</v>
      </c>
      <c r="AV1322" s="78">
        <v>41942</v>
      </c>
      <c r="AW1322" s="38">
        <v>2014</v>
      </c>
      <c r="AX1322" s="60"/>
      <c r="AY1322" s="135"/>
      <c r="AZ1322" s="60"/>
      <c r="BA1322" s="38"/>
      <c r="BB1322" s="38"/>
      <c r="BC1322" s="60"/>
      <c r="BD1322" s="60"/>
      <c r="BE1322" s="304"/>
      <c r="BF1322" s="304"/>
      <c r="BG1322" s="304"/>
      <c r="BH1322" s="304"/>
      <c r="BI1322" s="304"/>
      <c r="BJ1322" s="304"/>
      <c r="BK1322" s="16"/>
    </row>
    <row r="1323" spans="1:63" s="287" customFormat="1" ht="75">
      <c r="A1323" s="401">
        <v>3</v>
      </c>
      <c r="B1323" s="38" t="s">
        <v>4280</v>
      </c>
      <c r="C1323" s="38" t="s">
        <v>83</v>
      </c>
      <c r="D1323" s="38" t="s">
        <v>4158</v>
      </c>
      <c r="E1323" s="38" t="s">
        <v>274</v>
      </c>
      <c r="F1323" s="38" t="s">
        <v>4624</v>
      </c>
      <c r="G1323" s="38">
        <v>24</v>
      </c>
      <c r="H1323" s="11">
        <v>626266</v>
      </c>
      <c r="I1323" s="16" t="s">
        <v>4281</v>
      </c>
      <c r="J1323" s="16" t="s">
        <v>4282</v>
      </c>
      <c r="K1323" s="29" t="s">
        <v>4917</v>
      </c>
      <c r="L1323" s="16" t="s">
        <v>180</v>
      </c>
      <c r="M1323" s="95" t="s">
        <v>4170</v>
      </c>
      <c r="N1323" s="15" t="s">
        <v>4171</v>
      </c>
      <c r="O1323" s="16" t="s">
        <v>4172</v>
      </c>
      <c r="P1323" s="23">
        <v>4384.2747200000003</v>
      </c>
      <c r="Q1323" s="23">
        <f t="shared" si="165"/>
        <v>5173.4441696000004</v>
      </c>
      <c r="R1323" s="23">
        <v>4881.7408243093605</v>
      </c>
      <c r="S1323" s="29" t="s">
        <v>4656</v>
      </c>
      <c r="T1323" s="312">
        <v>1.0840000000000001</v>
      </c>
      <c r="U1323" s="312">
        <v>1.0509999999999999</v>
      </c>
      <c r="V1323" s="312">
        <v>1.0669999999999999</v>
      </c>
      <c r="W1323" s="312">
        <v>1.056</v>
      </c>
      <c r="X1323" s="403">
        <v>0.9</v>
      </c>
      <c r="Y1323" s="23">
        <v>5639.98</v>
      </c>
      <c r="Z1323" s="23">
        <f t="shared" si="166"/>
        <v>6655.1763999999994</v>
      </c>
      <c r="AA1323" s="36" t="s">
        <v>132</v>
      </c>
      <c r="AB1323" s="36" t="s">
        <v>132</v>
      </c>
      <c r="AC1323" s="23">
        <v>4384.2747200000003</v>
      </c>
      <c r="AD1323" s="23">
        <f t="shared" si="167"/>
        <v>5173.4441696000004</v>
      </c>
      <c r="AE1323" s="38" t="s">
        <v>173</v>
      </c>
      <c r="AF1323" s="38" t="s">
        <v>83</v>
      </c>
      <c r="AG1323" s="38" t="s">
        <v>83</v>
      </c>
      <c r="AH1323" s="38" t="s">
        <v>90</v>
      </c>
      <c r="AI1323" s="51">
        <v>41593</v>
      </c>
      <c r="AJ1323" s="51">
        <v>41638</v>
      </c>
      <c r="AK1323" s="369"/>
      <c r="AL1323" s="60"/>
      <c r="AM1323" s="60" t="s">
        <v>4159</v>
      </c>
      <c r="AN1323" s="60" t="s">
        <v>171</v>
      </c>
      <c r="AO1323" s="11">
        <v>796</v>
      </c>
      <c r="AP1323" s="38" t="s">
        <v>419</v>
      </c>
      <c r="AQ1323" s="38">
        <v>1</v>
      </c>
      <c r="AR1323" s="38" t="s">
        <v>2980</v>
      </c>
      <c r="AS1323" s="16" t="s">
        <v>3373</v>
      </c>
      <c r="AT1323" s="78">
        <v>41640</v>
      </c>
      <c r="AU1323" s="78">
        <v>41640</v>
      </c>
      <c r="AV1323" s="78">
        <v>41942</v>
      </c>
      <c r="AW1323" s="38">
        <v>2014</v>
      </c>
      <c r="AX1323" s="60"/>
      <c r="AY1323" s="135"/>
      <c r="AZ1323" s="60"/>
      <c r="BA1323" s="38"/>
      <c r="BB1323" s="38"/>
      <c r="BC1323" s="60"/>
      <c r="BD1323" s="60"/>
      <c r="BE1323" s="304"/>
      <c r="BF1323" s="304"/>
      <c r="BG1323" s="304"/>
      <c r="BH1323" s="304"/>
      <c r="BI1323" s="304"/>
      <c r="BJ1323" s="304"/>
      <c r="BK1323" s="16"/>
    </row>
    <row r="1324" spans="1:63" s="287" customFormat="1" ht="131.25">
      <c r="A1324" s="401">
        <v>3</v>
      </c>
      <c r="B1324" s="38" t="s">
        <v>4283</v>
      </c>
      <c r="C1324" s="38" t="s">
        <v>83</v>
      </c>
      <c r="D1324" s="38" t="s">
        <v>4158</v>
      </c>
      <c r="E1324" s="38" t="s">
        <v>274</v>
      </c>
      <c r="F1324" s="38" t="s">
        <v>4624</v>
      </c>
      <c r="G1324" s="38">
        <v>24</v>
      </c>
      <c r="H1324" s="11">
        <v>626263</v>
      </c>
      <c r="I1324" s="16" t="s">
        <v>4284</v>
      </c>
      <c r="J1324" s="16" t="s">
        <v>4282</v>
      </c>
      <c r="K1324" s="29" t="s">
        <v>4917</v>
      </c>
      <c r="L1324" s="16" t="s">
        <v>180</v>
      </c>
      <c r="M1324" s="95" t="s">
        <v>4170</v>
      </c>
      <c r="N1324" s="15" t="s">
        <v>4171</v>
      </c>
      <c r="O1324" s="16" t="s">
        <v>4172</v>
      </c>
      <c r="P1324" s="23">
        <v>2312.8224399999999</v>
      </c>
      <c r="Q1324" s="23">
        <f t="shared" si="165"/>
        <v>2729.1304791999996</v>
      </c>
      <c r="R1324" s="23">
        <v>2566.4973132588261</v>
      </c>
      <c r="S1324" s="29" t="s">
        <v>4658</v>
      </c>
      <c r="T1324" s="312">
        <v>1.1918313453605724</v>
      </c>
      <c r="U1324" s="312">
        <v>1.042</v>
      </c>
      <c r="V1324" s="312">
        <v>1.014</v>
      </c>
      <c r="W1324" s="312">
        <v>1.0209999999999999</v>
      </c>
      <c r="X1324" s="403">
        <v>0.9</v>
      </c>
      <c r="Y1324" s="23">
        <v>2969.8159999999998</v>
      </c>
      <c r="Z1324" s="23">
        <f t="shared" si="166"/>
        <v>3504.3828799999997</v>
      </c>
      <c r="AA1324" s="36" t="s">
        <v>132</v>
      </c>
      <c r="AB1324" s="36" t="s">
        <v>132</v>
      </c>
      <c r="AC1324" s="23">
        <v>2312.8224399999999</v>
      </c>
      <c r="AD1324" s="23">
        <f t="shared" si="167"/>
        <v>2729.1304791999996</v>
      </c>
      <c r="AE1324" s="38" t="s">
        <v>173</v>
      </c>
      <c r="AF1324" s="38" t="s">
        <v>83</v>
      </c>
      <c r="AG1324" s="38" t="s">
        <v>83</v>
      </c>
      <c r="AH1324" s="38" t="s">
        <v>90</v>
      </c>
      <c r="AI1324" s="51">
        <v>41593</v>
      </c>
      <c r="AJ1324" s="51">
        <v>41638</v>
      </c>
      <c r="AK1324" s="369"/>
      <c r="AL1324" s="60"/>
      <c r="AM1324" s="60" t="s">
        <v>4159</v>
      </c>
      <c r="AN1324" s="60" t="s">
        <v>171</v>
      </c>
      <c r="AO1324" s="11">
        <v>796</v>
      </c>
      <c r="AP1324" s="38" t="s">
        <v>419</v>
      </c>
      <c r="AQ1324" s="38">
        <v>1</v>
      </c>
      <c r="AR1324" s="38" t="s">
        <v>2980</v>
      </c>
      <c r="AS1324" s="16" t="s">
        <v>3373</v>
      </c>
      <c r="AT1324" s="78">
        <v>41640</v>
      </c>
      <c r="AU1324" s="78">
        <v>41640</v>
      </c>
      <c r="AV1324" s="78">
        <v>41942</v>
      </c>
      <c r="AW1324" s="38">
        <v>2014</v>
      </c>
      <c r="AX1324" s="60"/>
      <c r="AY1324" s="135"/>
      <c r="AZ1324" s="60"/>
      <c r="BA1324" s="38"/>
      <c r="BB1324" s="38"/>
      <c r="BC1324" s="60"/>
      <c r="BD1324" s="60"/>
      <c r="BE1324" s="304"/>
      <c r="BF1324" s="304"/>
      <c r="BG1324" s="304"/>
      <c r="BH1324" s="304"/>
      <c r="BI1324" s="304"/>
      <c r="BJ1324" s="304"/>
      <c r="BK1324" s="16"/>
    </row>
    <row r="1325" spans="1:63" s="287" customFormat="1" ht="168.75">
      <c r="A1325" s="401">
        <v>3</v>
      </c>
      <c r="B1325" s="38" t="s">
        <v>4285</v>
      </c>
      <c r="C1325" s="38" t="s">
        <v>83</v>
      </c>
      <c r="D1325" s="38" t="s">
        <v>4158</v>
      </c>
      <c r="E1325" s="38" t="s">
        <v>274</v>
      </c>
      <c r="F1325" s="38" t="s">
        <v>4620</v>
      </c>
      <c r="G1325" s="38">
        <v>31</v>
      </c>
      <c r="H1325" s="11">
        <v>626054</v>
      </c>
      <c r="I1325" s="16" t="s">
        <v>4312</v>
      </c>
      <c r="J1325" s="16" t="s">
        <v>4282</v>
      </c>
      <c r="K1325" s="29" t="s">
        <v>4917</v>
      </c>
      <c r="L1325" s="16" t="s">
        <v>180</v>
      </c>
      <c r="M1325" s="95" t="s">
        <v>4170</v>
      </c>
      <c r="N1325" s="15" t="s">
        <v>4171</v>
      </c>
      <c r="O1325" s="16" t="s">
        <v>4172</v>
      </c>
      <c r="P1325" s="23">
        <v>1426.4449999999999</v>
      </c>
      <c r="Q1325" s="23">
        <f t="shared" si="165"/>
        <v>1683.2050999999999</v>
      </c>
      <c r="R1325" s="23">
        <v>1307.3527877585066</v>
      </c>
      <c r="S1325" s="29" t="s">
        <v>4652</v>
      </c>
      <c r="T1325" s="312">
        <v>1.0900000000000001</v>
      </c>
      <c r="U1325" s="312">
        <v>1.0409999999999999</v>
      </c>
      <c r="V1325" s="312">
        <v>1.0229999999999999</v>
      </c>
      <c r="W1325" s="312">
        <v>1.0444</v>
      </c>
      <c r="X1325" s="403">
        <v>0.9</v>
      </c>
      <c r="Y1325" s="23">
        <v>1426.4449999999999</v>
      </c>
      <c r="Z1325" s="23">
        <f t="shared" si="166"/>
        <v>1683.2050999999999</v>
      </c>
      <c r="AA1325" s="36" t="s">
        <v>132</v>
      </c>
      <c r="AB1325" s="36" t="s">
        <v>132</v>
      </c>
      <c r="AC1325" s="23">
        <v>1426.4449999999999</v>
      </c>
      <c r="AD1325" s="23">
        <f t="shared" si="167"/>
        <v>1683.2050999999999</v>
      </c>
      <c r="AE1325" s="38" t="s">
        <v>173</v>
      </c>
      <c r="AF1325" s="38" t="s">
        <v>83</v>
      </c>
      <c r="AG1325" s="38" t="s">
        <v>83</v>
      </c>
      <c r="AH1325" s="38" t="s">
        <v>90</v>
      </c>
      <c r="AI1325" s="51">
        <v>41593</v>
      </c>
      <c r="AJ1325" s="51">
        <v>41638</v>
      </c>
      <c r="AK1325" s="369"/>
      <c r="AL1325" s="60"/>
      <c r="AM1325" s="60" t="s">
        <v>4159</v>
      </c>
      <c r="AN1325" s="60" t="s">
        <v>171</v>
      </c>
      <c r="AO1325" s="11">
        <v>796</v>
      </c>
      <c r="AP1325" s="38" t="s">
        <v>419</v>
      </c>
      <c r="AQ1325" s="38">
        <v>1</v>
      </c>
      <c r="AR1325" s="38" t="s">
        <v>2980</v>
      </c>
      <c r="AS1325" s="16" t="s">
        <v>3373</v>
      </c>
      <c r="AT1325" s="78">
        <v>41640</v>
      </c>
      <c r="AU1325" s="78">
        <v>41640</v>
      </c>
      <c r="AV1325" s="78">
        <v>41942</v>
      </c>
      <c r="AW1325" s="38">
        <v>2014</v>
      </c>
      <c r="AX1325" s="60"/>
      <c r="AY1325" s="135"/>
      <c r="AZ1325" s="60"/>
      <c r="BA1325" s="38"/>
      <c r="BB1325" s="38"/>
      <c r="BC1325" s="60"/>
      <c r="BD1325" s="60"/>
      <c r="BE1325" s="304"/>
      <c r="BF1325" s="304"/>
      <c r="BG1325" s="304"/>
      <c r="BH1325" s="304"/>
      <c r="BI1325" s="304"/>
      <c r="BJ1325" s="304"/>
      <c r="BK1325" s="16"/>
    </row>
    <row r="1326" spans="1:63" s="287" customFormat="1" ht="75">
      <c r="A1326" s="401">
        <v>3</v>
      </c>
      <c r="B1326" s="38" t="s">
        <v>4299</v>
      </c>
      <c r="C1326" s="38" t="s">
        <v>83</v>
      </c>
      <c r="D1326" s="38" t="s">
        <v>4158</v>
      </c>
      <c r="E1326" s="38" t="s">
        <v>274</v>
      </c>
      <c r="F1326" s="38" t="s">
        <v>4625</v>
      </c>
      <c r="G1326" s="38">
        <v>29</v>
      </c>
      <c r="H1326" s="11">
        <v>626332</v>
      </c>
      <c r="I1326" s="16" t="s">
        <v>4300</v>
      </c>
      <c r="J1326" s="16" t="s">
        <v>4282</v>
      </c>
      <c r="K1326" s="29" t="s">
        <v>4917</v>
      </c>
      <c r="L1326" s="16" t="s">
        <v>180</v>
      </c>
      <c r="M1326" s="95" t="s">
        <v>4170</v>
      </c>
      <c r="N1326" s="15" t="s">
        <v>4171</v>
      </c>
      <c r="O1326" s="16" t="s">
        <v>4172</v>
      </c>
      <c r="P1326" s="23">
        <v>2648.3633799999998</v>
      </c>
      <c r="Q1326" s="23">
        <f t="shared" si="165"/>
        <v>3125.0687883999994</v>
      </c>
      <c r="R1326" s="23">
        <v>2769.0350682930543</v>
      </c>
      <c r="S1326" s="29" t="s">
        <v>4656</v>
      </c>
      <c r="T1326" s="312">
        <v>1.0840000000000001</v>
      </c>
      <c r="U1326" s="312">
        <v>1.0509999999999999</v>
      </c>
      <c r="V1326" s="312">
        <v>1.0669999999999999</v>
      </c>
      <c r="W1326" s="312">
        <v>1</v>
      </c>
      <c r="X1326" s="403">
        <v>0.9</v>
      </c>
      <c r="Y1326" s="23">
        <v>3029.47507</v>
      </c>
      <c r="Z1326" s="23">
        <f t="shared" si="166"/>
        <v>3574.7805825999999</v>
      </c>
      <c r="AA1326" s="36" t="s">
        <v>132</v>
      </c>
      <c r="AB1326" s="36" t="s">
        <v>132</v>
      </c>
      <c r="AC1326" s="23">
        <v>2648.3633799999998</v>
      </c>
      <c r="AD1326" s="23">
        <f t="shared" si="167"/>
        <v>3125.0687883999994</v>
      </c>
      <c r="AE1326" s="38" t="s">
        <v>173</v>
      </c>
      <c r="AF1326" s="38" t="s">
        <v>83</v>
      </c>
      <c r="AG1326" s="38" t="s">
        <v>83</v>
      </c>
      <c r="AH1326" s="38" t="s">
        <v>90</v>
      </c>
      <c r="AI1326" s="51">
        <v>41598</v>
      </c>
      <c r="AJ1326" s="51">
        <v>41638</v>
      </c>
      <c r="AK1326" s="369"/>
      <c r="AL1326" s="60"/>
      <c r="AM1326" s="60" t="s">
        <v>4159</v>
      </c>
      <c r="AN1326" s="60" t="s">
        <v>171</v>
      </c>
      <c r="AO1326" s="11">
        <v>796</v>
      </c>
      <c r="AP1326" s="38" t="s">
        <v>419</v>
      </c>
      <c r="AQ1326" s="38">
        <v>1</v>
      </c>
      <c r="AR1326" s="38" t="s">
        <v>2980</v>
      </c>
      <c r="AS1326" s="16" t="s">
        <v>3373</v>
      </c>
      <c r="AT1326" s="78">
        <v>41640</v>
      </c>
      <c r="AU1326" s="78">
        <v>41640</v>
      </c>
      <c r="AV1326" s="78">
        <v>41942</v>
      </c>
      <c r="AW1326" s="38">
        <v>2014</v>
      </c>
      <c r="AX1326" s="60"/>
      <c r="AY1326" s="135"/>
      <c r="AZ1326" s="60"/>
      <c r="BA1326" s="38"/>
      <c r="BB1326" s="38"/>
      <c r="BC1326" s="60"/>
      <c r="BD1326" s="60"/>
      <c r="BE1326" s="304"/>
      <c r="BF1326" s="304"/>
      <c r="BG1326" s="304"/>
      <c r="BH1326" s="304"/>
      <c r="BI1326" s="304"/>
      <c r="BJ1326" s="304"/>
      <c r="BK1326" s="16"/>
    </row>
    <row r="1327" spans="1:63" s="287" customFormat="1" ht="75">
      <c r="A1327" s="401">
        <v>3</v>
      </c>
      <c r="B1327" s="38" t="s">
        <v>4301</v>
      </c>
      <c r="C1327" s="38" t="s">
        <v>83</v>
      </c>
      <c r="D1327" s="38" t="s">
        <v>4158</v>
      </c>
      <c r="E1327" s="38" t="s">
        <v>274</v>
      </c>
      <c r="F1327" s="38" t="s">
        <v>4625</v>
      </c>
      <c r="G1327" s="38">
        <v>29</v>
      </c>
      <c r="H1327" s="11">
        <v>626328</v>
      </c>
      <c r="I1327" s="16" t="s">
        <v>4302</v>
      </c>
      <c r="J1327" s="16" t="s">
        <v>4282</v>
      </c>
      <c r="K1327" s="29" t="s">
        <v>4917</v>
      </c>
      <c r="L1327" s="16" t="s">
        <v>180</v>
      </c>
      <c r="M1327" s="95" t="s">
        <v>4170</v>
      </c>
      <c r="N1327" s="15" t="s">
        <v>4171</v>
      </c>
      <c r="O1327" s="16" t="s">
        <v>4172</v>
      </c>
      <c r="P1327" s="23">
        <v>4115.0640700000004</v>
      </c>
      <c r="Q1327" s="23">
        <f t="shared" si="165"/>
        <v>4855.7756025999997</v>
      </c>
      <c r="R1327" s="23">
        <v>4282.3209998383181</v>
      </c>
      <c r="S1327" s="29" t="s">
        <v>4656</v>
      </c>
      <c r="T1327" s="312">
        <v>1.0840000000000001</v>
      </c>
      <c r="U1327" s="312">
        <v>1.0509999999999999</v>
      </c>
      <c r="V1327" s="312">
        <v>1.0669999999999999</v>
      </c>
      <c r="W1327" s="312">
        <v>1</v>
      </c>
      <c r="X1327" s="403">
        <v>0.9</v>
      </c>
      <c r="Y1327" s="23">
        <v>4685.0922399999999</v>
      </c>
      <c r="Z1327" s="23">
        <f t="shared" si="166"/>
        <v>5528.4088431999999</v>
      </c>
      <c r="AA1327" s="36" t="s">
        <v>132</v>
      </c>
      <c r="AB1327" s="36" t="s">
        <v>132</v>
      </c>
      <c r="AC1327" s="23">
        <v>4115.0640700000004</v>
      </c>
      <c r="AD1327" s="23">
        <f t="shared" si="167"/>
        <v>4855.7756025999997</v>
      </c>
      <c r="AE1327" s="38" t="s">
        <v>173</v>
      </c>
      <c r="AF1327" s="38" t="s">
        <v>83</v>
      </c>
      <c r="AG1327" s="38" t="s">
        <v>83</v>
      </c>
      <c r="AH1327" s="38" t="s">
        <v>90</v>
      </c>
      <c r="AI1327" s="51">
        <v>41598</v>
      </c>
      <c r="AJ1327" s="51">
        <v>41638</v>
      </c>
      <c r="AK1327" s="369"/>
      <c r="AL1327" s="60"/>
      <c r="AM1327" s="60" t="s">
        <v>4159</v>
      </c>
      <c r="AN1327" s="60" t="s">
        <v>171</v>
      </c>
      <c r="AO1327" s="11">
        <v>796</v>
      </c>
      <c r="AP1327" s="38" t="s">
        <v>419</v>
      </c>
      <c r="AQ1327" s="38">
        <v>1</v>
      </c>
      <c r="AR1327" s="38" t="s">
        <v>2980</v>
      </c>
      <c r="AS1327" s="16" t="s">
        <v>3373</v>
      </c>
      <c r="AT1327" s="78">
        <v>41640</v>
      </c>
      <c r="AU1327" s="78">
        <v>41640</v>
      </c>
      <c r="AV1327" s="78">
        <v>41942</v>
      </c>
      <c r="AW1327" s="38">
        <v>2014</v>
      </c>
      <c r="AX1327" s="60"/>
      <c r="AY1327" s="135"/>
      <c r="AZ1327" s="60"/>
      <c r="BA1327" s="38"/>
      <c r="BB1327" s="38"/>
      <c r="BC1327" s="60"/>
      <c r="BD1327" s="60"/>
      <c r="BE1327" s="304"/>
      <c r="BF1327" s="304"/>
      <c r="BG1327" s="304"/>
      <c r="BH1327" s="304"/>
      <c r="BI1327" s="304"/>
      <c r="BJ1327" s="304"/>
      <c r="BK1327" s="16"/>
    </row>
    <row r="1328" spans="1:63" s="287" customFormat="1" ht="168.75">
      <c r="A1328" s="401">
        <v>3</v>
      </c>
      <c r="B1328" s="38" t="s">
        <v>4303</v>
      </c>
      <c r="C1328" s="38" t="s">
        <v>83</v>
      </c>
      <c r="D1328" s="38" t="s">
        <v>4158</v>
      </c>
      <c r="E1328" s="38" t="s">
        <v>274</v>
      </c>
      <c r="F1328" s="38" t="s">
        <v>4620</v>
      </c>
      <c r="G1328" s="38">
        <v>31</v>
      </c>
      <c r="H1328" s="11">
        <v>626292</v>
      </c>
      <c r="I1328" s="16" t="s">
        <v>4304</v>
      </c>
      <c r="J1328" s="16" t="s">
        <v>4282</v>
      </c>
      <c r="K1328" s="29" t="s">
        <v>4917</v>
      </c>
      <c r="L1328" s="16" t="s">
        <v>180</v>
      </c>
      <c r="M1328" s="95" t="s">
        <v>4170</v>
      </c>
      <c r="N1328" s="15" t="s">
        <v>4171</v>
      </c>
      <c r="O1328" s="16" t="s">
        <v>4172</v>
      </c>
      <c r="P1328" s="23">
        <v>2665.9636399999999</v>
      </c>
      <c r="Q1328" s="23">
        <f t="shared" si="165"/>
        <v>3145.8370951999996</v>
      </c>
      <c r="R1328" s="23">
        <v>3008.3147271727125</v>
      </c>
      <c r="S1328" s="29" t="s">
        <v>4652</v>
      </c>
      <c r="T1328" s="312">
        <v>1.0900000000000001</v>
      </c>
      <c r="U1328" s="312">
        <v>1.0409999999999999</v>
      </c>
      <c r="V1328" s="312">
        <v>1.0229999999999999</v>
      </c>
      <c r="W1328" s="312">
        <v>1</v>
      </c>
      <c r="X1328" s="403">
        <v>0.9</v>
      </c>
      <c r="Y1328" s="23">
        <v>3142.8137200000001</v>
      </c>
      <c r="Z1328" s="23">
        <f t="shared" si="166"/>
        <v>3708.5201895999999</v>
      </c>
      <c r="AA1328" s="36" t="s">
        <v>132</v>
      </c>
      <c r="AB1328" s="36" t="s">
        <v>132</v>
      </c>
      <c r="AC1328" s="23">
        <v>2665.9636399999999</v>
      </c>
      <c r="AD1328" s="23">
        <f t="shared" si="167"/>
        <v>3145.8370951999996</v>
      </c>
      <c r="AE1328" s="38" t="s">
        <v>173</v>
      </c>
      <c r="AF1328" s="38" t="s">
        <v>83</v>
      </c>
      <c r="AG1328" s="38" t="s">
        <v>83</v>
      </c>
      <c r="AH1328" s="38" t="s">
        <v>90</v>
      </c>
      <c r="AI1328" s="51">
        <v>41598</v>
      </c>
      <c r="AJ1328" s="51">
        <v>41638</v>
      </c>
      <c r="AK1328" s="369"/>
      <c r="AL1328" s="60"/>
      <c r="AM1328" s="60" t="s">
        <v>4159</v>
      </c>
      <c r="AN1328" s="60" t="s">
        <v>171</v>
      </c>
      <c r="AO1328" s="11">
        <v>796</v>
      </c>
      <c r="AP1328" s="38" t="s">
        <v>419</v>
      </c>
      <c r="AQ1328" s="38">
        <v>1</v>
      </c>
      <c r="AR1328" s="38" t="s">
        <v>2980</v>
      </c>
      <c r="AS1328" s="16" t="s">
        <v>3373</v>
      </c>
      <c r="AT1328" s="78">
        <v>41640</v>
      </c>
      <c r="AU1328" s="78">
        <v>41640</v>
      </c>
      <c r="AV1328" s="78">
        <v>41942</v>
      </c>
      <c r="AW1328" s="38">
        <v>2014</v>
      </c>
      <c r="AX1328" s="60"/>
      <c r="AY1328" s="135"/>
      <c r="AZ1328" s="60"/>
      <c r="BA1328" s="38"/>
      <c r="BB1328" s="38"/>
      <c r="BC1328" s="60"/>
      <c r="BD1328" s="60"/>
      <c r="BE1328" s="304"/>
      <c r="BF1328" s="304"/>
      <c r="BG1328" s="304"/>
      <c r="BH1328" s="304"/>
      <c r="BI1328" s="304"/>
      <c r="BJ1328" s="304"/>
      <c r="BK1328" s="16"/>
    </row>
    <row r="1329" spans="1:63" s="287" customFormat="1" ht="75">
      <c r="A1329" s="401">
        <v>3</v>
      </c>
      <c r="B1329" s="38" t="s">
        <v>4305</v>
      </c>
      <c r="C1329" s="38" t="s">
        <v>83</v>
      </c>
      <c r="D1329" s="38" t="s">
        <v>4158</v>
      </c>
      <c r="E1329" s="38" t="s">
        <v>274</v>
      </c>
      <c r="F1329" s="38" t="s">
        <v>4624</v>
      </c>
      <c r="G1329" s="38">
        <v>24</v>
      </c>
      <c r="H1329" s="11">
        <v>626282</v>
      </c>
      <c r="I1329" s="16" t="s">
        <v>4306</v>
      </c>
      <c r="J1329" s="16" t="s">
        <v>4282</v>
      </c>
      <c r="K1329" s="29" t="s">
        <v>4917</v>
      </c>
      <c r="L1329" s="16" t="s">
        <v>180</v>
      </c>
      <c r="M1329" s="95" t="s">
        <v>4170</v>
      </c>
      <c r="N1329" s="15" t="s">
        <v>4171</v>
      </c>
      <c r="O1329" s="16" t="s">
        <v>4172</v>
      </c>
      <c r="P1329" s="23">
        <v>978.04205000000002</v>
      </c>
      <c r="Q1329" s="23">
        <f t="shared" si="165"/>
        <v>1154.0896189999999</v>
      </c>
      <c r="R1329" s="23">
        <v>1209.6330178625981</v>
      </c>
      <c r="S1329" s="29" t="s">
        <v>4180</v>
      </c>
      <c r="T1329" s="312">
        <v>1.0840000000000001</v>
      </c>
      <c r="U1329" s="312">
        <v>1.0509999999999999</v>
      </c>
      <c r="V1329" s="312">
        <v>1.0669999999999999</v>
      </c>
      <c r="W1329" s="312">
        <v>1.056</v>
      </c>
      <c r="X1329" s="403">
        <v>0.9</v>
      </c>
      <c r="Y1329" s="23">
        <v>1397.5150000000001</v>
      </c>
      <c r="Z1329" s="23">
        <f t="shared" si="166"/>
        <v>1649.0677000000001</v>
      </c>
      <c r="AA1329" s="36" t="s">
        <v>132</v>
      </c>
      <c r="AB1329" s="36" t="s">
        <v>132</v>
      </c>
      <c r="AC1329" s="23">
        <v>978.04205000000002</v>
      </c>
      <c r="AD1329" s="23">
        <f t="shared" si="167"/>
        <v>1154.0896189999999</v>
      </c>
      <c r="AE1329" s="38" t="s">
        <v>173</v>
      </c>
      <c r="AF1329" s="38" t="s">
        <v>83</v>
      </c>
      <c r="AG1329" s="38" t="s">
        <v>83</v>
      </c>
      <c r="AH1329" s="38" t="s">
        <v>90</v>
      </c>
      <c r="AI1329" s="51">
        <v>41598</v>
      </c>
      <c r="AJ1329" s="51">
        <v>41638</v>
      </c>
      <c r="AK1329" s="369"/>
      <c r="AL1329" s="60"/>
      <c r="AM1329" s="60" t="s">
        <v>4159</v>
      </c>
      <c r="AN1329" s="60" t="s">
        <v>171</v>
      </c>
      <c r="AO1329" s="11">
        <v>796</v>
      </c>
      <c r="AP1329" s="38" t="s">
        <v>419</v>
      </c>
      <c r="AQ1329" s="38">
        <v>1</v>
      </c>
      <c r="AR1329" s="38" t="s">
        <v>2980</v>
      </c>
      <c r="AS1329" s="16" t="s">
        <v>3373</v>
      </c>
      <c r="AT1329" s="78">
        <v>41640</v>
      </c>
      <c r="AU1329" s="78">
        <v>41640</v>
      </c>
      <c r="AV1329" s="78">
        <v>41942</v>
      </c>
      <c r="AW1329" s="38">
        <v>2014</v>
      </c>
      <c r="AX1329" s="60"/>
      <c r="AY1329" s="135"/>
      <c r="AZ1329" s="60"/>
      <c r="BA1329" s="38"/>
      <c r="BB1329" s="38"/>
      <c r="BC1329" s="60"/>
      <c r="BD1329" s="60"/>
      <c r="BE1329" s="304"/>
      <c r="BF1329" s="304"/>
      <c r="BG1329" s="304"/>
      <c r="BH1329" s="304"/>
      <c r="BI1329" s="304"/>
      <c r="BJ1329" s="304"/>
      <c r="BK1329" s="16"/>
    </row>
    <row r="1330" spans="1:63" s="287" customFormat="1" ht="168.75">
      <c r="A1330" s="401">
        <v>3</v>
      </c>
      <c r="B1330" s="38" t="s">
        <v>4307</v>
      </c>
      <c r="C1330" s="38" t="s">
        <v>83</v>
      </c>
      <c r="D1330" s="38" t="s">
        <v>4158</v>
      </c>
      <c r="E1330" s="38" t="s">
        <v>274</v>
      </c>
      <c r="F1330" s="38" t="s">
        <v>4620</v>
      </c>
      <c r="G1330" s="38">
        <v>30</v>
      </c>
      <c r="H1330" s="11">
        <v>626358</v>
      </c>
      <c r="I1330" s="16" t="s">
        <v>4308</v>
      </c>
      <c r="J1330" s="16" t="s">
        <v>4282</v>
      </c>
      <c r="K1330" s="29" t="s">
        <v>4917</v>
      </c>
      <c r="L1330" s="16" t="s">
        <v>180</v>
      </c>
      <c r="M1330" s="95" t="s">
        <v>4170</v>
      </c>
      <c r="N1330" s="15" t="s">
        <v>4171</v>
      </c>
      <c r="O1330" s="16" t="s">
        <v>4172</v>
      </c>
      <c r="P1330" s="23">
        <v>22875.769929999999</v>
      </c>
      <c r="Q1330" s="23">
        <f t="shared" si="165"/>
        <v>26993.408517399996</v>
      </c>
      <c r="R1330" s="23">
        <v>19456.987778481867</v>
      </c>
      <c r="S1330" s="29" t="s">
        <v>4652</v>
      </c>
      <c r="T1330" s="312">
        <v>1.0900000000000001</v>
      </c>
      <c r="U1330" s="312">
        <v>1.0409999999999999</v>
      </c>
      <c r="V1330" s="312">
        <v>1.0229999999999999</v>
      </c>
      <c r="W1330" s="312">
        <v>1</v>
      </c>
      <c r="X1330" s="403">
        <v>0.9</v>
      </c>
      <c r="Y1330" s="23">
        <v>20326.89186</v>
      </c>
      <c r="Z1330" s="23">
        <f t="shared" si="166"/>
        <v>23985.732394799998</v>
      </c>
      <c r="AA1330" s="36" t="s">
        <v>132</v>
      </c>
      <c r="AB1330" s="36" t="s">
        <v>132</v>
      </c>
      <c r="AC1330" s="23">
        <v>20326.89186</v>
      </c>
      <c r="AD1330" s="23">
        <f t="shared" si="167"/>
        <v>23985.732394799998</v>
      </c>
      <c r="AE1330" s="38" t="s">
        <v>169</v>
      </c>
      <c r="AF1330" s="38" t="s">
        <v>83</v>
      </c>
      <c r="AG1330" s="38" t="s">
        <v>83</v>
      </c>
      <c r="AH1330" s="38" t="s">
        <v>90</v>
      </c>
      <c r="AI1330" s="51">
        <v>41598</v>
      </c>
      <c r="AJ1330" s="51">
        <v>41638</v>
      </c>
      <c r="AK1330" s="369"/>
      <c r="AL1330" s="60"/>
      <c r="AM1330" s="60" t="s">
        <v>4159</v>
      </c>
      <c r="AN1330" s="60" t="s">
        <v>171</v>
      </c>
      <c r="AO1330" s="11">
        <v>796</v>
      </c>
      <c r="AP1330" s="38" t="s">
        <v>419</v>
      </c>
      <c r="AQ1330" s="38">
        <v>1</v>
      </c>
      <c r="AR1330" s="38" t="s">
        <v>2980</v>
      </c>
      <c r="AS1330" s="16" t="s">
        <v>3373</v>
      </c>
      <c r="AT1330" s="78">
        <v>41640</v>
      </c>
      <c r="AU1330" s="78">
        <v>41640</v>
      </c>
      <c r="AV1330" s="78">
        <v>41942</v>
      </c>
      <c r="AW1330" s="38">
        <v>2014</v>
      </c>
      <c r="AX1330" s="60"/>
      <c r="AY1330" s="135"/>
      <c r="AZ1330" s="60"/>
      <c r="BA1330" s="38"/>
      <c r="BB1330" s="38"/>
      <c r="BC1330" s="60"/>
      <c r="BD1330" s="60"/>
      <c r="BE1330" s="304"/>
      <c r="BF1330" s="304"/>
      <c r="BG1330" s="304"/>
      <c r="BH1330" s="304"/>
      <c r="BI1330" s="304"/>
      <c r="BJ1330" s="304"/>
      <c r="BK1330" s="16"/>
    </row>
    <row r="1331" spans="1:63" s="199" customFormat="1" ht="168.75" customHeight="1">
      <c r="A1331" s="401">
        <v>3</v>
      </c>
      <c r="B1331" s="38" t="s">
        <v>4340</v>
      </c>
      <c r="C1331" s="38" t="s">
        <v>83</v>
      </c>
      <c r="D1331" s="38" t="s">
        <v>160</v>
      </c>
      <c r="E1331" s="38" t="s">
        <v>274</v>
      </c>
      <c r="F1331" s="38" t="s">
        <v>4627</v>
      </c>
      <c r="G1331" s="38" t="s">
        <v>4628</v>
      </c>
      <c r="H1331" s="29">
        <v>626275</v>
      </c>
      <c r="I1331" s="16" t="s">
        <v>4341</v>
      </c>
      <c r="J1331" s="16" t="s">
        <v>4282</v>
      </c>
      <c r="K1331" s="29" t="s">
        <v>4917</v>
      </c>
      <c r="L1331" s="16" t="s">
        <v>180</v>
      </c>
      <c r="M1331" s="95" t="s">
        <v>4170</v>
      </c>
      <c r="N1331" s="15" t="s">
        <v>4171</v>
      </c>
      <c r="O1331" s="16" t="s">
        <v>4172</v>
      </c>
      <c r="P1331" s="23">
        <v>31585.89561</v>
      </c>
      <c r="Q1331" s="23">
        <f t="shared" si="165"/>
        <v>37271.356819799999</v>
      </c>
      <c r="R1331" s="23">
        <v>28777.286535968065</v>
      </c>
      <c r="S1331" s="29" t="s">
        <v>4180</v>
      </c>
      <c r="T1331" s="312">
        <v>1.0840000000000001</v>
      </c>
      <c r="U1331" s="312">
        <v>1.0509999999999999</v>
      </c>
      <c r="V1331" s="312">
        <v>1.0669999999999999</v>
      </c>
      <c r="W1331" s="312">
        <v>1.056</v>
      </c>
      <c r="X1331" s="403">
        <v>0.9</v>
      </c>
      <c r="Y1331" s="23">
        <v>33247.017070000002</v>
      </c>
      <c r="Z1331" s="23">
        <f t="shared" si="166"/>
        <v>39231.480142599998</v>
      </c>
      <c r="AA1331" s="36" t="s">
        <v>132</v>
      </c>
      <c r="AB1331" s="36" t="s">
        <v>132</v>
      </c>
      <c r="AC1331" s="23">
        <v>31585.89561</v>
      </c>
      <c r="AD1331" s="23">
        <f t="shared" si="167"/>
        <v>37271.356819799999</v>
      </c>
      <c r="AE1331" s="60" t="s">
        <v>169</v>
      </c>
      <c r="AF1331" s="38" t="s">
        <v>83</v>
      </c>
      <c r="AG1331" s="38" t="s">
        <v>83</v>
      </c>
      <c r="AH1331" s="38" t="s">
        <v>90</v>
      </c>
      <c r="AI1331" s="51">
        <v>41598</v>
      </c>
      <c r="AJ1331" s="51">
        <v>41658</v>
      </c>
      <c r="AK1331" s="369"/>
      <c r="AL1331" s="60"/>
      <c r="AM1331" s="60" t="s">
        <v>4342</v>
      </c>
      <c r="AN1331" s="60" t="s">
        <v>1757</v>
      </c>
      <c r="AO1331" s="11">
        <v>796</v>
      </c>
      <c r="AP1331" s="38" t="s">
        <v>368</v>
      </c>
      <c r="AQ1331" s="38">
        <v>1</v>
      </c>
      <c r="AR1331" s="38" t="s">
        <v>2980</v>
      </c>
      <c r="AS1331" s="16" t="s">
        <v>3373</v>
      </c>
      <c r="AT1331" s="51">
        <v>41658</v>
      </c>
      <c r="AU1331" s="78">
        <v>41659</v>
      </c>
      <c r="AV1331" s="78">
        <v>42004</v>
      </c>
      <c r="AW1331" s="38">
        <v>2014</v>
      </c>
      <c r="AX1331" s="60"/>
      <c r="AY1331" s="135"/>
      <c r="AZ1331" s="60"/>
      <c r="BA1331" s="38">
        <v>2014</v>
      </c>
      <c r="BB1331" s="38"/>
      <c r="BC1331" s="60"/>
      <c r="BD1331" s="60"/>
      <c r="BE1331" s="304"/>
      <c r="BF1331" s="304"/>
      <c r="BG1331" s="304"/>
      <c r="BH1331" s="304"/>
      <c r="BI1331" s="304"/>
      <c r="BJ1331" s="304"/>
      <c r="BK1331" s="16"/>
    </row>
    <row r="1332" spans="1:63" s="199" customFormat="1" ht="75">
      <c r="A1332" s="401">
        <v>3</v>
      </c>
      <c r="B1332" s="38" t="s">
        <v>4343</v>
      </c>
      <c r="C1332" s="38" t="s">
        <v>83</v>
      </c>
      <c r="D1332" s="38" t="s">
        <v>160</v>
      </c>
      <c r="E1332" s="38" t="s">
        <v>274</v>
      </c>
      <c r="F1332" s="38" t="s">
        <v>4625</v>
      </c>
      <c r="G1332" s="38">
        <v>29</v>
      </c>
      <c r="H1332" s="29">
        <v>626276</v>
      </c>
      <c r="I1332" s="16" t="s">
        <v>4344</v>
      </c>
      <c r="J1332" s="16" t="s">
        <v>4282</v>
      </c>
      <c r="K1332" s="29" t="s">
        <v>4917</v>
      </c>
      <c r="L1332" s="16" t="s">
        <v>180</v>
      </c>
      <c r="M1332" s="95" t="s">
        <v>4170</v>
      </c>
      <c r="N1332" s="15" t="s">
        <v>4171</v>
      </c>
      <c r="O1332" s="16" t="s">
        <v>4172</v>
      </c>
      <c r="P1332" s="23">
        <v>5812.7520500000001</v>
      </c>
      <c r="Q1332" s="23">
        <f t="shared" si="165"/>
        <v>6859.0474189999995</v>
      </c>
      <c r="R1332" s="23">
        <v>5999.0227585190996</v>
      </c>
      <c r="S1332" s="29" t="s">
        <v>4180</v>
      </c>
      <c r="T1332" s="312">
        <v>1.0840000000000001</v>
      </c>
      <c r="U1332" s="312">
        <v>1.0509999999999999</v>
      </c>
      <c r="V1332" s="312">
        <v>1.0669999999999999</v>
      </c>
      <c r="W1332" s="312">
        <v>1.056</v>
      </c>
      <c r="X1332" s="403">
        <v>0.9</v>
      </c>
      <c r="Y1332" s="23">
        <v>6930.7998099999995</v>
      </c>
      <c r="Z1332" s="23">
        <f t="shared" si="166"/>
        <v>8178.3437757999991</v>
      </c>
      <c r="AA1332" s="36" t="s">
        <v>132</v>
      </c>
      <c r="AB1332" s="36" t="s">
        <v>132</v>
      </c>
      <c r="AC1332" s="23">
        <v>5812.7520500000001</v>
      </c>
      <c r="AD1332" s="23">
        <f t="shared" si="167"/>
        <v>6859.0474189999995</v>
      </c>
      <c r="AE1332" s="38" t="s">
        <v>173</v>
      </c>
      <c r="AF1332" s="38" t="s">
        <v>83</v>
      </c>
      <c r="AG1332" s="38" t="s">
        <v>83</v>
      </c>
      <c r="AH1332" s="38" t="s">
        <v>90</v>
      </c>
      <c r="AI1332" s="51">
        <v>41598</v>
      </c>
      <c r="AJ1332" s="51">
        <v>41643</v>
      </c>
      <c r="AK1332" s="369"/>
      <c r="AL1332" s="60"/>
      <c r="AM1332" s="60" t="s">
        <v>4345</v>
      </c>
      <c r="AN1332" s="60" t="s">
        <v>1757</v>
      </c>
      <c r="AO1332" s="11">
        <v>796</v>
      </c>
      <c r="AP1332" s="38" t="s">
        <v>368</v>
      </c>
      <c r="AQ1332" s="38">
        <v>1</v>
      </c>
      <c r="AR1332" s="38" t="s">
        <v>2980</v>
      </c>
      <c r="AS1332" s="16" t="s">
        <v>3373</v>
      </c>
      <c r="AT1332" s="51">
        <v>41643</v>
      </c>
      <c r="AU1332" s="78">
        <v>41644</v>
      </c>
      <c r="AV1332" s="78">
        <v>42004</v>
      </c>
      <c r="AW1332" s="38">
        <v>2014</v>
      </c>
      <c r="AX1332" s="60"/>
      <c r="AY1332" s="135"/>
      <c r="AZ1332" s="60"/>
      <c r="BA1332" s="38">
        <v>2014</v>
      </c>
      <c r="BB1332" s="38"/>
      <c r="BC1332" s="60"/>
      <c r="BD1332" s="60"/>
      <c r="BE1332" s="304"/>
      <c r="BF1332" s="304"/>
      <c r="BG1332" s="304"/>
      <c r="BH1332" s="304"/>
      <c r="BI1332" s="304"/>
      <c r="BJ1332" s="304"/>
      <c r="BK1332" s="16"/>
    </row>
    <row r="1333" spans="1:63" s="199" customFormat="1" ht="75">
      <c r="A1333" s="401">
        <v>3</v>
      </c>
      <c r="B1333" s="38" t="s">
        <v>4346</v>
      </c>
      <c r="C1333" s="38" t="s">
        <v>83</v>
      </c>
      <c r="D1333" s="38" t="s">
        <v>160</v>
      </c>
      <c r="E1333" s="38" t="s">
        <v>274</v>
      </c>
      <c r="F1333" s="38" t="s">
        <v>4620</v>
      </c>
      <c r="G1333" s="38">
        <v>31</v>
      </c>
      <c r="H1333" s="29">
        <v>626291</v>
      </c>
      <c r="I1333" s="16" t="s">
        <v>4347</v>
      </c>
      <c r="J1333" s="16" t="s">
        <v>4282</v>
      </c>
      <c r="K1333" s="29" t="s">
        <v>4917</v>
      </c>
      <c r="L1333" s="16" t="s">
        <v>180</v>
      </c>
      <c r="M1333" s="95" t="s">
        <v>4170</v>
      </c>
      <c r="N1333" s="15" t="s">
        <v>4171</v>
      </c>
      <c r="O1333" s="16" t="s">
        <v>4172</v>
      </c>
      <c r="P1333" s="23">
        <v>4522.7735899999998</v>
      </c>
      <c r="Q1333" s="23">
        <f t="shared" si="165"/>
        <v>5336.8728361999993</v>
      </c>
      <c r="R1333" s="23">
        <v>4990.120787639954</v>
      </c>
      <c r="S1333" s="29" t="s">
        <v>4180</v>
      </c>
      <c r="T1333" s="312">
        <v>1.0840000000000001</v>
      </c>
      <c r="U1333" s="312">
        <v>1.0509999999999999</v>
      </c>
      <c r="V1333" s="312">
        <v>1.0669999999999999</v>
      </c>
      <c r="W1333" s="312">
        <v>1</v>
      </c>
      <c r="X1333" s="403">
        <v>0.9</v>
      </c>
      <c r="Y1333" s="23">
        <v>5459.4637300000004</v>
      </c>
      <c r="Z1333" s="23">
        <f t="shared" si="166"/>
        <v>6442.1672014000005</v>
      </c>
      <c r="AA1333" s="36" t="s">
        <v>132</v>
      </c>
      <c r="AB1333" s="36" t="s">
        <v>132</v>
      </c>
      <c r="AC1333" s="23">
        <v>4522.7735899999998</v>
      </c>
      <c r="AD1333" s="23">
        <f t="shared" si="167"/>
        <v>5336.8728361999993</v>
      </c>
      <c r="AE1333" s="38" t="s">
        <v>173</v>
      </c>
      <c r="AF1333" s="38" t="s">
        <v>83</v>
      </c>
      <c r="AG1333" s="38" t="s">
        <v>83</v>
      </c>
      <c r="AH1333" s="38" t="s">
        <v>90</v>
      </c>
      <c r="AI1333" s="51">
        <v>41598</v>
      </c>
      <c r="AJ1333" s="51">
        <v>41643</v>
      </c>
      <c r="AK1333" s="369"/>
      <c r="AL1333" s="60"/>
      <c r="AM1333" s="60" t="s">
        <v>4348</v>
      </c>
      <c r="AN1333" s="60" t="s">
        <v>1757</v>
      </c>
      <c r="AO1333" s="11">
        <v>796</v>
      </c>
      <c r="AP1333" s="38" t="s">
        <v>368</v>
      </c>
      <c r="AQ1333" s="38">
        <v>1</v>
      </c>
      <c r="AR1333" s="38" t="s">
        <v>2980</v>
      </c>
      <c r="AS1333" s="16" t="s">
        <v>3373</v>
      </c>
      <c r="AT1333" s="51">
        <v>41643</v>
      </c>
      <c r="AU1333" s="78">
        <v>41644</v>
      </c>
      <c r="AV1333" s="763">
        <v>42003</v>
      </c>
      <c r="AW1333" s="38">
        <v>2014</v>
      </c>
      <c r="AX1333" s="60"/>
      <c r="AY1333" s="135"/>
      <c r="AZ1333" s="60"/>
      <c r="BA1333" s="38">
        <v>2014</v>
      </c>
      <c r="BB1333" s="38"/>
      <c r="BC1333" s="60"/>
      <c r="BD1333" s="60"/>
      <c r="BE1333" s="304"/>
      <c r="BF1333" s="304"/>
      <c r="BG1333" s="304"/>
      <c r="BH1333" s="304"/>
      <c r="BI1333" s="304"/>
      <c r="BJ1333" s="304"/>
      <c r="BK1333" s="16"/>
    </row>
    <row r="1334" spans="1:63" s="199" customFormat="1" ht="75">
      <c r="A1334" s="401">
        <v>3</v>
      </c>
      <c r="B1334" s="38" t="s">
        <v>4349</v>
      </c>
      <c r="C1334" s="38" t="s">
        <v>83</v>
      </c>
      <c r="D1334" s="38" t="s">
        <v>160</v>
      </c>
      <c r="E1334" s="38" t="s">
        <v>274</v>
      </c>
      <c r="F1334" s="38" t="s">
        <v>4629</v>
      </c>
      <c r="G1334" s="38">
        <v>45</v>
      </c>
      <c r="H1334" s="29">
        <v>626295</v>
      </c>
      <c r="I1334" s="16" t="s">
        <v>4350</v>
      </c>
      <c r="J1334" s="16" t="s">
        <v>4282</v>
      </c>
      <c r="K1334" s="29" t="s">
        <v>4917</v>
      </c>
      <c r="L1334" s="16" t="s">
        <v>180</v>
      </c>
      <c r="M1334" s="95" t="s">
        <v>4170</v>
      </c>
      <c r="N1334" s="15" t="s">
        <v>4171</v>
      </c>
      <c r="O1334" s="16" t="s">
        <v>4172</v>
      </c>
      <c r="P1334" s="23">
        <v>29878.985789999999</v>
      </c>
      <c r="Q1334" s="23">
        <f t="shared" ref="Q1334:Q1381" si="168">P1334*1.18</f>
        <v>35257.203232199994</v>
      </c>
      <c r="R1334" s="23">
        <v>29188.060131617669</v>
      </c>
      <c r="S1334" s="29" t="s">
        <v>4180</v>
      </c>
      <c r="T1334" s="312">
        <v>1.0840000000000001</v>
      </c>
      <c r="U1334" s="312">
        <v>1.0509999999999999</v>
      </c>
      <c r="V1334" s="312">
        <v>1.0669999999999999</v>
      </c>
      <c r="W1334" s="312">
        <v>1</v>
      </c>
      <c r="X1334" s="403">
        <v>0.9</v>
      </c>
      <c r="Y1334" s="23">
        <v>31933.326350000003</v>
      </c>
      <c r="Z1334" s="23">
        <f t="shared" ref="Z1334:Z1381" si="169">Y1334*1.18</f>
        <v>37681.325092999999</v>
      </c>
      <c r="AA1334" s="36" t="s">
        <v>132</v>
      </c>
      <c r="AB1334" s="36" t="s">
        <v>132</v>
      </c>
      <c r="AC1334" s="23">
        <v>29878.985789999999</v>
      </c>
      <c r="AD1334" s="23">
        <f t="shared" ref="AD1334:AD1381" si="170">AC1334*1.18</f>
        <v>35257.203232199994</v>
      </c>
      <c r="AE1334" s="60" t="s">
        <v>169</v>
      </c>
      <c r="AF1334" s="38" t="s">
        <v>83</v>
      </c>
      <c r="AG1334" s="38" t="s">
        <v>83</v>
      </c>
      <c r="AH1334" s="38" t="s">
        <v>90</v>
      </c>
      <c r="AI1334" s="51">
        <v>41598</v>
      </c>
      <c r="AJ1334" s="51">
        <v>41643</v>
      </c>
      <c r="AK1334" s="369"/>
      <c r="AL1334" s="60"/>
      <c r="AM1334" s="60" t="s">
        <v>4351</v>
      </c>
      <c r="AN1334" s="60" t="s">
        <v>1757</v>
      </c>
      <c r="AO1334" s="11">
        <v>796</v>
      </c>
      <c r="AP1334" s="38" t="s">
        <v>368</v>
      </c>
      <c r="AQ1334" s="38">
        <v>1</v>
      </c>
      <c r="AR1334" s="38" t="s">
        <v>2980</v>
      </c>
      <c r="AS1334" s="16" t="s">
        <v>3373</v>
      </c>
      <c r="AT1334" s="51">
        <v>41643</v>
      </c>
      <c r="AU1334" s="78">
        <v>41644</v>
      </c>
      <c r="AV1334" s="763">
        <v>42003</v>
      </c>
      <c r="AW1334" s="38">
        <v>2014</v>
      </c>
      <c r="AX1334" s="60"/>
      <c r="AY1334" s="135"/>
      <c r="AZ1334" s="60"/>
      <c r="BA1334" s="38">
        <v>2014</v>
      </c>
      <c r="BB1334" s="38"/>
      <c r="BC1334" s="60"/>
      <c r="BD1334" s="60"/>
      <c r="BE1334" s="304"/>
      <c r="BF1334" s="304"/>
      <c r="BG1334" s="304"/>
      <c r="BH1334" s="304"/>
      <c r="BI1334" s="304"/>
      <c r="BJ1334" s="304"/>
      <c r="BK1334" s="16"/>
    </row>
    <row r="1335" spans="1:63" s="199" customFormat="1" ht="75">
      <c r="A1335" s="401">
        <v>3</v>
      </c>
      <c r="B1335" s="38" t="s">
        <v>4352</v>
      </c>
      <c r="C1335" s="38" t="s">
        <v>83</v>
      </c>
      <c r="D1335" s="38" t="s">
        <v>160</v>
      </c>
      <c r="E1335" s="38" t="s">
        <v>274</v>
      </c>
      <c r="F1335" s="38" t="s">
        <v>4625</v>
      </c>
      <c r="G1335" s="38">
        <v>29</v>
      </c>
      <c r="H1335" s="29">
        <v>626298</v>
      </c>
      <c r="I1335" s="16" t="s">
        <v>4353</v>
      </c>
      <c r="J1335" s="16" t="s">
        <v>4282</v>
      </c>
      <c r="K1335" s="29" t="s">
        <v>4917</v>
      </c>
      <c r="L1335" s="16" t="s">
        <v>180</v>
      </c>
      <c r="M1335" s="95" t="s">
        <v>4170</v>
      </c>
      <c r="N1335" s="15" t="s">
        <v>4171</v>
      </c>
      <c r="O1335" s="16" t="s">
        <v>4172</v>
      </c>
      <c r="P1335" s="23">
        <v>1095.95298</v>
      </c>
      <c r="Q1335" s="23">
        <f t="shared" si="168"/>
        <v>1293.2245163999999</v>
      </c>
      <c r="R1335" s="23">
        <v>1385.6504047097567</v>
      </c>
      <c r="S1335" s="29" t="s">
        <v>4659</v>
      </c>
      <c r="T1335" s="312">
        <v>1.0880000000000001</v>
      </c>
      <c r="U1335" s="312">
        <v>1.0129999999999999</v>
      </c>
      <c r="V1335" s="312">
        <v>1.006</v>
      </c>
      <c r="W1335" s="312">
        <v>1.014</v>
      </c>
      <c r="X1335" s="403">
        <v>0.9</v>
      </c>
      <c r="Y1335" s="23">
        <v>1402.0724599999999</v>
      </c>
      <c r="Z1335" s="23">
        <f t="shared" si="169"/>
        <v>1654.4455027999998</v>
      </c>
      <c r="AA1335" s="36" t="s">
        <v>132</v>
      </c>
      <c r="AB1335" s="36" t="s">
        <v>132</v>
      </c>
      <c r="AC1335" s="23">
        <v>1095.95298</v>
      </c>
      <c r="AD1335" s="23">
        <f t="shared" si="170"/>
        <v>1293.2245163999999</v>
      </c>
      <c r="AE1335" s="38" t="s">
        <v>173</v>
      </c>
      <c r="AF1335" s="38" t="s">
        <v>83</v>
      </c>
      <c r="AG1335" s="38" t="s">
        <v>83</v>
      </c>
      <c r="AH1335" s="38" t="s">
        <v>90</v>
      </c>
      <c r="AI1335" s="51">
        <v>41598</v>
      </c>
      <c r="AJ1335" s="51">
        <v>41643</v>
      </c>
      <c r="AK1335" s="369"/>
      <c r="AL1335" s="60"/>
      <c r="AM1335" s="60" t="s">
        <v>4354</v>
      </c>
      <c r="AN1335" s="60" t="s">
        <v>1757</v>
      </c>
      <c r="AO1335" s="11">
        <v>796</v>
      </c>
      <c r="AP1335" s="38" t="s">
        <v>368</v>
      </c>
      <c r="AQ1335" s="38">
        <v>1</v>
      </c>
      <c r="AR1335" s="38" t="s">
        <v>2980</v>
      </c>
      <c r="AS1335" s="16" t="s">
        <v>3373</v>
      </c>
      <c r="AT1335" s="51">
        <v>41643</v>
      </c>
      <c r="AU1335" s="78">
        <v>41644</v>
      </c>
      <c r="AV1335" s="763">
        <v>42003</v>
      </c>
      <c r="AW1335" s="38">
        <v>2014</v>
      </c>
      <c r="AX1335" s="60"/>
      <c r="AY1335" s="135"/>
      <c r="AZ1335" s="60"/>
      <c r="BA1335" s="38">
        <v>2014</v>
      </c>
      <c r="BB1335" s="38"/>
      <c r="BC1335" s="60"/>
      <c r="BD1335" s="60"/>
      <c r="BE1335" s="304"/>
      <c r="BF1335" s="304"/>
      <c r="BG1335" s="304"/>
      <c r="BH1335" s="304"/>
      <c r="BI1335" s="304"/>
      <c r="BJ1335" s="304"/>
      <c r="BK1335" s="16"/>
    </row>
    <row r="1336" spans="1:63" s="199" customFormat="1" ht="168.75">
      <c r="A1336" s="401">
        <v>3</v>
      </c>
      <c r="B1336" s="38" t="s">
        <v>4355</v>
      </c>
      <c r="C1336" s="38" t="s">
        <v>83</v>
      </c>
      <c r="D1336" s="38" t="s">
        <v>160</v>
      </c>
      <c r="E1336" s="38" t="s">
        <v>274</v>
      </c>
      <c r="F1336" s="38" t="s">
        <v>4620</v>
      </c>
      <c r="G1336" s="38">
        <v>31</v>
      </c>
      <c r="H1336" s="29">
        <v>626334</v>
      </c>
      <c r="I1336" s="16" t="s">
        <v>4356</v>
      </c>
      <c r="J1336" s="16" t="s">
        <v>4282</v>
      </c>
      <c r="K1336" s="29" t="s">
        <v>4917</v>
      </c>
      <c r="L1336" s="16" t="s">
        <v>180</v>
      </c>
      <c r="M1336" s="95" t="s">
        <v>4170</v>
      </c>
      <c r="N1336" s="15" t="s">
        <v>4171</v>
      </c>
      <c r="O1336" s="16" t="s">
        <v>4172</v>
      </c>
      <c r="P1336" s="23">
        <v>8584.292300000001</v>
      </c>
      <c r="Q1336" s="23">
        <f t="shared" si="168"/>
        <v>10129.464914</v>
      </c>
      <c r="R1336" s="23">
        <v>8216.921284295946</v>
      </c>
      <c r="S1336" s="29" t="s">
        <v>4652</v>
      </c>
      <c r="T1336" s="312">
        <v>1.0900000000000001</v>
      </c>
      <c r="U1336" s="312">
        <v>1.0409999999999999</v>
      </c>
      <c r="V1336" s="312">
        <v>1.0229999999999999</v>
      </c>
      <c r="W1336" s="312">
        <v>1</v>
      </c>
      <c r="X1336" s="403">
        <v>0.9</v>
      </c>
      <c r="Y1336" s="23">
        <v>8584.292300000001</v>
      </c>
      <c r="Z1336" s="23">
        <f t="shared" si="169"/>
        <v>10129.464914</v>
      </c>
      <c r="AA1336" s="36" t="s">
        <v>132</v>
      </c>
      <c r="AB1336" s="36" t="s">
        <v>132</v>
      </c>
      <c r="AC1336" s="23">
        <v>8584.292300000001</v>
      </c>
      <c r="AD1336" s="23">
        <f t="shared" si="170"/>
        <v>10129.464914</v>
      </c>
      <c r="AE1336" s="60" t="s">
        <v>169</v>
      </c>
      <c r="AF1336" s="38" t="s">
        <v>83</v>
      </c>
      <c r="AG1336" s="38" t="s">
        <v>83</v>
      </c>
      <c r="AH1336" s="38" t="s">
        <v>90</v>
      </c>
      <c r="AI1336" s="51">
        <v>41598</v>
      </c>
      <c r="AJ1336" s="51">
        <v>41643</v>
      </c>
      <c r="AK1336" s="369"/>
      <c r="AL1336" s="60"/>
      <c r="AM1336" s="60" t="s">
        <v>4357</v>
      </c>
      <c r="AN1336" s="60" t="s">
        <v>1757</v>
      </c>
      <c r="AO1336" s="11">
        <v>796</v>
      </c>
      <c r="AP1336" s="38" t="s">
        <v>368</v>
      </c>
      <c r="AQ1336" s="38">
        <v>1</v>
      </c>
      <c r="AR1336" s="38" t="s">
        <v>2980</v>
      </c>
      <c r="AS1336" s="16" t="s">
        <v>3373</v>
      </c>
      <c r="AT1336" s="51">
        <v>41643</v>
      </c>
      <c r="AU1336" s="78">
        <v>41644</v>
      </c>
      <c r="AV1336" s="78">
        <v>42004</v>
      </c>
      <c r="AW1336" s="38">
        <v>2014</v>
      </c>
      <c r="AX1336" s="60"/>
      <c r="AY1336" s="135"/>
      <c r="AZ1336" s="60"/>
      <c r="BA1336" s="38">
        <v>2014</v>
      </c>
      <c r="BB1336" s="38"/>
      <c r="BC1336" s="60"/>
      <c r="BD1336" s="60"/>
      <c r="BE1336" s="304"/>
      <c r="BF1336" s="304"/>
      <c r="BG1336" s="304"/>
      <c r="BH1336" s="304"/>
      <c r="BI1336" s="304"/>
      <c r="BJ1336" s="304"/>
      <c r="BK1336" s="16"/>
    </row>
    <row r="1337" spans="1:63" s="199" customFormat="1" ht="75">
      <c r="A1337" s="401">
        <v>3</v>
      </c>
      <c r="B1337" s="38" t="s">
        <v>4358</v>
      </c>
      <c r="C1337" s="38" t="s">
        <v>83</v>
      </c>
      <c r="D1337" s="38" t="s">
        <v>160</v>
      </c>
      <c r="E1337" s="38" t="s">
        <v>274</v>
      </c>
      <c r="F1337" s="38" t="s">
        <v>4622</v>
      </c>
      <c r="G1337" s="38">
        <v>27</v>
      </c>
      <c r="H1337" s="29">
        <v>626338</v>
      </c>
      <c r="I1337" s="16" t="s">
        <v>4359</v>
      </c>
      <c r="J1337" s="16" t="s">
        <v>4282</v>
      </c>
      <c r="K1337" s="29" t="s">
        <v>4917</v>
      </c>
      <c r="L1337" s="16" t="s">
        <v>180</v>
      </c>
      <c r="M1337" s="95" t="s">
        <v>4170</v>
      </c>
      <c r="N1337" s="15" t="s">
        <v>4171</v>
      </c>
      <c r="O1337" s="16" t="s">
        <v>4172</v>
      </c>
      <c r="P1337" s="23">
        <v>6128.6903199999997</v>
      </c>
      <c r="Q1337" s="23">
        <f t="shared" si="168"/>
        <v>7231.8545775999992</v>
      </c>
      <c r="R1337" s="23">
        <v>5930.2252941903771</v>
      </c>
      <c r="S1337" s="29" t="s">
        <v>4659</v>
      </c>
      <c r="T1337" s="312">
        <v>1.0880000000000001</v>
      </c>
      <c r="U1337" s="312">
        <v>1.0129999999999999</v>
      </c>
      <c r="V1337" s="312">
        <v>1.006</v>
      </c>
      <c r="W1337" s="312">
        <v>1</v>
      </c>
      <c r="X1337" s="403">
        <v>0.9</v>
      </c>
      <c r="Y1337" s="23">
        <v>5917.6602000000003</v>
      </c>
      <c r="Z1337" s="23">
        <f t="shared" si="169"/>
        <v>6982.8390360000003</v>
      </c>
      <c r="AA1337" s="36" t="s">
        <v>132</v>
      </c>
      <c r="AB1337" s="36" t="s">
        <v>132</v>
      </c>
      <c r="AC1337" s="23">
        <v>6128.6903199999997</v>
      </c>
      <c r="AD1337" s="23">
        <f t="shared" si="170"/>
        <v>7231.8545775999992</v>
      </c>
      <c r="AE1337" s="38" t="s">
        <v>173</v>
      </c>
      <c r="AF1337" s="38" t="s">
        <v>83</v>
      </c>
      <c r="AG1337" s="38" t="s">
        <v>83</v>
      </c>
      <c r="AH1337" s="38" t="s">
        <v>90</v>
      </c>
      <c r="AI1337" s="51">
        <v>41598</v>
      </c>
      <c r="AJ1337" s="51">
        <v>41643</v>
      </c>
      <c r="AK1337" s="369"/>
      <c r="AL1337" s="60"/>
      <c r="AM1337" s="60" t="s">
        <v>4360</v>
      </c>
      <c r="AN1337" s="60" t="s">
        <v>1757</v>
      </c>
      <c r="AO1337" s="11">
        <v>796</v>
      </c>
      <c r="AP1337" s="38" t="s">
        <v>368</v>
      </c>
      <c r="AQ1337" s="38">
        <v>1</v>
      </c>
      <c r="AR1337" s="38" t="s">
        <v>2980</v>
      </c>
      <c r="AS1337" s="16" t="s">
        <v>3373</v>
      </c>
      <c r="AT1337" s="51">
        <v>41643</v>
      </c>
      <c r="AU1337" s="78">
        <v>41644</v>
      </c>
      <c r="AV1337" s="78">
        <v>42004</v>
      </c>
      <c r="AW1337" s="38">
        <v>2014</v>
      </c>
      <c r="AX1337" s="60"/>
      <c r="AY1337" s="135"/>
      <c r="AZ1337" s="60"/>
      <c r="BA1337" s="38">
        <v>2014</v>
      </c>
      <c r="BB1337" s="38"/>
      <c r="BC1337" s="60"/>
      <c r="BD1337" s="60"/>
      <c r="BE1337" s="304"/>
      <c r="BF1337" s="304"/>
      <c r="BG1337" s="304"/>
      <c r="BH1337" s="304"/>
      <c r="BI1337" s="304"/>
      <c r="BJ1337" s="304"/>
      <c r="BK1337" s="16"/>
    </row>
    <row r="1338" spans="1:63" s="199" customFormat="1" ht="168.75">
      <c r="A1338" s="401">
        <v>3</v>
      </c>
      <c r="B1338" s="38" t="s">
        <v>4361</v>
      </c>
      <c r="C1338" s="38" t="s">
        <v>83</v>
      </c>
      <c r="D1338" s="38" t="s">
        <v>160</v>
      </c>
      <c r="E1338" s="38" t="s">
        <v>274</v>
      </c>
      <c r="F1338" s="38" t="s">
        <v>4620</v>
      </c>
      <c r="G1338" s="38">
        <v>31</v>
      </c>
      <c r="H1338" s="29">
        <v>626339</v>
      </c>
      <c r="I1338" s="16" t="s">
        <v>4362</v>
      </c>
      <c r="J1338" s="16" t="s">
        <v>4282</v>
      </c>
      <c r="K1338" s="29" t="s">
        <v>4917</v>
      </c>
      <c r="L1338" s="16" t="s">
        <v>180</v>
      </c>
      <c r="M1338" s="95" t="s">
        <v>4170</v>
      </c>
      <c r="N1338" s="15" t="s">
        <v>4171</v>
      </c>
      <c r="O1338" s="16" t="s">
        <v>4172</v>
      </c>
      <c r="P1338" s="23">
        <v>4807.6816200000003</v>
      </c>
      <c r="Q1338" s="23">
        <f t="shared" si="168"/>
        <v>5673.0643116000001</v>
      </c>
      <c r="R1338" s="23">
        <v>4601.933397759115</v>
      </c>
      <c r="S1338" s="29" t="s">
        <v>4652</v>
      </c>
      <c r="T1338" s="312">
        <v>1.0900000000000001</v>
      </c>
      <c r="U1338" s="312">
        <v>1.0409999999999999</v>
      </c>
      <c r="V1338" s="312">
        <v>1.0229999999999999</v>
      </c>
      <c r="W1338" s="312">
        <v>1</v>
      </c>
      <c r="X1338" s="403">
        <v>0.9</v>
      </c>
      <c r="Y1338" s="23">
        <v>4807.6816200000003</v>
      </c>
      <c r="Z1338" s="23">
        <f t="shared" si="169"/>
        <v>5673.0643116000001</v>
      </c>
      <c r="AA1338" s="36" t="s">
        <v>132</v>
      </c>
      <c r="AB1338" s="36" t="s">
        <v>132</v>
      </c>
      <c r="AC1338" s="23">
        <v>4807.6816200000003</v>
      </c>
      <c r="AD1338" s="23">
        <f t="shared" si="170"/>
        <v>5673.0643116000001</v>
      </c>
      <c r="AE1338" s="38" t="s">
        <v>173</v>
      </c>
      <c r="AF1338" s="38" t="s">
        <v>83</v>
      </c>
      <c r="AG1338" s="38" t="s">
        <v>83</v>
      </c>
      <c r="AH1338" s="38" t="s">
        <v>90</v>
      </c>
      <c r="AI1338" s="51">
        <v>41598</v>
      </c>
      <c r="AJ1338" s="51">
        <v>41658</v>
      </c>
      <c r="AK1338" s="369"/>
      <c r="AL1338" s="60"/>
      <c r="AM1338" s="60" t="s">
        <v>4363</v>
      </c>
      <c r="AN1338" s="60" t="s">
        <v>1757</v>
      </c>
      <c r="AO1338" s="11">
        <v>796</v>
      </c>
      <c r="AP1338" s="38" t="s">
        <v>368</v>
      </c>
      <c r="AQ1338" s="38">
        <v>1</v>
      </c>
      <c r="AR1338" s="38" t="s">
        <v>2980</v>
      </c>
      <c r="AS1338" s="16" t="s">
        <v>3373</v>
      </c>
      <c r="AT1338" s="51">
        <v>41658</v>
      </c>
      <c r="AU1338" s="78">
        <v>41659</v>
      </c>
      <c r="AV1338" s="78">
        <v>42004</v>
      </c>
      <c r="AW1338" s="38">
        <v>2014</v>
      </c>
      <c r="AX1338" s="60"/>
      <c r="AY1338" s="135"/>
      <c r="AZ1338" s="60"/>
      <c r="BA1338" s="38">
        <v>2014</v>
      </c>
      <c r="BB1338" s="38"/>
      <c r="BC1338" s="60"/>
      <c r="BD1338" s="60"/>
      <c r="BE1338" s="304"/>
      <c r="BF1338" s="304"/>
      <c r="BG1338" s="304"/>
      <c r="BH1338" s="304"/>
      <c r="BI1338" s="304"/>
      <c r="BJ1338" s="304"/>
      <c r="BK1338" s="16"/>
    </row>
    <row r="1339" spans="1:63" s="199" customFormat="1" ht="168.75">
      <c r="A1339" s="401">
        <v>3</v>
      </c>
      <c r="B1339" s="38" t="s">
        <v>4364</v>
      </c>
      <c r="C1339" s="38" t="s">
        <v>83</v>
      </c>
      <c r="D1339" s="38" t="s">
        <v>160</v>
      </c>
      <c r="E1339" s="38" t="s">
        <v>274</v>
      </c>
      <c r="F1339" s="38" t="s">
        <v>4620</v>
      </c>
      <c r="G1339" s="38">
        <v>31</v>
      </c>
      <c r="H1339" s="29">
        <v>626366</v>
      </c>
      <c r="I1339" s="16" t="s">
        <v>4365</v>
      </c>
      <c r="J1339" s="16" t="s">
        <v>4282</v>
      </c>
      <c r="K1339" s="29" t="s">
        <v>4917</v>
      </c>
      <c r="L1339" s="16" t="s">
        <v>180</v>
      </c>
      <c r="M1339" s="95" t="s">
        <v>4170</v>
      </c>
      <c r="N1339" s="15" t="s">
        <v>4171</v>
      </c>
      <c r="O1339" s="16" t="s">
        <v>4172</v>
      </c>
      <c r="P1339" s="23">
        <v>3553.9436099999998</v>
      </c>
      <c r="Q1339" s="23">
        <f t="shared" si="168"/>
        <v>4193.6534597999998</v>
      </c>
      <c r="R1339" s="23">
        <v>3537.8976120187517</v>
      </c>
      <c r="S1339" s="29" t="s">
        <v>4652</v>
      </c>
      <c r="T1339" s="312">
        <v>1.0900000000000001</v>
      </c>
      <c r="U1339" s="312">
        <v>1.0409999999999999</v>
      </c>
      <c r="V1339" s="312">
        <v>1.0229999999999999</v>
      </c>
      <c r="W1339" s="312">
        <v>1</v>
      </c>
      <c r="X1339" s="403">
        <v>0.9</v>
      </c>
      <c r="Y1339" s="23">
        <v>3696.07377</v>
      </c>
      <c r="Z1339" s="23">
        <f t="shared" si="169"/>
        <v>4361.3670486000001</v>
      </c>
      <c r="AA1339" s="36" t="s">
        <v>132</v>
      </c>
      <c r="AB1339" s="36" t="s">
        <v>132</v>
      </c>
      <c r="AC1339" s="23">
        <v>3553.9436099999998</v>
      </c>
      <c r="AD1339" s="23">
        <f t="shared" si="170"/>
        <v>4193.6534597999998</v>
      </c>
      <c r="AE1339" s="38" t="s">
        <v>173</v>
      </c>
      <c r="AF1339" s="38" t="s">
        <v>83</v>
      </c>
      <c r="AG1339" s="38" t="s">
        <v>83</v>
      </c>
      <c r="AH1339" s="38" t="s">
        <v>90</v>
      </c>
      <c r="AI1339" s="51">
        <v>41598</v>
      </c>
      <c r="AJ1339" s="51">
        <v>41658</v>
      </c>
      <c r="AK1339" s="369"/>
      <c r="AL1339" s="60"/>
      <c r="AM1339" s="60" t="s">
        <v>4366</v>
      </c>
      <c r="AN1339" s="60" t="s">
        <v>1757</v>
      </c>
      <c r="AO1339" s="11">
        <v>796</v>
      </c>
      <c r="AP1339" s="38" t="s">
        <v>368</v>
      </c>
      <c r="AQ1339" s="38">
        <v>1</v>
      </c>
      <c r="AR1339" s="38" t="s">
        <v>2980</v>
      </c>
      <c r="AS1339" s="16" t="s">
        <v>3373</v>
      </c>
      <c r="AT1339" s="51">
        <v>41658</v>
      </c>
      <c r="AU1339" s="78">
        <v>41659</v>
      </c>
      <c r="AV1339" s="78">
        <v>42004</v>
      </c>
      <c r="AW1339" s="38">
        <v>2014</v>
      </c>
      <c r="AX1339" s="60"/>
      <c r="AY1339" s="135"/>
      <c r="AZ1339" s="60"/>
      <c r="BA1339" s="38">
        <v>2014</v>
      </c>
      <c r="BB1339" s="38"/>
      <c r="BC1339" s="60"/>
      <c r="BD1339" s="60"/>
      <c r="BE1339" s="304"/>
      <c r="BF1339" s="304"/>
      <c r="BG1339" s="304"/>
      <c r="BH1339" s="304"/>
      <c r="BI1339" s="304"/>
      <c r="BJ1339" s="304"/>
      <c r="BK1339" s="16"/>
    </row>
    <row r="1340" spans="1:63" s="199" customFormat="1" ht="168.75">
      <c r="A1340" s="401">
        <v>3</v>
      </c>
      <c r="B1340" s="38" t="s">
        <v>4367</v>
      </c>
      <c r="C1340" s="38" t="s">
        <v>83</v>
      </c>
      <c r="D1340" s="38" t="s">
        <v>160</v>
      </c>
      <c r="E1340" s="38" t="s">
        <v>274</v>
      </c>
      <c r="F1340" s="38" t="s">
        <v>4620</v>
      </c>
      <c r="G1340" s="38">
        <v>31</v>
      </c>
      <c r="H1340" s="29">
        <v>626388</v>
      </c>
      <c r="I1340" s="16" t="s">
        <v>4368</v>
      </c>
      <c r="J1340" s="16" t="s">
        <v>4282</v>
      </c>
      <c r="K1340" s="29" t="s">
        <v>4917</v>
      </c>
      <c r="L1340" s="16" t="s">
        <v>180</v>
      </c>
      <c r="M1340" s="95" t="s">
        <v>4170</v>
      </c>
      <c r="N1340" s="15" t="s">
        <v>4171</v>
      </c>
      <c r="O1340" s="16" t="s">
        <v>4172</v>
      </c>
      <c r="P1340" s="23">
        <v>6092.4704699999993</v>
      </c>
      <c r="Q1340" s="23">
        <f t="shared" si="168"/>
        <v>7189.1151545999992</v>
      </c>
      <c r="R1340" s="23">
        <v>5831.7387769854386</v>
      </c>
      <c r="S1340" s="29" t="s">
        <v>4652</v>
      </c>
      <c r="T1340" s="312">
        <v>1.0900000000000001</v>
      </c>
      <c r="U1340" s="312">
        <v>1.0409999999999999</v>
      </c>
      <c r="V1340" s="312">
        <v>1.0229999999999999</v>
      </c>
      <c r="W1340" s="312">
        <v>1</v>
      </c>
      <c r="X1340" s="403">
        <v>0.9</v>
      </c>
      <c r="Y1340" s="23">
        <v>6092.4704699999993</v>
      </c>
      <c r="Z1340" s="23">
        <f t="shared" si="169"/>
        <v>7189.1151545999992</v>
      </c>
      <c r="AA1340" s="36" t="s">
        <v>132</v>
      </c>
      <c r="AB1340" s="36" t="s">
        <v>132</v>
      </c>
      <c r="AC1340" s="23">
        <v>6092.4704699999993</v>
      </c>
      <c r="AD1340" s="23">
        <f t="shared" si="170"/>
        <v>7189.1151545999992</v>
      </c>
      <c r="AE1340" s="38" t="s">
        <v>173</v>
      </c>
      <c r="AF1340" s="38" t="s">
        <v>83</v>
      </c>
      <c r="AG1340" s="38" t="s">
        <v>83</v>
      </c>
      <c r="AH1340" s="38" t="s">
        <v>90</v>
      </c>
      <c r="AI1340" s="51">
        <v>41598</v>
      </c>
      <c r="AJ1340" s="51">
        <v>41643</v>
      </c>
      <c r="AK1340" s="369"/>
      <c r="AL1340" s="60"/>
      <c r="AM1340" s="60" t="s">
        <v>4369</v>
      </c>
      <c r="AN1340" s="60" t="s">
        <v>1757</v>
      </c>
      <c r="AO1340" s="11">
        <v>796</v>
      </c>
      <c r="AP1340" s="38" t="s">
        <v>368</v>
      </c>
      <c r="AQ1340" s="38">
        <v>1</v>
      </c>
      <c r="AR1340" s="38" t="s">
        <v>2980</v>
      </c>
      <c r="AS1340" s="16" t="s">
        <v>3373</v>
      </c>
      <c r="AT1340" s="51">
        <v>41643</v>
      </c>
      <c r="AU1340" s="78">
        <v>41644</v>
      </c>
      <c r="AV1340" s="78">
        <v>42004</v>
      </c>
      <c r="AW1340" s="38">
        <v>2014</v>
      </c>
      <c r="AX1340" s="60"/>
      <c r="AY1340" s="135"/>
      <c r="AZ1340" s="60"/>
      <c r="BA1340" s="38">
        <v>2014</v>
      </c>
      <c r="BB1340" s="38"/>
      <c r="BC1340" s="60"/>
      <c r="BD1340" s="60"/>
      <c r="BE1340" s="304"/>
      <c r="BF1340" s="304"/>
      <c r="BG1340" s="304"/>
      <c r="BH1340" s="304"/>
      <c r="BI1340" s="304"/>
      <c r="BJ1340" s="304"/>
      <c r="BK1340" s="16"/>
    </row>
    <row r="1341" spans="1:63" s="199" customFormat="1" ht="75">
      <c r="A1341" s="401">
        <v>3</v>
      </c>
      <c r="B1341" s="38" t="s">
        <v>4370</v>
      </c>
      <c r="C1341" s="38" t="s">
        <v>83</v>
      </c>
      <c r="D1341" s="38" t="s">
        <v>160</v>
      </c>
      <c r="E1341" s="38" t="s">
        <v>274</v>
      </c>
      <c r="F1341" s="38" t="s">
        <v>4622</v>
      </c>
      <c r="G1341" s="38">
        <v>27</v>
      </c>
      <c r="H1341" s="29">
        <v>626250</v>
      </c>
      <c r="I1341" s="16" t="s">
        <v>4371</v>
      </c>
      <c r="J1341" s="16" t="s">
        <v>4282</v>
      </c>
      <c r="K1341" s="29" t="s">
        <v>4917</v>
      </c>
      <c r="L1341" s="16" t="s">
        <v>180</v>
      </c>
      <c r="M1341" s="95" t="s">
        <v>4170</v>
      </c>
      <c r="N1341" s="15" t="s">
        <v>4171</v>
      </c>
      <c r="O1341" s="16" t="s">
        <v>4172</v>
      </c>
      <c r="P1341" s="23">
        <v>1375.52421</v>
      </c>
      <c r="Q1341" s="23">
        <f t="shared" si="168"/>
        <v>1623.1185677999999</v>
      </c>
      <c r="R1341" s="23">
        <v>1475.6401571560446</v>
      </c>
      <c r="S1341" s="29" t="s">
        <v>4180</v>
      </c>
      <c r="T1341" s="312">
        <v>1.0840000000000001</v>
      </c>
      <c r="U1341" s="312">
        <v>1.0509999999999999</v>
      </c>
      <c r="V1341" s="312">
        <v>1.0669999999999999</v>
      </c>
      <c r="W1341" s="312">
        <v>1.056</v>
      </c>
      <c r="X1341" s="403">
        <v>0.9</v>
      </c>
      <c r="Y1341" s="23">
        <v>1704.8387600000001</v>
      </c>
      <c r="Z1341" s="23">
        <f t="shared" si="169"/>
        <v>2011.7097368</v>
      </c>
      <c r="AA1341" s="36" t="s">
        <v>132</v>
      </c>
      <c r="AB1341" s="36" t="s">
        <v>132</v>
      </c>
      <c r="AC1341" s="23">
        <v>1375.52421</v>
      </c>
      <c r="AD1341" s="23">
        <f t="shared" si="170"/>
        <v>1623.1185677999999</v>
      </c>
      <c r="AE1341" s="38" t="s">
        <v>173</v>
      </c>
      <c r="AF1341" s="38" t="s">
        <v>83</v>
      </c>
      <c r="AG1341" s="38" t="s">
        <v>83</v>
      </c>
      <c r="AH1341" s="38" t="s">
        <v>90</v>
      </c>
      <c r="AI1341" s="51">
        <v>41598</v>
      </c>
      <c r="AJ1341" s="51">
        <v>41643</v>
      </c>
      <c r="AK1341" s="369"/>
      <c r="AL1341" s="60"/>
      <c r="AM1341" s="60" t="s">
        <v>4372</v>
      </c>
      <c r="AN1341" s="60" t="s">
        <v>1757</v>
      </c>
      <c r="AO1341" s="11">
        <v>796</v>
      </c>
      <c r="AP1341" s="38" t="s">
        <v>368</v>
      </c>
      <c r="AQ1341" s="38">
        <v>1</v>
      </c>
      <c r="AR1341" s="38" t="s">
        <v>2980</v>
      </c>
      <c r="AS1341" s="16" t="s">
        <v>3373</v>
      </c>
      <c r="AT1341" s="51">
        <v>41643</v>
      </c>
      <c r="AU1341" s="78">
        <v>41687</v>
      </c>
      <c r="AV1341" s="78">
        <v>42093</v>
      </c>
      <c r="AW1341" s="38">
        <v>2014</v>
      </c>
      <c r="AX1341" s="60"/>
      <c r="AY1341" s="135"/>
      <c r="AZ1341" s="60"/>
      <c r="BA1341" s="38">
        <v>2014</v>
      </c>
      <c r="BB1341" s="38"/>
      <c r="BC1341" s="60"/>
      <c r="BD1341" s="60"/>
      <c r="BE1341" s="304"/>
      <c r="BF1341" s="304"/>
      <c r="BG1341" s="304"/>
      <c r="BH1341" s="304"/>
      <c r="BI1341" s="304"/>
      <c r="BJ1341" s="304"/>
      <c r="BK1341" s="16"/>
    </row>
    <row r="1342" spans="1:63" s="199" customFormat="1" ht="75">
      <c r="A1342" s="401">
        <v>3</v>
      </c>
      <c r="B1342" s="38" t="s">
        <v>4373</v>
      </c>
      <c r="C1342" s="38" t="s">
        <v>83</v>
      </c>
      <c r="D1342" s="38" t="s">
        <v>160</v>
      </c>
      <c r="E1342" s="38" t="s">
        <v>274</v>
      </c>
      <c r="F1342" s="38" t="s">
        <v>4625</v>
      </c>
      <c r="G1342" s="38">
        <v>29</v>
      </c>
      <c r="H1342" s="29">
        <v>626251</v>
      </c>
      <c r="I1342" s="16" t="s">
        <v>4374</v>
      </c>
      <c r="J1342" s="16" t="s">
        <v>4282</v>
      </c>
      <c r="K1342" s="29" t="s">
        <v>4917</v>
      </c>
      <c r="L1342" s="16" t="s">
        <v>180</v>
      </c>
      <c r="M1342" s="95" t="s">
        <v>4170</v>
      </c>
      <c r="N1342" s="15" t="s">
        <v>4171</v>
      </c>
      <c r="O1342" s="16" t="s">
        <v>4172</v>
      </c>
      <c r="P1342" s="23">
        <v>3769.61744</v>
      </c>
      <c r="Q1342" s="23">
        <f t="shared" si="168"/>
        <v>4448.1485791999994</v>
      </c>
      <c r="R1342" s="23">
        <v>4292.0135787625322</v>
      </c>
      <c r="S1342" s="29" t="s">
        <v>4180</v>
      </c>
      <c r="T1342" s="312">
        <v>1.0840000000000001</v>
      </c>
      <c r="U1342" s="312">
        <v>1.0509999999999999</v>
      </c>
      <c r="V1342" s="312">
        <v>1.0669999999999999</v>
      </c>
      <c r="W1342" s="312">
        <v>1.056</v>
      </c>
      <c r="X1342" s="403">
        <v>0.9</v>
      </c>
      <c r="Y1342" s="23">
        <v>4958.6554500000002</v>
      </c>
      <c r="Z1342" s="23">
        <f t="shared" si="169"/>
        <v>5851.2134310000001</v>
      </c>
      <c r="AA1342" s="36" t="s">
        <v>132</v>
      </c>
      <c r="AB1342" s="36" t="s">
        <v>132</v>
      </c>
      <c r="AC1342" s="23">
        <v>3769.61744</v>
      </c>
      <c r="AD1342" s="23">
        <f t="shared" si="170"/>
        <v>4448.1485791999994</v>
      </c>
      <c r="AE1342" s="38" t="s">
        <v>173</v>
      </c>
      <c r="AF1342" s="38" t="s">
        <v>83</v>
      </c>
      <c r="AG1342" s="38" t="s">
        <v>83</v>
      </c>
      <c r="AH1342" s="38" t="s">
        <v>90</v>
      </c>
      <c r="AI1342" s="51">
        <v>41598</v>
      </c>
      <c r="AJ1342" s="51">
        <v>41643</v>
      </c>
      <c r="AK1342" s="369"/>
      <c r="AL1342" s="60"/>
      <c r="AM1342" s="60" t="s">
        <v>4375</v>
      </c>
      <c r="AN1342" s="60" t="s">
        <v>1757</v>
      </c>
      <c r="AO1342" s="11">
        <v>796</v>
      </c>
      <c r="AP1342" s="38" t="s">
        <v>368</v>
      </c>
      <c r="AQ1342" s="38">
        <v>1</v>
      </c>
      <c r="AR1342" s="38" t="s">
        <v>2980</v>
      </c>
      <c r="AS1342" s="16" t="s">
        <v>3373</v>
      </c>
      <c r="AT1342" s="51">
        <v>41643</v>
      </c>
      <c r="AU1342" s="78">
        <v>41687</v>
      </c>
      <c r="AV1342" s="78">
        <v>42094</v>
      </c>
      <c r="AW1342" s="38">
        <v>2014</v>
      </c>
      <c r="AX1342" s="60"/>
      <c r="AY1342" s="135"/>
      <c r="AZ1342" s="60"/>
      <c r="BA1342" s="38">
        <v>2014</v>
      </c>
      <c r="BB1342" s="38"/>
      <c r="BC1342" s="60"/>
      <c r="BD1342" s="60"/>
      <c r="BE1342" s="304"/>
      <c r="BF1342" s="304"/>
      <c r="BG1342" s="304"/>
      <c r="BH1342" s="304"/>
      <c r="BI1342" s="304"/>
      <c r="BJ1342" s="304"/>
      <c r="BK1342" s="16"/>
    </row>
    <row r="1343" spans="1:63" s="199" customFormat="1" ht="75">
      <c r="A1343" s="401">
        <v>3</v>
      </c>
      <c r="B1343" s="38" t="s">
        <v>4376</v>
      </c>
      <c r="C1343" s="38" t="s">
        <v>83</v>
      </c>
      <c r="D1343" s="38" t="s">
        <v>160</v>
      </c>
      <c r="E1343" s="38" t="s">
        <v>274</v>
      </c>
      <c r="F1343" s="38" t="s">
        <v>4625</v>
      </c>
      <c r="G1343" s="38">
        <v>29</v>
      </c>
      <c r="H1343" s="29">
        <v>626252</v>
      </c>
      <c r="I1343" s="16" t="s">
        <v>4377</v>
      </c>
      <c r="J1343" s="16" t="s">
        <v>4282</v>
      </c>
      <c r="K1343" s="29" t="s">
        <v>4917</v>
      </c>
      <c r="L1343" s="16" t="s">
        <v>180</v>
      </c>
      <c r="M1343" s="95" t="s">
        <v>4170</v>
      </c>
      <c r="N1343" s="15" t="s">
        <v>4171</v>
      </c>
      <c r="O1343" s="16" t="s">
        <v>4172</v>
      </c>
      <c r="P1343" s="23">
        <v>478.08920000000001</v>
      </c>
      <c r="Q1343" s="23">
        <f t="shared" si="168"/>
        <v>564.14525600000002</v>
      </c>
      <c r="R1343" s="23">
        <v>615.21448064794129</v>
      </c>
      <c r="S1343" s="29" t="s">
        <v>4180</v>
      </c>
      <c r="T1343" s="312">
        <v>1.0840000000000001</v>
      </c>
      <c r="U1343" s="312">
        <v>1.0509999999999999</v>
      </c>
      <c r="V1343" s="312">
        <v>1.0669999999999999</v>
      </c>
      <c r="W1343" s="312">
        <v>1.056</v>
      </c>
      <c r="X1343" s="403">
        <v>0.9</v>
      </c>
      <c r="Y1343" s="23">
        <v>710.77049999999997</v>
      </c>
      <c r="Z1343" s="23">
        <f t="shared" si="169"/>
        <v>838.70918999999992</v>
      </c>
      <c r="AA1343" s="36" t="s">
        <v>132</v>
      </c>
      <c r="AB1343" s="36" t="s">
        <v>132</v>
      </c>
      <c r="AC1343" s="23">
        <v>478.08920000000001</v>
      </c>
      <c r="AD1343" s="23">
        <f t="shared" si="170"/>
        <v>564.14525600000002</v>
      </c>
      <c r="AE1343" s="38" t="s">
        <v>173</v>
      </c>
      <c r="AF1343" s="38" t="s">
        <v>83</v>
      </c>
      <c r="AG1343" s="38" t="s">
        <v>83</v>
      </c>
      <c r="AH1343" s="38" t="s">
        <v>90</v>
      </c>
      <c r="AI1343" s="51">
        <v>41598</v>
      </c>
      <c r="AJ1343" s="51">
        <v>41643</v>
      </c>
      <c r="AK1343" s="369"/>
      <c r="AL1343" s="60"/>
      <c r="AM1343" s="60" t="s">
        <v>4378</v>
      </c>
      <c r="AN1343" s="60" t="s">
        <v>1757</v>
      </c>
      <c r="AO1343" s="11">
        <v>796</v>
      </c>
      <c r="AP1343" s="38" t="s">
        <v>368</v>
      </c>
      <c r="AQ1343" s="38">
        <v>1</v>
      </c>
      <c r="AR1343" s="38" t="s">
        <v>2980</v>
      </c>
      <c r="AS1343" s="16" t="s">
        <v>3373</v>
      </c>
      <c r="AT1343" s="51">
        <v>41643</v>
      </c>
      <c r="AU1343" s="78">
        <v>41687</v>
      </c>
      <c r="AV1343" s="78">
        <v>42094</v>
      </c>
      <c r="AW1343" s="38">
        <v>2014</v>
      </c>
      <c r="AX1343" s="60"/>
      <c r="AY1343" s="135"/>
      <c r="AZ1343" s="60"/>
      <c r="BA1343" s="38">
        <v>2014</v>
      </c>
      <c r="BB1343" s="38"/>
      <c r="BC1343" s="60"/>
      <c r="BD1343" s="60"/>
      <c r="BE1343" s="304"/>
      <c r="BF1343" s="304"/>
      <c r="BG1343" s="304"/>
      <c r="BH1343" s="304"/>
      <c r="BI1343" s="304"/>
      <c r="BJ1343" s="304"/>
      <c r="BK1343" s="16"/>
    </row>
    <row r="1344" spans="1:63" s="199" customFormat="1" ht="75">
      <c r="A1344" s="401">
        <v>3</v>
      </c>
      <c r="B1344" s="38" t="s">
        <v>4379</v>
      </c>
      <c r="C1344" s="38" t="s">
        <v>83</v>
      </c>
      <c r="D1344" s="38" t="s">
        <v>160</v>
      </c>
      <c r="E1344" s="38" t="s">
        <v>274</v>
      </c>
      <c r="F1344" s="38" t="s">
        <v>4625</v>
      </c>
      <c r="G1344" s="38">
        <v>29</v>
      </c>
      <c r="H1344" s="29">
        <v>626254</v>
      </c>
      <c r="I1344" s="16" t="s">
        <v>4380</v>
      </c>
      <c r="J1344" s="16" t="s">
        <v>4282</v>
      </c>
      <c r="K1344" s="29" t="s">
        <v>4917</v>
      </c>
      <c r="L1344" s="16" t="s">
        <v>180</v>
      </c>
      <c r="M1344" s="95" t="s">
        <v>4170</v>
      </c>
      <c r="N1344" s="15" t="s">
        <v>4171</v>
      </c>
      <c r="O1344" s="16" t="s">
        <v>4172</v>
      </c>
      <c r="P1344" s="23">
        <v>1486.4862499999999</v>
      </c>
      <c r="Q1344" s="23">
        <f t="shared" si="168"/>
        <v>1754.0537749999999</v>
      </c>
      <c r="R1344" s="23">
        <v>1744.1327518548301</v>
      </c>
      <c r="S1344" s="29" t="s">
        <v>4180</v>
      </c>
      <c r="T1344" s="312">
        <v>1.0840000000000001</v>
      </c>
      <c r="U1344" s="312">
        <v>1.0509999999999999</v>
      </c>
      <c r="V1344" s="312">
        <v>1.0669999999999999</v>
      </c>
      <c r="W1344" s="312">
        <v>1.056</v>
      </c>
      <c r="X1344" s="403">
        <v>0.9</v>
      </c>
      <c r="Y1344" s="23">
        <v>2015.0340200000001</v>
      </c>
      <c r="Z1344" s="23">
        <f t="shared" si="169"/>
        <v>2377.7401436</v>
      </c>
      <c r="AA1344" s="36" t="s">
        <v>132</v>
      </c>
      <c r="AB1344" s="36" t="s">
        <v>132</v>
      </c>
      <c r="AC1344" s="23">
        <v>1486.4862499999999</v>
      </c>
      <c r="AD1344" s="23">
        <f t="shared" si="170"/>
        <v>1754.0537749999999</v>
      </c>
      <c r="AE1344" s="38" t="s">
        <v>173</v>
      </c>
      <c r="AF1344" s="38" t="s">
        <v>83</v>
      </c>
      <c r="AG1344" s="38" t="s">
        <v>83</v>
      </c>
      <c r="AH1344" s="38" t="s">
        <v>90</v>
      </c>
      <c r="AI1344" s="51">
        <v>41598</v>
      </c>
      <c r="AJ1344" s="51">
        <v>41643</v>
      </c>
      <c r="AK1344" s="369"/>
      <c r="AL1344" s="60"/>
      <c r="AM1344" s="60" t="s">
        <v>4381</v>
      </c>
      <c r="AN1344" s="60" t="s">
        <v>1757</v>
      </c>
      <c r="AO1344" s="11">
        <v>796</v>
      </c>
      <c r="AP1344" s="38" t="s">
        <v>368</v>
      </c>
      <c r="AQ1344" s="38">
        <v>1</v>
      </c>
      <c r="AR1344" s="38" t="s">
        <v>2980</v>
      </c>
      <c r="AS1344" s="16" t="s">
        <v>3373</v>
      </c>
      <c r="AT1344" s="51">
        <v>41643</v>
      </c>
      <c r="AU1344" s="78">
        <v>41687</v>
      </c>
      <c r="AV1344" s="78">
        <v>42094</v>
      </c>
      <c r="AW1344" s="38">
        <v>2014</v>
      </c>
      <c r="AX1344" s="60"/>
      <c r="AY1344" s="135"/>
      <c r="AZ1344" s="60"/>
      <c r="BA1344" s="38">
        <v>2014</v>
      </c>
      <c r="BB1344" s="38"/>
      <c r="BC1344" s="60"/>
      <c r="BD1344" s="60"/>
      <c r="BE1344" s="304"/>
      <c r="BF1344" s="304"/>
      <c r="BG1344" s="304"/>
      <c r="BH1344" s="304"/>
      <c r="BI1344" s="304"/>
      <c r="BJ1344" s="304"/>
      <c r="BK1344" s="16"/>
    </row>
    <row r="1345" spans="1:63" s="199" customFormat="1" ht="168.75">
      <c r="A1345" s="401">
        <v>3</v>
      </c>
      <c r="B1345" s="38" t="s">
        <v>4382</v>
      </c>
      <c r="C1345" s="38" t="s">
        <v>83</v>
      </c>
      <c r="D1345" s="38" t="s">
        <v>160</v>
      </c>
      <c r="E1345" s="38" t="s">
        <v>274</v>
      </c>
      <c r="F1345" s="38" t="s">
        <v>4625</v>
      </c>
      <c r="G1345" s="38">
        <v>29</v>
      </c>
      <c r="H1345" s="29">
        <v>626297</v>
      </c>
      <c r="I1345" s="16" t="s">
        <v>4383</v>
      </c>
      <c r="J1345" s="16" t="s">
        <v>4282</v>
      </c>
      <c r="K1345" s="29" t="s">
        <v>4917</v>
      </c>
      <c r="L1345" s="16" t="s">
        <v>180</v>
      </c>
      <c r="M1345" s="95" t="s">
        <v>4170</v>
      </c>
      <c r="N1345" s="15" t="s">
        <v>4171</v>
      </c>
      <c r="O1345" s="16" t="s">
        <v>4172</v>
      </c>
      <c r="P1345" s="23">
        <v>3732.0507200000002</v>
      </c>
      <c r="Q1345" s="23">
        <f t="shared" si="168"/>
        <v>4403.8198495999995</v>
      </c>
      <c r="R1345" s="23">
        <v>3450.5763441092458</v>
      </c>
      <c r="S1345" s="29" t="s">
        <v>4654</v>
      </c>
      <c r="T1345" s="312">
        <v>1.0900000000000001</v>
      </c>
      <c r="U1345" s="312">
        <v>1.0409999999999999</v>
      </c>
      <c r="V1345" s="312">
        <v>1.0229999999999999</v>
      </c>
      <c r="W1345" s="312">
        <v>1.044</v>
      </c>
      <c r="X1345" s="403">
        <v>0.9</v>
      </c>
      <c r="Y1345" s="23">
        <v>3763.4617800000001</v>
      </c>
      <c r="Z1345" s="23">
        <f t="shared" si="169"/>
        <v>4440.8849003999994</v>
      </c>
      <c r="AA1345" s="36" t="s">
        <v>132</v>
      </c>
      <c r="AB1345" s="36" t="s">
        <v>132</v>
      </c>
      <c r="AC1345" s="23">
        <v>3732.0507200000002</v>
      </c>
      <c r="AD1345" s="23">
        <f t="shared" si="170"/>
        <v>4403.8198495999995</v>
      </c>
      <c r="AE1345" s="38" t="s">
        <v>173</v>
      </c>
      <c r="AF1345" s="38" t="s">
        <v>83</v>
      </c>
      <c r="AG1345" s="38" t="s">
        <v>83</v>
      </c>
      <c r="AH1345" s="38" t="s">
        <v>90</v>
      </c>
      <c r="AI1345" s="51">
        <v>41638</v>
      </c>
      <c r="AJ1345" s="51">
        <v>41683</v>
      </c>
      <c r="AK1345" s="369"/>
      <c r="AL1345" s="60"/>
      <c r="AM1345" s="60" t="s">
        <v>4384</v>
      </c>
      <c r="AN1345" s="60" t="s">
        <v>1757</v>
      </c>
      <c r="AO1345" s="11">
        <v>796</v>
      </c>
      <c r="AP1345" s="38" t="s">
        <v>368</v>
      </c>
      <c r="AQ1345" s="38">
        <v>1</v>
      </c>
      <c r="AR1345" s="38" t="s">
        <v>2980</v>
      </c>
      <c r="AS1345" s="16" t="s">
        <v>3373</v>
      </c>
      <c r="AT1345" s="51">
        <v>41683</v>
      </c>
      <c r="AU1345" s="78">
        <v>41683</v>
      </c>
      <c r="AV1345" s="763">
        <v>42003</v>
      </c>
      <c r="AW1345" s="38">
        <v>2014</v>
      </c>
      <c r="AX1345" s="60"/>
      <c r="AY1345" s="135"/>
      <c r="AZ1345" s="60"/>
      <c r="BA1345" s="38">
        <v>2014</v>
      </c>
      <c r="BB1345" s="38"/>
      <c r="BC1345" s="60"/>
      <c r="BD1345" s="60"/>
      <c r="BE1345" s="304"/>
      <c r="BF1345" s="304"/>
      <c r="BG1345" s="304"/>
      <c r="BH1345" s="304"/>
      <c r="BI1345" s="304"/>
      <c r="BJ1345" s="304"/>
      <c r="BK1345" s="16"/>
    </row>
    <row r="1346" spans="1:63" s="199" customFormat="1" ht="75">
      <c r="A1346" s="401">
        <v>3</v>
      </c>
      <c r="B1346" s="38" t="s">
        <v>4385</v>
      </c>
      <c r="C1346" s="38" t="s">
        <v>83</v>
      </c>
      <c r="D1346" s="38" t="s">
        <v>160</v>
      </c>
      <c r="E1346" s="38" t="s">
        <v>274</v>
      </c>
      <c r="F1346" s="38" t="s">
        <v>4622</v>
      </c>
      <c r="G1346" s="38">
        <v>27</v>
      </c>
      <c r="H1346" s="29">
        <v>626299</v>
      </c>
      <c r="I1346" s="16" t="s">
        <v>4386</v>
      </c>
      <c r="J1346" s="16" t="s">
        <v>4282</v>
      </c>
      <c r="K1346" s="29" t="s">
        <v>4917</v>
      </c>
      <c r="L1346" s="16" t="s">
        <v>180</v>
      </c>
      <c r="M1346" s="95" t="s">
        <v>4170</v>
      </c>
      <c r="N1346" s="15" t="s">
        <v>4171</v>
      </c>
      <c r="O1346" s="16" t="s">
        <v>4172</v>
      </c>
      <c r="P1346" s="23">
        <v>4883.9142599999996</v>
      </c>
      <c r="Q1346" s="23">
        <f t="shared" si="168"/>
        <v>5763.0188267999993</v>
      </c>
      <c r="R1346" s="23">
        <v>4481.5597899562345</v>
      </c>
      <c r="S1346" s="29" t="s">
        <v>4180</v>
      </c>
      <c r="T1346" s="312">
        <v>1.0840000000000001</v>
      </c>
      <c r="U1346" s="312">
        <v>1.0509999999999999</v>
      </c>
      <c r="V1346" s="312">
        <v>1.0669999999999999</v>
      </c>
      <c r="W1346" s="312">
        <v>1</v>
      </c>
      <c r="X1346" s="403">
        <v>0.9</v>
      </c>
      <c r="Y1346" s="23">
        <v>4903.0703200000007</v>
      </c>
      <c r="Z1346" s="23">
        <f t="shared" si="169"/>
        <v>5785.6229776000009</v>
      </c>
      <c r="AA1346" s="36" t="s">
        <v>132</v>
      </c>
      <c r="AB1346" s="36" t="s">
        <v>132</v>
      </c>
      <c r="AC1346" s="23">
        <v>4883.9142599999996</v>
      </c>
      <c r="AD1346" s="23">
        <f t="shared" si="170"/>
        <v>5763.0188267999993</v>
      </c>
      <c r="AE1346" s="38" t="s">
        <v>173</v>
      </c>
      <c r="AF1346" s="38" t="s">
        <v>83</v>
      </c>
      <c r="AG1346" s="38" t="s">
        <v>83</v>
      </c>
      <c r="AH1346" s="38" t="s">
        <v>90</v>
      </c>
      <c r="AI1346" s="51">
        <v>41598</v>
      </c>
      <c r="AJ1346" s="51">
        <v>41643</v>
      </c>
      <c r="AK1346" s="369"/>
      <c r="AL1346" s="60"/>
      <c r="AM1346" s="60" t="s">
        <v>4387</v>
      </c>
      <c r="AN1346" s="60" t="s">
        <v>1757</v>
      </c>
      <c r="AO1346" s="11">
        <v>796</v>
      </c>
      <c r="AP1346" s="38" t="s">
        <v>368</v>
      </c>
      <c r="AQ1346" s="38">
        <v>1</v>
      </c>
      <c r="AR1346" s="38" t="s">
        <v>2980</v>
      </c>
      <c r="AS1346" s="16" t="s">
        <v>3373</v>
      </c>
      <c r="AT1346" s="51">
        <v>41643</v>
      </c>
      <c r="AU1346" s="78">
        <v>41644</v>
      </c>
      <c r="AV1346" s="763">
        <v>42003</v>
      </c>
      <c r="AW1346" s="38">
        <v>2014</v>
      </c>
      <c r="AX1346" s="60"/>
      <c r="AY1346" s="135"/>
      <c r="AZ1346" s="60"/>
      <c r="BA1346" s="38">
        <v>2014</v>
      </c>
      <c r="BB1346" s="38"/>
      <c r="BC1346" s="60"/>
      <c r="BD1346" s="60"/>
      <c r="BE1346" s="304"/>
      <c r="BF1346" s="304"/>
      <c r="BG1346" s="304"/>
      <c r="BH1346" s="304"/>
      <c r="BI1346" s="304"/>
      <c r="BJ1346" s="304"/>
      <c r="BK1346" s="16"/>
    </row>
    <row r="1347" spans="1:63" s="199" customFormat="1" ht="75">
      <c r="A1347" s="401">
        <v>3</v>
      </c>
      <c r="B1347" s="38" t="s">
        <v>4388</v>
      </c>
      <c r="C1347" s="38" t="s">
        <v>83</v>
      </c>
      <c r="D1347" s="38" t="s">
        <v>160</v>
      </c>
      <c r="E1347" s="38" t="s">
        <v>274</v>
      </c>
      <c r="F1347" s="38" t="s">
        <v>4620</v>
      </c>
      <c r="G1347" s="38">
        <v>31</v>
      </c>
      <c r="H1347" s="29">
        <v>626300</v>
      </c>
      <c r="I1347" s="16" t="s">
        <v>4389</v>
      </c>
      <c r="J1347" s="16" t="s">
        <v>4282</v>
      </c>
      <c r="K1347" s="29" t="s">
        <v>4917</v>
      </c>
      <c r="L1347" s="16" t="s">
        <v>180</v>
      </c>
      <c r="M1347" s="95" t="s">
        <v>4170</v>
      </c>
      <c r="N1347" s="15" t="s">
        <v>4171</v>
      </c>
      <c r="O1347" s="16" t="s">
        <v>4172</v>
      </c>
      <c r="P1347" s="23">
        <v>6465.5290199999999</v>
      </c>
      <c r="Q1347" s="23">
        <f t="shared" si="168"/>
        <v>7629.3242435999991</v>
      </c>
      <c r="R1347" s="29" t="s">
        <v>4665</v>
      </c>
      <c r="S1347" s="29" t="s">
        <v>132</v>
      </c>
      <c r="T1347" s="312" t="s">
        <v>132</v>
      </c>
      <c r="U1347" s="312" t="s">
        <v>132</v>
      </c>
      <c r="V1347" s="312" t="s">
        <v>132</v>
      </c>
      <c r="W1347" s="312" t="s">
        <v>132</v>
      </c>
      <c r="X1347" s="403" t="s">
        <v>132</v>
      </c>
      <c r="Y1347" s="23">
        <v>6465.5290199999999</v>
      </c>
      <c r="Z1347" s="23">
        <f t="shared" si="169"/>
        <v>7629.3242435999991</v>
      </c>
      <c r="AA1347" s="36" t="s">
        <v>132</v>
      </c>
      <c r="AB1347" s="36" t="s">
        <v>132</v>
      </c>
      <c r="AC1347" s="23">
        <v>6465.5290199999999</v>
      </c>
      <c r="AD1347" s="23">
        <f t="shared" si="170"/>
        <v>7629.3242435999991</v>
      </c>
      <c r="AE1347" s="38" t="s">
        <v>173</v>
      </c>
      <c r="AF1347" s="38" t="s">
        <v>83</v>
      </c>
      <c r="AG1347" s="38" t="s">
        <v>83</v>
      </c>
      <c r="AH1347" s="38" t="s">
        <v>90</v>
      </c>
      <c r="AI1347" s="51">
        <v>41598</v>
      </c>
      <c r="AJ1347" s="51">
        <v>41643</v>
      </c>
      <c r="AK1347" s="369"/>
      <c r="AL1347" s="60"/>
      <c r="AM1347" s="60" t="s">
        <v>4390</v>
      </c>
      <c r="AN1347" s="60" t="s">
        <v>1757</v>
      </c>
      <c r="AO1347" s="11">
        <v>796</v>
      </c>
      <c r="AP1347" s="38" t="s">
        <v>368</v>
      </c>
      <c r="AQ1347" s="38">
        <v>1</v>
      </c>
      <c r="AR1347" s="38" t="s">
        <v>2980</v>
      </c>
      <c r="AS1347" s="16" t="s">
        <v>3373</v>
      </c>
      <c r="AT1347" s="51">
        <v>41643</v>
      </c>
      <c r="AU1347" s="78">
        <v>41644</v>
      </c>
      <c r="AV1347" s="763">
        <v>42003</v>
      </c>
      <c r="AW1347" s="38">
        <v>2014</v>
      </c>
      <c r="AX1347" s="60"/>
      <c r="AY1347" s="135"/>
      <c r="AZ1347" s="60"/>
      <c r="BA1347" s="38">
        <v>2014</v>
      </c>
      <c r="BB1347" s="38"/>
      <c r="BC1347" s="60"/>
      <c r="BD1347" s="60"/>
      <c r="BE1347" s="304"/>
      <c r="BF1347" s="304"/>
      <c r="BG1347" s="304"/>
      <c r="BH1347" s="304"/>
      <c r="BI1347" s="304"/>
      <c r="BJ1347" s="304"/>
      <c r="BK1347" s="16"/>
    </row>
    <row r="1348" spans="1:63" s="199" customFormat="1" ht="75">
      <c r="A1348" s="401">
        <v>3</v>
      </c>
      <c r="B1348" s="38" t="s">
        <v>4391</v>
      </c>
      <c r="C1348" s="38" t="s">
        <v>83</v>
      </c>
      <c r="D1348" s="38" t="s">
        <v>160</v>
      </c>
      <c r="E1348" s="38" t="s">
        <v>274</v>
      </c>
      <c r="F1348" s="38" t="s">
        <v>4620</v>
      </c>
      <c r="G1348" s="38">
        <v>31</v>
      </c>
      <c r="H1348" s="29">
        <v>626305</v>
      </c>
      <c r="I1348" s="16" t="s">
        <v>4392</v>
      </c>
      <c r="J1348" s="16" t="s">
        <v>4282</v>
      </c>
      <c r="K1348" s="29" t="s">
        <v>4917</v>
      </c>
      <c r="L1348" s="16" t="s">
        <v>180</v>
      </c>
      <c r="M1348" s="95" t="s">
        <v>4170</v>
      </c>
      <c r="N1348" s="15" t="s">
        <v>4171</v>
      </c>
      <c r="O1348" s="16" t="s">
        <v>4172</v>
      </c>
      <c r="P1348" s="23">
        <v>1106.8800000000001</v>
      </c>
      <c r="Q1348" s="23">
        <f t="shared" si="168"/>
        <v>1306.1184000000001</v>
      </c>
      <c r="R1348" s="23">
        <v>1100.3332695615704</v>
      </c>
      <c r="S1348" s="29" t="s">
        <v>4180</v>
      </c>
      <c r="T1348" s="312">
        <v>1.0840000000000001</v>
      </c>
      <c r="U1348" s="312">
        <v>1.0509999999999999</v>
      </c>
      <c r="V1348" s="312">
        <v>1.0669999999999999</v>
      </c>
      <c r="W1348" s="312">
        <v>1.044</v>
      </c>
      <c r="X1348" s="403">
        <v>0.9</v>
      </c>
      <c r="Y1348" s="23">
        <v>1256.79276</v>
      </c>
      <c r="Z1348" s="23">
        <f t="shared" si="169"/>
        <v>1483.0154568</v>
      </c>
      <c r="AA1348" s="36" t="s">
        <v>132</v>
      </c>
      <c r="AB1348" s="36" t="s">
        <v>132</v>
      </c>
      <c r="AC1348" s="23">
        <v>1256.79276</v>
      </c>
      <c r="AD1348" s="23">
        <f t="shared" si="170"/>
        <v>1483.0154568</v>
      </c>
      <c r="AE1348" s="38" t="s">
        <v>173</v>
      </c>
      <c r="AF1348" s="38" t="s">
        <v>83</v>
      </c>
      <c r="AG1348" s="38" t="s">
        <v>83</v>
      </c>
      <c r="AH1348" s="38" t="s">
        <v>90</v>
      </c>
      <c r="AI1348" s="51">
        <v>41598</v>
      </c>
      <c r="AJ1348" s="51">
        <v>41643</v>
      </c>
      <c r="AK1348" s="369"/>
      <c r="AL1348" s="60"/>
      <c r="AM1348" s="60" t="s">
        <v>4393</v>
      </c>
      <c r="AN1348" s="60" t="s">
        <v>1757</v>
      </c>
      <c r="AO1348" s="11">
        <v>796</v>
      </c>
      <c r="AP1348" s="38" t="s">
        <v>368</v>
      </c>
      <c r="AQ1348" s="38">
        <v>1</v>
      </c>
      <c r="AR1348" s="38" t="s">
        <v>2980</v>
      </c>
      <c r="AS1348" s="16" t="s">
        <v>3373</v>
      </c>
      <c r="AT1348" s="51">
        <v>41643</v>
      </c>
      <c r="AU1348" s="78">
        <v>41644</v>
      </c>
      <c r="AV1348" s="763">
        <v>42003</v>
      </c>
      <c r="AW1348" s="38">
        <v>2014</v>
      </c>
      <c r="AX1348" s="60"/>
      <c r="AY1348" s="135"/>
      <c r="AZ1348" s="60"/>
      <c r="BA1348" s="38">
        <v>2014</v>
      </c>
      <c r="BB1348" s="38"/>
      <c r="BC1348" s="60"/>
      <c r="BD1348" s="60"/>
      <c r="BE1348" s="304"/>
      <c r="BF1348" s="304"/>
      <c r="BG1348" s="304"/>
      <c r="BH1348" s="304"/>
      <c r="BI1348" s="304"/>
      <c r="BJ1348" s="304"/>
      <c r="BK1348" s="16"/>
    </row>
    <row r="1349" spans="1:63" s="199" customFormat="1" ht="168.75">
      <c r="A1349" s="401">
        <v>3</v>
      </c>
      <c r="B1349" s="38" t="s">
        <v>4394</v>
      </c>
      <c r="C1349" s="38" t="s">
        <v>83</v>
      </c>
      <c r="D1349" s="38" t="s">
        <v>160</v>
      </c>
      <c r="E1349" s="38" t="s">
        <v>274</v>
      </c>
      <c r="F1349" s="38" t="s">
        <v>4625</v>
      </c>
      <c r="G1349" s="38">
        <v>29</v>
      </c>
      <c r="H1349" s="29">
        <v>626306</v>
      </c>
      <c r="I1349" s="16" t="s">
        <v>4395</v>
      </c>
      <c r="J1349" s="16" t="s">
        <v>4282</v>
      </c>
      <c r="K1349" s="29" t="s">
        <v>4917</v>
      </c>
      <c r="L1349" s="16" t="s">
        <v>180</v>
      </c>
      <c r="M1349" s="95" t="s">
        <v>4170</v>
      </c>
      <c r="N1349" s="15" t="s">
        <v>4171</v>
      </c>
      <c r="O1349" s="16" t="s">
        <v>4172</v>
      </c>
      <c r="P1349" s="23">
        <v>609.62406999999996</v>
      </c>
      <c r="Q1349" s="23">
        <f t="shared" si="168"/>
        <v>719.35640259999991</v>
      </c>
      <c r="R1349" s="23">
        <v>584.51695303198585</v>
      </c>
      <c r="S1349" s="29" t="s">
        <v>4654</v>
      </c>
      <c r="T1349" s="312">
        <v>1.0900000000000001</v>
      </c>
      <c r="U1349" s="312">
        <v>1.0409999999999999</v>
      </c>
      <c r="V1349" s="312">
        <v>1.0229999999999999</v>
      </c>
      <c r="W1349" s="312">
        <v>1</v>
      </c>
      <c r="X1349" s="403">
        <v>0.9</v>
      </c>
      <c r="Y1349" s="23">
        <v>610.65017</v>
      </c>
      <c r="Z1349" s="23">
        <f t="shared" si="169"/>
        <v>720.56720059999998</v>
      </c>
      <c r="AA1349" s="36" t="s">
        <v>132</v>
      </c>
      <c r="AB1349" s="36" t="s">
        <v>132</v>
      </c>
      <c r="AC1349" s="23">
        <v>609.62406999999996</v>
      </c>
      <c r="AD1349" s="23">
        <f t="shared" si="170"/>
        <v>719.35640259999991</v>
      </c>
      <c r="AE1349" s="38" t="s">
        <v>173</v>
      </c>
      <c r="AF1349" s="38" t="s">
        <v>83</v>
      </c>
      <c r="AG1349" s="38" t="s">
        <v>83</v>
      </c>
      <c r="AH1349" s="38" t="s">
        <v>90</v>
      </c>
      <c r="AI1349" s="51">
        <v>41598</v>
      </c>
      <c r="AJ1349" s="51">
        <v>41643</v>
      </c>
      <c r="AK1349" s="369"/>
      <c r="AL1349" s="60"/>
      <c r="AM1349" s="60" t="s">
        <v>4396</v>
      </c>
      <c r="AN1349" s="60" t="s">
        <v>1757</v>
      </c>
      <c r="AO1349" s="11">
        <v>796</v>
      </c>
      <c r="AP1349" s="38" t="s">
        <v>368</v>
      </c>
      <c r="AQ1349" s="38">
        <v>1</v>
      </c>
      <c r="AR1349" s="38" t="s">
        <v>2980</v>
      </c>
      <c r="AS1349" s="16" t="s">
        <v>3373</v>
      </c>
      <c r="AT1349" s="51">
        <v>41643</v>
      </c>
      <c r="AU1349" s="78">
        <v>41644</v>
      </c>
      <c r="AV1349" s="763">
        <v>42003</v>
      </c>
      <c r="AW1349" s="38">
        <v>2014</v>
      </c>
      <c r="AX1349" s="60"/>
      <c r="AY1349" s="135"/>
      <c r="AZ1349" s="60"/>
      <c r="BA1349" s="38">
        <v>2014</v>
      </c>
      <c r="BB1349" s="38"/>
      <c r="BC1349" s="60"/>
      <c r="BD1349" s="60"/>
      <c r="BE1349" s="304"/>
      <c r="BF1349" s="304"/>
      <c r="BG1349" s="304"/>
      <c r="BH1349" s="304"/>
      <c r="BI1349" s="304"/>
      <c r="BJ1349" s="304"/>
      <c r="BK1349" s="16"/>
    </row>
    <row r="1350" spans="1:63" s="199" customFormat="1" ht="75">
      <c r="A1350" s="401">
        <v>3</v>
      </c>
      <c r="B1350" s="38" t="s">
        <v>4397</v>
      </c>
      <c r="C1350" s="38" t="s">
        <v>83</v>
      </c>
      <c r="D1350" s="38" t="s">
        <v>160</v>
      </c>
      <c r="E1350" s="38" t="s">
        <v>274</v>
      </c>
      <c r="F1350" s="38" t="s">
        <v>4629</v>
      </c>
      <c r="G1350" s="38">
        <v>45</v>
      </c>
      <c r="H1350" s="29">
        <v>626307</v>
      </c>
      <c r="I1350" s="16" t="s">
        <v>4398</v>
      </c>
      <c r="J1350" s="16" t="s">
        <v>4282</v>
      </c>
      <c r="K1350" s="29" t="s">
        <v>4917</v>
      </c>
      <c r="L1350" s="16" t="s">
        <v>180</v>
      </c>
      <c r="M1350" s="95" t="s">
        <v>4170</v>
      </c>
      <c r="N1350" s="15" t="s">
        <v>4171</v>
      </c>
      <c r="O1350" s="16" t="s">
        <v>4172</v>
      </c>
      <c r="P1350" s="23">
        <v>1252.35094</v>
      </c>
      <c r="Q1350" s="23">
        <f t="shared" si="168"/>
        <v>1477.7741091999999</v>
      </c>
      <c r="R1350" s="23">
        <v>1628.1154748534352</v>
      </c>
      <c r="S1350" s="29" t="s">
        <v>4180</v>
      </c>
      <c r="T1350" s="312">
        <v>1.0840000000000001</v>
      </c>
      <c r="U1350" s="312">
        <v>1.0509999999999999</v>
      </c>
      <c r="V1350" s="312">
        <v>1.0669999999999999</v>
      </c>
      <c r="W1350" s="312">
        <v>1</v>
      </c>
      <c r="X1350" s="403">
        <v>0.9</v>
      </c>
      <c r="Y1350" s="23">
        <v>1781.24694</v>
      </c>
      <c r="Z1350" s="23">
        <f t="shared" si="169"/>
        <v>2101.8713892000001</v>
      </c>
      <c r="AA1350" s="36" t="s">
        <v>132</v>
      </c>
      <c r="AB1350" s="36" t="s">
        <v>132</v>
      </c>
      <c r="AC1350" s="23">
        <v>1252.35094</v>
      </c>
      <c r="AD1350" s="23">
        <f t="shared" si="170"/>
        <v>1477.7741091999999</v>
      </c>
      <c r="AE1350" s="38" t="s">
        <v>173</v>
      </c>
      <c r="AF1350" s="38" t="s">
        <v>83</v>
      </c>
      <c r="AG1350" s="38" t="s">
        <v>83</v>
      </c>
      <c r="AH1350" s="38" t="s">
        <v>90</v>
      </c>
      <c r="AI1350" s="51">
        <v>41598</v>
      </c>
      <c r="AJ1350" s="51">
        <v>41643</v>
      </c>
      <c r="AK1350" s="369"/>
      <c r="AL1350" s="60"/>
      <c r="AM1350" s="60" t="s">
        <v>4399</v>
      </c>
      <c r="AN1350" s="60" t="s">
        <v>1757</v>
      </c>
      <c r="AO1350" s="11">
        <v>796</v>
      </c>
      <c r="AP1350" s="38" t="s">
        <v>368</v>
      </c>
      <c r="AQ1350" s="38">
        <v>1</v>
      </c>
      <c r="AR1350" s="38" t="s">
        <v>2980</v>
      </c>
      <c r="AS1350" s="16" t="s">
        <v>3373</v>
      </c>
      <c r="AT1350" s="51">
        <v>41643</v>
      </c>
      <c r="AU1350" s="78">
        <v>41644</v>
      </c>
      <c r="AV1350" s="763">
        <v>42003</v>
      </c>
      <c r="AW1350" s="38">
        <v>2014</v>
      </c>
      <c r="AX1350" s="60"/>
      <c r="AY1350" s="135"/>
      <c r="AZ1350" s="60"/>
      <c r="BA1350" s="38">
        <v>2014</v>
      </c>
      <c r="BB1350" s="38"/>
      <c r="BC1350" s="60"/>
      <c r="BD1350" s="60"/>
      <c r="BE1350" s="304"/>
      <c r="BF1350" s="304"/>
      <c r="BG1350" s="304"/>
      <c r="BH1350" s="304"/>
      <c r="BI1350" s="304"/>
      <c r="BJ1350" s="304"/>
      <c r="BK1350" s="16"/>
    </row>
    <row r="1351" spans="1:63" s="199" customFormat="1" ht="168.75">
      <c r="A1351" s="401">
        <v>3</v>
      </c>
      <c r="B1351" s="38" t="s">
        <v>4400</v>
      </c>
      <c r="C1351" s="38" t="s">
        <v>83</v>
      </c>
      <c r="D1351" s="38" t="s">
        <v>160</v>
      </c>
      <c r="E1351" s="38" t="s">
        <v>274</v>
      </c>
      <c r="F1351" s="38" t="s">
        <v>4620</v>
      </c>
      <c r="G1351" s="38">
        <v>31</v>
      </c>
      <c r="H1351" s="29">
        <v>626313</v>
      </c>
      <c r="I1351" s="16" t="s">
        <v>4401</v>
      </c>
      <c r="J1351" s="16" t="s">
        <v>4282</v>
      </c>
      <c r="K1351" s="29" t="s">
        <v>4917</v>
      </c>
      <c r="L1351" s="16" t="s">
        <v>180</v>
      </c>
      <c r="M1351" s="95" t="s">
        <v>4170</v>
      </c>
      <c r="N1351" s="15" t="s">
        <v>4171</v>
      </c>
      <c r="O1351" s="16" t="s">
        <v>4172</v>
      </c>
      <c r="P1351" s="23">
        <v>1450.47838</v>
      </c>
      <c r="Q1351" s="23">
        <f t="shared" si="168"/>
        <v>1711.5644883999998</v>
      </c>
      <c r="R1351" s="23">
        <v>1325.4007563867046</v>
      </c>
      <c r="S1351" s="29" t="s">
        <v>4652</v>
      </c>
      <c r="T1351" s="312">
        <v>1.0900000000000001</v>
      </c>
      <c r="U1351" s="312">
        <v>1.0409999999999999</v>
      </c>
      <c r="V1351" s="312">
        <v>1.0229999999999999</v>
      </c>
      <c r="W1351" s="312">
        <v>1.044</v>
      </c>
      <c r="X1351" s="403">
        <v>0.9</v>
      </c>
      <c r="Y1351" s="23">
        <v>1445.5831700000001</v>
      </c>
      <c r="Z1351" s="23">
        <f t="shared" si="169"/>
        <v>1705.7881406000001</v>
      </c>
      <c r="AA1351" s="36" t="s">
        <v>132</v>
      </c>
      <c r="AB1351" s="36" t="s">
        <v>132</v>
      </c>
      <c r="AC1351" s="23">
        <v>1445.5831700000001</v>
      </c>
      <c r="AD1351" s="23">
        <f t="shared" si="170"/>
        <v>1705.7881406000001</v>
      </c>
      <c r="AE1351" s="38" t="s">
        <v>173</v>
      </c>
      <c r="AF1351" s="38" t="s">
        <v>83</v>
      </c>
      <c r="AG1351" s="38" t="s">
        <v>83</v>
      </c>
      <c r="AH1351" s="38" t="s">
        <v>90</v>
      </c>
      <c r="AI1351" s="51">
        <v>41598</v>
      </c>
      <c r="AJ1351" s="51">
        <v>41643</v>
      </c>
      <c r="AK1351" s="369"/>
      <c r="AL1351" s="60"/>
      <c r="AM1351" s="60" t="s">
        <v>4402</v>
      </c>
      <c r="AN1351" s="60" t="s">
        <v>1757</v>
      </c>
      <c r="AO1351" s="11">
        <v>796</v>
      </c>
      <c r="AP1351" s="38" t="s">
        <v>368</v>
      </c>
      <c r="AQ1351" s="38">
        <v>1</v>
      </c>
      <c r="AR1351" s="38" t="s">
        <v>2980</v>
      </c>
      <c r="AS1351" s="16" t="s">
        <v>3373</v>
      </c>
      <c r="AT1351" s="51">
        <v>41643</v>
      </c>
      <c r="AU1351" s="78">
        <v>41670</v>
      </c>
      <c r="AV1351" s="78">
        <v>41941</v>
      </c>
      <c r="AW1351" s="38">
        <v>2014</v>
      </c>
      <c r="AX1351" s="60"/>
      <c r="AY1351" s="135"/>
      <c r="AZ1351" s="60"/>
      <c r="BA1351" s="38">
        <v>2014</v>
      </c>
      <c r="BB1351" s="38"/>
      <c r="BC1351" s="60"/>
      <c r="BD1351" s="60"/>
      <c r="BE1351" s="304"/>
      <c r="BF1351" s="304"/>
      <c r="BG1351" s="304"/>
      <c r="BH1351" s="304"/>
      <c r="BI1351" s="304"/>
      <c r="BJ1351" s="304"/>
      <c r="BK1351" s="16"/>
    </row>
    <row r="1352" spans="1:63" s="199" customFormat="1" ht="75">
      <c r="A1352" s="401">
        <v>3</v>
      </c>
      <c r="B1352" s="38" t="s">
        <v>4403</v>
      </c>
      <c r="C1352" s="38" t="s">
        <v>83</v>
      </c>
      <c r="D1352" s="38" t="s">
        <v>160</v>
      </c>
      <c r="E1352" s="38" t="s">
        <v>274</v>
      </c>
      <c r="F1352" s="38" t="s">
        <v>4629</v>
      </c>
      <c r="G1352" s="38">
        <v>45</v>
      </c>
      <c r="H1352" s="29">
        <v>626337</v>
      </c>
      <c r="I1352" s="16" t="s">
        <v>4404</v>
      </c>
      <c r="J1352" s="16" t="s">
        <v>4282</v>
      </c>
      <c r="K1352" s="29" t="s">
        <v>4917</v>
      </c>
      <c r="L1352" s="16" t="s">
        <v>180</v>
      </c>
      <c r="M1352" s="95" t="s">
        <v>4170</v>
      </c>
      <c r="N1352" s="15" t="s">
        <v>4171</v>
      </c>
      <c r="O1352" s="16" t="s">
        <v>4172</v>
      </c>
      <c r="P1352" s="23">
        <v>3613.5593899999999</v>
      </c>
      <c r="Q1352" s="23">
        <f t="shared" si="168"/>
        <v>4264.0000801999995</v>
      </c>
      <c r="R1352" s="23">
        <v>3144.8695318803075</v>
      </c>
      <c r="S1352" s="29" t="s">
        <v>4180</v>
      </c>
      <c r="T1352" s="312">
        <v>1.0840000000000001</v>
      </c>
      <c r="U1352" s="312">
        <v>1.0509999999999999</v>
      </c>
      <c r="V1352" s="312">
        <v>1.0669999999999999</v>
      </c>
      <c r="W1352" s="312">
        <v>1.056</v>
      </c>
      <c r="X1352" s="403">
        <v>0.9</v>
      </c>
      <c r="Y1352" s="23">
        <v>3633.3353000000002</v>
      </c>
      <c r="Z1352" s="23">
        <f t="shared" si="169"/>
        <v>4287.3356540000004</v>
      </c>
      <c r="AA1352" s="36" t="s">
        <v>132</v>
      </c>
      <c r="AB1352" s="36" t="s">
        <v>132</v>
      </c>
      <c r="AC1352" s="23">
        <v>3613.5593899999999</v>
      </c>
      <c r="AD1352" s="23">
        <f t="shared" si="170"/>
        <v>4264.0000801999995</v>
      </c>
      <c r="AE1352" s="38" t="s">
        <v>173</v>
      </c>
      <c r="AF1352" s="38" t="s">
        <v>83</v>
      </c>
      <c r="AG1352" s="38" t="s">
        <v>83</v>
      </c>
      <c r="AH1352" s="38" t="s">
        <v>90</v>
      </c>
      <c r="AI1352" s="51">
        <v>41598</v>
      </c>
      <c r="AJ1352" s="51">
        <v>41643</v>
      </c>
      <c r="AK1352" s="369"/>
      <c r="AL1352" s="60"/>
      <c r="AM1352" s="60" t="s">
        <v>4405</v>
      </c>
      <c r="AN1352" s="60" t="s">
        <v>1757</v>
      </c>
      <c r="AO1352" s="11">
        <v>796</v>
      </c>
      <c r="AP1352" s="38" t="s">
        <v>368</v>
      </c>
      <c r="AQ1352" s="38">
        <v>1</v>
      </c>
      <c r="AR1352" s="38" t="s">
        <v>2980</v>
      </c>
      <c r="AS1352" s="16" t="s">
        <v>3373</v>
      </c>
      <c r="AT1352" s="51">
        <v>41643</v>
      </c>
      <c r="AU1352" s="78">
        <v>41644</v>
      </c>
      <c r="AV1352" s="763">
        <v>42003</v>
      </c>
      <c r="AW1352" s="38">
        <v>2014</v>
      </c>
      <c r="AX1352" s="60"/>
      <c r="AY1352" s="135"/>
      <c r="AZ1352" s="60"/>
      <c r="BA1352" s="38">
        <v>2014</v>
      </c>
      <c r="BB1352" s="38"/>
      <c r="BC1352" s="60"/>
      <c r="BD1352" s="60"/>
      <c r="BE1352" s="304"/>
      <c r="BF1352" s="304"/>
      <c r="BG1352" s="304"/>
      <c r="BH1352" s="304"/>
      <c r="BI1352" s="304"/>
      <c r="BJ1352" s="304"/>
      <c r="BK1352" s="16"/>
    </row>
    <row r="1353" spans="1:63" s="199" customFormat="1" ht="112.5">
      <c r="A1353" s="401">
        <v>3</v>
      </c>
      <c r="B1353" s="38" t="s">
        <v>4406</v>
      </c>
      <c r="C1353" s="38" t="s">
        <v>83</v>
      </c>
      <c r="D1353" s="38" t="s">
        <v>160</v>
      </c>
      <c r="E1353" s="38" t="s">
        <v>274</v>
      </c>
      <c r="F1353" s="38" t="s">
        <v>4629</v>
      </c>
      <c r="G1353" s="38">
        <v>45</v>
      </c>
      <c r="H1353" s="29">
        <v>626345</v>
      </c>
      <c r="I1353" s="16" t="s">
        <v>4407</v>
      </c>
      <c r="J1353" s="16" t="s">
        <v>4282</v>
      </c>
      <c r="K1353" s="29" t="s">
        <v>4917</v>
      </c>
      <c r="L1353" s="16" t="s">
        <v>180</v>
      </c>
      <c r="M1353" s="95" t="s">
        <v>4170</v>
      </c>
      <c r="N1353" s="15" t="s">
        <v>4171</v>
      </c>
      <c r="O1353" s="16" t="s">
        <v>4172</v>
      </c>
      <c r="P1353" s="23">
        <v>9332.2937300000012</v>
      </c>
      <c r="Q1353" s="23">
        <f t="shared" si="168"/>
        <v>11012.106601400001</v>
      </c>
      <c r="R1353" s="23">
        <v>10376.132133585508</v>
      </c>
      <c r="S1353" s="29" t="s">
        <v>4660</v>
      </c>
      <c r="T1353" s="312">
        <v>1.1279999999999999</v>
      </c>
      <c r="U1353" s="312">
        <v>1.0920000000000001</v>
      </c>
      <c r="V1353" s="312">
        <v>1.08</v>
      </c>
      <c r="W1353" s="312">
        <v>1</v>
      </c>
      <c r="X1353" s="403">
        <v>0.9</v>
      </c>
      <c r="Y1353" s="23">
        <v>12423.200560000001</v>
      </c>
      <c r="Z1353" s="23">
        <f t="shared" si="169"/>
        <v>14659.376660800001</v>
      </c>
      <c r="AA1353" s="36" t="s">
        <v>132</v>
      </c>
      <c r="AB1353" s="36" t="s">
        <v>132</v>
      </c>
      <c r="AC1353" s="23">
        <v>9332.2937300000012</v>
      </c>
      <c r="AD1353" s="23">
        <f t="shared" si="170"/>
        <v>11012.106601400001</v>
      </c>
      <c r="AE1353" s="60" t="s">
        <v>169</v>
      </c>
      <c r="AF1353" s="38" t="s">
        <v>83</v>
      </c>
      <c r="AG1353" s="38" t="s">
        <v>83</v>
      </c>
      <c r="AH1353" s="38" t="s">
        <v>90</v>
      </c>
      <c r="AI1353" s="51">
        <v>41598</v>
      </c>
      <c r="AJ1353" s="51">
        <v>41658</v>
      </c>
      <c r="AK1353" s="369"/>
      <c r="AL1353" s="60"/>
      <c r="AM1353" s="60" t="s">
        <v>4408</v>
      </c>
      <c r="AN1353" s="60" t="s">
        <v>1757</v>
      </c>
      <c r="AO1353" s="11">
        <v>796</v>
      </c>
      <c r="AP1353" s="38" t="s">
        <v>368</v>
      </c>
      <c r="AQ1353" s="38">
        <v>1</v>
      </c>
      <c r="AR1353" s="38" t="s">
        <v>2980</v>
      </c>
      <c r="AS1353" s="16" t="s">
        <v>3373</v>
      </c>
      <c r="AT1353" s="51">
        <v>41658</v>
      </c>
      <c r="AU1353" s="78">
        <v>41659</v>
      </c>
      <c r="AV1353" s="78">
        <v>42004</v>
      </c>
      <c r="AW1353" s="38">
        <v>2014</v>
      </c>
      <c r="AX1353" s="60"/>
      <c r="AY1353" s="135"/>
      <c r="AZ1353" s="60"/>
      <c r="BA1353" s="38">
        <v>2014</v>
      </c>
      <c r="BB1353" s="38"/>
      <c r="BC1353" s="60"/>
      <c r="BD1353" s="60"/>
      <c r="BE1353" s="304"/>
      <c r="BF1353" s="304"/>
      <c r="BG1353" s="304"/>
      <c r="BH1353" s="304"/>
      <c r="BI1353" s="304"/>
      <c r="BJ1353" s="304"/>
      <c r="BK1353" s="16"/>
    </row>
    <row r="1354" spans="1:63" s="199" customFormat="1" ht="75">
      <c r="A1354" s="401">
        <v>3</v>
      </c>
      <c r="B1354" s="38" t="s">
        <v>4409</v>
      </c>
      <c r="C1354" s="38" t="s">
        <v>83</v>
      </c>
      <c r="D1354" s="38" t="s">
        <v>160</v>
      </c>
      <c r="E1354" s="38" t="s">
        <v>274</v>
      </c>
      <c r="F1354" s="38" t="s">
        <v>4629</v>
      </c>
      <c r="G1354" s="38">
        <v>45</v>
      </c>
      <c r="H1354" s="29">
        <v>626348</v>
      </c>
      <c r="I1354" s="16" t="s">
        <v>4410</v>
      </c>
      <c r="J1354" s="16" t="s">
        <v>4282</v>
      </c>
      <c r="K1354" s="29" t="s">
        <v>4917</v>
      </c>
      <c r="L1354" s="16" t="s">
        <v>180</v>
      </c>
      <c r="M1354" s="95" t="s">
        <v>4170</v>
      </c>
      <c r="N1354" s="15" t="s">
        <v>4171</v>
      </c>
      <c r="O1354" s="16" t="s">
        <v>4172</v>
      </c>
      <c r="P1354" s="23">
        <v>2524.0022899999999</v>
      </c>
      <c r="Q1354" s="23">
        <f t="shared" si="168"/>
        <v>2978.3227021999996</v>
      </c>
      <c r="R1354" s="23">
        <v>2671.9900424200578</v>
      </c>
      <c r="S1354" s="29" t="s">
        <v>4180</v>
      </c>
      <c r="T1354" s="312">
        <v>1.0840000000000001</v>
      </c>
      <c r="U1354" s="312">
        <v>1.0509999999999999</v>
      </c>
      <c r="V1354" s="312">
        <v>1.0669999999999999</v>
      </c>
      <c r="W1354" s="312">
        <v>1</v>
      </c>
      <c r="X1354" s="403">
        <v>0.9</v>
      </c>
      <c r="Y1354" s="23">
        <v>2923.3025299999999</v>
      </c>
      <c r="Z1354" s="23">
        <f t="shared" si="169"/>
        <v>3449.4969853999996</v>
      </c>
      <c r="AA1354" s="36" t="s">
        <v>132</v>
      </c>
      <c r="AB1354" s="36" t="s">
        <v>132</v>
      </c>
      <c r="AC1354" s="23">
        <v>2524.0022899999999</v>
      </c>
      <c r="AD1354" s="23">
        <f t="shared" si="170"/>
        <v>2978.3227021999996</v>
      </c>
      <c r="AE1354" s="38" t="s">
        <v>173</v>
      </c>
      <c r="AF1354" s="38" t="s">
        <v>83</v>
      </c>
      <c r="AG1354" s="38" t="s">
        <v>83</v>
      </c>
      <c r="AH1354" s="38" t="s">
        <v>90</v>
      </c>
      <c r="AI1354" s="51">
        <v>41598</v>
      </c>
      <c r="AJ1354" s="51">
        <v>41658</v>
      </c>
      <c r="AK1354" s="369"/>
      <c r="AL1354" s="60"/>
      <c r="AM1354" s="60" t="s">
        <v>4411</v>
      </c>
      <c r="AN1354" s="60" t="s">
        <v>1757</v>
      </c>
      <c r="AO1354" s="11">
        <v>796</v>
      </c>
      <c r="AP1354" s="38" t="s">
        <v>368</v>
      </c>
      <c r="AQ1354" s="38">
        <v>1</v>
      </c>
      <c r="AR1354" s="38" t="s">
        <v>2980</v>
      </c>
      <c r="AS1354" s="16" t="s">
        <v>3373</v>
      </c>
      <c r="AT1354" s="51">
        <v>41658</v>
      </c>
      <c r="AU1354" s="78">
        <v>41659</v>
      </c>
      <c r="AV1354" s="78">
        <v>42004</v>
      </c>
      <c r="AW1354" s="38">
        <v>2014</v>
      </c>
      <c r="AX1354" s="60"/>
      <c r="AY1354" s="135"/>
      <c r="AZ1354" s="60"/>
      <c r="BA1354" s="38">
        <v>2014</v>
      </c>
      <c r="BB1354" s="38"/>
      <c r="BC1354" s="60"/>
      <c r="BD1354" s="60"/>
      <c r="BE1354" s="304"/>
      <c r="BF1354" s="304"/>
      <c r="BG1354" s="304"/>
      <c r="BH1354" s="304"/>
      <c r="BI1354" s="304"/>
      <c r="BJ1354" s="304"/>
      <c r="BK1354" s="16"/>
    </row>
    <row r="1355" spans="1:63" s="199" customFormat="1" ht="75">
      <c r="A1355" s="401">
        <v>3</v>
      </c>
      <c r="B1355" s="38" t="s">
        <v>4412</v>
      </c>
      <c r="C1355" s="38" t="s">
        <v>83</v>
      </c>
      <c r="D1355" s="38" t="s">
        <v>160</v>
      </c>
      <c r="E1355" s="38" t="s">
        <v>274</v>
      </c>
      <c r="F1355" s="38" t="s">
        <v>4629</v>
      </c>
      <c r="G1355" s="38">
        <v>45</v>
      </c>
      <c r="H1355" s="29">
        <v>626351</v>
      </c>
      <c r="I1355" s="16" t="s">
        <v>4413</v>
      </c>
      <c r="J1355" s="16" t="s">
        <v>4282</v>
      </c>
      <c r="K1355" s="29" t="s">
        <v>4917</v>
      </c>
      <c r="L1355" s="16" t="s">
        <v>180</v>
      </c>
      <c r="M1355" s="95" t="s">
        <v>4170</v>
      </c>
      <c r="N1355" s="15" t="s">
        <v>4171</v>
      </c>
      <c r="O1355" s="16" t="s">
        <v>4172</v>
      </c>
      <c r="P1355" s="23">
        <v>1294.08816</v>
      </c>
      <c r="Q1355" s="23">
        <f t="shared" si="168"/>
        <v>1527.0240288</v>
      </c>
      <c r="R1355" s="23">
        <v>1184.0344229339353</v>
      </c>
      <c r="S1355" s="29" t="s">
        <v>4180</v>
      </c>
      <c r="T1355" s="312">
        <v>1.0840000000000001</v>
      </c>
      <c r="U1355" s="312">
        <v>1.0509999999999999</v>
      </c>
      <c r="V1355" s="312">
        <v>1.0669999999999999</v>
      </c>
      <c r="W1355" s="312">
        <v>1</v>
      </c>
      <c r="X1355" s="403">
        <v>0.9</v>
      </c>
      <c r="Y1355" s="23">
        <v>1295.3981000000001</v>
      </c>
      <c r="Z1355" s="23">
        <f t="shared" si="169"/>
        <v>1528.5697580000001</v>
      </c>
      <c r="AA1355" s="36" t="s">
        <v>132</v>
      </c>
      <c r="AB1355" s="36" t="s">
        <v>132</v>
      </c>
      <c r="AC1355" s="23">
        <v>1294.08816</v>
      </c>
      <c r="AD1355" s="23">
        <f t="shared" si="170"/>
        <v>1527.0240288</v>
      </c>
      <c r="AE1355" s="38" t="s">
        <v>173</v>
      </c>
      <c r="AF1355" s="38" t="s">
        <v>83</v>
      </c>
      <c r="AG1355" s="38" t="s">
        <v>83</v>
      </c>
      <c r="AH1355" s="38" t="s">
        <v>90</v>
      </c>
      <c r="AI1355" s="51">
        <v>41628</v>
      </c>
      <c r="AJ1355" s="52">
        <v>41649</v>
      </c>
      <c r="AK1355" s="369"/>
      <c r="AL1355" s="60"/>
      <c r="AM1355" s="60" t="s">
        <v>4414</v>
      </c>
      <c r="AN1355" s="60" t="s">
        <v>1757</v>
      </c>
      <c r="AO1355" s="11">
        <v>796</v>
      </c>
      <c r="AP1355" s="38" t="s">
        <v>368</v>
      </c>
      <c r="AQ1355" s="38">
        <v>1</v>
      </c>
      <c r="AR1355" s="38" t="s">
        <v>2980</v>
      </c>
      <c r="AS1355" s="16" t="s">
        <v>3373</v>
      </c>
      <c r="AT1355" s="51">
        <v>41670</v>
      </c>
      <c r="AU1355" s="51">
        <v>41670</v>
      </c>
      <c r="AV1355" s="78">
        <v>42004</v>
      </c>
      <c r="AW1355" s="38">
        <v>2014</v>
      </c>
      <c r="AX1355" s="60"/>
      <c r="AY1355" s="135"/>
      <c r="AZ1355" s="60"/>
      <c r="BA1355" s="38">
        <v>2014</v>
      </c>
      <c r="BB1355" s="38"/>
      <c r="BC1355" s="60"/>
      <c r="BD1355" s="60"/>
      <c r="BE1355" s="304"/>
      <c r="BF1355" s="304"/>
      <c r="BG1355" s="304"/>
      <c r="BH1355" s="304"/>
      <c r="BI1355" s="304"/>
      <c r="BJ1355" s="304"/>
      <c r="BK1355" s="16"/>
    </row>
    <row r="1356" spans="1:63" s="199" customFormat="1" ht="75">
      <c r="A1356" s="401">
        <v>3</v>
      </c>
      <c r="B1356" s="38" t="s">
        <v>4415</v>
      </c>
      <c r="C1356" s="38" t="s">
        <v>83</v>
      </c>
      <c r="D1356" s="38" t="s">
        <v>160</v>
      </c>
      <c r="E1356" s="38" t="s">
        <v>274</v>
      </c>
      <c r="F1356" s="38" t="s">
        <v>4629</v>
      </c>
      <c r="G1356" s="38">
        <v>45</v>
      </c>
      <c r="H1356" s="29">
        <v>626357</v>
      </c>
      <c r="I1356" s="16" t="s">
        <v>4416</v>
      </c>
      <c r="J1356" s="16" t="s">
        <v>4282</v>
      </c>
      <c r="K1356" s="29" t="s">
        <v>4917</v>
      </c>
      <c r="L1356" s="16" t="s">
        <v>180</v>
      </c>
      <c r="M1356" s="95" t="s">
        <v>4170</v>
      </c>
      <c r="N1356" s="15" t="s">
        <v>4171</v>
      </c>
      <c r="O1356" s="16" t="s">
        <v>4172</v>
      </c>
      <c r="P1356" s="23">
        <v>14185.598050000001</v>
      </c>
      <c r="Q1356" s="23">
        <f t="shared" si="168"/>
        <v>16739.005699000001</v>
      </c>
      <c r="R1356" s="23">
        <v>15659.374867816221</v>
      </c>
      <c r="S1356" s="29" t="s">
        <v>4180</v>
      </c>
      <c r="T1356" s="312">
        <v>1.0840000000000001</v>
      </c>
      <c r="U1356" s="312">
        <v>1.0509999999999999</v>
      </c>
      <c r="V1356" s="312">
        <v>1.0669999999999999</v>
      </c>
      <c r="W1356" s="312">
        <v>1</v>
      </c>
      <c r="X1356" s="403">
        <v>0.9</v>
      </c>
      <c r="Y1356" s="23">
        <v>17132.20837</v>
      </c>
      <c r="Z1356" s="23">
        <f t="shared" si="169"/>
        <v>20216.0058766</v>
      </c>
      <c r="AA1356" s="36" t="s">
        <v>132</v>
      </c>
      <c r="AB1356" s="36" t="s">
        <v>132</v>
      </c>
      <c r="AC1356" s="23">
        <v>14185.598050000001</v>
      </c>
      <c r="AD1356" s="23">
        <f t="shared" si="170"/>
        <v>16739.005699000001</v>
      </c>
      <c r="AE1356" s="60" t="s">
        <v>169</v>
      </c>
      <c r="AF1356" s="38" t="s">
        <v>83</v>
      </c>
      <c r="AG1356" s="38" t="s">
        <v>83</v>
      </c>
      <c r="AH1356" s="38" t="s">
        <v>90</v>
      </c>
      <c r="AI1356" s="51">
        <v>41598</v>
      </c>
      <c r="AJ1356" s="51">
        <v>41658</v>
      </c>
      <c r="AK1356" s="369"/>
      <c r="AL1356" s="60"/>
      <c r="AM1356" s="60" t="s">
        <v>4417</v>
      </c>
      <c r="AN1356" s="60" t="s">
        <v>1757</v>
      </c>
      <c r="AO1356" s="11">
        <v>796</v>
      </c>
      <c r="AP1356" s="38" t="s">
        <v>368</v>
      </c>
      <c r="AQ1356" s="38">
        <v>1</v>
      </c>
      <c r="AR1356" s="38" t="s">
        <v>2980</v>
      </c>
      <c r="AS1356" s="16" t="s">
        <v>3373</v>
      </c>
      <c r="AT1356" s="51">
        <v>41658</v>
      </c>
      <c r="AU1356" s="78">
        <v>41659</v>
      </c>
      <c r="AV1356" s="78">
        <v>42004</v>
      </c>
      <c r="AW1356" s="38">
        <v>2014</v>
      </c>
      <c r="AX1356" s="60"/>
      <c r="AY1356" s="135"/>
      <c r="AZ1356" s="60"/>
      <c r="BA1356" s="38">
        <v>2014</v>
      </c>
      <c r="BB1356" s="38"/>
      <c r="BC1356" s="60"/>
      <c r="BD1356" s="60"/>
      <c r="BE1356" s="304"/>
      <c r="BF1356" s="304"/>
      <c r="BG1356" s="304"/>
      <c r="BH1356" s="304"/>
      <c r="BI1356" s="304"/>
      <c r="BJ1356" s="304"/>
      <c r="BK1356" s="16"/>
    </row>
    <row r="1357" spans="1:63" s="199" customFormat="1" ht="75">
      <c r="A1357" s="401">
        <v>3</v>
      </c>
      <c r="B1357" s="38" t="s">
        <v>4418</v>
      </c>
      <c r="C1357" s="38" t="s">
        <v>83</v>
      </c>
      <c r="D1357" s="38" t="s">
        <v>160</v>
      </c>
      <c r="E1357" s="38" t="s">
        <v>274</v>
      </c>
      <c r="F1357" s="38" t="s">
        <v>4625</v>
      </c>
      <c r="G1357" s="38">
        <v>29</v>
      </c>
      <c r="H1357" s="29">
        <v>626277</v>
      </c>
      <c r="I1357" s="16" t="s">
        <v>4419</v>
      </c>
      <c r="J1357" s="16" t="s">
        <v>4282</v>
      </c>
      <c r="K1357" s="29" t="s">
        <v>4917</v>
      </c>
      <c r="L1357" s="16" t="s">
        <v>180</v>
      </c>
      <c r="M1357" s="95" t="s">
        <v>4170</v>
      </c>
      <c r="N1357" s="15" t="s">
        <v>4171</v>
      </c>
      <c r="O1357" s="16" t="s">
        <v>4172</v>
      </c>
      <c r="P1357" s="23">
        <v>2033.4051000000002</v>
      </c>
      <c r="Q1357" s="23">
        <f t="shared" si="168"/>
        <v>2399.4180180000003</v>
      </c>
      <c r="R1357" s="23">
        <v>3057.9199145256011</v>
      </c>
      <c r="S1357" s="29" t="s">
        <v>4180</v>
      </c>
      <c r="T1357" s="312">
        <v>1.0840000000000001</v>
      </c>
      <c r="U1357" s="312">
        <v>1.0509999999999999</v>
      </c>
      <c r="V1357" s="312">
        <v>1.0669999999999999</v>
      </c>
      <c r="W1357" s="312">
        <v>1.056</v>
      </c>
      <c r="X1357" s="403">
        <v>0.9</v>
      </c>
      <c r="Y1357" s="23">
        <v>3532.8805400000001</v>
      </c>
      <c r="Z1357" s="23">
        <f t="shared" si="169"/>
        <v>4168.7990371999995</v>
      </c>
      <c r="AA1357" s="36" t="s">
        <v>132</v>
      </c>
      <c r="AB1357" s="36" t="s">
        <v>132</v>
      </c>
      <c r="AC1357" s="23">
        <v>2033.4051000000002</v>
      </c>
      <c r="AD1357" s="23">
        <f t="shared" si="170"/>
        <v>2399.4180180000003</v>
      </c>
      <c r="AE1357" s="38" t="s">
        <v>173</v>
      </c>
      <c r="AF1357" s="38" t="s">
        <v>83</v>
      </c>
      <c r="AG1357" s="38" t="s">
        <v>83</v>
      </c>
      <c r="AH1357" s="38" t="s">
        <v>90</v>
      </c>
      <c r="AI1357" s="51">
        <v>41598</v>
      </c>
      <c r="AJ1357" s="51">
        <v>41643</v>
      </c>
      <c r="AK1357" s="369"/>
      <c r="AL1357" s="60"/>
      <c r="AM1357" s="60" t="s">
        <v>4420</v>
      </c>
      <c r="AN1357" s="60" t="s">
        <v>1757</v>
      </c>
      <c r="AO1357" s="11">
        <v>796</v>
      </c>
      <c r="AP1357" s="38" t="s">
        <v>368</v>
      </c>
      <c r="AQ1357" s="38">
        <v>1</v>
      </c>
      <c r="AR1357" s="38" t="s">
        <v>2980</v>
      </c>
      <c r="AS1357" s="16" t="s">
        <v>3373</v>
      </c>
      <c r="AT1357" s="51">
        <v>41643</v>
      </c>
      <c r="AU1357" s="78">
        <v>41644</v>
      </c>
      <c r="AV1357" s="78">
        <v>42004</v>
      </c>
      <c r="AW1357" s="38">
        <v>2014</v>
      </c>
      <c r="AX1357" s="60"/>
      <c r="AY1357" s="135"/>
      <c r="AZ1357" s="60"/>
      <c r="BA1357" s="38">
        <v>2014</v>
      </c>
      <c r="BB1357" s="38"/>
      <c r="BC1357" s="60"/>
      <c r="BD1357" s="60"/>
      <c r="BE1357" s="304"/>
      <c r="BF1357" s="304"/>
      <c r="BG1357" s="304"/>
      <c r="BH1357" s="304"/>
      <c r="BI1357" s="304"/>
      <c r="BJ1357" s="304"/>
      <c r="BK1357" s="16"/>
    </row>
    <row r="1358" spans="1:63" s="199" customFormat="1" ht="75">
      <c r="A1358" s="401">
        <v>3</v>
      </c>
      <c r="B1358" s="38" t="s">
        <v>4421</v>
      </c>
      <c r="C1358" s="38" t="s">
        <v>83</v>
      </c>
      <c r="D1358" s="38" t="s">
        <v>160</v>
      </c>
      <c r="E1358" s="38" t="s">
        <v>274</v>
      </c>
      <c r="F1358" s="38" t="s">
        <v>4620</v>
      </c>
      <c r="G1358" s="38">
        <v>31</v>
      </c>
      <c r="H1358" s="29">
        <v>626279</v>
      </c>
      <c r="I1358" s="16" t="s">
        <v>4422</v>
      </c>
      <c r="J1358" s="16" t="s">
        <v>4282</v>
      </c>
      <c r="K1358" s="29" t="s">
        <v>4917</v>
      </c>
      <c r="L1358" s="16" t="s">
        <v>180</v>
      </c>
      <c r="M1358" s="95" t="s">
        <v>4170</v>
      </c>
      <c r="N1358" s="15" t="s">
        <v>4171</v>
      </c>
      <c r="O1358" s="16" t="s">
        <v>4172</v>
      </c>
      <c r="P1358" s="23">
        <v>1603.2786999999998</v>
      </c>
      <c r="Q1358" s="23">
        <f t="shared" si="168"/>
        <v>1891.8688659999998</v>
      </c>
      <c r="R1358" s="23">
        <v>1698.9626314865277</v>
      </c>
      <c r="S1358" s="29" t="s">
        <v>4180</v>
      </c>
      <c r="T1358" s="312">
        <v>1.0840000000000001</v>
      </c>
      <c r="U1358" s="312">
        <v>1.0509999999999999</v>
      </c>
      <c r="V1358" s="312">
        <v>1.0669999999999999</v>
      </c>
      <c r="W1358" s="312">
        <v>1.056</v>
      </c>
      <c r="X1358" s="403">
        <v>0.9</v>
      </c>
      <c r="Y1358" s="23">
        <v>1962.8480099999999</v>
      </c>
      <c r="Z1358" s="23">
        <f t="shared" si="169"/>
        <v>2316.1606517999999</v>
      </c>
      <c r="AA1358" s="36" t="s">
        <v>132</v>
      </c>
      <c r="AB1358" s="36" t="s">
        <v>132</v>
      </c>
      <c r="AC1358" s="23">
        <v>1603.2786999999998</v>
      </c>
      <c r="AD1358" s="23">
        <f t="shared" si="170"/>
        <v>1891.8688659999998</v>
      </c>
      <c r="AE1358" s="38" t="s">
        <v>173</v>
      </c>
      <c r="AF1358" s="38" t="s">
        <v>83</v>
      </c>
      <c r="AG1358" s="38" t="s">
        <v>83</v>
      </c>
      <c r="AH1358" s="38" t="s">
        <v>90</v>
      </c>
      <c r="AI1358" s="51">
        <v>41598</v>
      </c>
      <c r="AJ1358" s="51">
        <v>41643</v>
      </c>
      <c r="AK1358" s="369"/>
      <c r="AL1358" s="60"/>
      <c r="AM1358" s="60" t="s">
        <v>4423</v>
      </c>
      <c r="AN1358" s="60" t="s">
        <v>1757</v>
      </c>
      <c r="AO1358" s="11">
        <v>796</v>
      </c>
      <c r="AP1358" s="38" t="s">
        <v>368</v>
      </c>
      <c r="AQ1358" s="38">
        <v>1</v>
      </c>
      <c r="AR1358" s="38" t="s">
        <v>2980</v>
      </c>
      <c r="AS1358" s="16" t="s">
        <v>3373</v>
      </c>
      <c r="AT1358" s="51">
        <v>41643</v>
      </c>
      <c r="AU1358" s="78">
        <v>41644</v>
      </c>
      <c r="AV1358" s="78">
        <v>42004</v>
      </c>
      <c r="AW1358" s="38">
        <v>2014</v>
      </c>
      <c r="AX1358" s="60"/>
      <c r="AY1358" s="135"/>
      <c r="AZ1358" s="60"/>
      <c r="BA1358" s="38">
        <v>2014</v>
      </c>
      <c r="BB1358" s="38"/>
      <c r="BC1358" s="60"/>
      <c r="BD1358" s="60"/>
      <c r="BE1358" s="304"/>
      <c r="BF1358" s="304"/>
      <c r="BG1358" s="304"/>
      <c r="BH1358" s="304"/>
      <c r="BI1358" s="304"/>
      <c r="BJ1358" s="304"/>
      <c r="BK1358" s="16"/>
    </row>
    <row r="1359" spans="1:63" s="199" customFormat="1" ht="75">
      <c r="A1359" s="401">
        <v>3</v>
      </c>
      <c r="B1359" s="38" t="s">
        <v>4424</v>
      </c>
      <c r="C1359" s="38" t="s">
        <v>83</v>
      </c>
      <c r="D1359" s="38" t="s">
        <v>160</v>
      </c>
      <c r="E1359" s="38" t="s">
        <v>274</v>
      </c>
      <c r="F1359" s="38" t="s">
        <v>4625</v>
      </c>
      <c r="G1359" s="38">
        <v>29</v>
      </c>
      <c r="H1359" s="29">
        <v>626280</v>
      </c>
      <c r="I1359" s="16" t="s">
        <v>4425</v>
      </c>
      <c r="J1359" s="16" t="s">
        <v>4282</v>
      </c>
      <c r="K1359" s="29" t="s">
        <v>4917</v>
      </c>
      <c r="L1359" s="16" t="s">
        <v>180</v>
      </c>
      <c r="M1359" s="95" t="s">
        <v>4170</v>
      </c>
      <c r="N1359" s="15" t="s">
        <v>4171</v>
      </c>
      <c r="O1359" s="16" t="s">
        <v>4172</v>
      </c>
      <c r="P1359" s="23">
        <v>1929.9629199999999</v>
      </c>
      <c r="Q1359" s="23">
        <f t="shared" si="168"/>
        <v>2277.3562456</v>
      </c>
      <c r="R1359" s="23">
        <v>2296.7612668740521</v>
      </c>
      <c r="S1359" s="29" t="s">
        <v>4180</v>
      </c>
      <c r="T1359" s="312">
        <v>1.0840000000000001</v>
      </c>
      <c r="U1359" s="312">
        <v>1.0509999999999999</v>
      </c>
      <c r="V1359" s="312">
        <v>1.0669999999999999</v>
      </c>
      <c r="W1359" s="312">
        <v>1.056</v>
      </c>
      <c r="X1359" s="403">
        <v>0.9</v>
      </c>
      <c r="Y1359" s="23">
        <v>2653.4976099999999</v>
      </c>
      <c r="Z1359" s="23">
        <f t="shared" si="169"/>
        <v>3131.1271797999998</v>
      </c>
      <c r="AA1359" s="36" t="s">
        <v>132</v>
      </c>
      <c r="AB1359" s="36" t="s">
        <v>132</v>
      </c>
      <c r="AC1359" s="23">
        <v>1929.9629199999999</v>
      </c>
      <c r="AD1359" s="23">
        <f t="shared" si="170"/>
        <v>2277.3562456</v>
      </c>
      <c r="AE1359" s="38" t="s">
        <v>173</v>
      </c>
      <c r="AF1359" s="38" t="s">
        <v>83</v>
      </c>
      <c r="AG1359" s="38" t="s">
        <v>83</v>
      </c>
      <c r="AH1359" s="38" t="s">
        <v>90</v>
      </c>
      <c r="AI1359" s="51">
        <v>41598</v>
      </c>
      <c r="AJ1359" s="51">
        <v>41643</v>
      </c>
      <c r="AK1359" s="369"/>
      <c r="AL1359" s="60"/>
      <c r="AM1359" s="60" t="s">
        <v>4426</v>
      </c>
      <c r="AN1359" s="60" t="s">
        <v>1757</v>
      </c>
      <c r="AO1359" s="11">
        <v>796</v>
      </c>
      <c r="AP1359" s="38" t="s">
        <v>368</v>
      </c>
      <c r="AQ1359" s="38">
        <v>1</v>
      </c>
      <c r="AR1359" s="38" t="s">
        <v>2980</v>
      </c>
      <c r="AS1359" s="16" t="s">
        <v>3373</v>
      </c>
      <c r="AT1359" s="51">
        <v>41643</v>
      </c>
      <c r="AU1359" s="78">
        <v>41644</v>
      </c>
      <c r="AV1359" s="78">
        <v>42004</v>
      </c>
      <c r="AW1359" s="38">
        <v>2014</v>
      </c>
      <c r="AX1359" s="60"/>
      <c r="AY1359" s="135"/>
      <c r="AZ1359" s="60"/>
      <c r="BA1359" s="38">
        <v>2014</v>
      </c>
      <c r="BB1359" s="38"/>
      <c r="BC1359" s="60"/>
      <c r="BD1359" s="60"/>
      <c r="BE1359" s="304"/>
      <c r="BF1359" s="304"/>
      <c r="BG1359" s="304"/>
      <c r="BH1359" s="304"/>
      <c r="BI1359" s="304"/>
      <c r="BJ1359" s="304"/>
      <c r="BK1359" s="16"/>
    </row>
    <row r="1360" spans="1:63" s="199" customFormat="1" ht="168.75">
      <c r="A1360" s="401">
        <v>3</v>
      </c>
      <c r="B1360" s="38" t="s">
        <v>4427</v>
      </c>
      <c r="C1360" s="38" t="s">
        <v>83</v>
      </c>
      <c r="D1360" s="38" t="s">
        <v>160</v>
      </c>
      <c r="E1360" s="38" t="s">
        <v>274</v>
      </c>
      <c r="F1360" s="38" t="s">
        <v>4625</v>
      </c>
      <c r="G1360" s="38">
        <v>29</v>
      </c>
      <c r="H1360" s="29">
        <v>626344</v>
      </c>
      <c r="I1360" s="16" t="s">
        <v>4428</v>
      </c>
      <c r="J1360" s="16" t="s">
        <v>4282</v>
      </c>
      <c r="K1360" s="29" t="s">
        <v>4917</v>
      </c>
      <c r="L1360" s="16" t="s">
        <v>180</v>
      </c>
      <c r="M1360" s="95" t="s">
        <v>4170</v>
      </c>
      <c r="N1360" s="15" t="s">
        <v>4171</v>
      </c>
      <c r="O1360" s="16" t="s">
        <v>4172</v>
      </c>
      <c r="P1360" s="23">
        <v>5880.75792</v>
      </c>
      <c r="Q1360" s="23">
        <f t="shared" si="168"/>
        <v>6939.2943455999994</v>
      </c>
      <c r="R1360" s="23">
        <v>6776.5410209788488</v>
      </c>
      <c r="S1360" s="29" t="s">
        <v>4652</v>
      </c>
      <c r="T1360" s="312">
        <v>1.0900000000000001</v>
      </c>
      <c r="U1360" s="312">
        <v>1.0409999999999999</v>
      </c>
      <c r="V1360" s="312">
        <v>1.0229999999999999</v>
      </c>
      <c r="W1360" s="312">
        <v>1.044</v>
      </c>
      <c r="X1360" s="403">
        <v>0.9</v>
      </c>
      <c r="Y1360" s="23">
        <v>7391.0125699999999</v>
      </c>
      <c r="Z1360" s="23">
        <f t="shared" si="169"/>
        <v>8721.3948325999991</v>
      </c>
      <c r="AA1360" s="36" t="s">
        <v>132</v>
      </c>
      <c r="AB1360" s="36" t="s">
        <v>132</v>
      </c>
      <c r="AC1360" s="23">
        <v>5880.75792</v>
      </c>
      <c r="AD1360" s="23">
        <f t="shared" si="170"/>
        <v>6939.2943455999994</v>
      </c>
      <c r="AE1360" s="38" t="s">
        <v>173</v>
      </c>
      <c r="AF1360" s="38" t="s">
        <v>83</v>
      </c>
      <c r="AG1360" s="38" t="s">
        <v>83</v>
      </c>
      <c r="AH1360" s="38" t="s">
        <v>90</v>
      </c>
      <c r="AI1360" s="51">
        <v>41598</v>
      </c>
      <c r="AJ1360" s="51">
        <v>41643</v>
      </c>
      <c r="AK1360" s="369"/>
      <c r="AL1360" s="60"/>
      <c r="AM1360" s="60" t="s">
        <v>4429</v>
      </c>
      <c r="AN1360" s="60" t="s">
        <v>1757</v>
      </c>
      <c r="AO1360" s="11">
        <v>796</v>
      </c>
      <c r="AP1360" s="38" t="s">
        <v>368</v>
      </c>
      <c r="AQ1360" s="38">
        <v>1</v>
      </c>
      <c r="AR1360" s="38" t="s">
        <v>2980</v>
      </c>
      <c r="AS1360" s="16" t="s">
        <v>3373</v>
      </c>
      <c r="AT1360" s="51">
        <v>41643</v>
      </c>
      <c r="AU1360" s="78">
        <v>41644</v>
      </c>
      <c r="AV1360" s="78">
        <v>41670</v>
      </c>
      <c r="AW1360" s="38">
        <v>2014</v>
      </c>
      <c r="AX1360" s="60"/>
      <c r="AY1360" s="135"/>
      <c r="AZ1360" s="60"/>
      <c r="BA1360" s="38">
        <v>2014</v>
      </c>
      <c r="BB1360" s="38"/>
      <c r="BC1360" s="60"/>
      <c r="BD1360" s="60"/>
      <c r="BE1360" s="304"/>
      <c r="BF1360" s="304"/>
      <c r="BG1360" s="304"/>
      <c r="BH1360" s="304"/>
      <c r="BI1360" s="304"/>
      <c r="BJ1360" s="304"/>
      <c r="BK1360" s="16"/>
    </row>
    <row r="1361" spans="1:63" s="199" customFormat="1" ht="168.75">
      <c r="A1361" s="401">
        <v>3</v>
      </c>
      <c r="B1361" s="38" t="s">
        <v>4430</v>
      </c>
      <c r="C1361" s="38" t="s">
        <v>83</v>
      </c>
      <c r="D1361" s="38" t="s">
        <v>160</v>
      </c>
      <c r="E1361" s="38" t="s">
        <v>274</v>
      </c>
      <c r="F1361" s="38" t="s">
        <v>4625</v>
      </c>
      <c r="G1361" s="38">
        <v>29</v>
      </c>
      <c r="H1361" s="29">
        <v>626347</v>
      </c>
      <c r="I1361" s="16" t="s">
        <v>4431</v>
      </c>
      <c r="J1361" s="16" t="s">
        <v>4282</v>
      </c>
      <c r="K1361" s="29" t="s">
        <v>4917</v>
      </c>
      <c r="L1361" s="16" t="s">
        <v>180</v>
      </c>
      <c r="M1361" s="95" t="s">
        <v>4170</v>
      </c>
      <c r="N1361" s="15" t="s">
        <v>4171</v>
      </c>
      <c r="O1361" s="16" t="s">
        <v>4172</v>
      </c>
      <c r="P1361" s="23">
        <v>1205.24485</v>
      </c>
      <c r="Q1361" s="23">
        <f t="shared" si="168"/>
        <v>1422.1889229999999</v>
      </c>
      <c r="R1361" s="23">
        <v>1165.1414348811593</v>
      </c>
      <c r="S1361" s="29" t="s">
        <v>4652</v>
      </c>
      <c r="T1361" s="312">
        <v>1.0900000000000001</v>
      </c>
      <c r="U1361" s="312">
        <v>1.0409999999999999</v>
      </c>
      <c r="V1361" s="312">
        <v>1.0229999999999999</v>
      </c>
      <c r="W1361" s="312">
        <v>1</v>
      </c>
      <c r="X1361" s="403">
        <v>0.9</v>
      </c>
      <c r="Y1361" s="23">
        <v>1217.2338400000001</v>
      </c>
      <c r="Z1361" s="23">
        <f t="shared" si="169"/>
        <v>1436.3359312</v>
      </c>
      <c r="AA1361" s="36" t="s">
        <v>132</v>
      </c>
      <c r="AB1361" s="36" t="s">
        <v>132</v>
      </c>
      <c r="AC1361" s="23">
        <v>1205.24485</v>
      </c>
      <c r="AD1361" s="23">
        <f t="shared" si="170"/>
        <v>1422.1889229999999</v>
      </c>
      <c r="AE1361" s="38" t="s">
        <v>173</v>
      </c>
      <c r="AF1361" s="38" t="s">
        <v>83</v>
      </c>
      <c r="AG1361" s="38" t="s">
        <v>83</v>
      </c>
      <c r="AH1361" s="38" t="s">
        <v>90</v>
      </c>
      <c r="AI1361" s="51">
        <v>41598</v>
      </c>
      <c r="AJ1361" s="51">
        <v>41643</v>
      </c>
      <c r="AK1361" s="369"/>
      <c r="AL1361" s="60"/>
      <c r="AM1361" s="60" t="s">
        <v>4432</v>
      </c>
      <c r="AN1361" s="60" t="s">
        <v>1757</v>
      </c>
      <c r="AO1361" s="11">
        <v>796</v>
      </c>
      <c r="AP1361" s="38" t="s">
        <v>368</v>
      </c>
      <c r="AQ1361" s="38">
        <v>1</v>
      </c>
      <c r="AR1361" s="38" t="s">
        <v>2980</v>
      </c>
      <c r="AS1361" s="16" t="s">
        <v>3373</v>
      </c>
      <c r="AT1361" s="51">
        <v>41643</v>
      </c>
      <c r="AU1361" s="78">
        <v>41644</v>
      </c>
      <c r="AV1361" s="78">
        <v>42004</v>
      </c>
      <c r="AW1361" s="38">
        <v>2014</v>
      </c>
      <c r="AX1361" s="60"/>
      <c r="AY1361" s="135"/>
      <c r="AZ1361" s="60"/>
      <c r="BA1361" s="38">
        <v>2014</v>
      </c>
      <c r="BB1361" s="38"/>
      <c r="BC1361" s="60"/>
      <c r="BD1361" s="60"/>
      <c r="BE1361" s="304"/>
      <c r="BF1361" s="304"/>
      <c r="BG1361" s="304"/>
      <c r="BH1361" s="304"/>
      <c r="BI1361" s="304"/>
      <c r="BJ1361" s="304"/>
      <c r="BK1361" s="16"/>
    </row>
    <row r="1362" spans="1:63" s="199" customFormat="1" ht="168.75">
      <c r="A1362" s="401">
        <v>3</v>
      </c>
      <c r="B1362" s="38" t="s">
        <v>4433</v>
      </c>
      <c r="C1362" s="38" t="s">
        <v>83</v>
      </c>
      <c r="D1362" s="38" t="s">
        <v>160</v>
      </c>
      <c r="E1362" s="38" t="s">
        <v>274</v>
      </c>
      <c r="F1362" s="38" t="s">
        <v>4625</v>
      </c>
      <c r="G1362" s="38">
        <v>29</v>
      </c>
      <c r="H1362" s="29">
        <v>626353</v>
      </c>
      <c r="I1362" s="16" t="s">
        <v>4434</v>
      </c>
      <c r="J1362" s="16" t="s">
        <v>4282</v>
      </c>
      <c r="K1362" s="29" t="s">
        <v>4917</v>
      </c>
      <c r="L1362" s="16" t="s">
        <v>180</v>
      </c>
      <c r="M1362" s="95" t="s">
        <v>4170</v>
      </c>
      <c r="N1362" s="15" t="s">
        <v>4171</v>
      </c>
      <c r="O1362" s="16" t="s">
        <v>4172</v>
      </c>
      <c r="P1362" s="23">
        <v>830.74926000000005</v>
      </c>
      <c r="Q1362" s="23">
        <f t="shared" si="168"/>
        <v>980.28412679999997</v>
      </c>
      <c r="R1362" s="23">
        <v>656.33341974930966</v>
      </c>
      <c r="S1362" s="29" t="s">
        <v>4652</v>
      </c>
      <c r="T1362" s="312">
        <v>1.090239890085446</v>
      </c>
      <c r="U1362" s="312">
        <v>1.0409999999999999</v>
      </c>
      <c r="V1362" s="312">
        <v>1.0229999999999999</v>
      </c>
      <c r="W1362" s="312">
        <v>1.044</v>
      </c>
      <c r="X1362" s="403">
        <v>0.9</v>
      </c>
      <c r="Y1362" s="23">
        <v>716.00483999999994</v>
      </c>
      <c r="Z1362" s="23">
        <f t="shared" si="169"/>
        <v>844.88571119999995</v>
      </c>
      <c r="AA1362" s="36" t="s">
        <v>132</v>
      </c>
      <c r="AB1362" s="36" t="s">
        <v>132</v>
      </c>
      <c r="AC1362" s="23">
        <v>830.74926000000005</v>
      </c>
      <c r="AD1362" s="23">
        <f t="shared" si="170"/>
        <v>980.28412679999997</v>
      </c>
      <c r="AE1362" s="38" t="s">
        <v>173</v>
      </c>
      <c r="AF1362" s="38" t="s">
        <v>83</v>
      </c>
      <c r="AG1362" s="38" t="s">
        <v>83</v>
      </c>
      <c r="AH1362" s="38" t="s">
        <v>90</v>
      </c>
      <c r="AI1362" s="51">
        <v>41598</v>
      </c>
      <c r="AJ1362" s="51">
        <v>41643</v>
      </c>
      <c r="AK1362" s="369"/>
      <c r="AL1362" s="60"/>
      <c r="AM1362" s="60" t="s">
        <v>4435</v>
      </c>
      <c r="AN1362" s="60" t="s">
        <v>1757</v>
      </c>
      <c r="AO1362" s="11">
        <v>796</v>
      </c>
      <c r="AP1362" s="38" t="s">
        <v>368</v>
      </c>
      <c r="AQ1362" s="38">
        <v>1</v>
      </c>
      <c r="AR1362" s="38" t="s">
        <v>2980</v>
      </c>
      <c r="AS1362" s="16" t="s">
        <v>3373</v>
      </c>
      <c r="AT1362" s="51">
        <v>41643</v>
      </c>
      <c r="AU1362" s="78">
        <v>41644</v>
      </c>
      <c r="AV1362" s="78">
        <v>42004</v>
      </c>
      <c r="AW1362" s="38">
        <v>2014</v>
      </c>
      <c r="AX1362" s="60"/>
      <c r="AY1362" s="135"/>
      <c r="AZ1362" s="60"/>
      <c r="BA1362" s="38">
        <v>2014</v>
      </c>
      <c r="BB1362" s="38"/>
      <c r="BC1362" s="60"/>
      <c r="BD1362" s="60"/>
      <c r="BE1362" s="304"/>
      <c r="BF1362" s="304"/>
      <c r="BG1362" s="304"/>
      <c r="BH1362" s="304"/>
      <c r="BI1362" s="304"/>
      <c r="BJ1362" s="304"/>
      <c r="BK1362" s="16"/>
    </row>
    <row r="1363" spans="1:63" s="199" customFormat="1" ht="168.75">
      <c r="A1363" s="401">
        <v>3</v>
      </c>
      <c r="B1363" s="38" t="s">
        <v>4436</v>
      </c>
      <c r="C1363" s="38" t="s">
        <v>83</v>
      </c>
      <c r="D1363" s="38" t="s">
        <v>160</v>
      </c>
      <c r="E1363" s="38" t="s">
        <v>274</v>
      </c>
      <c r="F1363" s="38" t="s">
        <v>4620</v>
      </c>
      <c r="G1363" s="38">
        <v>31</v>
      </c>
      <c r="H1363" s="29">
        <v>626288</v>
      </c>
      <c r="I1363" s="16" t="s">
        <v>4437</v>
      </c>
      <c r="J1363" s="16" t="s">
        <v>4282</v>
      </c>
      <c r="K1363" s="29" t="s">
        <v>4917</v>
      </c>
      <c r="L1363" s="16" t="s">
        <v>180</v>
      </c>
      <c r="M1363" s="95" t="s">
        <v>4170</v>
      </c>
      <c r="N1363" s="15" t="s">
        <v>4171</v>
      </c>
      <c r="O1363" s="16" t="s">
        <v>4172</v>
      </c>
      <c r="P1363" s="23">
        <v>2567.2645499999999</v>
      </c>
      <c r="Q1363" s="23">
        <f t="shared" si="168"/>
        <v>3029.3721689999998</v>
      </c>
      <c r="R1363" s="23">
        <v>2874.836515612069</v>
      </c>
      <c r="S1363" s="29" t="s">
        <v>4652</v>
      </c>
      <c r="T1363" s="312">
        <v>1.0900000000000001</v>
      </c>
      <c r="U1363" s="312">
        <v>1.0409999999999999</v>
      </c>
      <c r="V1363" s="312">
        <v>1.0229999999999999</v>
      </c>
      <c r="W1363" s="312">
        <v>1</v>
      </c>
      <c r="X1363" s="403">
        <v>0.9</v>
      </c>
      <c r="Y1363" s="23">
        <v>3003.3678199999999</v>
      </c>
      <c r="Z1363" s="23">
        <f t="shared" si="169"/>
        <v>3543.9740275999998</v>
      </c>
      <c r="AA1363" s="36" t="s">
        <v>132</v>
      </c>
      <c r="AB1363" s="36" t="s">
        <v>132</v>
      </c>
      <c r="AC1363" s="23">
        <v>2567.2645499999999</v>
      </c>
      <c r="AD1363" s="23">
        <f t="shared" si="170"/>
        <v>3029.3721689999998</v>
      </c>
      <c r="AE1363" s="38" t="s">
        <v>173</v>
      </c>
      <c r="AF1363" s="38" t="s">
        <v>83</v>
      </c>
      <c r="AG1363" s="38" t="s">
        <v>83</v>
      </c>
      <c r="AH1363" s="38" t="s">
        <v>90</v>
      </c>
      <c r="AI1363" s="51">
        <v>41598</v>
      </c>
      <c r="AJ1363" s="51">
        <v>41643</v>
      </c>
      <c r="AK1363" s="369"/>
      <c r="AL1363" s="60"/>
      <c r="AM1363" s="60" t="s">
        <v>4438</v>
      </c>
      <c r="AN1363" s="60" t="s">
        <v>1757</v>
      </c>
      <c r="AO1363" s="11">
        <v>796</v>
      </c>
      <c r="AP1363" s="38" t="s">
        <v>368</v>
      </c>
      <c r="AQ1363" s="38">
        <v>1</v>
      </c>
      <c r="AR1363" s="38" t="s">
        <v>2980</v>
      </c>
      <c r="AS1363" s="16" t="s">
        <v>3373</v>
      </c>
      <c r="AT1363" s="51">
        <v>41643</v>
      </c>
      <c r="AU1363" s="78">
        <v>41644</v>
      </c>
      <c r="AV1363" s="78">
        <v>42004</v>
      </c>
      <c r="AW1363" s="38">
        <v>2014</v>
      </c>
      <c r="AX1363" s="60"/>
      <c r="AY1363" s="135"/>
      <c r="AZ1363" s="60"/>
      <c r="BA1363" s="38">
        <v>2014</v>
      </c>
      <c r="BB1363" s="38"/>
      <c r="BC1363" s="60"/>
      <c r="BD1363" s="60"/>
      <c r="BE1363" s="304"/>
      <c r="BF1363" s="304"/>
      <c r="BG1363" s="304"/>
      <c r="BH1363" s="304"/>
      <c r="BI1363" s="304"/>
      <c r="BJ1363" s="304"/>
      <c r="BK1363" s="16"/>
    </row>
    <row r="1364" spans="1:63" s="199" customFormat="1" ht="75">
      <c r="A1364" s="401">
        <v>3</v>
      </c>
      <c r="B1364" s="38" t="s">
        <v>4439</v>
      </c>
      <c r="C1364" s="38" t="s">
        <v>83</v>
      </c>
      <c r="D1364" s="38" t="s">
        <v>160</v>
      </c>
      <c r="E1364" s="38" t="s">
        <v>274</v>
      </c>
      <c r="F1364" s="38" t="s">
        <v>4625</v>
      </c>
      <c r="G1364" s="38">
        <v>29</v>
      </c>
      <c r="H1364" s="29">
        <v>626255</v>
      </c>
      <c r="I1364" s="16" t="s">
        <v>4440</v>
      </c>
      <c r="J1364" s="16" t="s">
        <v>4282</v>
      </c>
      <c r="K1364" s="29" t="s">
        <v>4917</v>
      </c>
      <c r="L1364" s="16" t="s">
        <v>180</v>
      </c>
      <c r="M1364" s="95" t="s">
        <v>4170</v>
      </c>
      <c r="N1364" s="15" t="s">
        <v>4171</v>
      </c>
      <c r="O1364" s="16" t="s">
        <v>4172</v>
      </c>
      <c r="P1364" s="23">
        <v>3885.2717000000002</v>
      </c>
      <c r="Q1364" s="23">
        <f t="shared" si="168"/>
        <v>4584.6206060000004</v>
      </c>
      <c r="R1364" s="23">
        <v>4112.3308455584656</v>
      </c>
      <c r="S1364" s="29" t="s">
        <v>4180</v>
      </c>
      <c r="T1364" s="312">
        <v>1.0840000000000001</v>
      </c>
      <c r="U1364" s="312">
        <v>1.0509999999999999</v>
      </c>
      <c r="V1364" s="312">
        <v>1.0669999999999999</v>
      </c>
      <c r="W1364" s="312">
        <v>1.056</v>
      </c>
      <c r="X1364" s="403">
        <v>0.9</v>
      </c>
      <c r="Y1364" s="23">
        <v>4751.0641299999997</v>
      </c>
      <c r="Z1364" s="23">
        <f t="shared" si="169"/>
        <v>5606.2556733999991</v>
      </c>
      <c r="AA1364" s="36" t="s">
        <v>132</v>
      </c>
      <c r="AB1364" s="36" t="s">
        <v>132</v>
      </c>
      <c r="AC1364" s="23">
        <v>3885.2717000000002</v>
      </c>
      <c r="AD1364" s="23">
        <f t="shared" si="170"/>
        <v>4584.6206060000004</v>
      </c>
      <c r="AE1364" s="38" t="s">
        <v>173</v>
      </c>
      <c r="AF1364" s="38" t="s">
        <v>83</v>
      </c>
      <c r="AG1364" s="38" t="s">
        <v>83</v>
      </c>
      <c r="AH1364" s="38" t="s">
        <v>90</v>
      </c>
      <c r="AI1364" s="51">
        <v>41598</v>
      </c>
      <c r="AJ1364" s="51">
        <v>41643</v>
      </c>
      <c r="AK1364" s="369"/>
      <c r="AL1364" s="60"/>
      <c r="AM1364" s="60" t="s">
        <v>4441</v>
      </c>
      <c r="AN1364" s="60" t="s">
        <v>1757</v>
      </c>
      <c r="AO1364" s="11">
        <v>796</v>
      </c>
      <c r="AP1364" s="38" t="s">
        <v>368</v>
      </c>
      <c r="AQ1364" s="38">
        <v>1</v>
      </c>
      <c r="AR1364" s="38" t="s">
        <v>2980</v>
      </c>
      <c r="AS1364" s="16" t="s">
        <v>3373</v>
      </c>
      <c r="AT1364" s="51">
        <v>41643</v>
      </c>
      <c r="AU1364" s="78">
        <v>41687</v>
      </c>
      <c r="AV1364" s="78">
        <v>42094</v>
      </c>
      <c r="AW1364" s="38">
        <v>2014</v>
      </c>
      <c r="AX1364" s="60"/>
      <c r="AY1364" s="135"/>
      <c r="AZ1364" s="60"/>
      <c r="BA1364" s="38">
        <v>2014</v>
      </c>
      <c r="BB1364" s="38"/>
      <c r="BC1364" s="60"/>
      <c r="BD1364" s="60"/>
      <c r="BE1364" s="304"/>
      <c r="BF1364" s="304"/>
      <c r="BG1364" s="304"/>
      <c r="BH1364" s="304"/>
      <c r="BI1364" s="304"/>
      <c r="BJ1364" s="304"/>
      <c r="BK1364" s="16"/>
    </row>
    <row r="1365" spans="1:63" s="199" customFormat="1" ht="168.75">
      <c r="A1365" s="401">
        <v>3</v>
      </c>
      <c r="B1365" s="38" t="s">
        <v>4442</v>
      </c>
      <c r="C1365" s="38" t="s">
        <v>83</v>
      </c>
      <c r="D1365" s="38" t="s">
        <v>160</v>
      </c>
      <c r="E1365" s="38" t="s">
        <v>274</v>
      </c>
      <c r="F1365" s="38" t="s">
        <v>4625</v>
      </c>
      <c r="G1365" s="38">
        <v>29</v>
      </c>
      <c r="H1365" s="29">
        <v>626301</v>
      </c>
      <c r="I1365" s="16" t="s">
        <v>4443</v>
      </c>
      <c r="J1365" s="16" t="s">
        <v>4282</v>
      </c>
      <c r="K1365" s="29" t="s">
        <v>4917</v>
      </c>
      <c r="L1365" s="16" t="s">
        <v>180</v>
      </c>
      <c r="M1365" s="95" t="s">
        <v>4170</v>
      </c>
      <c r="N1365" s="15" t="s">
        <v>4171</v>
      </c>
      <c r="O1365" s="16" t="s">
        <v>4172</v>
      </c>
      <c r="P1365" s="23">
        <v>1514.7659200000001</v>
      </c>
      <c r="Q1365" s="23">
        <f t="shared" si="168"/>
        <v>1787.4237856</v>
      </c>
      <c r="R1365" s="23">
        <v>1557.6656768120699</v>
      </c>
      <c r="S1365" s="29" t="s">
        <v>4654</v>
      </c>
      <c r="T1365" s="312">
        <v>1.0900000000000001</v>
      </c>
      <c r="U1365" s="312">
        <v>1.0409999999999999</v>
      </c>
      <c r="V1365" s="312">
        <v>1.0229999999999999</v>
      </c>
      <c r="W1365" s="312">
        <v>1.044</v>
      </c>
      <c r="X1365" s="403">
        <v>0.9</v>
      </c>
      <c r="Y1365" s="23">
        <v>1698.9090100000001</v>
      </c>
      <c r="Z1365" s="23">
        <f t="shared" si="169"/>
        <v>2004.7126318000001</v>
      </c>
      <c r="AA1365" s="36" t="s">
        <v>132</v>
      </c>
      <c r="AB1365" s="36" t="s">
        <v>132</v>
      </c>
      <c r="AC1365" s="23">
        <v>1514.7659200000001</v>
      </c>
      <c r="AD1365" s="23">
        <f t="shared" si="170"/>
        <v>1787.4237856</v>
      </c>
      <c r="AE1365" s="38" t="s">
        <v>173</v>
      </c>
      <c r="AF1365" s="38" t="s">
        <v>83</v>
      </c>
      <c r="AG1365" s="38" t="s">
        <v>83</v>
      </c>
      <c r="AH1365" s="38" t="s">
        <v>90</v>
      </c>
      <c r="AI1365" s="51">
        <v>41598</v>
      </c>
      <c r="AJ1365" s="51">
        <v>41643</v>
      </c>
      <c r="AK1365" s="369"/>
      <c r="AL1365" s="60"/>
      <c r="AM1365" s="60" t="s">
        <v>4444</v>
      </c>
      <c r="AN1365" s="60" t="s">
        <v>1757</v>
      </c>
      <c r="AO1365" s="11">
        <v>796</v>
      </c>
      <c r="AP1365" s="38" t="s">
        <v>368</v>
      </c>
      <c r="AQ1365" s="38">
        <v>1</v>
      </c>
      <c r="AR1365" s="38" t="s">
        <v>2980</v>
      </c>
      <c r="AS1365" s="16" t="s">
        <v>3373</v>
      </c>
      <c r="AT1365" s="51">
        <v>41643</v>
      </c>
      <c r="AU1365" s="78">
        <v>41644</v>
      </c>
      <c r="AV1365" s="763">
        <v>42003</v>
      </c>
      <c r="AW1365" s="38">
        <v>2014</v>
      </c>
      <c r="AX1365" s="60"/>
      <c r="AY1365" s="135"/>
      <c r="AZ1365" s="60"/>
      <c r="BA1365" s="38">
        <v>2014</v>
      </c>
      <c r="BB1365" s="38"/>
      <c r="BC1365" s="60"/>
      <c r="BD1365" s="60"/>
      <c r="BE1365" s="304"/>
      <c r="BF1365" s="304"/>
      <c r="BG1365" s="304"/>
      <c r="BH1365" s="304"/>
      <c r="BI1365" s="304"/>
      <c r="BJ1365" s="304"/>
      <c r="BK1365" s="16"/>
    </row>
    <row r="1366" spans="1:63" s="199" customFormat="1" ht="75">
      <c r="A1366" s="401">
        <v>3</v>
      </c>
      <c r="B1366" s="38" t="s">
        <v>4445</v>
      </c>
      <c r="C1366" s="38" t="s">
        <v>83</v>
      </c>
      <c r="D1366" s="38" t="s">
        <v>160</v>
      </c>
      <c r="E1366" s="38" t="s">
        <v>274</v>
      </c>
      <c r="F1366" s="38" t="s">
        <v>4629</v>
      </c>
      <c r="G1366" s="38">
        <v>45</v>
      </c>
      <c r="H1366" s="29">
        <v>626360</v>
      </c>
      <c r="I1366" s="16" t="s">
        <v>4446</v>
      </c>
      <c r="J1366" s="16" t="s">
        <v>4282</v>
      </c>
      <c r="K1366" s="29" t="s">
        <v>4917</v>
      </c>
      <c r="L1366" s="16" t="s">
        <v>180</v>
      </c>
      <c r="M1366" s="95" t="s">
        <v>4170</v>
      </c>
      <c r="N1366" s="15" t="s">
        <v>4171</v>
      </c>
      <c r="O1366" s="16" t="s">
        <v>4172</v>
      </c>
      <c r="P1366" s="23">
        <v>533.48806000000002</v>
      </c>
      <c r="Q1366" s="23">
        <f t="shared" si="168"/>
        <v>629.51591080000003</v>
      </c>
      <c r="R1366" s="23">
        <v>737.2048971444533</v>
      </c>
      <c r="S1366" s="29" t="s">
        <v>4180</v>
      </c>
      <c r="T1366" s="312">
        <v>1.0840000000000001</v>
      </c>
      <c r="U1366" s="312">
        <v>1.0509999999999999</v>
      </c>
      <c r="V1366" s="312">
        <v>1.0669999999999999</v>
      </c>
      <c r="W1366" s="312">
        <v>1</v>
      </c>
      <c r="X1366" s="403">
        <v>0.9</v>
      </c>
      <c r="Y1366" s="23">
        <v>806.54228000000001</v>
      </c>
      <c r="Z1366" s="23">
        <f t="shared" si="169"/>
        <v>951.71989039999994</v>
      </c>
      <c r="AA1366" s="36" t="s">
        <v>132</v>
      </c>
      <c r="AB1366" s="36" t="s">
        <v>132</v>
      </c>
      <c r="AC1366" s="23">
        <v>533.48806000000002</v>
      </c>
      <c r="AD1366" s="23">
        <f t="shared" si="170"/>
        <v>629.51591080000003</v>
      </c>
      <c r="AE1366" s="38" t="s">
        <v>173</v>
      </c>
      <c r="AF1366" s="38" t="s">
        <v>83</v>
      </c>
      <c r="AG1366" s="38" t="s">
        <v>83</v>
      </c>
      <c r="AH1366" s="38" t="s">
        <v>90</v>
      </c>
      <c r="AI1366" s="51">
        <v>41598</v>
      </c>
      <c r="AJ1366" s="51">
        <v>41643</v>
      </c>
      <c r="AK1366" s="369"/>
      <c r="AL1366" s="60"/>
      <c r="AM1366" s="60" t="s">
        <v>4447</v>
      </c>
      <c r="AN1366" s="60" t="s">
        <v>1757</v>
      </c>
      <c r="AO1366" s="11">
        <v>796</v>
      </c>
      <c r="AP1366" s="38" t="s">
        <v>368</v>
      </c>
      <c r="AQ1366" s="38">
        <v>1</v>
      </c>
      <c r="AR1366" s="38" t="s">
        <v>2980</v>
      </c>
      <c r="AS1366" s="16" t="s">
        <v>3373</v>
      </c>
      <c r="AT1366" s="51">
        <v>41643</v>
      </c>
      <c r="AU1366" s="78">
        <v>41644</v>
      </c>
      <c r="AV1366" s="78">
        <v>42004</v>
      </c>
      <c r="AW1366" s="38">
        <v>2014</v>
      </c>
      <c r="AX1366" s="60"/>
      <c r="AY1366" s="135"/>
      <c r="AZ1366" s="60"/>
      <c r="BA1366" s="38">
        <v>2014</v>
      </c>
      <c r="BB1366" s="38"/>
      <c r="BC1366" s="60"/>
      <c r="BD1366" s="60"/>
      <c r="BE1366" s="304"/>
      <c r="BF1366" s="304"/>
      <c r="BG1366" s="304"/>
      <c r="BH1366" s="304"/>
      <c r="BI1366" s="304"/>
      <c r="BJ1366" s="304"/>
      <c r="BK1366" s="16"/>
    </row>
    <row r="1367" spans="1:63" s="199" customFormat="1" ht="168.75">
      <c r="A1367" s="401">
        <v>3</v>
      </c>
      <c r="B1367" s="38" t="s">
        <v>4448</v>
      </c>
      <c r="C1367" s="38" t="s">
        <v>83</v>
      </c>
      <c r="D1367" s="38" t="s">
        <v>160</v>
      </c>
      <c r="E1367" s="38" t="s">
        <v>274</v>
      </c>
      <c r="F1367" s="38" t="s">
        <v>4620</v>
      </c>
      <c r="G1367" s="38">
        <v>30</v>
      </c>
      <c r="H1367" s="29">
        <v>626384</v>
      </c>
      <c r="I1367" s="16" t="s">
        <v>4449</v>
      </c>
      <c r="J1367" s="16" t="s">
        <v>4282</v>
      </c>
      <c r="K1367" s="29" t="s">
        <v>4917</v>
      </c>
      <c r="L1367" s="16" t="s">
        <v>180</v>
      </c>
      <c r="M1367" s="95" t="s">
        <v>4170</v>
      </c>
      <c r="N1367" s="15" t="s">
        <v>4171</v>
      </c>
      <c r="O1367" s="16" t="s">
        <v>4172</v>
      </c>
      <c r="P1367" s="23">
        <v>9221.57582</v>
      </c>
      <c r="Q1367" s="23">
        <f t="shared" si="168"/>
        <v>10881.4594676</v>
      </c>
      <c r="R1367" s="23">
        <v>8826.9317937958422</v>
      </c>
      <c r="S1367" s="29" t="s">
        <v>4652</v>
      </c>
      <c r="T1367" s="312">
        <v>1.0900000000000001</v>
      </c>
      <c r="U1367" s="312">
        <v>1.0409999999999999</v>
      </c>
      <c r="V1367" s="312">
        <v>1.0229999999999999</v>
      </c>
      <c r="W1367" s="312">
        <v>1</v>
      </c>
      <c r="X1367" s="403">
        <v>0.9</v>
      </c>
      <c r="Y1367" s="23">
        <v>9221.57582</v>
      </c>
      <c r="Z1367" s="23">
        <f t="shared" si="169"/>
        <v>10881.4594676</v>
      </c>
      <c r="AA1367" s="36" t="s">
        <v>132</v>
      </c>
      <c r="AB1367" s="36" t="s">
        <v>132</v>
      </c>
      <c r="AC1367" s="23">
        <v>9221.57582</v>
      </c>
      <c r="AD1367" s="23">
        <f t="shared" si="170"/>
        <v>10881.4594676</v>
      </c>
      <c r="AE1367" s="60" t="s">
        <v>169</v>
      </c>
      <c r="AF1367" s="38" t="s">
        <v>83</v>
      </c>
      <c r="AG1367" s="38" t="s">
        <v>83</v>
      </c>
      <c r="AH1367" s="38" t="s">
        <v>90</v>
      </c>
      <c r="AI1367" s="51">
        <v>41598</v>
      </c>
      <c r="AJ1367" s="51">
        <v>41658</v>
      </c>
      <c r="AK1367" s="369"/>
      <c r="AL1367" s="60"/>
      <c r="AM1367" s="60" t="s">
        <v>4450</v>
      </c>
      <c r="AN1367" s="60" t="s">
        <v>1757</v>
      </c>
      <c r="AO1367" s="11">
        <v>796</v>
      </c>
      <c r="AP1367" s="38" t="s">
        <v>368</v>
      </c>
      <c r="AQ1367" s="38">
        <v>1</v>
      </c>
      <c r="AR1367" s="38" t="s">
        <v>2980</v>
      </c>
      <c r="AS1367" s="16" t="s">
        <v>3373</v>
      </c>
      <c r="AT1367" s="51">
        <v>41658</v>
      </c>
      <c r="AU1367" s="78">
        <v>41659</v>
      </c>
      <c r="AV1367" s="78">
        <v>42004</v>
      </c>
      <c r="AW1367" s="38">
        <v>2014</v>
      </c>
      <c r="AX1367" s="60"/>
      <c r="AY1367" s="135"/>
      <c r="AZ1367" s="60"/>
      <c r="BA1367" s="38">
        <v>2014</v>
      </c>
      <c r="BB1367" s="38"/>
      <c r="BC1367" s="60"/>
      <c r="BD1367" s="60"/>
      <c r="BE1367" s="304"/>
      <c r="BF1367" s="304"/>
      <c r="BG1367" s="304"/>
      <c r="BH1367" s="304"/>
      <c r="BI1367" s="304"/>
      <c r="BJ1367" s="304"/>
      <c r="BK1367" s="16"/>
    </row>
    <row r="1368" spans="1:63" s="199" customFormat="1" ht="75">
      <c r="A1368" s="401">
        <v>3</v>
      </c>
      <c r="B1368" s="38" t="s">
        <v>4451</v>
      </c>
      <c r="C1368" s="38" t="s">
        <v>83</v>
      </c>
      <c r="D1368" s="38" t="s">
        <v>160</v>
      </c>
      <c r="E1368" s="38" t="s">
        <v>274</v>
      </c>
      <c r="F1368" s="38" t="s">
        <v>4622</v>
      </c>
      <c r="G1368" s="38">
        <v>27</v>
      </c>
      <c r="H1368" s="29">
        <v>626385</v>
      </c>
      <c r="I1368" s="16" t="s">
        <v>4452</v>
      </c>
      <c r="J1368" s="16" t="s">
        <v>4282</v>
      </c>
      <c r="K1368" s="29" t="s">
        <v>4917</v>
      </c>
      <c r="L1368" s="16" t="s">
        <v>180</v>
      </c>
      <c r="M1368" s="95" t="s">
        <v>4170</v>
      </c>
      <c r="N1368" s="15" t="s">
        <v>4171</v>
      </c>
      <c r="O1368" s="16" t="s">
        <v>4172</v>
      </c>
      <c r="P1368" s="23">
        <v>6466.9820099999997</v>
      </c>
      <c r="Q1368" s="23">
        <f t="shared" si="168"/>
        <v>7631.0387717999993</v>
      </c>
      <c r="R1368" s="23">
        <v>7901.5383388165974</v>
      </c>
      <c r="S1368" s="29" t="s">
        <v>4661</v>
      </c>
      <c r="T1368" s="312">
        <v>1.1520000000000001</v>
      </c>
      <c r="U1368" s="312">
        <v>0.98199999999999998</v>
      </c>
      <c r="V1368" s="312">
        <v>0.94799999999999995</v>
      </c>
      <c r="W1368" s="312">
        <v>1</v>
      </c>
      <c r="X1368" s="403">
        <v>0.9</v>
      </c>
      <c r="Y1368" s="23">
        <v>7626.5209100000002</v>
      </c>
      <c r="Z1368" s="23">
        <f t="shared" si="169"/>
        <v>8999.2946737999991</v>
      </c>
      <c r="AA1368" s="36" t="s">
        <v>132</v>
      </c>
      <c r="AB1368" s="36" t="s">
        <v>132</v>
      </c>
      <c r="AC1368" s="23">
        <v>6466.9820099999997</v>
      </c>
      <c r="AD1368" s="23">
        <f t="shared" si="170"/>
        <v>7631.0387717999993</v>
      </c>
      <c r="AE1368" s="38" t="s">
        <v>173</v>
      </c>
      <c r="AF1368" s="38" t="s">
        <v>83</v>
      </c>
      <c r="AG1368" s="38" t="s">
        <v>83</v>
      </c>
      <c r="AH1368" s="38" t="s">
        <v>90</v>
      </c>
      <c r="AI1368" s="51">
        <v>41598</v>
      </c>
      <c r="AJ1368" s="51">
        <v>41643</v>
      </c>
      <c r="AK1368" s="369"/>
      <c r="AL1368" s="60"/>
      <c r="AM1368" s="60" t="s">
        <v>4453</v>
      </c>
      <c r="AN1368" s="60" t="s">
        <v>1757</v>
      </c>
      <c r="AO1368" s="11">
        <v>796</v>
      </c>
      <c r="AP1368" s="38" t="s">
        <v>368</v>
      </c>
      <c r="AQ1368" s="38">
        <v>1</v>
      </c>
      <c r="AR1368" s="38" t="s">
        <v>2980</v>
      </c>
      <c r="AS1368" s="16" t="s">
        <v>3373</v>
      </c>
      <c r="AT1368" s="51">
        <v>41643</v>
      </c>
      <c r="AU1368" s="78">
        <v>41644</v>
      </c>
      <c r="AV1368" s="763">
        <v>42003</v>
      </c>
      <c r="AW1368" s="38">
        <v>2014</v>
      </c>
      <c r="AX1368" s="60"/>
      <c r="AY1368" s="135"/>
      <c r="AZ1368" s="60"/>
      <c r="BA1368" s="38">
        <v>2014</v>
      </c>
      <c r="BB1368" s="38"/>
      <c r="BC1368" s="60"/>
      <c r="BD1368" s="60"/>
      <c r="BE1368" s="304"/>
      <c r="BF1368" s="304"/>
      <c r="BG1368" s="304"/>
      <c r="BH1368" s="304"/>
      <c r="BI1368" s="304"/>
      <c r="BJ1368" s="304"/>
      <c r="BK1368" s="16"/>
    </row>
    <row r="1369" spans="1:63" s="199" customFormat="1" ht="75">
      <c r="A1369" s="401">
        <v>3</v>
      </c>
      <c r="B1369" s="38" t="s">
        <v>4454</v>
      </c>
      <c r="C1369" s="38" t="s">
        <v>83</v>
      </c>
      <c r="D1369" s="38" t="s">
        <v>160</v>
      </c>
      <c r="E1369" s="38" t="s">
        <v>274</v>
      </c>
      <c r="F1369" s="38" t="s">
        <v>4622</v>
      </c>
      <c r="G1369" s="38">
        <v>27</v>
      </c>
      <c r="H1369" s="29">
        <v>626389</v>
      </c>
      <c r="I1369" s="16" t="s">
        <v>4455</v>
      </c>
      <c r="J1369" s="16" t="s">
        <v>4282</v>
      </c>
      <c r="K1369" s="29" t="s">
        <v>4917</v>
      </c>
      <c r="L1369" s="16" t="s">
        <v>180</v>
      </c>
      <c r="M1369" s="95" t="s">
        <v>4170</v>
      </c>
      <c r="N1369" s="15" t="s">
        <v>4171</v>
      </c>
      <c r="O1369" s="16" t="s">
        <v>4172</v>
      </c>
      <c r="P1369" s="23">
        <v>1354.48351</v>
      </c>
      <c r="Q1369" s="23">
        <f t="shared" si="168"/>
        <v>1598.2905418</v>
      </c>
      <c r="R1369" s="23">
        <v>1547.2228227137803</v>
      </c>
      <c r="S1369" s="29" t="s">
        <v>4662</v>
      </c>
      <c r="T1369" s="312">
        <v>1.129</v>
      </c>
      <c r="U1369" s="312">
        <v>0.92700000000000005</v>
      </c>
      <c r="V1369" s="312">
        <v>0.95900000000000007</v>
      </c>
      <c r="W1369" s="312">
        <v>1</v>
      </c>
      <c r="X1369" s="403">
        <v>0.9</v>
      </c>
      <c r="Y1369" s="23">
        <v>1397.6153300000001</v>
      </c>
      <c r="Z1369" s="23">
        <f t="shared" si="169"/>
        <v>1649.1860893999999</v>
      </c>
      <c r="AA1369" s="36" t="s">
        <v>132</v>
      </c>
      <c r="AB1369" s="36" t="s">
        <v>132</v>
      </c>
      <c r="AC1369" s="23">
        <v>1354.48351</v>
      </c>
      <c r="AD1369" s="23">
        <f t="shared" si="170"/>
        <v>1598.2905418</v>
      </c>
      <c r="AE1369" s="38" t="s">
        <v>173</v>
      </c>
      <c r="AF1369" s="38" t="s">
        <v>83</v>
      </c>
      <c r="AG1369" s="38" t="s">
        <v>83</v>
      </c>
      <c r="AH1369" s="38" t="s">
        <v>90</v>
      </c>
      <c r="AI1369" s="51">
        <v>41598</v>
      </c>
      <c r="AJ1369" s="51">
        <v>41643</v>
      </c>
      <c r="AK1369" s="369"/>
      <c r="AL1369" s="60"/>
      <c r="AM1369" s="60" t="s">
        <v>4456</v>
      </c>
      <c r="AN1369" s="60" t="s">
        <v>1757</v>
      </c>
      <c r="AO1369" s="11">
        <v>796</v>
      </c>
      <c r="AP1369" s="38" t="s">
        <v>368</v>
      </c>
      <c r="AQ1369" s="38">
        <v>1</v>
      </c>
      <c r="AR1369" s="38" t="s">
        <v>2980</v>
      </c>
      <c r="AS1369" s="16" t="s">
        <v>3373</v>
      </c>
      <c r="AT1369" s="51">
        <v>41643</v>
      </c>
      <c r="AU1369" s="78">
        <v>41644</v>
      </c>
      <c r="AV1369" s="763">
        <v>42003</v>
      </c>
      <c r="AW1369" s="38">
        <v>2014</v>
      </c>
      <c r="AX1369" s="60"/>
      <c r="AY1369" s="135"/>
      <c r="AZ1369" s="60"/>
      <c r="BA1369" s="38">
        <v>2014</v>
      </c>
      <c r="BB1369" s="38"/>
      <c r="BC1369" s="60"/>
      <c r="BD1369" s="60"/>
      <c r="BE1369" s="304"/>
      <c r="BF1369" s="304"/>
      <c r="BG1369" s="304"/>
      <c r="BH1369" s="304"/>
      <c r="BI1369" s="304"/>
      <c r="BJ1369" s="304"/>
      <c r="BK1369" s="16"/>
    </row>
    <row r="1370" spans="1:63" s="199" customFormat="1" ht="168.75">
      <c r="A1370" s="401">
        <v>3</v>
      </c>
      <c r="B1370" s="38" t="s">
        <v>4457</v>
      </c>
      <c r="C1370" s="38" t="s">
        <v>83</v>
      </c>
      <c r="D1370" s="38" t="s">
        <v>160</v>
      </c>
      <c r="E1370" s="38" t="s">
        <v>274</v>
      </c>
      <c r="F1370" s="38" t="s">
        <v>4620</v>
      </c>
      <c r="G1370" s="38">
        <v>31</v>
      </c>
      <c r="H1370" s="29">
        <v>626422</v>
      </c>
      <c r="I1370" s="16" t="s">
        <v>4458</v>
      </c>
      <c r="J1370" s="16" t="s">
        <v>4282</v>
      </c>
      <c r="K1370" s="29" t="s">
        <v>4917</v>
      </c>
      <c r="L1370" s="16" t="s">
        <v>180</v>
      </c>
      <c r="M1370" s="95" t="s">
        <v>4170</v>
      </c>
      <c r="N1370" s="15" t="s">
        <v>4171</v>
      </c>
      <c r="O1370" s="16" t="s">
        <v>4172</v>
      </c>
      <c r="P1370" s="23">
        <v>2252.3968999999997</v>
      </c>
      <c r="Q1370" s="23">
        <f t="shared" si="168"/>
        <v>2657.8283419999993</v>
      </c>
      <c r="R1370" s="23">
        <v>2412.3903209138653</v>
      </c>
      <c r="S1370" s="29" t="s">
        <v>4652</v>
      </c>
      <c r="T1370" s="312">
        <v>1.0900000000000001</v>
      </c>
      <c r="U1370" s="312">
        <v>1.0409999999999999</v>
      </c>
      <c r="V1370" s="312">
        <v>1.0229999999999999</v>
      </c>
      <c r="W1370" s="312">
        <v>1</v>
      </c>
      <c r="X1370" s="403">
        <v>0.9</v>
      </c>
      <c r="Y1370" s="23">
        <v>2520.2460799999999</v>
      </c>
      <c r="Z1370" s="23">
        <f t="shared" si="169"/>
        <v>2973.8903743999999</v>
      </c>
      <c r="AA1370" s="36" t="s">
        <v>132</v>
      </c>
      <c r="AB1370" s="36" t="s">
        <v>132</v>
      </c>
      <c r="AC1370" s="23">
        <v>2252.3968999999997</v>
      </c>
      <c r="AD1370" s="23">
        <f t="shared" si="170"/>
        <v>2657.8283419999993</v>
      </c>
      <c r="AE1370" s="38" t="s">
        <v>173</v>
      </c>
      <c r="AF1370" s="38" t="s">
        <v>83</v>
      </c>
      <c r="AG1370" s="38" t="s">
        <v>83</v>
      </c>
      <c r="AH1370" s="38" t="s">
        <v>90</v>
      </c>
      <c r="AI1370" s="51">
        <v>41598</v>
      </c>
      <c r="AJ1370" s="51">
        <v>41658</v>
      </c>
      <c r="AK1370" s="369"/>
      <c r="AL1370" s="60"/>
      <c r="AM1370" s="60" t="s">
        <v>4459</v>
      </c>
      <c r="AN1370" s="60" t="s">
        <v>1757</v>
      </c>
      <c r="AO1370" s="11">
        <v>796</v>
      </c>
      <c r="AP1370" s="38" t="s">
        <v>368</v>
      </c>
      <c r="AQ1370" s="38">
        <v>1</v>
      </c>
      <c r="AR1370" s="38" t="s">
        <v>2980</v>
      </c>
      <c r="AS1370" s="16" t="s">
        <v>3373</v>
      </c>
      <c r="AT1370" s="51">
        <v>41658</v>
      </c>
      <c r="AU1370" s="78">
        <v>41659</v>
      </c>
      <c r="AV1370" s="78">
        <v>42004</v>
      </c>
      <c r="AW1370" s="38">
        <v>2014</v>
      </c>
      <c r="AX1370" s="60"/>
      <c r="AY1370" s="135"/>
      <c r="AZ1370" s="60"/>
      <c r="BA1370" s="38">
        <v>2014</v>
      </c>
      <c r="BB1370" s="38"/>
      <c r="BC1370" s="60"/>
      <c r="BD1370" s="60"/>
      <c r="BE1370" s="304"/>
      <c r="BF1370" s="304"/>
      <c r="BG1370" s="304"/>
      <c r="BH1370" s="304"/>
      <c r="BI1370" s="304"/>
      <c r="BJ1370" s="304"/>
      <c r="BK1370" s="16"/>
    </row>
    <row r="1371" spans="1:63" s="199" customFormat="1" ht="168.75">
      <c r="A1371" s="401">
        <v>3</v>
      </c>
      <c r="B1371" s="38" t="s">
        <v>4460</v>
      </c>
      <c r="C1371" s="38" t="s">
        <v>83</v>
      </c>
      <c r="D1371" s="38" t="s">
        <v>160</v>
      </c>
      <c r="E1371" s="38" t="s">
        <v>274</v>
      </c>
      <c r="F1371" s="38" t="s">
        <v>4620</v>
      </c>
      <c r="G1371" s="38">
        <v>31</v>
      </c>
      <c r="H1371" s="29">
        <v>626523</v>
      </c>
      <c r="I1371" s="16" t="s">
        <v>4461</v>
      </c>
      <c r="J1371" s="16" t="s">
        <v>4282</v>
      </c>
      <c r="K1371" s="29" t="s">
        <v>4917</v>
      </c>
      <c r="L1371" s="16" t="s">
        <v>180</v>
      </c>
      <c r="M1371" s="95" t="s">
        <v>4170</v>
      </c>
      <c r="N1371" s="15" t="s">
        <v>4171</v>
      </c>
      <c r="O1371" s="16" t="s">
        <v>4172</v>
      </c>
      <c r="P1371" s="23">
        <v>3705.6869999999999</v>
      </c>
      <c r="Q1371" s="23">
        <f t="shared" si="168"/>
        <v>4372.7106599999997</v>
      </c>
      <c r="R1371" s="23">
        <v>3547.0994368678225</v>
      </c>
      <c r="S1371" s="29" t="s">
        <v>4654</v>
      </c>
      <c r="T1371" s="312">
        <v>1.0900000000000001</v>
      </c>
      <c r="U1371" s="312">
        <v>1.0409999999999999</v>
      </c>
      <c r="V1371" s="312">
        <v>1.0229999999999999</v>
      </c>
      <c r="W1371" s="312">
        <v>1</v>
      </c>
      <c r="X1371" s="403">
        <v>0.9</v>
      </c>
      <c r="Y1371" s="23">
        <v>3705.6869999999999</v>
      </c>
      <c r="Z1371" s="23">
        <f t="shared" si="169"/>
        <v>4372.7106599999997</v>
      </c>
      <c r="AA1371" s="36" t="s">
        <v>132</v>
      </c>
      <c r="AB1371" s="36" t="s">
        <v>132</v>
      </c>
      <c r="AC1371" s="23">
        <v>3705.6869999999999</v>
      </c>
      <c r="AD1371" s="23">
        <f t="shared" si="170"/>
        <v>4372.7106599999997</v>
      </c>
      <c r="AE1371" s="60" t="s">
        <v>1775</v>
      </c>
      <c r="AF1371" s="38" t="s">
        <v>83</v>
      </c>
      <c r="AG1371" s="38" t="s">
        <v>83</v>
      </c>
      <c r="AH1371" s="38" t="s">
        <v>90</v>
      </c>
      <c r="AI1371" s="51">
        <v>41598</v>
      </c>
      <c r="AJ1371" s="51">
        <v>41643</v>
      </c>
      <c r="AK1371" s="369"/>
      <c r="AL1371" s="60"/>
      <c r="AM1371" s="60" t="s">
        <v>4462</v>
      </c>
      <c r="AN1371" s="60" t="s">
        <v>1757</v>
      </c>
      <c r="AO1371" s="11">
        <v>796</v>
      </c>
      <c r="AP1371" s="38" t="s">
        <v>368</v>
      </c>
      <c r="AQ1371" s="38">
        <v>1</v>
      </c>
      <c r="AR1371" s="38" t="s">
        <v>2980</v>
      </c>
      <c r="AS1371" s="16" t="s">
        <v>3373</v>
      </c>
      <c r="AT1371" s="51">
        <v>41643</v>
      </c>
      <c r="AU1371" s="78">
        <v>41730</v>
      </c>
      <c r="AV1371" s="320">
        <v>41821</v>
      </c>
      <c r="AW1371" s="38">
        <v>2014</v>
      </c>
      <c r="AX1371" s="60"/>
      <c r="AY1371" s="135"/>
      <c r="AZ1371" s="60"/>
      <c r="BA1371" s="38">
        <v>2014</v>
      </c>
      <c r="BB1371" s="38"/>
      <c r="BC1371" s="60"/>
      <c r="BD1371" s="60"/>
      <c r="BE1371" s="304"/>
      <c r="BF1371" s="304"/>
      <c r="BG1371" s="304"/>
      <c r="BH1371" s="304"/>
      <c r="BI1371" s="304"/>
      <c r="BJ1371" s="304"/>
      <c r="BK1371" s="16"/>
    </row>
    <row r="1372" spans="1:63" s="199" customFormat="1" ht="75">
      <c r="A1372" s="401">
        <v>3</v>
      </c>
      <c r="B1372" s="38" t="s">
        <v>4463</v>
      </c>
      <c r="C1372" s="38" t="s">
        <v>83</v>
      </c>
      <c r="D1372" s="38" t="s">
        <v>160</v>
      </c>
      <c r="E1372" s="38" t="s">
        <v>274</v>
      </c>
      <c r="F1372" s="38" t="s">
        <v>4630</v>
      </c>
      <c r="G1372" s="38">
        <v>36</v>
      </c>
      <c r="H1372" s="11">
        <v>626283</v>
      </c>
      <c r="I1372" s="16" t="s">
        <v>4480</v>
      </c>
      <c r="J1372" s="16" t="s">
        <v>4282</v>
      </c>
      <c r="K1372" s="29" t="s">
        <v>4917</v>
      </c>
      <c r="L1372" s="16" t="s">
        <v>180</v>
      </c>
      <c r="M1372" s="95" t="s">
        <v>4170</v>
      </c>
      <c r="N1372" s="15" t="s">
        <v>4171</v>
      </c>
      <c r="O1372" s="16" t="s">
        <v>4172</v>
      </c>
      <c r="P1372" s="23">
        <v>1613.2217900000001</v>
      </c>
      <c r="Q1372" s="23">
        <f t="shared" si="168"/>
        <v>1903.6017122000001</v>
      </c>
      <c r="R1372" s="23">
        <v>1396.3401768992837</v>
      </c>
      <c r="S1372" s="29" t="s">
        <v>4180</v>
      </c>
      <c r="T1372" s="312">
        <v>1.0840000000000001</v>
      </c>
      <c r="U1372" s="312">
        <v>1.0509999999999999</v>
      </c>
      <c r="V1372" s="312">
        <v>1.0669999999999999</v>
      </c>
      <c r="W1372" s="312">
        <v>1.056</v>
      </c>
      <c r="X1372" s="403">
        <v>0.9</v>
      </c>
      <c r="Y1372" s="23">
        <v>1613.2217900000001</v>
      </c>
      <c r="Z1372" s="23">
        <f t="shared" si="169"/>
        <v>1903.6017122000001</v>
      </c>
      <c r="AA1372" s="36" t="s">
        <v>132</v>
      </c>
      <c r="AB1372" s="36" t="s">
        <v>132</v>
      </c>
      <c r="AC1372" s="23">
        <v>1613.2217900000001</v>
      </c>
      <c r="AD1372" s="23">
        <f t="shared" si="170"/>
        <v>1903.6017122000001</v>
      </c>
      <c r="AE1372" s="38" t="s">
        <v>173</v>
      </c>
      <c r="AF1372" s="38" t="s">
        <v>83</v>
      </c>
      <c r="AG1372" s="38" t="s">
        <v>83</v>
      </c>
      <c r="AH1372" s="38" t="s">
        <v>90</v>
      </c>
      <c r="AI1372" s="51">
        <v>41598</v>
      </c>
      <c r="AJ1372" s="51">
        <v>41643</v>
      </c>
      <c r="AK1372" s="369"/>
      <c r="AL1372" s="60"/>
      <c r="AM1372" s="60" t="s">
        <v>4490</v>
      </c>
      <c r="AN1372" s="60" t="s">
        <v>1757</v>
      </c>
      <c r="AO1372" s="11">
        <v>796</v>
      </c>
      <c r="AP1372" s="38" t="s">
        <v>368</v>
      </c>
      <c r="AQ1372" s="38">
        <v>1</v>
      </c>
      <c r="AR1372" s="38" t="s">
        <v>2980</v>
      </c>
      <c r="AS1372" s="16" t="s">
        <v>3373</v>
      </c>
      <c r="AT1372" s="51">
        <v>41643</v>
      </c>
      <c r="AU1372" s="78">
        <v>41671</v>
      </c>
      <c r="AV1372" s="78">
        <v>42004</v>
      </c>
      <c r="AW1372" s="38">
        <v>2014</v>
      </c>
      <c r="AX1372" s="60"/>
      <c r="AY1372" s="135"/>
      <c r="AZ1372" s="60"/>
      <c r="BA1372" s="38">
        <v>2014</v>
      </c>
      <c r="BB1372" s="38"/>
      <c r="BC1372" s="60"/>
      <c r="BD1372" s="60"/>
      <c r="BE1372" s="304"/>
      <c r="BF1372" s="304"/>
      <c r="BG1372" s="304"/>
      <c r="BH1372" s="304"/>
      <c r="BI1372" s="304"/>
      <c r="BJ1372" s="304"/>
      <c r="BK1372" s="16"/>
    </row>
    <row r="1373" spans="1:63" s="199" customFormat="1" ht="75">
      <c r="A1373" s="401">
        <v>3</v>
      </c>
      <c r="B1373" s="38" t="s">
        <v>4464</v>
      </c>
      <c r="C1373" s="38" t="s">
        <v>83</v>
      </c>
      <c r="D1373" s="38" t="s">
        <v>160</v>
      </c>
      <c r="E1373" s="38" t="s">
        <v>274</v>
      </c>
      <c r="F1373" s="38" t="s">
        <v>4620</v>
      </c>
      <c r="G1373" s="38">
        <v>31</v>
      </c>
      <c r="H1373" s="11">
        <v>626326</v>
      </c>
      <c r="I1373" s="16" t="s">
        <v>4481</v>
      </c>
      <c r="J1373" s="16" t="s">
        <v>4282</v>
      </c>
      <c r="K1373" s="29" t="s">
        <v>4917</v>
      </c>
      <c r="L1373" s="16" t="s">
        <v>180</v>
      </c>
      <c r="M1373" s="95" t="s">
        <v>4170</v>
      </c>
      <c r="N1373" s="15" t="s">
        <v>4171</v>
      </c>
      <c r="O1373" s="16" t="s">
        <v>4172</v>
      </c>
      <c r="P1373" s="23">
        <v>2658.4746300000002</v>
      </c>
      <c r="Q1373" s="23">
        <f t="shared" si="168"/>
        <v>3137.0000633999998</v>
      </c>
      <c r="R1373" s="23">
        <v>2680.8099784102042</v>
      </c>
      <c r="S1373" s="29" t="s">
        <v>4656</v>
      </c>
      <c r="T1373" s="312">
        <v>1.0840000000000001</v>
      </c>
      <c r="U1373" s="312">
        <v>1.0509999999999999</v>
      </c>
      <c r="V1373" s="312">
        <v>1.0669999999999999</v>
      </c>
      <c r="W1373" s="312">
        <v>1</v>
      </c>
      <c r="X1373" s="403">
        <v>0.9</v>
      </c>
      <c r="Y1373" s="23">
        <v>2932.9520200000002</v>
      </c>
      <c r="Z1373" s="23">
        <f t="shared" si="169"/>
        <v>3460.8833835999999</v>
      </c>
      <c r="AA1373" s="36" t="s">
        <v>132</v>
      </c>
      <c r="AB1373" s="36" t="s">
        <v>132</v>
      </c>
      <c r="AC1373" s="23">
        <v>2658.4746300000002</v>
      </c>
      <c r="AD1373" s="23">
        <f t="shared" si="170"/>
        <v>3137.0000633999998</v>
      </c>
      <c r="AE1373" s="38" t="s">
        <v>173</v>
      </c>
      <c r="AF1373" s="38" t="s">
        <v>83</v>
      </c>
      <c r="AG1373" s="38" t="s">
        <v>83</v>
      </c>
      <c r="AH1373" s="38" t="s">
        <v>90</v>
      </c>
      <c r="AI1373" s="51">
        <v>41598</v>
      </c>
      <c r="AJ1373" s="51">
        <v>41643</v>
      </c>
      <c r="AK1373" s="369"/>
      <c r="AL1373" s="60"/>
      <c r="AM1373" s="60" t="s">
        <v>4491</v>
      </c>
      <c r="AN1373" s="60" t="s">
        <v>1757</v>
      </c>
      <c r="AO1373" s="11">
        <v>796</v>
      </c>
      <c r="AP1373" s="38" t="s">
        <v>368</v>
      </c>
      <c r="AQ1373" s="38">
        <v>1</v>
      </c>
      <c r="AR1373" s="38" t="s">
        <v>2980</v>
      </c>
      <c r="AS1373" s="16" t="s">
        <v>3373</v>
      </c>
      <c r="AT1373" s="51">
        <v>41643</v>
      </c>
      <c r="AU1373" s="78">
        <v>41644</v>
      </c>
      <c r="AV1373" s="78">
        <v>42004</v>
      </c>
      <c r="AW1373" s="38">
        <v>2014</v>
      </c>
      <c r="AX1373" s="60"/>
      <c r="AY1373" s="135"/>
      <c r="AZ1373" s="60"/>
      <c r="BA1373" s="38">
        <v>2014</v>
      </c>
      <c r="BB1373" s="38"/>
      <c r="BC1373" s="60"/>
      <c r="BD1373" s="60"/>
      <c r="BE1373" s="304"/>
      <c r="BF1373" s="304"/>
      <c r="BG1373" s="304"/>
      <c r="BH1373" s="304"/>
      <c r="BI1373" s="304"/>
      <c r="BJ1373" s="304"/>
      <c r="BK1373" s="16"/>
    </row>
    <row r="1374" spans="1:63" s="199" customFormat="1" ht="75">
      <c r="A1374" s="401">
        <v>3</v>
      </c>
      <c r="B1374" s="38" t="s">
        <v>4465</v>
      </c>
      <c r="C1374" s="38" t="s">
        <v>83</v>
      </c>
      <c r="D1374" s="38" t="s">
        <v>160</v>
      </c>
      <c r="E1374" s="38" t="s">
        <v>274</v>
      </c>
      <c r="F1374" s="38" t="s">
        <v>4620</v>
      </c>
      <c r="G1374" s="38">
        <v>31</v>
      </c>
      <c r="H1374" s="11">
        <v>626327</v>
      </c>
      <c r="I1374" s="16" t="s">
        <v>4482</v>
      </c>
      <c r="J1374" s="16" t="s">
        <v>4282</v>
      </c>
      <c r="K1374" s="29" t="s">
        <v>4917</v>
      </c>
      <c r="L1374" s="16" t="s">
        <v>180</v>
      </c>
      <c r="M1374" s="95" t="s">
        <v>4170</v>
      </c>
      <c r="N1374" s="15" t="s">
        <v>4171</v>
      </c>
      <c r="O1374" s="16" t="s">
        <v>4172</v>
      </c>
      <c r="P1374" s="23">
        <v>1786.22954</v>
      </c>
      <c r="Q1374" s="23">
        <f t="shared" si="168"/>
        <v>2107.7508572000002</v>
      </c>
      <c r="R1374" s="23">
        <v>2226.0498142537926</v>
      </c>
      <c r="S1374" s="29" t="s">
        <v>4656</v>
      </c>
      <c r="T1374" s="312">
        <v>1.0840000000000001</v>
      </c>
      <c r="U1374" s="312">
        <v>1.0509999999999999</v>
      </c>
      <c r="V1374" s="312">
        <v>1.0669999999999999</v>
      </c>
      <c r="W1374" s="312">
        <v>1</v>
      </c>
      <c r="X1374" s="403">
        <v>0.9</v>
      </c>
      <c r="Y1374" s="23">
        <v>2435.4196499999998</v>
      </c>
      <c r="Z1374" s="23">
        <f t="shared" si="169"/>
        <v>2873.7951869999997</v>
      </c>
      <c r="AA1374" s="36" t="s">
        <v>132</v>
      </c>
      <c r="AB1374" s="36" t="s">
        <v>132</v>
      </c>
      <c r="AC1374" s="23">
        <v>1786.22954</v>
      </c>
      <c r="AD1374" s="23">
        <f t="shared" si="170"/>
        <v>2107.7508572000002</v>
      </c>
      <c r="AE1374" s="38" t="s">
        <v>173</v>
      </c>
      <c r="AF1374" s="38" t="s">
        <v>83</v>
      </c>
      <c r="AG1374" s="38" t="s">
        <v>83</v>
      </c>
      <c r="AH1374" s="38" t="s">
        <v>90</v>
      </c>
      <c r="AI1374" s="51">
        <v>41598</v>
      </c>
      <c r="AJ1374" s="51">
        <v>41643</v>
      </c>
      <c r="AK1374" s="369"/>
      <c r="AL1374" s="60"/>
      <c r="AM1374" s="60" t="s">
        <v>4492</v>
      </c>
      <c r="AN1374" s="60" t="s">
        <v>1757</v>
      </c>
      <c r="AO1374" s="11">
        <v>796</v>
      </c>
      <c r="AP1374" s="38" t="s">
        <v>368</v>
      </c>
      <c r="AQ1374" s="38">
        <v>1</v>
      </c>
      <c r="AR1374" s="38" t="s">
        <v>2980</v>
      </c>
      <c r="AS1374" s="16" t="s">
        <v>3373</v>
      </c>
      <c r="AT1374" s="51">
        <v>41643</v>
      </c>
      <c r="AU1374" s="78">
        <v>41644</v>
      </c>
      <c r="AV1374" s="78">
        <v>42004</v>
      </c>
      <c r="AW1374" s="38">
        <v>2014</v>
      </c>
      <c r="AX1374" s="60"/>
      <c r="AY1374" s="135"/>
      <c r="AZ1374" s="60"/>
      <c r="BA1374" s="38">
        <v>2014</v>
      </c>
      <c r="BB1374" s="38"/>
      <c r="BC1374" s="60"/>
      <c r="BD1374" s="60"/>
      <c r="BE1374" s="304"/>
      <c r="BF1374" s="304"/>
      <c r="BG1374" s="304"/>
      <c r="BH1374" s="304"/>
      <c r="BI1374" s="304"/>
      <c r="BJ1374" s="304"/>
      <c r="BK1374" s="16"/>
    </row>
    <row r="1375" spans="1:63" s="199" customFormat="1" ht="75">
      <c r="A1375" s="401">
        <v>3</v>
      </c>
      <c r="B1375" s="38" t="s">
        <v>4466</v>
      </c>
      <c r="C1375" s="38" t="s">
        <v>83</v>
      </c>
      <c r="D1375" s="38" t="s">
        <v>160</v>
      </c>
      <c r="E1375" s="38" t="s">
        <v>274</v>
      </c>
      <c r="F1375" s="38" t="s">
        <v>4620</v>
      </c>
      <c r="G1375" s="38">
        <v>31</v>
      </c>
      <c r="H1375" s="11">
        <v>626329</v>
      </c>
      <c r="I1375" s="16" t="s">
        <v>4483</v>
      </c>
      <c r="J1375" s="16" t="s">
        <v>4282</v>
      </c>
      <c r="K1375" s="29" t="s">
        <v>4917</v>
      </c>
      <c r="L1375" s="16" t="s">
        <v>180</v>
      </c>
      <c r="M1375" s="95" t="s">
        <v>4170</v>
      </c>
      <c r="N1375" s="15" t="s">
        <v>4171</v>
      </c>
      <c r="O1375" s="16" t="s">
        <v>4172</v>
      </c>
      <c r="P1375" s="23">
        <v>6028.3011699999997</v>
      </c>
      <c r="Q1375" s="23">
        <f t="shared" si="168"/>
        <v>7113.395380599999</v>
      </c>
      <c r="R1375" s="23">
        <v>7180.1376230108235</v>
      </c>
      <c r="S1375" s="29" t="s">
        <v>4656</v>
      </c>
      <c r="T1375" s="312">
        <v>1.0840000000000001</v>
      </c>
      <c r="U1375" s="312">
        <v>1.0509999999999999</v>
      </c>
      <c r="V1375" s="312">
        <v>1.0669999999999999</v>
      </c>
      <c r="W1375" s="312">
        <v>1</v>
      </c>
      <c r="X1375" s="403">
        <v>0.9</v>
      </c>
      <c r="Y1375" s="23">
        <v>7855.4613399999998</v>
      </c>
      <c r="Z1375" s="23">
        <f t="shared" si="169"/>
        <v>9269.444381199999</v>
      </c>
      <c r="AA1375" s="36" t="s">
        <v>132</v>
      </c>
      <c r="AB1375" s="36" t="s">
        <v>132</v>
      </c>
      <c r="AC1375" s="23">
        <v>6028.3011699999997</v>
      </c>
      <c r="AD1375" s="23">
        <f t="shared" si="170"/>
        <v>7113.395380599999</v>
      </c>
      <c r="AE1375" s="38" t="s">
        <v>173</v>
      </c>
      <c r="AF1375" s="38" t="s">
        <v>83</v>
      </c>
      <c r="AG1375" s="38" t="s">
        <v>83</v>
      </c>
      <c r="AH1375" s="38" t="s">
        <v>90</v>
      </c>
      <c r="AI1375" s="51">
        <v>41598</v>
      </c>
      <c r="AJ1375" s="51">
        <v>41643</v>
      </c>
      <c r="AK1375" s="369"/>
      <c r="AL1375" s="60"/>
      <c r="AM1375" s="60" t="s">
        <v>4493</v>
      </c>
      <c r="AN1375" s="60" t="s">
        <v>1757</v>
      </c>
      <c r="AO1375" s="11">
        <v>796</v>
      </c>
      <c r="AP1375" s="38" t="s">
        <v>368</v>
      </c>
      <c r="AQ1375" s="38">
        <v>1</v>
      </c>
      <c r="AR1375" s="38" t="s">
        <v>2980</v>
      </c>
      <c r="AS1375" s="16" t="s">
        <v>3373</v>
      </c>
      <c r="AT1375" s="51">
        <v>41643</v>
      </c>
      <c r="AU1375" s="78">
        <v>41671</v>
      </c>
      <c r="AV1375" s="78">
        <v>42004</v>
      </c>
      <c r="AW1375" s="38">
        <v>2014</v>
      </c>
      <c r="AX1375" s="60"/>
      <c r="AY1375" s="135"/>
      <c r="AZ1375" s="60"/>
      <c r="BA1375" s="38">
        <v>2014</v>
      </c>
      <c r="BB1375" s="38"/>
      <c r="BC1375" s="60"/>
      <c r="BD1375" s="60"/>
      <c r="BE1375" s="304"/>
      <c r="BF1375" s="304"/>
      <c r="BG1375" s="304"/>
      <c r="BH1375" s="304"/>
      <c r="BI1375" s="304"/>
      <c r="BJ1375" s="304"/>
      <c r="BK1375" s="16"/>
    </row>
    <row r="1376" spans="1:63" s="199" customFormat="1" ht="84" customHeight="1">
      <c r="A1376" s="401">
        <v>3</v>
      </c>
      <c r="B1376" s="38" t="s">
        <v>4467</v>
      </c>
      <c r="C1376" s="38" t="s">
        <v>83</v>
      </c>
      <c r="D1376" s="38" t="s">
        <v>160</v>
      </c>
      <c r="E1376" s="38" t="s">
        <v>274</v>
      </c>
      <c r="F1376" s="38" t="s">
        <v>4622</v>
      </c>
      <c r="G1376" s="38">
        <v>27</v>
      </c>
      <c r="H1376" s="11">
        <v>626380</v>
      </c>
      <c r="I1376" s="16" t="s">
        <v>4484</v>
      </c>
      <c r="J1376" s="16" t="s">
        <v>4282</v>
      </c>
      <c r="K1376" s="29" t="s">
        <v>4917</v>
      </c>
      <c r="L1376" s="16" t="s">
        <v>180</v>
      </c>
      <c r="M1376" s="95" t="s">
        <v>4170</v>
      </c>
      <c r="N1376" s="15" t="s">
        <v>4171</v>
      </c>
      <c r="O1376" s="16" t="s">
        <v>4172</v>
      </c>
      <c r="P1376" s="23">
        <v>3018.4854799999998</v>
      </c>
      <c r="Q1376" s="23">
        <f t="shared" si="168"/>
        <v>3561.8128663999996</v>
      </c>
      <c r="R1376" s="23">
        <v>5009.1715126495346</v>
      </c>
      <c r="S1376" s="29" t="s">
        <v>4180</v>
      </c>
      <c r="T1376" s="312">
        <v>1.0840000000000001</v>
      </c>
      <c r="U1376" s="312">
        <v>1.0509999999999999</v>
      </c>
      <c r="V1376" s="312">
        <v>1.0669999999999999</v>
      </c>
      <c r="W1376" s="312">
        <v>1</v>
      </c>
      <c r="X1376" s="403">
        <v>0.9</v>
      </c>
      <c r="Y1376" s="23">
        <v>5480.3062600000003</v>
      </c>
      <c r="Z1376" s="23">
        <f t="shared" si="169"/>
        <v>6466.7613867999999</v>
      </c>
      <c r="AA1376" s="36" t="s">
        <v>132</v>
      </c>
      <c r="AB1376" s="36" t="s">
        <v>132</v>
      </c>
      <c r="AC1376" s="23">
        <v>3018.4854799999998</v>
      </c>
      <c r="AD1376" s="23">
        <f t="shared" si="170"/>
        <v>3561.8128663999996</v>
      </c>
      <c r="AE1376" s="38" t="s">
        <v>173</v>
      </c>
      <c r="AF1376" s="38" t="s">
        <v>83</v>
      </c>
      <c r="AG1376" s="38" t="s">
        <v>83</v>
      </c>
      <c r="AH1376" s="38" t="s">
        <v>90</v>
      </c>
      <c r="AI1376" s="51">
        <v>41598</v>
      </c>
      <c r="AJ1376" s="51">
        <v>41643</v>
      </c>
      <c r="AK1376" s="369"/>
      <c r="AL1376" s="60"/>
      <c r="AM1376" s="60" t="s">
        <v>4494</v>
      </c>
      <c r="AN1376" s="60" t="s">
        <v>1757</v>
      </c>
      <c r="AO1376" s="11">
        <v>796</v>
      </c>
      <c r="AP1376" s="38" t="s">
        <v>368</v>
      </c>
      <c r="AQ1376" s="38">
        <v>1</v>
      </c>
      <c r="AR1376" s="38" t="s">
        <v>2980</v>
      </c>
      <c r="AS1376" s="16" t="s">
        <v>3373</v>
      </c>
      <c r="AT1376" s="51">
        <v>41643</v>
      </c>
      <c r="AU1376" s="78">
        <v>41671</v>
      </c>
      <c r="AV1376" s="78">
        <v>42004</v>
      </c>
      <c r="AW1376" s="38">
        <v>2014</v>
      </c>
      <c r="AX1376" s="60"/>
      <c r="AY1376" s="135"/>
      <c r="AZ1376" s="60"/>
      <c r="BA1376" s="38">
        <v>2014</v>
      </c>
      <c r="BB1376" s="38"/>
      <c r="BC1376" s="60"/>
      <c r="BD1376" s="60"/>
      <c r="BE1376" s="304"/>
      <c r="BF1376" s="304"/>
      <c r="BG1376" s="304"/>
      <c r="BH1376" s="304"/>
      <c r="BI1376" s="304"/>
      <c r="BJ1376" s="304"/>
      <c r="BK1376" s="16"/>
    </row>
    <row r="1377" spans="1:63" s="199" customFormat="1" ht="161.25" customHeight="1">
      <c r="A1377" s="401">
        <v>3</v>
      </c>
      <c r="B1377" s="38" t="s">
        <v>4468</v>
      </c>
      <c r="C1377" s="38" t="s">
        <v>83</v>
      </c>
      <c r="D1377" s="38" t="s">
        <v>160</v>
      </c>
      <c r="E1377" s="38" t="s">
        <v>274</v>
      </c>
      <c r="F1377" s="38" t="s">
        <v>4620</v>
      </c>
      <c r="G1377" s="38">
        <v>30</v>
      </c>
      <c r="H1377" s="11">
        <v>626387</v>
      </c>
      <c r="I1377" s="16" t="s">
        <v>4485</v>
      </c>
      <c r="J1377" s="16" t="s">
        <v>4282</v>
      </c>
      <c r="K1377" s="29" t="s">
        <v>4917</v>
      </c>
      <c r="L1377" s="16" t="s">
        <v>180</v>
      </c>
      <c r="M1377" s="95" t="s">
        <v>4170</v>
      </c>
      <c r="N1377" s="15" t="s">
        <v>4171</v>
      </c>
      <c r="O1377" s="16" t="s">
        <v>4172</v>
      </c>
      <c r="P1377" s="23">
        <v>5362.16021</v>
      </c>
      <c r="Q1377" s="23">
        <f t="shared" si="168"/>
        <v>6327.3490477999994</v>
      </c>
      <c r="R1377" s="23">
        <v>5133.353349049039</v>
      </c>
      <c r="S1377" s="29" t="s">
        <v>4652</v>
      </c>
      <c r="T1377" s="312">
        <v>1.0900000000000001</v>
      </c>
      <c r="U1377" s="312">
        <v>1.0409999999999999</v>
      </c>
      <c r="V1377" s="312">
        <v>1.0229999999999999</v>
      </c>
      <c r="W1377" s="312">
        <v>1</v>
      </c>
      <c r="X1377" s="403">
        <v>0.9</v>
      </c>
      <c r="Y1377" s="23">
        <v>5362.8608700000004</v>
      </c>
      <c r="Z1377" s="23">
        <f t="shared" si="169"/>
        <v>6328.1758266000006</v>
      </c>
      <c r="AA1377" s="36" t="s">
        <v>132</v>
      </c>
      <c r="AB1377" s="36" t="s">
        <v>132</v>
      </c>
      <c r="AC1377" s="23">
        <v>5362.16021</v>
      </c>
      <c r="AD1377" s="23">
        <f t="shared" si="170"/>
        <v>6327.3490477999994</v>
      </c>
      <c r="AE1377" s="38" t="s">
        <v>173</v>
      </c>
      <c r="AF1377" s="38" t="s">
        <v>83</v>
      </c>
      <c r="AG1377" s="38" t="s">
        <v>83</v>
      </c>
      <c r="AH1377" s="38" t="s">
        <v>90</v>
      </c>
      <c r="AI1377" s="51">
        <v>41598</v>
      </c>
      <c r="AJ1377" s="51">
        <v>41643</v>
      </c>
      <c r="AK1377" s="369"/>
      <c r="AL1377" s="60"/>
      <c r="AM1377" s="60" t="s">
        <v>4495</v>
      </c>
      <c r="AN1377" s="60" t="s">
        <v>1757</v>
      </c>
      <c r="AO1377" s="11">
        <v>796</v>
      </c>
      <c r="AP1377" s="38" t="s">
        <v>368</v>
      </c>
      <c r="AQ1377" s="38">
        <v>1</v>
      </c>
      <c r="AR1377" s="38" t="s">
        <v>2980</v>
      </c>
      <c r="AS1377" s="16" t="s">
        <v>3373</v>
      </c>
      <c r="AT1377" s="51">
        <v>41643</v>
      </c>
      <c r="AU1377" s="78">
        <v>41644</v>
      </c>
      <c r="AV1377" s="78">
        <v>42004</v>
      </c>
      <c r="AW1377" s="38">
        <v>2014</v>
      </c>
      <c r="AX1377" s="60"/>
      <c r="AY1377" s="135"/>
      <c r="AZ1377" s="60"/>
      <c r="BA1377" s="38">
        <v>2014</v>
      </c>
      <c r="BB1377" s="38"/>
      <c r="BC1377" s="60"/>
      <c r="BD1377" s="60"/>
      <c r="BE1377" s="304"/>
      <c r="BF1377" s="304"/>
      <c r="BG1377" s="304"/>
      <c r="BH1377" s="304"/>
      <c r="BI1377" s="304"/>
      <c r="BJ1377" s="304"/>
      <c r="BK1377" s="16"/>
    </row>
    <row r="1378" spans="1:63" s="199" customFormat="1" ht="86.25" customHeight="1">
      <c r="A1378" s="401">
        <v>3</v>
      </c>
      <c r="B1378" s="38" t="s">
        <v>4469</v>
      </c>
      <c r="C1378" s="38" t="s">
        <v>83</v>
      </c>
      <c r="D1378" s="38" t="s">
        <v>160</v>
      </c>
      <c r="E1378" s="38" t="s">
        <v>274</v>
      </c>
      <c r="F1378" s="38" t="s">
        <v>4625</v>
      </c>
      <c r="G1378" s="38">
        <v>29</v>
      </c>
      <c r="H1378" s="11">
        <v>626390</v>
      </c>
      <c r="I1378" s="16" t="s">
        <v>4486</v>
      </c>
      <c r="J1378" s="16" t="s">
        <v>4282</v>
      </c>
      <c r="K1378" s="29" t="s">
        <v>4917</v>
      </c>
      <c r="L1378" s="16" t="s">
        <v>180</v>
      </c>
      <c r="M1378" s="95" t="s">
        <v>4170</v>
      </c>
      <c r="N1378" s="15" t="s">
        <v>4171</v>
      </c>
      <c r="O1378" s="16" t="s">
        <v>4172</v>
      </c>
      <c r="P1378" s="23">
        <v>1921.17929</v>
      </c>
      <c r="Q1378" s="23">
        <f t="shared" si="168"/>
        <v>2266.9915621999999</v>
      </c>
      <c r="R1378" s="23">
        <v>1963.6154203272629</v>
      </c>
      <c r="S1378" s="29" t="s">
        <v>4180</v>
      </c>
      <c r="T1378" s="312">
        <v>1.0840000000000001</v>
      </c>
      <c r="U1378" s="312">
        <v>1.0509999999999999</v>
      </c>
      <c r="V1378" s="312">
        <v>1.0669999999999999</v>
      </c>
      <c r="W1378" s="312">
        <v>1</v>
      </c>
      <c r="X1378" s="403">
        <v>0.9</v>
      </c>
      <c r="Y1378" s="23">
        <v>2148.3021399999998</v>
      </c>
      <c r="Z1378" s="23">
        <f t="shared" si="169"/>
        <v>2534.9965251999997</v>
      </c>
      <c r="AA1378" s="36" t="s">
        <v>132</v>
      </c>
      <c r="AB1378" s="36" t="s">
        <v>132</v>
      </c>
      <c r="AC1378" s="23">
        <v>1921.17929</v>
      </c>
      <c r="AD1378" s="23">
        <f t="shared" si="170"/>
        <v>2266.9915621999999</v>
      </c>
      <c r="AE1378" s="38" t="s">
        <v>173</v>
      </c>
      <c r="AF1378" s="38" t="s">
        <v>83</v>
      </c>
      <c r="AG1378" s="38" t="s">
        <v>83</v>
      </c>
      <c r="AH1378" s="38" t="s">
        <v>90</v>
      </c>
      <c r="AI1378" s="51">
        <v>41598</v>
      </c>
      <c r="AJ1378" s="51">
        <v>41643</v>
      </c>
      <c r="AK1378" s="369"/>
      <c r="AL1378" s="60"/>
      <c r="AM1378" s="60" t="s">
        <v>4496</v>
      </c>
      <c r="AN1378" s="60" t="s">
        <v>1757</v>
      </c>
      <c r="AO1378" s="11">
        <v>796</v>
      </c>
      <c r="AP1378" s="38" t="s">
        <v>368</v>
      </c>
      <c r="AQ1378" s="38">
        <v>1</v>
      </c>
      <c r="AR1378" s="38" t="s">
        <v>2980</v>
      </c>
      <c r="AS1378" s="16" t="s">
        <v>3373</v>
      </c>
      <c r="AT1378" s="51">
        <v>41643</v>
      </c>
      <c r="AU1378" s="78">
        <v>41671</v>
      </c>
      <c r="AV1378" s="78">
        <v>42004</v>
      </c>
      <c r="AW1378" s="38">
        <v>2014</v>
      </c>
      <c r="AX1378" s="60"/>
      <c r="AY1378" s="135"/>
      <c r="AZ1378" s="60"/>
      <c r="BA1378" s="38">
        <v>2014</v>
      </c>
      <c r="BB1378" s="38"/>
      <c r="BC1378" s="60"/>
      <c r="BD1378" s="60"/>
      <c r="BE1378" s="304"/>
      <c r="BF1378" s="304"/>
      <c r="BG1378" s="304"/>
      <c r="BH1378" s="304"/>
      <c r="BI1378" s="304"/>
      <c r="BJ1378" s="304"/>
      <c r="BK1378" s="16"/>
    </row>
    <row r="1379" spans="1:63" s="199" customFormat="1" ht="90" customHeight="1">
      <c r="A1379" s="401">
        <v>3</v>
      </c>
      <c r="B1379" s="38" t="s">
        <v>4470</v>
      </c>
      <c r="C1379" s="38" t="s">
        <v>83</v>
      </c>
      <c r="D1379" s="38" t="s">
        <v>160</v>
      </c>
      <c r="E1379" s="38" t="s">
        <v>274</v>
      </c>
      <c r="F1379" s="38" t="s">
        <v>4620</v>
      </c>
      <c r="G1379" s="38">
        <v>31</v>
      </c>
      <c r="H1379" s="11">
        <v>626432</v>
      </c>
      <c r="I1379" s="16" t="s">
        <v>4487</v>
      </c>
      <c r="J1379" s="16" t="s">
        <v>4282</v>
      </c>
      <c r="K1379" s="29" t="s">
        <v>4917</v>
      </c>
      <c r="L1379" s="16" t="s">
        <v>180</v>
      </c>
      <c r="M1379" s="95" t="s">
        <v>4170</v>
      </c>
      <c r="N1379" s="15" t="s">
        <v>4171</v>
      </c>
      <c r="O1379" s="16" t="s">
        <v>4172</v>
      </c>
      <c r="P1379" s="23">
        <v>7463.1789399999998</v>
      </c>
      <c r="Q1379" s="23">
        <f t="shared" si="168"/>
        <v>8806.5511491999987</v>
      </c>
      <c r="R1379" s="23">
        <v>9613.8266504221083</v>
      </c>
      <c r="S1379" s="29" t="s">
        <v>4656</v>
      </c>
      <c r="T1379" s="312">
        <v>1.0840000000000001</v>
      </c>
      <c r="U1379" s="312">
        <v>1.0509999999999999</v>
      </c>
      <c r="V1379" s="312">
        <v>1.0669999999999999</v>
      </c>
      <c r="W1379" s="312">
        <v>1</v>
      </c>
      <c r="X1379" s="403">
        <v>0.9</v>
      </c>
      <c r="Y1379" s="23">
        <v>10518.049590000001</v>
      </c>
      <c r="Z1379" s="23">
        <f t="shared" si="169"/>
        <v>12411.2985162</v>
      </c>
      <c r="AA1379" s="36" t="s">
        <v>132</v>
      </c>
      <c r="AB1379" s="36" t="s">
        <v>132</v>
      </c>
      <c r="AC1379" s="23">
        <v>7463.1789399999998</v>
      </c>
      <c r="AD1379" s="23">
        <f t="shared" si="170"/>
        <v>8806.5511491999987</v>
      </c>
      <c r="AE1379" s="38" t="s">
        <v>173</v>
      </c>
      <c r="AF1379" s="38" t="s">
        <v>83</v>
      </c>
      <c r="AG1379" s="38" t="s">
        <v>83</v>
      </c>
      <c r="AH1379" s="38" t="s">
        <v>90</v>
      </c>
      <c r="AI1379" s="51">
        <v>41598</v>
      </c>
      <c r="AJ1379" s="51">
        <v>41643</v>
      </c>
      <c r="AK1379" s="369"/>
      <c r="AL1379" s="60"/>
      <c r="AM1379" s="60" t="s">
        <v>4497</v>
      </c>
      <c r="AN1379" s="60" t="s">
        <v>1757</v>
      </c>
      <c r="AO1379" s="11">
        <v>796</v>
      </c>
      <c r="AP1379" s="38" t="s">
        <v>368</v>
      </c>
      <c r="AQ1379" s="38">
        <v>1</v>
      </c>
      <c r="AR1379" s="38" t="s">
        <v>2980</v>
      </c>
      <c r="AS1379" s="16" t="s">
        <v>3373</v>
      </c>
      <c r="AT1379" s="51">
        <v>41643</v>
      </c>
      <c r="AU1379" s="78">
        <v>41644</v>
      </c>
      <c r="AV1379" s="78">
        <v>42004</v>
      </c>
      <c r="AW1379" s="38">
        <v>2014</v>
      </c>
      <c r="AX1379" s="60"/>
      <c r="AY1379" s="135"/>
      <c r="AZ1379" s="60"/>
      <c r="BA1379" s="38">
        <v>2014</v>
      </c>
      <c r="BB1379" s="38"/>
      <c r="BC1379" s="60"/>
      <c r="BD1379" s="60"/>
      <c r="BE1379" s="304"/>
      <c r="BF1379" s="304"/>
      <c r="BG1379" s="304"/>
      <c r="BH1379" s="304"/>
      <c r="BI1379" s="304"/>
      <c r="BJ1379" s="304"/>
      <c r="BK1379" s="16"/>
    </row>
    <row r="1380" spans="1:63" s="199" customFormat="1" ht="97.5" customHeight="1">
      <c r="A1380" s="401">
        <v>3</v>
      </c>
      <c r="B1380" s="38" t="s">
        <v>4471</v>
      </c>
      <c r="C1380" s="38" t="s">
        <v>83</v>
      </c>
      <c r="D1380" s="38" t="s">
        <v>160</v>
      </c>
      <c r="E1380" s="38" t="s">
        <v>274</v>
      </c>
      <c r="F1380" s="38" t="s">
        <v>4620</v>
      </c>
      <c r="G1380" s="38">
        <v>31</v>
      </c>
      <c r="H1380" s="11">
        <v>626433</v>
      </c>
      <c r="I1380" s="16" t="s">
        <v>4488</v>
      </c>
      <c r="J1380" s="16" t="s">
        <v>4282</v>
      </c>
      <c r="K1380" s="29" t="s">
        <v>4917</v>
      </c>
      <c r="L1380" s="16" t="s">
        <v>180</v>
      </c>
      <c r="M1380" s="95" t="s">
        <v>4170</v>
      </c>
      <c r="N1380" s="15" t="s">
        <v>4171</v>
      </c>
      <c r="O1380" s="16" t="s">
        <v>4172</v>
      </c>
      <c r="P1380" s="23">
        <v>1939.1923200000001</v>
      </c>
      <c r="Q1380" s="23">
        <f t="shared" si="168"/>
        <v>2288.2469375999999</v>
      </c>
      <c r="R1380" s="23">
        <v>3958.2745156470123</v>
      </c>
      <c r="S1380" s="29" t="s">
        <v>4656</v>
      </c>
      <c r="T1380" s="312">
        <v>1.0840000000000001</v>
      </c>
      <c r="U1380" s="312">
        <v>1.0509999999999999</v>
      </c>
      <c r="V1380" s="312">
        <v>1.0669999999999999</v>
      </c>
      <c r="W1380" s="312">
        <v>1</v>
      </c>
      <c r="X1380" s="403">
        <v>0.9</v>
      </c>
      <c r="Y1380" s="23">
        <v>4330.5677500000002</v>
      </c>
      <c r="Z1380" s="23">
        <f t="shared" si="169"/>
        <v>5110.0699450000002</v>
      </c>
      <c r="AA1380" s="36" t="s">
        <v>132</v>
      </c>
      <c r="AB1380" s="36" t="s">
        <v>132</v>
      </c>
      <c r="AC1380" s="23">
        <v>1939.1923200000001</v>
      </c>
      <c r="AD1380" s="23">
        <f t="shared" si="170"/>
        <v>2288.2469375999999</v>
      </c>
      <c r="AE1380" s="38" t="s">
        <v>173</v>
      </c>
      <c r="AF1380" s="38" t="s">
        <v>83</v>
      </c>
      <c r="AG1380" s="38" t="s">
        <v>83</v>
      </c>
      <c r="AH1380" s="38" t="s">
        <v>90</v>
      </c>
      <c r="AI1380" s="51">
        <v>41598</v>
      </c>
      <c r="AJ1380" s="51">
        <v>41643</v>
      </c>
      <c r="AK1380" s="369"/>
      <c r="AL1380" s="60"/>
      <c r="AM1380" s="60" t="s">
        <v>4498</v>
      </c>
      <c r="AN1380" s="60" t="s">
        <v>1757</v>
      </c>
      <c r="AO1380" s="11">
        <v>796</v>
      </c>
      <c r="AP1380" s="38" t="s">
        <v>368</v>
      </c>
      <c r="AQ1380" s="38">
        <v>1</v>
      </c>
      <c r="AR1380" s="38" t="s">
        <v>2980</v>
      </c>
      <c r="AS1380" s="16" t="s">
        <v>3373</v>
      </c>
      <c r="AT1380" s="51">
        <v>41643</v>
      </c>
      <c r="AU1380" s="78">
        <v>41671</v>
      </c>
      <c r="AV1380" s="78">
        <v>42004</v>
      </c>
      <c r="AW1380" s="38">
        <v>2014</v>
      </c>
      <c r="AX1380" s="60"/>
      <c r="AY1380" s="135"/>
      <c r="AZ1380" s="60"/>
      <c r="BA1380" s="38">
        <v>2014</v>
      </c>
      <c r="BB1380" s="38"/>
      <c r="BC1380" s="60"/>
      <c r="BD1380" s="60"/>
      <c r="BE1380" s="304"/>
      <c r="BF1380" s="304"/>
      <c r="BG1380" s="304"/>
      <c r="BH1380" s="304"/>
      <c r="BI1380" s="304"/>
      <c r="BJ1380" s="304"/>
      <c r="BK1380" s="16"/>
    </row>
    <row r="1381" spans="1:63" s="199" customFormat="1" ht="101.25" customHeight="1">
      <c r="A1381" s="401">
        <v>3</v>
      </c>
      <c r="B1381" s="38" t="s">
        <v>4472</v>
      </c>
      <c r="C1381" s="38" t="s">
        <v>83</v>
      </c>
      <c r="D1381" s="38" t="s">
        <v>160</v>
      </c>
      <c r="E1381" s="38" t="s">
        <v>274</v>
      </c>
      <c r="F1381" s="38" t="s">
        <v>4620</v>
      </c>
      <c r="G1381" s="38">
        <v>31</v>
      </c>
      <c r="H1381" s="11">
        <v>626434</v>
      </c>
      <c r="I1381" s="16" t="s">
        <v>4489</v>
      </c>
      <c r="J1381" s="16" t="s">
        <v>4282</v>
      </c>
      <c r="K1381" s="29" t="s">
        <v>4917</v>
      </c>
      <c r="L1381" s="16" t="s">
        <v>180</v>
      </c>
      <c r="M1381" s="95" t="s">
        <v>4170</v>
      </c>
      <c r="N1381" s="15" t="s">
        <v>4171</v>
      </c>
      <c r="O1381" s="16" t="s">
        <v>4172</v>
      </c>
      <c r="P1381" s="23">
        <v>1495.7328399999999</v>
      </c>
      <c r="Q1381" s="23">
        <f t="shared" si="168"/>
        <v>1764.9647511999997</v>
      </c>
      <c r="R1381" s="23">
        <v>1464.424980235435</v>
      </c>
      <c r="S1381" s="29" t="s">
        <v>4656</v>
      </c>
      <c r="T1381" s="312">
        <v>1.0840000000000001</v>
      </c>
      <c r="U1381" s="312">
        <v>1.0509999999999999</v>
      </c>
      <c r="V1381" s="312">
        <v>1.0669999999999999</v>
      </c>
      <c r="W1381" s="312">
        <v>1</v>
      </c>
      <c r="X1381" s="403">
        <v>0.9</v>
      </c>
      <c r="Y1381" s="23">
        <v>1602.1606300000001</v>
      </c>
      <c r="Z1381" s="23">
        <f t="shared" si="169"/>
        <v>1890.5495433999999</v>
      </c>
      <c r="AA1381" s="36" t="s">
        <v>132</v>
      </c>
      <c r="AB1381" s="36" t="s">
        <v>132</v>
      </c>
      <c r="AC1381" s="23">
        <v>1495.7328399999999</v>
      </c>
      <c r="AD1381" s="23">
        <f t="shared" si="170"/>
        <v>1764.9647511999997</v>
      </c>
      <c r="AE1381" s="38" t="s">
        <v>173</v>
      </c>
      <c r="AF1381" s="38" t="s">
        <v>83</v>
      </c>
      <c r="AG1381" s="38" t="s">
        <v>83</v>
      </c>
      <c r="AH1381" s="38" t="s">
        <v>90</v>
      </c>
      <c r="AI1381" s="51">
        <v>41598</v>
      </c>
      <c r="AJ1381" s="51">
        <v>41643</v>
      </c>
      <c r="AK1381" s="369"/>
      <c r="AL1381" s="60"/>
      <c r="AM1381" s="60" t="s">
        <v>4499</v>
      </c>
      <c r="AN1381" s="60" t="s">
        <v>1757</v>
      </c>
      <c r="AO1381" s="11">
        <v>796</v>
      </c>
      <c r="AP1381" s="38" t="s">
        <v>368</v>
      </c>
      <c r="AQ1381" s="38">
        <v>1</v>
      </c>
      <c r="AR1381" s="38" t="s">
        <v>2980</v>
      </c>
      <c r="AS1381" s="16" t="s">
        <v>3373</v>
      </c>
      <c r="AT1381" s="51">
        <v>41643</v>
      </c>
      <c r="AU1381" s="78">
        <v>41671</v>
      </c>
      <c r="AV1381" s="78">
        <v>42004</v>
      </c>
      <c r="AW1381" s="38">
        <v>2014</v>
      </c>
      <c r="AX1381" s="60"/>
      <c r="AY1381" s="135"/>
      <c r="AZ1381" s="60"/>
      <c r="BA1381" s="38">
        <v>2014</v>
      </c>
      <c r="BB1381" s="38"/>
      <c r="BC1381" s="60"/>
      <c r="BD1381" s="60"/>
      <c r="BE1381" s="304"/>
      <c r="BF1381" s="304"/>
      <c r="BG1381" s="304"/>
      <c r="BH1381" s="304"/>
      <c r="BI1381" s="304"/>
      <c r="BJ1381" s="304"/>
      <c r="BK1381" s="16"/>
    </row>
    <row r="1382" spans="1:63" s="199" customFormat="1" ht="75">
      <c r="A1382" s="401">
        <v>3</v>
      </c>
      <c r="B1382" s="38" t="s">
        <v>4474</v>
      </c>
      <c r="C1382" s="38" t="s">
        <v>83</v>
      </c>
      <c r="D1382" s="38" t="s">
        <v>160</v>
      </c>
      <c r="E1382" s="38" t="s">
        <v>274</v>
      </c>
      <c r="F1382" s="38" t="s">
        <v>4620</v>
      </c>
      <c r="G1382" s="38">
        <v>31</v>
      </c>
      <c r="H1382" s="11">
        <v>626244</v>
      </c>
      <c r="I1382" s="16" t="s">
        <v>4475</v>
      </c>
      <c r="J1382" s="16" t="s">
        <v>4282</v>
      </c>
      <c r="K1382" s="29" t="s">
        <v>4917</v>
      </c>
      <c r="L1382" s="16" t="s">
        <v>180</v>
      </c>
      <c r="M1382" s="95" t="s">
        <v>4170</v>
      </c>
      <c r="N1382" s="15" t="s">
        <v>4171</v>
      </c>
      <c r="O1382" s="16" t="s">
        <v>4172</v>
      </c>
      <c r="P1382" s="23">
        <v>1102.1817000000001</v>
      </c>
      <c r="Q1382" s="23">
        <v>1300.574406</v>
      </c>
      <c r="R1382" s="23">
        <v>833.18518047718158</v>
      </c>
      <c r="S1382" s="29" t="s">
        <v>4180</v>
      </c>
      <c r="T1382" s="312">
        <v>1.0840000000000001</v>
      </c>
      <c r="U1382" s="312">
        <v>1.0509999999999999</v>
      </c>
      <c r="V1382" s="312">
        <v>1.0669999999999999</v>
      </c>
      <c r="W1382" s="312">
        <v>1.056</v>
      </c>
      <c r="X1382" s="403">
        <v>0.9</v>
      </c>
      <c r="Y1382" s="23">
        <v>962.59672999999998</v>
      </c>
      <c r="Z1382" s="23">
        <v>1135.8641413999999</v>
      </c>
      <c r="AA1382" s="36" t="s">
        <v>132</v>
      </c>
      <c r="AB1382" s="36" t="s">
        <v>132</v>
      </c>
      <c r="AC1382" s="23">
        <v>962.59672999999998</v>
      </c>
      <c r="AD1382" s="23">
        <v>1135.8641413999999</v>
      </c>
      <c r="AE1382" s="60" t="s">
        <v>173</v>
      </c>
      <c r="AF1382" s="38" t="s">
        <v>83</v>
      </c>
      <c r="AG1382" s="38" t="s">
        <v>83</v>
      </c>
      <c r="AH1382" s="38" t="s">
        <v>90</v>
      </c>
      <c r="AI1382" s="51">
        <v>41628</v>
      </c>
      <c r="AJ1382" s="51">
        <v>41669</v>
      </c>
      <c r="AK1382" s="369"/>
      <c r="AL1382" s="60"/>
      <c r="AM1382" s="60" t="s">
        <v>4476</v>
      </c>
      <c r="AN1382" s="60" t="s">
        <v>1757</v>
      </c>
      <c r="AO1382" s="11">
        <v>796</v>
      </c>
      <c r="AP1382" s="38" t="s">
        <v>368</v>
      </c>
      <c r="AQ1382" s="38">
        <v>1</v>
      </c>
      <c r="AR1382" s="38" t="s">
        <v>2980</v>
      </c>
      <c r="AS1382" s="16" t="s">
        <v>3373</v>
      </c>
      <c r="AT1382" s="51">
        <v>41669</v>
      </c>
      <c r="AU1382" s="78">
        <v>41671</v>
      </c>
      <c r="AV1382" s="78">
        <v>41729</v>
      </c>
      <c r="AW1382" s="38">
        <v>2014</v>
      </c>
      <c r="AX1382" s="60"/>
      <c r="AY1382" s="135"/>
      <c r="AZ1382" s="60"/>
      <c r="BA1382" s="38">
        <v>2014</v>
      </c>
      <c r="BB1382" s="38"/>
      <c r="BC1382" s="60"/>
      <c r="BD1382" s="60"/>
      <c r="BE1382" s="304"/>
      <c r="BF1382" s="304"/>
      <c r="BG1382" s="304"/>
      <c r="BH1382" s="304"/>
      <c r="BI1382" s="304"/>
      <c r="BJ1382" s="304"/>
      <c r="BK1382" s="16"/>
    </row>
    <row r="1383" spans="1:63" s="199" customFormat="1" ht="75">
      <c r="A1383" s="401">
        <v>3</v>
      </c>
      <c r="B1383" s="38" t="s">
        <v>4477</v>
      </c>
      <c r="C1383" s="38" t="s">
        <v>83</v>
      </c>
      <c r="D1383" s="38" t="s">
        <v>160</v>
      </c>
      <c r="E1383" s="38" t="s">
        <v>274</v>
      </c>
      <c r="F1383" s="38" t="s">
        <v>4625</v>
      </c>
      <c r="G1383" s="38">
        <v>29</v>
      </c>
      <c r="H1383" s="11">
        <v>626412</v>
      </c>
      <c r="I1383" s="16" t="s">
        <v>4478</v>
      </c>
      <c r="J1383" s="16" t="s">
        <v>4282</v>
      </c>
      <c r="K1383" s="29" t="s">
        <v>4917</v>
      </c>
      <c r="L1383" s="16" t="s">
        <v>180</v>
      </c>
      <c r="M1383" s="95" t="s">
        <v>4170</v>
      </c>
      <c r="N1383" s="15" t="s">
        <v>4171</v>
      </c>
      <c r="O1383" s="16" t="s">
        <v>4172</v>
      </c>
      <c r="P1383" s="23">
        <v>499.01429000000002</v>
      </c>
      <c r="Q1383" s="23">
        <v>588.83686220000004</v>
      </c>
      <c r="R1383" s="23">
        <v>501.39955322580965</v>
      </c>
      <c r="S1383" s="29" t="s">
        <v>4180</v>
      </c>
      <c r="T1383" s="312">
        <v>1.0840000000000001</v>
      </c>
      <c r="U1383" s="312">
        <v>1.0509999999999999</v>
      </c>
      <c r="V1383" s="312">
        <v>1.0669999999999999</v>
      </c>
      <c r="W1383" s="312">
        <v>1</v>
      </c>
      <c r="X1383" s="403">
        <v>0.9</v>
      </c>
      <c r="Y1383" s="23">
        <v>548.55840000000001</v>
      </c>
      <c r="Z1383" s="23">
        <v>647.29891199999997</v>
      </c>
      <c r="AA1383" s="36" t="s">
        <v>132</v>
      </c>
      <c r="AB1383" s="36" t="s">
        <v>132</v>
      </c>
      <c r="AC1383" s="23">
        <v>499.01429000000002</v>
      </c>
      <c r="AD1383" s="23">
        <v>588.83686220000004</v>
      </c>
      <c r="AE1383" s="60" t="s">
        <v>173</v>
      </c>
      <c r="AF1383" s="38" t="s">
        <v>83</v>
      </c>
      <c r="AG1383" s="38" t="s">
        <v>83</v>
      </c>
      <c r="AH1383" s="38" t="s">
        <v>90</v>
      </c>
      <c r="AI1383" s="51">
        <v>41598</v>
      </c>
      <c r="AJ1383" s="51">
        <v>41643</v>
      </c>
      <c r="AK1383" s="369"/>
      <c r="AL1383" s="60"/>
      <c r="AM1383" s="60" t="s">
        <v>4479</v>
      </c>
      <c r="AN1383" s="60" t="s">
        <v>1757</v>
      </c>
      <c r="AO1383" s="11">
        <v>796</v>
      </c>
      <c r="AP1383" s="38" t="s">
        <v>368</v>
      </c>
      <c r="AQ1383" s="38">
        <v>1</v>
      </c>
      <c r="AR1383" s="38" t="s">
        <v>2980</v>
      </c>
      <c r="AS1383" s="16" t="s">
        <v>3373</v>
      </c>
      <c r="AT1383" s="51">
        <v>41643</v>
      </c>
      <c r="AU1383" s="78">
        <v>41646</v>
      </c>
      <c r="AV1383" s="78">
        <v>41943</v>
      </c>
      <c r="AW1383" s="38">
        <v>2014</v>
      </c>
      <c r="AX1383" s="60"/>
      <c r="AY1383" s="135"/>
      <c r="AZ1383" s="60"/>
      <c r="BA1383" s="38">
        <v>2014</v>
      </c>
      <c r="BB1383" s="38"/>
      <c r="BC1383" s="60"/>
      <c r="BD1383" s="60"/>
      <c r="BE1383" s="304"/>
      <c r="BF1383" s="304"/>
      <c r="BG1383" s="304"/>
      <c r="BH1383" s="304"/>
      <c r="BI1383" s="304"/>
      <c r="BJ1383" s="304"/>
      <c r="BK1383" s="16"/>
    </row>
    <row r="1384" spans="1:63" s="199" customFormat="1" ht="112.5">
      <c r="A1384" s="401">
        <v>3</v>
      </c>
      <c r="B1384" s="38" t="s">
        <v>4503</v>
      </c>
      <c r="C1384" s="38" t="s">
        <v>83</v>
      </c>
      <c r="D1384" s="38" t="s">
        <v>160</v>
      </c>
      <c r="E1384" s="38" t="s">
        <v>274</v>
      </c>
      <c r="F1384" s="38" t="s">
        <v>4631</v>
      </c>
      <c r="G1384" s="38">
        <v>18</v>
      </c>
      <c r="H1384" s="29">
        <v>626330</v>
      </c>
      <c r="I1384" s="16" t="s">
        <v>4504</v>
      </c>
      <c r="J1384" s="16" t="s">
        <v>4282</v>
      </c>
      <c r="K1384" s="29" t="s">
        <v>4917</v>
      </c>
      <c r="L1384" s="16" t="s">
        <v>180</v>
      </c>
      <c r="M1384" s="95" t="s">
        <v>4170</v>
      </c>
      <c r="N1384" s="15" t="s">
        <v>4171</v>
      </c>
      <c r="O1384" s="16" t="s">
        <v>4172</v>
      </c>
      <c r="P1384" s="23">
        <v>14121.7</v>
      </c>
      <c r="Q1384" s="23">
        <f t="shared" ref="Q1384:Q1412" si="171">P1384*1.18</f>
        <v>16663.606</v>
      </c>
      <c r="R1384" s="23">
        <v>14795.557463335641</v>
      </c>
      <c r="S1384" s="29" t="s">
        <v>4663</v>
      </c>
      <c r="T1384" s="312">
        <v>1.1830000000000001</v>
      </c>
      <c r="U1384" s="312">
        <v>1.0229999999999999</v>
      </c>
      <c r="V1384" s="312">
        <v>1.046</v>
      </c>
      <c r="W1384" s="312">
        <v>1.0569999999999999</v>
      </c>
      <c r="X1384" s="403">
        <v>0.9</v>
      </c>
      <c r="Y1384" s="23">
        <v>17817.258979999999</v>
      </c>
      <c r="Z1384" s="23">
        <f t="shared" ref="Z1384:Z1412" si="172">Y1384*1.18</f>
        <v>21024.365596399999</v>
      </c>
      <c r="AA1384" s="36" t="s">
        <v>132</v>
      </c>
      <c r="AB1384" s="36" t="s">
        <v>132</v>
      </c>
      <c r="AC1384" s="23">
        <v>14121.70383</v>
      </c>
      <c r="AD1384" s="23">
        <f t="shared" ref="AD1384:AD1412" si="173">AC1384*1.18</f>
        <v>16663.610519400001</v>
      </c>
      <c r="AE1384" s="60" t="s">
        <v>169</v>
      </c>
      <c r="AF1384" s="38" t="s">
        <v>83</v>
      </c>
      <c r="AG1384" s="38" t="s">
        <v>83</v>
      </c>
      <c r="AH1384" s="38" t="s">
        <v>90</v>
      </c>
      <c r="AI1384" s="51">
        <v>41607</v>
      </c>
      <c r="AJ1384" s="51">
        <v>41667</v>
      </c>
      <c r="AK1384" s="369"/>
      <c r="AL1384" s="60"/>
      <c r="AM1384" s="60" t="s">
        <v>4505</v>
      </c>
      <c r="AN1384" s="60" t="s">
        <v>1757</v>
      </c>
      <c r="AO1384" s="11">
        <v>796</v>
      </c>
      <c r="AP1384" s="38" t="s">
        <v>368</v>
      </c>
      <c r="AQ1384" s="38">
        <v>1</v>
      </c>
      <c r="AR1384" s="38" t="s">
        <v>2980</v>
      </c>
      <c r="AS1384" s="16" t="s">
        <v>3373</v>
      </c>
      <c r="AT1384" s="51">
        <v>41668</v>
      </c>
      <c r="AU1384" s="78">
        <v>41669</v>
      </c>
      <c r="AV1384" s="78">
        <v>41913</v>
      </c>
      <c r="AW1384" s="38">
        <v>2014</v>
      </c>
      <c r="AX1384" s="60"/>
      <c r="AY1384" s="135"/>
      <c r="AZ1384" s="16"/>
      <c r="BA1384" s="38"/>
      <c r="BB1384" s="38"/>
      <c r="BC1384" s="60"/>
      <c r="BD1384" s="60"/>
      <c r="BE1384" s="304"/>
      <c r="BF1384" s="304"/>
      <c r="BG1384" s="304"/>
      <c r="BH1384" s="304"/>
      <c r="BI1384" s="304"/>
      <c r="BJ1384" s="304"/>
      <c r="BK1384" s="16"/>
    </row>
    <row r="1385" spans="1:63" s="199" customFormat="1" ht="131.25">
      <c r="A1385" s="401">
        <v>3</v>
      </c>
      <c r="B1385" s="38" t="s">
        <v>4506</v>
      </c>
      <c r="C1385" s="38" t="s">
        <v>83</v>
      </c>
      <c r="D1385" s="38" t="s">
        <v>160</v>
      </c>
      <c r="E1385" s="38" t="s">
        <v>274</v>
      </c>
      <c r="F1385" s="38" t="s">
        <v>4624</v>
      </c>
      <c r="G1385" s="38">
        <v>24</v>
      </c>
      <c r="H1385" s="29">
        <v>626393</v>
      </c>
      <c r="I1385" s="16" t="s">
        <v>4507</v>
      </c>
      <c r="J1385" s="16" t="s">
        <v>4282</v>
      </c>
      <c r="K1385" s="29" t="s">
        <v>4917</v>
      </c>
      <c r="L1385" s="16" t="s">
        <v>180</v>
      </c>
      <c r="M1385" s="95" t="s">
        <v>4170</v>
      </c>
      <c r="N1385" s="15" t="s">
        <v>4171</v>
      </c>
      <c r="O1385" s="16" t="s">
        <v>4172</v>
      </c>
      <c r="P1385" s="23">
        <v>6876.3978699999998</v>
      </c>
      <c r="Q1385" s="23">
        <f t="shared" si="171"/>
        <v>8114.1494865999994</v>
      </c>
      <c r="R1385" s="23">
        <v>9974.2154835805995</v>
      </c>
      <c r="S1385" s="29" t="s">
        <v>4664</v>
      </c>
      <c r="T1385" s="312">
        <v>1.1919999999999999</v>
      </c>
      <c r="U1385" s="312">
        <v>1.042</v>
      </c>
      <c r="V1385" s="312">
        <v>1.014</v>
      </c>
      <c r="W1385" s="312">
        <v>1.0209999999999999</v>
      </c>
      <c r="X1385" s="403">
        <v>0.9</v>
      </c>
      <c r="Y1385" s="23">
        <v>11543.27195</v>
      </c>
      <c r="Z1385" s="23">
        <f t="shared" si="172"/>
        <v>13621.060900999999</v>
      </c>
      <c r="AA1385" s="36" t="s">
        <v>132</v>
      </c>
      <c r="AB1385" s="36" t="s">
        <v>132</v>
      </c>
      <c r="AC1385" s="23">
        <v>6876.3978699999998</v>
      </c>
      <c r="AD1385" s="23">
        <f t="shared" si="173"/>
        <v>8114.1494865999994</v>
      </c>
      <c r="AE1385" s="60" t="s">
        <v>173</v>
      </c>
      <c r="AF1385" s="38" t="s">
        <v>83</v>
      </c>
      <c r="AG1385" s="38" t="s">
        <v>83</v>
      </c>
      <c r="AH1385" s="38" t="s">
        <v>90</v>
      </c>
      <c r="AI1385" s="51">
        <v>41607</v>
      </c>
      <c r="AJ1385" s="51">
        <v>41652</v>
      </c>
      <c r="AK1385" s="369"/>
      <c r="AL1385" s="60"/>
      <c r="AM1385" s="60" t="s">
        <v>4508</v>
      </c>
      <c r="AN1385" s="60" t="s">
        <v>1757</v>
      </c>
      <c r="AO1385" s="11">
        <v>796</v>
      </c>
      <c r="AP1385" s="38" t="s">
        <v>368</v>
      </c>
      <c r="AQ1385" s="38">
        <v>1</v>
      </c>
      <c r="AR1385" s="38" t="s">
        <v>2980</v>
      </c>
      <c r="AS1385" s="16" t="s">
        <v>3373</v>
      </c>
      <c r="AT1385" s="51">
        <v>41653</v>
      </c>
      <c r="AU1385" s="78">
        <v>41654</v>
      </c>
      <c r="AV1385" s="78">
        <v>41974</v>
      </c>
      <c r="AW1385" s="38">
        <v>2014</v>
      </c>
      <c r="AX1385" s="60"/>
      <c r="AY1385" s="135"/>
      <c r="AZ1385" s="16"/>
      <c r="BA1385" s="38"/>
      <c r="BB1385" s="38"/>
      <c r="BC1385" s="60"/>
      <c r="BD1385" s="60"/>
      <c r="BE1385" s="304"/>
      <c r="BF1385" s="304"/>
      <c r="BG1385" s="304"/>
      <c r="BH1385" s="304"/>
      <c r="BI1385" s="304"/>
      <c r="BJ1385" s="304"/>
      <c r="BK1385" s="16"/>
    </row>
    <row r="1386" spans="1:63" s="199" customFormat="1" ht="131.25">
      <c r="A1386" s="401">
        <v>3</v>
      </c>
      <c r="B1386" s="38" t="s">
        <v>4509</v>
      </c>
      <c r="C1386" s="38" t="s">
        <v>83</v>
      </c>
      <c r="D1386" s="38" t="s">
        <v>160</v>
      </c>
      <c r="E1386" s="38" t="s">
        <v>274</v>
      </c>
      <c r="F1386" s="38" t="s">
        <v>4625</v>
      </c>
      <c r="G1386" s="38">
        <v>29</v>
      </c>
      <c r="H1386" s="29">
        <v>626403</v>
      </c>
      <c r="I1386" s="16" t="s">
        <v>4510</v>
      </c>
      <c r="J1386" s="16" t="s">
        <v>4282</v>
      </c>
      <c r="K1386" s="29" t="s">
        <v>4917</v>
      </c>
      <c r="L1386" s="16" t="s">
        <v>180</v>
      </c>
      <c r="M1386" s="95" t="s">
        <v>4170</v>
      </c>
      <c r="N1386" s="15" t="s">
        <v>4171</v>
      </c>
      <c r="O1386" s="16" t="s">
        <v>4172</v>
      </c>
      <c r="P1386" s="23">
        <v>1477.4665199999999</v>
      </c>
      <c r="Q1386" s="23">
        <f t="shared" si="171"/>
        <v>1743.4104935999999</v>
      </c>
      <c r="R1386" s="23">
        <v>2623.6494008582317</v>
      </c>
      <c r="S1386" s="29" t="s">
        <v>4664</v>
      </c>
      <c r="T1386" s="312">
        <v>1.1919999999999999</v>
      </c>
      <c r="U1386" s="312">
        <v>1.042</v>
      </c>
      <c r="V1386" s="312">
        <v>1.014</v>
      </c>
      <c r="W1386" s="312">
        <v>1.0209999999999999</v>
      </c>
      <c r="X1386" s="403">
        <v>0.9</v>
      </c>
      <c r="Y1386" s="23">
        <v>3036.3790100000001</v>
      </c>
      <c r="Z1386" s="23">
        <f t="shared" si="172"/>
        <v>3582.9272317999998</v>
      </c>
      <c r="AA1386" s="36" t="s">
        <v>132</v>
      </c>
      <c r="AB1386" s="36" t="s">
        <v>132</v>
      </c>
      <c r="AC1386" s="23">
        <v>1477.4665199999999</v>
      </c>
      <c r="AD1386" s="23">
        <f t="shared" si="173"/>
        <v>1743.4104935999999</v>
      </c>
      <c r="AE1386" s="60" t="s">
        <v>173</v>
      </c>
      <c r="AF1386" s="38" t="s">
        <v>83</v>
      </c>
      <c r="AG1386" s="38" t="s">
        <v>83</v>
      </c>
      <c r="AH1386" s="38" t="s">
        <v>90</v>
      </c>
      <c r="AI1386" s="51">
        <v>41607</v>
      </c>
      <c r="AJ1386" s="51">
        <v>41652</v>
      </c>
      <c r="AK1386" s="369"/>
      <c r="AL1386" s="60"/>
      <c r="AM1386" s="60" t="s">
        <v>4511</v>
      </c>
      <c r="AN1386" s="60" t="s">
        <v>1757</v>
      </c>
      <c r="AO1386" s="11">
        <v>796</v>
      </c>
      <c r="AP1386" s="38" t="s">
        <v>368</v>
      </c>
      <c r="AQ1386" s="38">
        <v>1</v>
      </c>
      <c r="AR1386" s="38" t="s">
        <v>2980</v>
      </c>
      <c r="AS1386" s="16" t="s">
        <v>3373</v>
      </c>
      <c r="AT1386" s="51">
        <v>41653</v>
      </c>
      <c r="AU1386" s="78">
        <v>41654</v>
      </c>
      <c r="AV1386" s="78">
        <v>41913</v>
      </c>
      <c r="AW1386" s="38">
        <v>2014</v>
      </c>
      <c r="AX1386" s="60"/>
      <c r="AY1386" s="135"/>
      <c r="AZ1386" s="16"/>
      <c r="BA1386" s="38"/>
      <c r="BB1386" s="38"/>
      <c r="BC1386" s="60"/>
      <c r="BD1386" s="60"/>
      <c r="BE1386" s="304"/>
      <c r="BF1386" s="304"/>
      <c r="BG1386" s="304"/>
      <c r="BH1386" s="304"/>
      <c r="BI1386" s="304"/>
      <c r="BJ1386" s="304"/>
      <c r="BK1386" s="16"/>
    </row>
    <row r="1387" spans="1:63" s="199" customFormat="1" ht="75">
      <c r="A1387" s="401">
        <v>3</v>
      </c>
      <c r="B1387" s="38" t="s">
        <v>4512</v>
      </c>
      <c r="C1387" s="38" t="s">
        <v>83</v>
      </c>
      <c r="D1387" s="38" t="s">
        <v>160</v>
      </c>
      <c r="E1387" s="38" t="s">
        <v>274</v>
      </c>
      <c r="F1387" s="38" t="s">
        <v>4627</v>
      </c>
      <c r="G1387" s="38">
        <v>22</v>
      </c>
      <c r="H1387" s="29">
        <v>626274</v>
      </c>
      <c r="I1387" s="16" t="s">
        <v>4513</v>
      </c>
      <c r="J1387" s="16" t="s">
        <v>4282</v>
      </c>
      <c r="K1387" s="29" t="s">
        <v>4917</v>
      </c>
      <c r="L1387" s="16" t="s">
        <v>180</v>
      </c>
      <c r="M1387" s="95" t="s">
        <v>4170</v>
      </c>
      <c r="N1387" s="15" t="s">
        <v>4171</v>
      </c>
      <c r="O1387" s="16" t="s">
        <v>4172</v>
      </c>
      <c r="P1387" s="23">
        <v>4996.7080900000001</v>
      </c>
      <c r="Q1387" s="23">
        <f t="shared" si="171"/>
        <v>5896.1155461999997</v>
      </c>
      <c r="R1387" s="23">
        <v>4324.9504200564279</v>
      </c>
      <c r="S1387" s="29" t="s">
        <v>4180</v>
      </c>
      <c r="T1387" s="312">
        <v>1.0840000000000001</v>
      </c>
      <c r="U1387" s="312">
        <v>1.0509999999999999</v>
      </c>
      <c r="V1387" s="312">
        <v>1.0669999999999999</v>
      </c>
      <c r="W1387" s="312">
        <v>1.056</v>
      </c>
      <c r="X1387" s="403">
        <v>0.9</v>
      </c>
      <c r="Y1387" s="23">
        <v>4996.7080900000001</v>
      </c>
      <c r="Z1387" s="23">
        <f t="shared" si="172"/>
        <v>5896.1155461999997</v>
      </c>
      <c r="AA1387" s="36" t="s">
        <v>132</v>
      </c>
      <c r="AB1387" s="36" t="s">
        <v>132</v>
      </c>
      <c r="AC1387" s="23">
        <v>4996.7080900000001</v>
      </c>
      <c r="AD1387" s="23">
        <f t="shared" si="173"/>
        <v>5896.1155461999997</v>
      </c>
      <c r="AE1387" s="60" t="s">
        <v>173</v>
      </c>
      <c r="AF1387" s="38" t="s">
        <v>83</v>
      </c>
      <c r="AG1387" s="38" t="s">
        <v>83</v>
      </c>
      <c r="AH1387" s="38" t="s">
        <v>90</v>
      </c>
      <c r="AI1387" s="51">
        <v>41607</v>
      </c>
      <c r="AJ1387" s="51">
        <v>41652</v>
      </c>
      <c r="AK1387" s="369"/>
      <c r="AL1387" s="60"/>
      <c r="AM1387" s="60" t="s">
        <v>4514</v>
      </c>
      <c r="AN1387" s="60" t="s">
        <v>1757</v>
      </c>
      <c r="AO1387" s="11">
        <v>796</v>
      </c>
      <c r="AP1387" s="38" t="s">
        <v>368</v>
      </c>
      <c r="AQ1387" s="38">
        <v>1</v>
      </c>
      <c r="AR1387" s="38" t="s">
        <v>2980</v>
      </c>
      <c r="AS1387" s="16" t="s">
        <v>3373</v>
      </c>
      <c r="AT1387" s="51">
        <v>41653</v>
      </c>
      <c r="AU1387" s="78">
        <v>41654</v>
      </c>
      <c r="AV1387" s="78">
        <v>41913</v>
      </c>
      <c r="AW1387" s="38">
        <v>2014</v>
      </c>
      <c r="AX1387" s="60"/>
      <c r="AY1387" s="135"/>
      <c r="AZ1387" s="16"/>
      <c r="BA1387" s="38"/>
      <c r="BB1387" s="38"/>
      <c r="BC1387" s="60"/>
      <c r="BD1387" s="60"/>
      <c r="BE1387" s="304"/>
      <c r="BF1387" s="304"/>
      <c r="BG1387" s="304"/>
      <c r="BH1387" s="304"/>
      <c r="BI1387" s="304"/>
      <c r="BJ1387" s="304"/>
      <c r="BK1387" s="16"/>
    </row>
    <row r="1388" spans="1:63" s="199" customFormat="1" ht="75">
      <c r="A1388" s="401">
        <v>3</v>
      </c>
      <c r="B1388" s="38" t="s">
        <v>4515</v>
      </c>
      <c r="C1388" s="38" t="s">
        <v>83</v>
      </c>
      <c r="D1388" s="38" t="s">
        <v>160</v>
      </c>
      <c r="E1388" s="38" t="s">
        <v>274</v>
      </c>
      <c r="F1388" s="38" t="s">
        <v>4630</v>
      </c>
      <c r="G1388" s="38">
        <v>36</v>
      </c>
      <c r="H1388" s="29">
        <v>626278</v>
      </c>
      <c r="I1388" s="16" t="s">
        <v>4516</v>
      </c>
      <c r="J1388" s="16" t="s">
        <v>4282</v>
      </c>
      <c r="K1388" s="29" t="s">
        <v>4917</v>
      </c>
      <c r="L1388" s="16" t="s">
        <v>180</v>
      </c>
      <c r="M1388" s="95" t="s">
        <v>4170</v>
      </c>
      <c r="N1388" s="15" t="s">
        <v>4171</v>
      </c>
      <c r="O1388" s="16" t="s">
        <v>4172</v>
      </c>
      <c r="P1388" s="23">
        <v>5841.4213900000004</v>
      </c>
      <c r="Q1388" s="23">
        <f t="shared" si="171"/>
        <v>6892.8772402000004</v>
      </c>
      <c r="R1388" s="23">
        <v>5056.100424391032</v>
      </c>
      <c r="S1388" s="29" t="s">
        <v>4180</v>
      </c>
      <c r="T1388" s="312">
        <v>1.0840000000000001</v>
      </c>
      <c r="U1388" s="312">
        <v>1.0509999999999999</v>
      </c>
      <c r="V1388" s="312">
        <v>1.0669999999999999</v>
      </c>
      <c r="W1388" s="312">
        <v>1.056</v>
      </c>
      <c r="X1388" s="403">
        <v>0.9</v>
      </c>
      <c r="Y1388" s="23">
        <v>5841.4213900000004</v>
      </c>
      <c r="Z1388" s="23">
        <f t="shared" si="172"/>
        <v>6892.8772402000004</v>
      </c>
      <c r="AA1388" s="36" t="s">
        <v>132</v>
      </c>
      <c r="AB1388" s="36" t="s">
        <v>132</v>
      </c>
      <c r="AC1388" s="23">
        <v>5841.4213900000004</v>
      </c>
      <c r="AD1388" s="23">
        <f t="shared" si="173"/>
        <v>6892.8772402000004</v>
      </c>
      <c r="AE1388" s="60" t="s">
        <v>173</v>
      </c>
      <c r="AF1388" s="38" t="s">
        <v>83</v>
      </c>
      <c r="AG1388" s="38" t="s">
        <v>83</v>
      </c>
      <c r="AH1388" s="38" t="s">
        <v>90</v>
      </c>
      <c r="AI1388" s="51">
        <v>41607</v>
      </c>
      <c r="AJ1388" s="51">
        <v>41652</v>
      </c>
      <c r="AK1388" s="369"/>
      <c r="AL1388" s="60"/>
      <c r="AM1388" s="60" t="s">
        <v>4517</v>
      </c>
      <c r="AN1388" s="60" t="s">
        <v>1757</v>
      </c>
      <c r="AO1388" s="11">
        <v>796</v>
      </c>
      <c r="AP1388" s="38" t="s">
        <v>368</v>
      </c>
      <c r="AQ1388" s="38">
        <v>1</v>
      </c>
      <c r="AR1388" s="38" t="s">
        <v>2980</v>
      </c>
      <c r="AS1388" s="16" t="s">
        <v>3373</v>
      </c>
      <c r="AT1388" s="51">
        <v>41653</v>
      </c>
      <c r="AU1388" s="78">
        <v>41654</v>
      </c>
      <c r="AV1388" s="78">
        <v>41913</v>
      </c>
      <c r="AW1388" s="38">
        <v>2014</v>
      </c>
      <c r="AX1388" s="60"/>
      <c r="AY1388" s="135"/>
      <c r="AZ1388" s="16"/>
      <c r="BA1388" s="38"/>
      <c r="BB1388" s="38"/>
      <c r="BC1388" s="60"/>
      <c r="BD1388" s="60"/>
      <c r="BE1388" s="304"/>
      <c r="BF1388" s="304"/>
      <c r="BG1388" s="304"/>
      <c r="BH1388" s="304"/>
      <c r="BI1388" s="304"/>
      <c r="BJ1388" s="304"/>
      <c r="BK1388" s="16"/>
    </row>
    <row r="1389" spans="1:63" s="199" customFormat="1" ht="75">
      <c r="A1389" s="401">
        <v>3</v>
      </c>
      <c r="B1389" s="38" t="s">
        <v>4518</v>
      </c>
      <c r="C1389" s="38" t="s">
        <v>83</v>
      </c>
      <c r="D1389" s="38" t="s">
        <v>160</v>
      </c>
      <c r="E1389" s="38" t="s">
        <v>274</v>
      </c>
      <c r="F1389" s="38" t="s">
        <v>4625</v>
      </c>
      <c r="G1389" s="38">
        <v>29</v>
      </c>
      <c r="H1389" s="29">
        <v>626394</v>
      </c>
      <c r="I1389" s="16" t="s">
        <v>4519</v>
      </c>
      <c r="J1389" s="16" t="s">
        <v>4282</v>
      </c>
      <c r="K1389" s="29" t="s">
        <v>4917</v>
      </c>
      <c r="L1389" s="16" t="s">
        <v>180</v>
      </c>
      <c r="M1389" s="95" t="s">
        <v>4170</v>
      </c>
      <c r="N1389" s="15" t="s">
        <v>4171</v>
      </c>
      <c r="O1389" s="16" t="s">
        <v>4172</v>
      </c>
      <c r="P1389" s="23">
        <v>2953.1333</v>
      </c>
      <c r="Q1389" s="23">
        <f t="shared" si="171"/>
        <v>3484.6972939999996</v>
      </c>
      <c r="R1389" s="23">
        <v>3835.4977584295648</v>
      </c>
      <c r="S1389" s="29" t="s">
        <v>4180</v>
      </c>
      <c r="T1389" s="312">
        <v>1.0840000000000001</v>
      </c>
      <c r="U1389" s="312">
        <v>1.0509999999999999</v>
      </c>
      <c r="V1389" s="312">
        <v>1.0669999999999999</v>
      </c>
      <c r="W1389" s="312">
        <v>1.056</v>
      </c>
      <c r="X1389" s="403">
        <v>0.9</v>
      </c>
      <c r="Y1389" s="23">
        <v>4431.2329200000004</v>
      </c>
      <c r="Z1389" s="23">
        <f t="shared" si="172"/>
        <v>5228.8548455999999</v>
      </c>
      <c r="AA1389" s="36" t="s">
        <v>132</v>
      </c>
      <c r="AB1389" s="36" t="s">
        <v>132</v>
      </c>
      <c r="AC1389" s="23">
        <v>2953.1333</v>
      </c>
      <c r="AD1389" s="23">
        <f t="shared" si="173"/>
        <v>3484.6972939999996</v>
      </c>
      <c r="AE1389" s="60" t="s">
        <v>173</v>
      </c>
      <c r="AF1389" s="38" t="s">
        <v>83</v>
      </c>
      <c r="AG1389" s="38" t="s">
        <v>83</v>
      </c>
      <c r="AH1389" s="38" t="s">
        <v>90</v>
      </c>
      <c r="AI1389" s="51">
        <v>41607</v>
      </c>
      <c r="AJ1389" s="51">
        <v>41652</v>
      </c>
      <c r="AK1389" s="369"/>
      <c r="AL1389" s="60"/>
      <c r="AM1389" s="60" t="s">
        <v>4520</v>
      </c>
      <c r="AN1389" s="60" t="s">
        <v>1757</v>
      </c>
      <c r="AO1389" s="11">
        <v>796</v>
      </c>
      <c r="AP1389" s="38" t="s">
        <v>368</v>
      </c>
      <c r="AQ1389" s="38">
        <v>1</v>
      </c>
      <c r="AR1389" s="38" t="s">
        <v>2980</v>
      </c>
      <c r="AS1389" s="16" t="s">
        <v>3373</v>
      </c>
      <c r="AT1389" s="51">
        <v>41653</v>
      </c>
      <c r="AU1389" s="78">
        <v>41654</v>
      </c>
      <c r="AV1389" s="78">
        <v>41913</v>
      </c>
      <c r="AW1389" s="38">
        <v>2014</v>
      </c>
      <c r="AX1389" s="60"/>
      <c r="AY1389" s="135"/>
      <c r="AZ1389" s="16"/>
      <c r="BA1389" s="38"/>
      <c r="BB1389" s="38"/>
      <c r="BC1389" s="60"/>
      <c r="BD1389" s="60"/>
      <c r="BE1389" s="304"/>
      <c r="BF1389" s="304"/>
      <c r="BG1389" s="304"/>
      <c r="BH1389" s="304"/>
      <c r="BI1389" s="304"/>
      <c r="BJ1389" s="304"/>
      <c r="BK1389" s="16"/>
    </row>
    <row r="1390" spans="1:63" s="199" customFormat="1" ht="75">
      <c r="A1390" s="401">
        <v>3</v>
      </c>
      <c r="B1390" s="38" t="s">
        <v>4521</v>
      </c>
      <c r="C1390" s="38" t="s">
        <v>83</v>
      </c>
      <c r="D1390" s="38" t="s">
        <v>160</v>
      </c>
      <c r="E1390" s="38" t="s">
        <v>274</v>
      </c>
      <c r="F1390" s="38" t="s">
        <v>4625</v>
      </c>
      <c r="G1390" s="38">
        <v>29</v>
      </c>
      <c r="H1390" s="29">
        <v>626397</v>
      </c>
      <c r="I1390" s="16" t="s">
        <v>4522</v>
      </c>
      <c r="J1390" s="16" t="s">
        <v>4282</v>
      </c>
      <c r="K1390" s="29" t="s">
        <v>4917</v>
      </c>
      <c r="L1390" s="16" t="s">
        <v>180</v>
      </c>
      <c r="M1390" s="95" t="s">
        <v>4170</v>
      </c>
      <c r="N1390" s="15" t="s">
        <v>4171</v>
      </c>
      <c r="O1390" s="16" t="s">
        <v>4172</v>
      </c>
      <c r="P1390" s="23">
        <v>2237.6029600000002</v>
      </c>
      <c r="Q1390" s="23">
        <f t="shared" si="171"/>
        <v>2640.3714927999999</v>
      </c>
      <c r="R1390" s="23">
        <v>2030.3212177700607</v>
      </c>
      <c r="S1390" s="29" t="s">
        <v>4180</v>
      </c>
      <c r="T1390" s="312">
        <v>1.0840000000000001</v>
      </c>
      <c r="U1390" s="312">
        <v>1.0509999999999999</v>
      </c>
      <c r="V1390" s="312">
        <v>1.0669999999999999</v>
      </c>
      <c r="W1390" s="312">
        <v>1.056</v>
      </c>
      <c r="X1390" s="403">
        <v>0.9</v>
      </c>
      <c r="Y1390" s="23">
        <v>2345.6736999999998</v>
      </c>
      <c r="Z1390" s="23">
        <f t="shared" si="172"/>
        <v>2767.8949659999998</v>
      </c>
      <c r="AA1390" s="36" t="s">
        <v>132</v>
      </c>
      <c r="AB1390" s="36" t="s">
        <v>132</v>
      </c>
      <c r="AC1390" s="23">
        <v>2237.6029600000002</v>
      </c>
      <c r="AD1390" s="23">
        <f t="shared" si="173"/>
        <v>2640.3714927999999</v>
      </c>
      <c r="AE1390" s="60" t="s">
        <v>173</v>
      </c>
      <c r="AF1390" s="38" t="s">
        <v>83</v>
      </c>
      <c r="AG1390" s="38" t="s">
        <v>83</v>
      </c>
      <c r="AH1390" s="38" t="s">
        <v>90</v>
      </c>
      <c r="AI1390" s="51">
        <v>41607</v>
      </c>
      <c r="AJ1390" s="51">
        <v>41652</v>
      </c>
      <c r="AK1390" s="369"/>
      <c r="AL1390" s="60"/>
      <c r="AM1390" s="60" t="s">
        <v>4523</v>
      </c>
      <c r="AN1390" s="60" t="s">
        <v>1757</v>
      </c>
      <c r="AO1390" s="11">
        <v>796</v>
      </c>
      <c r="AP1390" s="38" t="s">
        <v>368</v>
      </c>
      <c r="AQ1390" s="38">
        <v>1</v>
      </c>
      <c r="AR1390" s="38" t="s">
        <v>2980</v>
      </c>
      <c r="AS1390" s="16" t="s">
        <v>3373</v>
      </c>
      <c r="AT1390" s="51">
        <v>41653</v>
      </c>
      <c r="AU1390" s="78">
        <v>41654</v>
      </c>
      <c r="AV1390" s="78">
        <v>41913</v>
      </c>
      <c r="AW1390" s="38">
        <v>2014</v>
      </c>
      <c r="AX1390" s="60"/>
      <c r="AY1390" s="135"/>
      <c r="AZ1390" s="16"/>
      <c r="BA1390" s="38"/>
      <c r="BB1390" s="38"/>
      <c r="BC1390" s="60"/>
      <c r="BD1390" s="60"/>
      <c r="BE1390" s="304"/>
      <c r="BF1390" s="304"/>
      <c r="BG1390" s="304"/>
      <c r="BH1390" s="304"/>
      <c r="BI1390" s="304"/>
      <c r="BJ1390" s="304"/>
      <c r="BK1390" s="16"/>
    </row>
    <row r="1391" spans="1:63" s="199" customFormat="1" ht="75">
      <c r="A1391" s="401">
        <v>3</v>
      </c>
      <c r="B1391" s="38" t="s">
        <v>4524</v>
      </c>
      <c r="C1391" s="38" t="s">
        <v>83</v>
      </c>
      <c r="D1391" s="38" t="s">
        <v>160</v>
      </c>
      <c r="E1391" s="38" t="s">
        <v>274</v>
      </c>
      <c r="F1391" s="38" t="s">
        <v>4625</v>
      </c>
      <c r="G1391" s="38">
        <v>29</v>
      </c>
      <c r="H1391" s="29">
        <v>626402</v>
      </c>
      <c r="I1391" s="16" t="s">
        <v>4525</v>
      </c>
      <c r="J1391" s="16" t="s">
        <v>4282</v>
      </c>
      <c r="K1391" s="29" t="s">
        <v>4917</v>
      </c>
      <c r="L1391" s="16" t="s">
        <v>180</v>
      </c>
      <c r="M1391" s="95" t="s">
        <v>4170</v>
      </c>
      <c r="N1391" s="15" t="s">
        <v>4171</v>
      </c>
      <c r="O1391" s="16" t="s">
        <v>4172</v>
      </c>
      <c r="P1391" s="23">
        <v>3617.5823599999999</v>
      </c>
      <c r="Q1391" s="23">
        <f t="shared" si="171"/>
        <v>4268.7471847999996</v>
      </c>
      <c r="R1391" s="23">
        <v>4730.4085119752808</v>
      </c>
      <c r="S1391" s="29" t="s">
        <v>4180</v>
      </c>
      <c r="T1391" s="312">
        <v>1.0840000000000001</v>
      </c>
      <c r="U1391" s="312">
        <v>1.0509999999999999</v>
      </c>
      <c r="V1391" s="312">
        <v>1.0669999999999999</v>
      </c>
      <c r="W1391" s="312">
        <v>1.056</v>
      </c>
      <c r="X1391" s="403">
        <v>0.9</v>
      </c>
      <c r="Y1391" s="23">
        <v>5465.1425300000001</v>
      </c>
      <c r="Z1391" s="23">
        <f t="shared" si="172"/>
        <v>6448.8681853999997</v>
      </c>
      <c r="AA1391" s="36" t="s">
        <v>132</v>
      </c>
      <c r="AB1391" s="36" t="s">
        <v>132</v>
      </c>
      <c r="AC1391" s="23">
        <v>3617.5823599999999</v>
      </c>
      <c r="AD1391" s="23">
        <f t="shared" si="173"/>
        <v>4268.7471847999996</v>
      </c>
      <c r="AE1391" s="60" t="s">
        <v>173</v>
      </c>
      <c r="AF1391" s="38" t="s">
        <v>83</v>
      </c>
      <c r="AG1391" s="38" t="s">
        <v>83</v>
      </c>
      <c r="AH1391" s="38" t="s">
        <v>90</v>
      </c>
      <c r="AI1391" s="51">
        <v>41607</v>
      </c>
      <c r="AJ1391" s="51">
        <v>41652</v>
      </c>
      <c r="AK1391" s="369"/>
      <c r="AL1391" s="60"/>
      <c r="AM1391" s="60" t="s">
        <v>4526</v>
      </c>
      <c r="AN1391" s="60" t="s">
        <v>1757</v>
      </c>
      <c r="AO1391" s="11">
        <v>796</v>
      </c>
      <c r="AP1391" s="38" t="s">
        <v>368</v>
      </c>
      <c r="AQ1391" s="38">
        <v>1</v>
      </c>
      <c r="AR1391" s="38" t="s">
        <v>2980</v>
      </c>
      <c r="AS1391" s="16" t="s">
        <v>3373</v>
      </c>
      <c r="AT1391" s="51">
        <v>41653</v>
      </c>
      <c r="AU1391" s="78">
        <v>41654</v>
      </c>
      <c r="AV1391" s="78">
        <v>41913</v>
      </c>
      <c r="AW1391" s="38">
        <v>2014</v>
      </c>
      <c r="AX1391" s="60"/>
      <c r="AY1391" s="135"/>
      <c r="AZ1391" s="16"/>
      <c r="BA1391" s="38"/>
      <c r="BB1391" s="38"/>
      <c r="BC1391" s="60"/>
      <c r="BD1391" s="60"/>
      <c r="BE1391" s="304"/>
      <c r="BF1391" s="304"/>
      <c r="BG1391" s="304"/>
      <c r="BH1391" s="304"/>
      <c r="BI1391" s="304"/>
      <c r="BJ1391" s="304"/>
      <c r="BK1391" s="16"/>
    </row>
    <row r="1392" spans="1:63" s="199" customFormat="1" ht="75">
      <c r="A1392" s="401">
        <v>3</v>
      </c>
      <c r="B1392" s="38" t="s">
        <v>4527</v>
      </c>
      <c r="C1392" s="38" t="s">
        <v>83</v>
      </c>
      <c r="D1392" s="38" t="s">
        <v>160</v>
      </c>
      <c r="E1392" s="38" t="s">
        <v>274</v>
      </c>
      <c r="F1392" s="38" t="s">
        <v>4631</v>
      </c>
      <c r="G1392" s="38">
        <v>18</v>
      </c>
      <c r="H1392" s="29">
        <v>626405</v>
      </c>
      <c r="I1392" s="16" t="s">
        <v>4528</v>
      </c>
      <c r="J1392" s="16" t="s">
        <v>4282</v>
      </c>
      <c r="K1392" s="29" t="s">
        <v>4917</v>
      </c>
      <c r="L1392" s="16" t="s">
        <v>180</v>
      </c>
      <c r="M1392" s="95" t="s">
        <v>4170</v>
      </c>
      <c r="N1392" s="15" t="s">
        <v>4171</v>
      </c>
      <c r="O1392" s="16" t="s">
        <v>4172</v>
      </c>
      <c r="P1392" s="23">
        <v>7012.1597899999997</v>
      </c>
      <c r="Q1392" s="23">
        <f t="shared" si="171"/>
        <v>8274.3485521999992</v>
      </c>
      <c r="R1392" s="23">
        <v>9229.9978742770454</v>
      </c>
      <c r="S1392" s="29" t="s">
        <v>4180</v>
      </c>
      <c r="T1392" s="312">
        <v>1.0840000000000001</v>
      </c>
      <c r="U1392" s="312">
        <v>1.0509999999999999</v>
      </c>
      <c r="V1392" s="312">
        <v>1.0669999999999999</v>
      </c>
      <c r="W1392" s="312">
        <v>1.056</v>
      </c>
      <c r="X1392" s="403">
        <v>0.9</v>
      </c>
      <c r="Y1392" s="23">
        <v>10663.614740000001</v>
      </c>
      <c r="Z1392" s="23">
        <f t="shared" si="172"/>
        <v>12583.0653932</v>
      </c>
      <c r="AA1392" s="36" t="s">
        <v>132</v>
      </c>
      <c r="AB1392" s="36" t="s">
        <v>132</v>
      </c>
      <c r="AC1392" s="23">
        <v>7012.1597899999997</v>
      </c>
      <c r="AD1392" s="23">
        <f t="shared" si="173"/>
        <v>8274.3485521999992</v>
      </c>
      <c r="AE1392" s="60" t="s">
        <v>173</v>
      </c>
      <c r="AF1392" s="38" t="s">
        <v>83</v>
      </c>
      <c r="AG1392" s="38" t="s">
        <v>83</v>
      </c>
      <c r="AH1392" s="38" t="s">
        <v>90</v>
      </c>
      <c r="AI1392" s="51">
        <v>41607</v>
      </c>
      <c r="AJ1392" s="51">
        <v>41652</v>
      </c>
      <c r="AK1392" s="369"/>
      <c r="AL1392" s="60"/>
      <c r="AM1392" s="60" t="s">
        <v>4529</v>
      </c>
      <c r="AN1392" s="60" t="s">
        <v>1757</v>
      </c>
      <c r="AO1392" s="11">
        <v>796</v>
      </c>
      <c r="AP1392" s="38" t="s">
        <v>368</v>
      </c>
      <c r="AQ1392" s="38">
        <v>1</v>
      </c>
      <c r="AR1392" s="38" t="s">
        <v>2980</v>
      </c>
      <c r="AS1392" s="16" t="s">
        <v>3373</v>
      </c>
      <c r="AT1392" s="51">
        <v>41653</v>
      </c>
      <c r="AU1392" s="78">
        <v>41654</v>
      </c>
      <c r="AV1392" s="78">
        <v>41913</v>
      </c>
      <c r="AW1392" s="38">
        <v>2014</v>
      </c>
      <c r="AX1392" s="60"/>
      <c r="AY1392" s="135"/>
      <c r="AZ1392" s="16"/>
      <c r="BA1392" s="38"/>
      <c r="BB1392" s="38"/>
      <c r="BC1392" s="60"/>
      <c r="BD1392" s="60"/>
      <c r="BE1392" s="304"/>
      <c r="BF1392" s="304"/>
      <c r="BG1392" s="304"/>
      <c r="BH1392" s="304"/>
      <c r="BI1392" s="304"/>
      <c r="BJ1392" s="304"/>
      <c r="BK1392" s="16"/>
    </row>
    <row r="1393" spans="1:63" s="199" customFormat="1" ht="112.5">
      <c r="A1393" s="401">
        <v>3</v>
      </c>
      <c r="B1393" s="38" t="s">
        <v>4530</v>
      </c>
      <c r="C1393" s="38" t="s">
        <v>83</v>
      </c>
      <c r="D1393" s="38" t="s">
        <v>160</v>
      </c>
      <c r="E1393" s="38" t="s">
        <v>274</v>
      </c>
      <c r="F1393" s="38" t="s">
        <v>4632</v>
      </c>
      <c r="G1393" s="38">
        <v>19</v>
      </c>
      <c r="H1393" s="29">
        <v>626408</v>
      </c>
      <c r="I1393" s="16" t="s">
        <v>4531</v>
      </c>
      <c r="J1393" s="16" t="s">
        <v>4282</v>
      </c>
      <c r="K1393" s="29" t="s">
        <v>4917</v>
      </c>
      <c r="L1393" s="16" t="s">
        <v>180</v>
      </c>
      <c r="M1393" s="95" t="s">
        <v>4170</v>
      </c>
      <c r="N1393" s="15" t="s">
        <v>4171</v>
      </c>
      <c r="O1393" s="16" t="s">
        <v>4172</v>
      </c>
      <c r="P1393" s="23">
        <v>5367.4265500000001</v>
      </c>
      <c r="Q1393" s="23">
        <f t="shared" si="171"/>
        <v>6333.5633289999996</v>
      </c>
      <c r="R1393" s="23">
        <v>6870.612228252151</v>
      </c>
      <c r="S1393" s="29" t="s">
        <v>4663</v>
      </c>
      <c r="T1393" s="312">
        <v>1.1830000000000001</v>
      </c>
      <c r="U1393" s="312">
        <v>1.0229999999999999</v>
      </c>
      <c r="V1393" s="312">
        <v>1.046</v>
      </c>
      <c r="W1393" s="312">
        <v>1.0569999999999999</v>
      </c>
      <c r="X1393" s="403">
        <v>0.9</v>
      </c>
      <c r="Y1393" s="23">
        <v>8273.7996000000003</v>
      </c>
      <c r="Z1393" s="23">
        <f t="shared" si="172"/>
        <v>9763.0835279999992</v>
      </c>
      <c r="AA1393" s="36" t="s">
        <v>132</v>
      </c>
      <c r="AB1393" s="36" t="s">
        <v>132</v>
      </c>
      <c r="AC1393" s="23">
        <v>5367.4265500000001</v>
      </c>
      <c r="AD1393" s="23">
        <f t="shared" si="173"/>
        <v>6333.5633289999996</v>
      </c>
      <c r="AE1393" s="60" t="s">
        <v>173</v>
      </c>
      <c r="AF1393" s="38" t="s">
        <v>83</v>
      </c>
      <c r="AG1393" s="38" t="s">
        <v>83</v>
      </c>
      <c r="AH1393" s="38" t="s">
        <v>90</v>
      </c>
      <c r="AI1393" s="51">
        <v>41607</v>
      </c>
      <c r="AJ1393" s="51">
        <v>41652</v>
      </c>
      <c r="AK1393" s="369"/>
      <c r="AL1393" s="60"/>
      <c r="AM1393" s="60" t="s">
        <v>4532</v>
      </c>
      <c r="AN1393" s="60" t="s">
        <v>1757</v>
      </c>
      <c r="AO1393" s="11">
        <v>796</v>
      </c>
      <c r="AP1393" s="38" t="s">
        <v>368</v>
      </c>
      <c r="AQ1393" s="38">
        <v>1</v>
      </c>
      <c r="AR1393" s="38" t="s">
        <v>2980</v>
      </c>
      <c r="AS1393" s="16" t="s">
        <v>3373</v>
      </c>
      <c r="AT1393" s="51">
        <v>41653</v>
      </c>
      <c r="AU1393" s="78">
        <v>41654</v>
      </c>
      <c r="AV1393" s="78">
        <v>41913</v>
      </c>
      <c r="AW1393" s="38">
        <v>2014</v>
      </c>
      <c r="AX1393" s="60"/>
      <c r="AY1393" s="135"/>
      <c r="AZ1393" s="16"/>
      <c r="BA1393" s="38"/>
      <c r="BB1393" s="38"/>
      <c r="BC1393" s="60"/>
      <c r="BD1393" s="60"/>
      <c r="BE1393" s="304"/>
      <c r="BF1393" s="304"/>
      <c r="BG1393" s="304"/>
      <c r="BH1393" s="304"/>
      <c r="BI1393" s="304"/>
      <c r="BJ1393" s="304"/>
      <c r="BK1393" s="16"/>
    </row>
    <row r="1394" spans="1:63" s="199" customFormat="1" ht="75">
      <c r="A1394" s="401">
        <v>3</v>
      </c>
      <c r="B1394" s="38" t="s">
        <v>4533</v>
      </c>
      <c r="C1394" s="38" t="s">
        <v>83</v>
      </c>
      <c r="D1394" s="38" t="s">
        <v>160</v>
      </c>
      <c r="E1394" s="38" t="s">
        <v>274</v>
      </c>
      <c r="F1394" s="38" t="s">
        <v>4625</v>
      </c>
      <c r="G1394" s="38">
        <v>29</v>
      </c>
      <c r="H1394" s="29">
        <v>626409</v>
      </c>
      <c r="I1394" s="16" t="s">
        <v>4534</v>
      </c>
      <c r="J1394" s="16" t="s">
        <v>4282</v>
      </c>
      <c r="K1394" s="29" t="s">
        <v>4917</v>
      </c>
      <c r="L1394" s="16" t="s">
        <v>180</v>
      </c>
      <c r="M1394" s="95" t="s">
        <v>4170</v>
      </c>
      <c r="N1394" s="15" t="s">
        <v>4171</v>
      </c>
      <c r="O1394" s="16" t="s">
        <v>4172</v>
      </c>
      <c r="P1394" s="23">
        <v>1616.6019899999999</v>
      </c>
      <c r="Q1394" s="23">
        <f t="shared" si="171"/>
        <v>1907.5903481999997</v>
      </c>
      <c r="R1394" s="23">
        <v>2003.7099665138471</v>
      </c>
      <c r="S1394" s="29" t="s">
        <v>4180</v>
      </c>
      <c r="T1394" s="312">
        <v>1.0840000000000001</v>
      </c>
      <c r="U1394" s="312">
        <v>1.0509999999999999</v>
      </c>
      <c r="V1394" s="312">
        <v>1.0669999999999999</v>
      </c>
      <c r="W1394" s="312">
        <v>1.056</v>
      </c>
      <c r="X1394" s="403">
        <v>0.9</v>
      </c>
      <c r="Y1394" s="23">
        <v>2314.9291499999999</v>
      </c>
      <c r="Z1394" s="23">
        <f t="shared" si="172"/>
        <v>2731.6163969999998</v>
      </c>
      <c r="AA1394" s="36" t="s">
        <v>132</v>
      </c>
      <c r="AB1394" s="36" t="s">
        <v>132</v>
      </c>
      <c r="AC1394" s="23">
        <v>1616.6019899999999</v>
      </c>
      <c r="AD1394" s="23">
        <f t="shared" si="173"/>
        <v>1907.5903481999997</v>
      </c>
      <c r="AE1394" s="60" t="s">
        <v>173</v>
      </c>
      <c r="AF1394" s="38" t="s">
        <v>83</v>
      </c>
      <c r="AG1394" s="38" t="s">
        <v>83</v>
      </c>
      <c r="AH1394" s="38" t="s">
        <v>90</v>
      </c>
      <c r="AI1394" s="51">
        <v>41607</v>
      </c>
      <c r="AJ1394" s="51">
        <v>41652</v>
      </c>
      <c r="AK1394" s="369"/>
      <c r="AL1394" s="60"/>
      <c r="AM1394" s="60" t="s">
        <v>4535</v>
      </c>
      <c r="AN1394" s="60" t="s">
        <v>1757</v>
      </c>
      <c r="AO1394" s="11">
        <v>796</v>
      </c>
      <c r="AP1394" s="38" t="s">
        <v>368</v>
      </c>
      <c r="AQ1394" s="38">
        <v>1</v>
      </c>
      <c r="AR1394" s="38" t="s">
        <v>2980</v>
      </c>
      <c r="AS1394" s="16" t="s">
        <v>3373</v>
      </c>
      <c r="AT1394" s="51">
        <v>41653</v>
      </c>
      <c r="AU1394" s="78">
        <v>41654</v>
      </c>
      <c r="AV1394" s="78">
        <v>41913</v>
      </c>
      <c r="AW1394" s="38">
        <v>2014</v>
      </c>
      <c r="AX1394" s="60"/>
      <c r="AY1394" s="135"/>
      <c r="AZ1394" s="16"/>
      <c r="BA1394" s="38"/>
      <c r="BB1394" s="38"/>
      <c r="BC1394" s="60"/>
      <c r="BD1394" s="60"/>
      <c r="BE1394" s="304"/>
      <c r="BF1394" s="304"/>
      <c r="BG1394" s="304"/>
      <c r="BH1394" s="304"/>
      <c r="BI1394" s="304"/>
      <c r="BJ1394" s="304"/>
      <c r="BK1394" s="16"/>
    </row>
    <row r="1395" spans="1:63" s="199" customFormat="1" ht="75">
      <c r="A1395" s="401">
        <v>3</v>
      </c>
      <c r="B1395" s="38" t="s">
        <v>4536</v>
      </c>
      <c r="C1395" s="38" t="s">
        <v>83</v>
      </c>
      <c r="D1395" s="38" t="s">
        <v>160</v>
      </c>
      <c r="E1395" s="38" t="s">
        <v>274</v>
      </c>
      <c r="F1395" s="38" t="s">
        <v>4625</v>
      </c>
      <c r="G1395" s="38">
        <v>29</v>
      </c>
      <c r="H1395" s="29">
        <v>626411</v>
      </c>
      <c r="I1395" s="16" t="s">
        <v>4537</v>
      </c>
      <c r="J1395" s="16" t="s">
        <v>4282</v>
      </c>
      <c r="K1395" s="29" t="s">
        <v>4917</v>
      </c>
      <c r="L1395" s="16" t="s">
        <v>180</v>
      </c>
      <c r="M1395" s="95" t="s">
        <v>4170</v>
      </c>
      <c r="N1395" s="15" t="s">
        <v>4171</v>
      </c>
      <c r="O1395" s="16" t="s">
        <v>4172</v>
      </c>
      <c r="P1395" s="23">
        <v>1238.93831</v>
      </c>
      <c r="Q1395" s="23">
        <f t="shared" si="171"/>
        <v>1461.9472057999999</v>
      </c>
      <c r="R1395" s="23">
        <v>1813.6880331139544</v>
      </c>
      <c r="S1395" s="29" t="s">
        <v>4180</v>
      </c>
      <c r="T1395" s="312">
        <v>1.0840000000000001</v>
      </c>
      <c r="U1395" s="312">
        <v>1.0509999999999999</v>
      </c>
      <c r="V1395" s="312">
        <v>1.0669999999999999</v>
      </c>
      <c r="W1395" s="312">
        <v>1.056</v>
      </c>
      <c r="X1395" s="403">
        <v>0.9</v>
      </c>
      <c r="Y1395" s="23">
        <v>2095.39273</v>
      </c>
      <c r="Z1395" s="23">
        <f t="shared" si="172"/>
        <v>2472.5634213999997</v>
      </c>
      <c r="AA1395" s="36" t="s">
        <v>132</v>
      </c>
      <c r="AB1395" s="36" t="s">
        <v>132</v>
      </c>
      <c r="AC1395" s="23">
        <v>1238.93831</v>
      </c>
      <c r="AD1395" s="23">
        <f t="shared" si="173"/>
        <v>1461.9472057999999</v>
      </c>
      <c r="AE1395" s="60" t="s">
        <v>173</v>
      </c>
      <c r="AF1395" s="38" t="s">
        <v>83</v>
      </c>
      <c r="AG1395" s="38" t="s">
        <v>83</v>
      </c>
      <c r="AH1395" s="38" t="s">
        <v>90</v>
      </c>
      <c r="AI1395" s="51">
        <v>41607</v>
      </c>
      <c r="AJ1395" s="51">
        <v>41652</v>
      </c>
      <c r="AK1395" s="369"/>
      <c r="AL1395" s="60"/>
      <c r="AM1395" s="60" t="s">
        <v>4538</v>
      </c>
      <c r="AN1395" s="60" t="s">
        <v>1757</v>
      </c>
      <c r="AO1395" s="11">
        <v>796</v>
      </c>
      <c r="AP1395" s="38" t="s">
        <v>368</v>
      </c>
      <c r="AQ1395" s="38">
        <v>1</v>
      </c>
      <c r="AR1395" s="38" t="s">
        <v>2980</v>
      </c>
      <c r="AS1395" s="16" t="s">
        <v>3373</v>
      </c>
      <c r="AT1395" s="51">
        <v>41653</v>
      </c>
      <c r="AU1395" s="78">
        <v>41654</v>
      </c>
      <c r="AV1395" s="78">
        <v>41913</v>
      </c>
      <c r="AW1395" s="38">
        <v>2014</v>
      </c>
      <c r="AX1395" s="60"/>
      <c r="AY1395" s="135"/>
      <c r="AZ1395" s="16"/>
      <c r="BA1395" s="38"/>
      <c r="BB1395" s="38"/>
      <c r="BC1395" s="60"/>
      <c r="BD1395" s="60"/>
      <c r="BE1395" s="304"/>
      <c r="BF1395" s="304"/>
      <c r="BG1395" s="304"/>
      <c r="BH1395" s="304"/>
      <c r="BI1395" s="304"/>
      <c r="BJ1395" s="304"/>
      <c r="BK1395" s="16"/>
    </row>
    <row r="1396" spans="1:63" s="199" customFormat="1" ht="168.75">
      <c r="A1396" s="401">
        <v>3</v>
      </c>
      <c r="B1396" s="38" t="s">
        <v>4539</v>
      </c>
      <c r="C1396" s="38" t="s">
        <v>83</v>
      </c>
      <c r="D1396" s="38" t="s">
        <v>160</v>
      </c>
      <c r="E1396" s="38" t="s">
        <v>274</v>
      </c>
      <c r="F1396" s="38" t="s">
        <v>4620</v>
      </c>
      <c r="G1396" s="38">
        <v>31</v>
      </c>
      <c r="H1396" s="11">
        <v>626425</v>
      </c>
      <c r="I1396" s="16" t="s">
        <v>4541</v>
      </c>
      <c r="J1396" s="16" t="s">
        <v>4282</v>
      </c>
      <c r="K1396" s="29" t="s">
        <v>4917</v>
      </c>
      <c r="L1396" s="16" t="s">
        <v>180</v>
      </c>
      <c r="M1396" s="95" t="s">
        <v>4170</v>
      </c>
      <c r="N1396" s="15" t="s">
        <v>4171</v>
      </c>
      <c r="O1396" s="16" t="s">
        <v>4172</v>
      </c>
      <c r="P1396" s="23">
        <v>1188.1155000000001</v>
      </c>
      <c r="Q1396" s="23">
        <f t="shared" si="171"/>
        <v>1401.9762900000001</v>
      </c>
      <c r="R1396" s="23">
        <v>1300.7029973646586</v>
      </c>
      <c r="S1396" s="29" t="s">
        <v>4652</v>
      </c>
      <c r="T1396" s="312">
        <v>1.0900000000000001</v>
      </c>
      <c r="U1396" s="312">
        <v>1.0409999999999999</v>
      </c>
      <c r="V1396" s="312">
        <v>1.0229999999999999</v>
      </c>
      <c r="W1396" s="312">
        <v>1.044</v>
      </c>
      <c r="X1396" s="403">
        <v>0.9</v>
      </c>
      <c r="Y1396" s="23">
        <v>1418.64591</v>
      </c>
      <c r="Z1396" s="23">
        <f t="shared" si="172"/>
        <v>1674.0021737999998</v>
      </c>
      <c r="AA1396" s="36" t="s">
        <v>132</v>
      </c>
      <c r="AB1396" s="36" t="s">
        <v>132</v>
      </c>
      <c r="AC1396" s="23">
        <v>1188.1155000000001</v>
      </c>
      <c r="AD1396" s="23">
        <f t="shared" si="173"/>
        <v>1401.9762900000001</v>
      </c>
      <c r="AE1396" s="60" t="s">
        <v>173</v>
      </c>
      <c r="AF1396" s="38" t="s">
        <v>83</v>
      </c>
      <c r="AG1396" s="38" t="s">
        <v>83</v>
      </c>
      <c r="AH1396" s="38" t="s">
        <v>90</v>
      </c>
      <c r="AI1396" s="51">
        <v>41607</v>
      </c>
      <c r="AJ1396" s="51">
        <v>41652</v>
      </c>
      <c r="AK1396" s="369"/>
      <c r="AL1396" s="60"/>
      <c r="AM1396" s="60" t="s">
        <v>4542</v>
      </c>
      <c r="AN1396" s="60" t="s">
        <v>1757</v>
      </c>
      <c r="AO1396" s="11">
        <v>796</v>
      </c>
      <c r="AP1396" s="38" t="s">
        <v>368</v>
      </c>
      <c r="AQ1396" s="38">
        <v>1</v>
      </c>
      <c r="AR1396" s="38" t="s">
        <v>2980</v>
      </c>
      <c r="AS1396" s="16" t="s">
        <v>3373</v>
      </c>
      <c r="AT1396" s="51">
        <v>41653</v>
      </c>
      <c r="AU1396" s="78">
        <v>41654</v>
      </c>
      <c r="AV1396" s="78">
        <v>41730</v>
      </c>
      <c r="AW1396" s="38">
        <v>2014</v>
      </c>
      <c r="AX1396" s="60"/>
      <c r="AY1396" s="135"/>
      <c r="AZ1396" s="16"/>
      <c r="BA1396" s="38"/>
      <c r="BB1396" s="38"/>
      <c r="BC1396" s="60"/>
      <c r="BD1396" s="60"/>
      <c r="BE1396" s="304"/>
      <c r="BF1396" s="304"/>
      <c r="BG1396" s="304"/>
      <c r="BH1396" s="304"/>
      <c r="BI1396" s="304"/>
      <c r="BJ1396" s="304"/>
      <c r="BK1396" s="16"/>
    </row>
    <row r="1397" spans="1:63" s="199" customFormat="1" ht="168.75">
      <c r="A1397" s="401">
        <v>3</v>
      </c>
      <c r="B1397" s="38" t="s">
        <v>4540</v>
      </c>
      <c r="C1397" s="38" t="s">
        <v>83</v>
      </c>
      <c r="D1397" s="38" t="s">
        <v>160</v>
      </c>
      <c r="E1397" s="38" t="s">
        <v>274</v>
      </c>
      <c r="F1397" s="38" t="s">
        <v>4620</v>
      </c>
      <c r="G1397" s="38">
        <v>30</v>
      </c>
      <c r="H1397" s="11">
        <v>626364</v>
      </c>
      <c r="I1397" s="16" t="s">
        <v>4543</v>
      </c>
      <c r="J1397" s="16" t="s">
        <v>4282</v>
      </c>
      <c r="K1397" s="29" t="s">
        <v>4917</v>
      </c>
      <c r="L1397" s="16" t="s">
        <v>180</v>
      </c>
      <c r="M1397" s="95" t="s">
        <v>4170</v>
      </c>
      <c r="N1397" s="15" t="s">
        <v>4171</v>
      </c>
      <c r="O1397" s="16" t="s">
        <v>4172</v>
      </c>
      <c r="P1397" s="23">
        <v>12889.086370000001</v>
      </c>
      <c r="Q1397" s="23">
        <f t="shared" si="171"/>
        <v>15209.121916600001</v>
      </c>
      <c r="R1397" s="23">
        <v>12337.488569533189</v>
      </c>
      <c r="S1397" s="29" t="s">
        <v>4652</v>
      </c>
      <c r="T1397" s="312">
        <v>1.0900000000000001</v>
      </c>
      <c r="U1397" s="312">
        <v>1.0409999999999999</v>
      </c>
      <c r="V1397" s="312">
        <v>1.0229999999999999</v>
      </c>
      <c r="W1397" s="312">
        <v>1</v>
      </c>
      <c r="X1397" s="403">
        <v>0.9</v>
      </c>
      <c r="Y1397" s="23">
        <v>12889.086370000001</v>
      </c>
      <c r="Z1397" s="23">
        <f t="shared" si="172"/>
        <v>15209.121916600001</v>
      </c>
      <c r="AA1397" s="36" t="s">
        <v>132</v>
      </c>
      <c r="AB1397" s="36" t="s">
        <v>132</v>
      </c>
      <c r="AC1397" s="23">
        <v>12889.086370000001</v>
      </c>
      <c r="AD1397" s="23">
        <f t="shared" si="173"/>
        <v>15209.121916600001</v>
      </c>
      <c r="AE1397" s="60" t="s">
        <v>169</v>
      </c>
      <c r="AF1397" s="38" t="s">
        <v>83</v>
      </c>
      <c r="AG1397" s="38" t="s">
        <v>83</v>
      </c>
      <c r="AH1397" s="38" t="s">
        <v>90</v>
      </c>
      <c r="AI1397" s="51">
        <v>41607</v>
      </c>
      <c r="AJ1397" s="51">
        <v>41652</v>
      </c>
      <c r="AK1397" s="369"/>
      <c r="AL1397" s="60"/>
      <c r="AM1397" s="60" t="s">
        <v>4544</v>
      </c>
      <c r="AN1397" s="60" t="s">
        <v>1757</v>
      </c>
      <c r="AO1397" s="11">
        <v>796</v>
      </c>
      <c r="AP1397" s="38" t="s">
        <v>368</v>
      </c>
      <c r="AQ1397" s="38">
        <v>1</v>
      </c>
      <c r="AR1397" s="38" t="s">
        <v>2980</v>
      </c>
      <c r="AS1397" s="16" t="s">
        <v>3373</v>
      </c>
      <c r="AT1397" s="51">
        <v>41653</v>
      </c>
      <c r="AU1397" s="78">
        <v>41654</v>
      </c>
      <c r="AV1397" s="78">
        <v>41913</v>
      </c>
      <c r="AW1397" s="38">
        <v>2014</v>
      </c>
      <c r="AX1397" s="60"/>
      <c r="AY1397" s="135"/>
      <c r="AZ1397" s="16"/>
      <c r="BA1397" s="38"/>
      <c r="BB1397" s="38"/>
      <c r="BC1397" s="60"/>
      <c r="BD1397" s="60"/>
      <c r="BE1397" s="304"/>
      <c r="BF1397" s="304"/>
      <c r="BG1397" s="304"/>
      <c r="BH1397" s="304"/>
      <c r="BI1397" s="304"/>
      <c r="BJ1397" s="304"/>
      <c r="BK1397" s="16"/>
    </row>
    <row r="1398" spans="1:63" s="199" customFormat="1" ht="75">
      <c r="A1398" s="401">
        <v>3</v>
      </c>
      <c r="B1398" s="38" t="s">
        <v>4551</v>
      </c>
      <c r="C1398" s="38" t="s">
        <v>83</v>
      </c>
      <c r="D1398" s="38" t="s">
        <v>160</v>
      </c>
      <c r="E1398" s="38" t="s">
        <v>274</v>
      </c>
      <c r="F1398" s="38" t="s">
        <v>4625</v>
      </c>
      <c r="G1398" s="38">
        <v>29</v>
      </c>
      <c r="H1398" s="11">
        <v>626273</v>
      </c>
      <c r="I1398" s="16" t="s">
        <v>4552</v>
      </c>
      <c r="J1398" s="16" t="s">
        <v>4282</v>
      </c>
      <c r="K1398" s="29" t="s">
        <v>4917</v>
      </c>
      <c r="L1398" s="16" t="s">
        <v>180</v>
      </c>
      <c r="M1398" s="95" t="s">
        <v>4170</v>
      </c>
      <c r="N1398" s="15" t="s">
        <v>4171</v>
      </c>
      <c r="O1398" s="16" t="s">
        <v>4172</v>
      </c>
      <c r="P1398" s="23">
        <v>3544.29169</v>
      </c>
      <c r="Q1398" s="23">
        <f t="shared" si="171"/>
        <v>4182.2641942</v>
      </c>
      <c r="R1398" s="23">
        <v>3102.3585934555322</v>
      </c>
      <c r="S1398" s="29" t="s">
        <v>4180</v>
      </c>
      <c r="T1398" s="312">
        <v>1.0840000000000001</v>
      </c>
      <c r="U1398" s="312">
        <v>1.0509999999999999</v>
      </c>
      <c r="V1398" s="312">
        <v>1.0669999999999999</v>
      </c>
      <c r="W1398" s="312">
        <v>1.056</v>
      </c>
      <c r="X1398" s="403">
        <v>0.9</v>
      </c>
      <c r="Y1398" s="23">
        <v>3584.2215000000001</v>
      </c>
      <c r="Z1398" s="23">
        <f t="shared" si="172"/>
        <v>4229.3813700000001</v>
      </c>
      <c r="AA1398" s="36" t="s">
        <v>132</v>
      </c>
      <c r="AB1398" s="36" t="s">
        <v>132</v>
      </c>
      <c r="AC1398" s="23">
        <v>3544.29169</v>
      </c>
      <c r="AD1398" s="23">
        <f t="shared" si="173"/>
        <v>4182.2641942</v>
      </c>
      <c r="AE1398" s="60" t="s">
        <v>173</v>
      </c>
      <c r="AF1398" s="38" t="s">
        <v>83</v>
      </c>
      <c r="AG1398" s="38" t="s">
        <v>83</v>
      </c>
      <c r="AH1398" s="38" t="s">
        <v>90</v>
      </c>
      <c r="AI1398" s="51">
        <v>41618</v>
      </c>
      <c r="AJ1398" s="51">
        <v>41669</v>
      </c>
      <c r="AK1398" s="369"/>
      <c r="AL1398" s="60"/>
      <c r="AM1398" s="60" t="s">
        <v>4553</v>
      </c>
      <c r="AN1398" s="60" t="s">
        <v>1757</v>
      </c>
      <c r="AO1398" s="11">
        <v>796</v>
      </c>
      <c r="AP1398" s="38" t="s">
        <v>368</v>
      </c>
      <c r="AQ1398" s="38">
        <v>1</v>
      </c>
      <c r="AR1398" s="38" t="s">
        <v>2980</v>
      </c>
      <c r="AS1398" s="16" t="s">
        <v>3373</v>
      </c>
      <c r="AT1398" s="51">
        <v>41669</v>
      </c>
      <c r="AU1398" s="51">
        <v>41669</v>
      </c>
      <c r="AV1398" s="78">
        <v>41913</v>
      </c>
      <c r="AW1398" s="38">
        <v>2014</v>
      </c>
      <c r="AX1398" s="60"/>
      <c r="AY1398" s="135"/>
      <c r="AZ1398" s="16"/>
      <c r="BA1398" s="38"/>
      <c r="BB1398" s="38"/>
      <c r="BC1398" s="60"/>
      <c r="BD1398" s="60"/>
      <c r="BE1398" s="304"/>
      <c r="BF1398" s="304"/>
      <c r="BG1398" s="304"/>
      <c r="BH1398" s="304"/>
      <c r="BI1398" s="304"/>
      <c r="BJ1398" s="304"/>
      <c r="BK1398" s="16"/>
    </row>
    <row r="1399" spans="1:63" s="199" customFormat="1" ht="75">
      <c r="A1399" s="401">
        <v>3</v>
      </c>
      <c r="B1399" s="38" t="s">
        <v>4582</v>
      </c>
      <c r="C1399" s="38" t="s">
        <v>83</v>
      </c>
      <c r="D1399" s="38" t="s">
        <v>160</v>
      </c>
      <c r="E1399" s="38" t="s">
        <v>274</v>
      </c>
      <c r="F1399" s="38" t="s">
        <v>4620</v>
      </c>
      <c r="G1399" s="38">
        <v>31</v>
      </c>
      <c r="H1399" s="11">
        <v>626318</v>
      </c>
      <c r="I1399" s="16" t="s">
        <v>4583</v>
      </c>
      <c r="J1399" s="16" t="s">
        <v>4282</v>
      </c>
      <c r="K1399" s="29" t="s">
        <v>4917</v>
      </c>
      <c r="L1399" s="16" t="s">
        <v>180</v>
      </c>
      <c r="M1399" s="95" t="s">
        <v>4170</v>
      </c>
      <c r="N1399" s="15" t="s">
        <v>4171</v>
      </c>
      <c r="O1399" s="16" t="s">
        <v>4172</v>
      </c>
      <c r="P1399" s="23">
        <v>496.04</v>
      </c>
      <c r="Q1399" s="23">
        <f t="shared" si="171"/>
        <v>585.32719999999995</v>
      </c>
      <c r="R1399" s="23">
        <v>470.62126230794036</v>
      </c>
      <c r="S1399" s="29" t="s">
        <v>4180</v>
      </c>
      <c r="T1399" s="312">
        <v>1.0840000000000001</v>
      </c>
      <c r="U1399" s="312">
        <v>1.0509999999999999</v>
      </c>
      <c r="V1399" s="312">
        <v>1.0669999999999999</v>
      </c>
      <c r="W1399" s="312">
        <v>1.056</v>
      </c>
      <c r="X1399" s="403">
        <v>0.9</v>
      </c>
      <c r="Y1399" s="23">
        <v>543.71884999999997</v>
      </c>
      <c r="Z1399" s="23">
        <f t="shared" si="172"/>
        <v>641.58824299999992</v>
      </c>
      <c r="AA1399" s="36" t="s">
        <v>132</v>
      </c>
      <c r="AB1399" s="36" t="s">
        <v>132</v>
      </c>
      <c r="AC1399" s="23">
        <v>496.04</v>
      </c>
      <c r="AD1399" s="23">
        <f t="shared" si="173"/>
        <v>585.32719999999995</v>
      </c>
      <c r="AE1399" s="60" t="s">
        <v>173</v>
      </c>
      <c r="AF1399" s="38" t="s">
        <v>83</v>
      </c>
      <c r="AG1399" s="38" t="s">
        <v>83</v>
      </c>
      <c r="AH1399" s="38" t="s">
        <v>90</v>
      </c>
      <c r="AI1399" s="51">
        <v>41618</v>
      </c>
      <c r="AJ1399" s="51">
        <v>41669</v>
      </c>
      <c r="AK1399" s="369"/>
      <c r="AL1399" s="60"/>
      <c r="AM1399" s="60" t="s">
        <v>4584</v>
      </c>
      <c r="AN1399" s="60" t="s">
        <v>1757</v>
      </c>
      <c r="AO1399" s="11">
        <v>796</v>
      </c>
      <c r="AP1399" s="38" t="s">
        <v>368</v>
      </c>
      <c r="AQ1399" s="38">
        <v>1</v>
      </c>
      <c r="AR1399" s="38" t="s">
        <v>2980</v>
      </c>
      <c r="AS1399" s="16" t="s">
        <v>3373</v>
      </c>
      <c r="AT1399" s="51">
        <v>41669</v>
      </c>
      <c r="AU1399" s="51">
        <v>41669</v>
      </c>
      <c r="AV1399" s="78">
        <v>41913</v>
      </c>
      <c r="AW1399" s="38">
        <v>2014</v>
      </c>
      <c r="AX1399" s="60"/>
      <c r="AY1399" s="135"/>
      <c r="AZ1399" s="16"/>
      <c r="BA1399" s="38"/>
      <c r="BB1399" s="38"/>
      <c r="BC1399" s="60"/>
      <c r="BD1399" s="60"/>
      <c r="BE1399" s="304"/>
      <c r="BF1399" s="304"/>
      <c r="BG1399" s="304"/>
      <c r="BH1399" s="304"/>
      <c r="BI1399" s="304"/>
      <c r="BJ1399" s="304"/>
      <c r="BK1399" s="16"/>
    </row>
    <row r="1400" spans="1:63" s="199" customFormat="1" ht="93.75">
      <c r="A1400" s="401">
        <v>3</v>
      </c>
      <c r="B1400" s="38" t="s">
        <v>4585</v>
      </c>
      <c r="C1400" s="38" t="s">
        <v>83</v>
      </c>
      <c r="D1400" s="38" t="s">
        <v>160</v>
      </c>
      <c r="E1400" s="38" t="s">
        <v>274</v>
      </c>
      <c r="F1400" s="38" t="s">
        <v>4622</v>
      </c>
      <c r="G1400" s="38">
        <v>27</v>
      </c>
      <c r="H1400" s="11">
        <v>626494</v>
      </c>
      <c r="I1400" s="16" t="s">
        <v>4586</v>
      </c>
      <c r="J1400" s="16" t="s">
        <v>4282</v>
      </c>
      <c r="K1400" s="29" t="s">
        <v>4917</v>
      </c>
      <c r="L1400" s="16" t="s">
        <v>180</v>
      </c>
      <c r="M1400" s="95" t="s">
        <v>4170</v>
      </c>
      <c r="N1400" s="15" t="s">
        <v>4171</v>
      </c>
      <c r="O1400" s="16" t="s">
        <v>4172</v>
      </c>
      <c r="P1400" s="23">
        <v>820.28</v>
      </c>
      <c r="Q1400" s="23">
        <f t="shared" si="171"/>
        <v>967.93039999999996</v>
      </c>
      <c r="R1400" s="23">
        <v>1303.2561803561348</v>
      </c>
      <c r="S1400" s="29" t="s">
        <v>4180</v>
      </c>
      <c r="T1400" s="312">
        <v>1.0840000000000001</v>
      </c>
      <c r="U1400" s="312">
        <v>1.0509999999999999</v>
      </c>
      <c r="V1400" s="312">
        <v>1.0669999999999999</v>
      </c>
      <c r="W1400" s="312">
        <v>1.056</v>
      </c>
      <c r="X1400" s="403">
        <v>0.9</v>
      </c>
      <c r="Y1400" s="23">
        <v>1505.67985</v>
      </c>
      <c r="Z1400" s="23">
        <f t="shared" si="172"/>
        <v>1776.702223</v>
      </c>
      <c r="AA1400" s="36" t="s">
        <v>132</v>
      </c>
      <c r="AB1400" s="36" t="s">
        <v>132</v>
      </c>
      <c r="AC1400" s="23">
        <v>820.28</v>
      </c>
      <c r="AD1400" s="23">
        <f t="shared" si="173"/>
        <v>967.93039999999996</v>
      </c>
      <c r="AE1400" s="60" t="s">
        <v>1775</v>
      </c>
      <c r="AF1400" s="38" t="s">
        <v>83</v>
      </c>
      <c r="AG1400" s="38" t="s">
        <v>83</v>
      </c>
      <c r="AH1400" s="38" t="s">
        <v>90</v>
      </c>
      <c r="AI1400" s="51">
        <v>41618</v>
      </c>
      <c r="AJ1400" s="51">
        <v>41669</v>
      </c>
      <c r="AK1400" s="369"/>
      <c r="AL1400" s="60"/>
      <c r="AM1400" s="60" t="s">
        <v>4587</v>
      </c>
      <c r="AN1400" s="60" t="s">
        <v>1757</v>
      </c>
      <c r="AO1400" s="11">
        <v>796</v>
      </c>
      <c r="AP1400" s="38" t="s">
        <v>368</v>
      </c>
      <c r="AQ1400" s="38">
        <v>1</v>
      </c>
      <c r="AR1400" s="38" t="s">
        <v>2980</v>
      </c>
      <c r="AS1400" s="16" t="s">
        <v>3373</v>
      </c>
      <c r="AT1400" s="51">
        <v>41669</v>
      </c>
      <c r="AU1400" s="51">
        <v>41669</v>
      </c>
      <c r="AV1400" s="78">
        <v>41913</v>
      </c>
      <c r="AW1400" s="38">
        <v>2014</v>
      </c>
      <c r="AX1400" s="60"/>
      <c r="AY1400" s="135"/>
      <c r="AZ1400" s="16"/>
      <c r="BA1400" s="38"/>
      <c r="BB1400" s="38"/>
      <c r="BC1400" s="60"/>
      <c r="BD1400" s="60"/>
      <c r="BE1400" s="304"/>
      <c r="BF1400" s="304"/>
      <c r="BG1400" s="304"/>
      <c r="BH1400" s="304"/>
      <c r="BI1400" s="304"/>
      <c r="BJ1400" s="304"/>
      <c r="BK1400" s="16"/>
    </row>
    <row r="1401" spans="1:63" s="199" customFormat="1" ht="75">
      <c r="A1401" s="401">
        <v>3</v>
      </c>
      <c r="B1401" s="38" t="s">
        <v>4597</v>
      </c>
      <c r="C1401" s="38" t="s">
        <v>83</v>
      </c>
      <c r="D1401" s="38" t="s">
        <v>225</v>
      </c>
      <c r="E1401" s="38" t="s">
        <v>274</v>
      </c>
      <c r="F1401" s="38" t="s">
        <v>4620</v>
      </c>
      <c r="G1401" s="38">
        <v>31</v>
      </c>
      <c r="H1401" s="11">
        <v>626548</v>
      </c>
      <c r="I1401" s="16" t="s">
        <v>4598</v>
      </c>
      <c r="J1401" s="16" t="s">
        <v>4282</v>
      </c>
      <c r="K1401" s="29" t="s">
        <v>4917</v>
      </c>
      <c r="L1401" s="16" t="s">
        <v>180</v>
      </c>
      <c r="M1401" s="95" t="s">
        <v>4170</v>
      </c>
      <c r="N1401" s="15" t="s">
        <v>4171</v>
      </c>
      <c r="O1401" s="16" t="s">
        <v>4172</v>
      </c>
      <c r="P1401" s="23">
        <v>549.14</v>
      </c>
      <c r="Q1401" s="23">
        <f t="shared" si="171"/>
        <v>647.98519999999996</v>
      </c>
      <c r="R1401" s="23">
        <v>598.63145986320228</v>
      </c>
      <c r="S1401" s="29" t="s">
        <v>4180</v>
      </c>
      <c r="T1401" s="312">
        <v>1.0840000000000001</v>
      </c>
      <c r="U1401" s="312">
        <v>1.0509999999999999</v>
      </c>
      <c r="V1401" s="312">
        <v>1.0669999999999999</v>
      </c>
      <c r="W1401" s="312">
        <v>1.056</v>
      </c>
      <c r="X1401" s="403">
        <v>0.9</v>
      </c>
      <c r="Y1401" s="23">
        <v>691.61177999999995</v>
      </c>
      <c r="Z1401" s="23">
        <f t="shared" si="172"/>
        <v>816.10190039999986</v>
      </c>
      <c r="AA1401" s="36" t="s">
        <v>132</v>
      </c>
      <c r="AB1401" s="36" t="s">
        <v>132</v>
      </c>
      <c r="AC1401" s="23">
        <v>549.14</v>
      </c>
      <c r="AD1401" s="23">
        <f t="shared" si="173"/>
        <v>647.98519999999996</v>
      </c>
      <c r="AE1401" s="38" t="s">
        <v>173</v>
      </c>
      <c r="AF1401" s="38" t="s">
        <v>83</v>
      </c>
      <c r="AG1401" s="38" t="s">
        <v>83</v>
      </c>
      <c r="AH1401" s="38" t="s">
        <v>90</v>
      </c>
      <c r="AI1401" s="51">
        <v>41618</v>
      </c>
      <c r="AJ1401" s="51">
        <v>41669</v>
      </c>
      <c r="AK1401" s="369"/>
      <c r="AL1401" s="60"/>
      <c r="AM1401" s="60" t="s">
        <v>4599</v>
      </c>
      <c r="AN1401" s="60" t="s">
        <v>1757</v>
      </c>
      <c r="AO1401" s="11">
        <v>796</v>
      </c>
      <c r="AP1401" s="38" t="s">
        <v>368</v>
      </c>
      <c r="AQ1401" s="38">
        <v>2000</v>
      </c>
      <c r="AR1401" s="38" t="s">
        <v>2980</v>
      </c>
      <c r="AS1401" s="16" t="s">
        <v>3373</v>
      </c>
      <c r="AT1401" s="51">
        <v>41669</v>
      </c>
      <c r="AU1401" s="51">
        <v>41669</v>
      </c>
      <c r="AV1401" s="51">
        <v>41669</v>
      </c>
      <c r="AW1401" s="38">
        <v>2014</v>
      </c>
      <c r="AX1401" s="60"/>
      <c r="AY1401" s="135"/>
      <c r="AZ1401" s="16"/>
      <c r="BA1401" s="38"/>
      <c r="BB1401" s="38"/>
      <c r="BC1401" s="60"/>
      <c r="BD1401" s="60"/>
      <c r="BE1401" s="304"/>
      <c r="BF1401" s="304"/>
      <c r="BG1401" s="304"/>
      <c r="BH1401" s="304"/>
      <c r="BI1401" s="304"/>
      <c r="BJ1401" s="304"/>
      <c r="BK1401" s="16"/>
    </row>
    <row r="1402" spans="1:63" s="199" customFormat="1" ht="131.25">
      <c r="A1402" s="401">
        <v>3</v>
      </c>
      <c r="B1402" s="38" t="s">
        <v>4617</v>
      </c>
      <c r="C1402" s="38" t="s">
        <v>83</v>
      </c>
      <c r="D1402" s="38" t="s">
        <v>231</v>
      </c>
      <c r="E1402" s="38" t="s">
        <v>274</v>
      </c>
      <c r="F1402" s="38" t="s">
        <v>4626</v>
      </c>
      <c r="G1402" s="38">
        <v>25</v>
      </c>
      <c r="H1402" s="11">
        <v>626617</v>
      </c>
      <c r="I1402" s="16" t="s">
        <v>4618</v>
      </c>
      <c r="J1402" s="16" t="s">
        <v>4282</v>
      </c>
      <c r="K1402" s="29" t="s">
        <v>4917</v>
      </c>
      <c r="L1402" s="16" t="s">
        <v>180</v>
      </c>
      <c r="M1402" s="95" t="s">
        <v>4170</v>
      </c>
      <c r="N1402" s="15" t="s">
        <v>4171</v>
      </c>
      <c r="O1402" s="16" t="s">
        <v>4172</v>
      </c>
      <c r="P1402" s="23">
        <v>680.23199999999997</v>
      </c>
      <c r="Q1402" s="23">
        <f t="shared" si="171"/>
        <v>802.6737599999999</v>
      </c>
      <c r="R1402" s="23">
        <v>587.7692716775158</v>
      </c>
      <c r="S1402" s="29" t="s">
        <v>4658</v>
      </c>
      <c r="T1402" s="312">
        <v>1.1919999999999999</v>
      </c>
      <c r="U1402" s="312">
        <v>1.042</v>
      </c>
      <c r="V1402" s="312">
        <v>1.014</v>
      </c>
      <c r="W1402" s="312">
        <v>1.0209999999999999</v>
      </c>
      <c r="X1402" s="403">
        <v>0.9</v>
      </c>
      <c r="Y1402" s="23">
        <v>680.23199999999997</v>
      </c>
      <c r="Z1402" s="23">
        <f t="shared" si="172"/>
        <v>802.6737599999999</v>
      </c>
      <c r="AA1402" s="36" t="s">
        <v>132</v>
      </c>
      <c r="AB1402" s="36" t="s">
        <v>132</v>
      </c>
      <c r="AC1402" s="23">
        <v>680.23199999999997</v>
      </c>
      <c r="AD1402" s="23">
        <f t="shared" si="173"/>
        <v>802.6737599999999</v>
      </c>
      <c r="AE1402" s="38" t="s">
        <v>173</v>
      </c>
      <c r="AF1402" s="38" t="s">
        <v>83</v>
      </c>
      <c r="AG1402" s="38" t="s">
        <v>83</v>
      </c>
      <c r="AH1402" s="38" t="s">
        <v>90</v>
      </c>
      <c r="AI1402" s="51">
        <v>41618</v>
      </c>
      <c r="AJ1402" s="51">
        <v>41654</v>
      </c>
      <c r="AK1402" s="369"/>
      <c r="AL1402" s="60"/>
      <c r="AM1402" s="60" t="s">
        <v>4619</v>
      </c>
      <c r="AN1402" s="60" t="s">
        <v>1757</v>
      </c>
      <c r="AO1402" s="11">
        <v>796</v>
      </c>
      <c r="AP1402" s="38" t="s">
        <v>368</v>
      </c>
      <c r="AQ1402" s="38">
        <v>168</v>
      </c>
      <c r="AR1402" s="38" t="s">
        <v>2980</v>
      </c>
      <c r="AS1402" s="16" t="s">
        <v>3373</v>
      </c>
      <c r="AT1402" s="51">
        <v>41669</v>
      </c>
      <c r="AU1402" s="51">
        <v>41669</v>
      </c>
      <c r="AV1402" s="51">
        <v>41669</v>
      </c>
      <c r="AW1402" s="38">
        <v>2014</v>
      </c>
      <c r="AX1402" s="60"/>
      <c r="AY1402" s="135"/>
      <c r="AZ1402" s="16"/>
      <c r="BA1402" s="38"/>
      <c r="BB1402" s="38"/>
      <c r="BC1402" s="60"/>
      <c r="BD1402" s="60"/>
      <c r="BE1402" s="304"/>
      <c r="BF1402" s="304"/>
      <c r="BG1402" s="304"/>
      <c r="BH1402" s="304"/>
      <c r="BI1402" s="304"/>
      <c r="BJ1402" s="304"/>
      <c r="BK1402" s="16"/>
    </row>
    <row r="1403" spans="1:63" s="199" customFormat="1" ht="87.75" customHeight="1">
      <c r="A1403" s="401">
        <v>3</v>
      </c>
      <c r="B1403" s="38" t="s">
        <v>4683</v>
      </c>
      <c r="C1403" s="38" t="s">
        <v>83</v>
      </c>
      <c r="D1403" s="38" t="s">
        <v>160</v>
      </c>
      <c r="E1403" s="38" t="s">
        <v>274</v>
      </c>
      <c r="F1403" s="38" t="s">
        <v>4622</v>
      </c>
      <c r="G1403" s="38">
        <v>27</v>
      </c>
      <c r="H1403" s="11">
        <v>626253</v>
      </c>
      <c r="I1403" s="16" t="s">
        <v>4684</v>
      </c>
      <c r="J1403" s="16" t="s">
        <v>4282</v>
      </c>
      <c r="K1403" s="29" t="s">
        <v>4917</v>
      </c>
      <c r="L1403" s="16" t="s">
        <v>180</v>
      </c>
      <c r="M1403" s="95" t="s">
        <v>4170</v>
      </c>
      <c r="N1403" s="15" t="s">
        <v>4171</v>
      </c>
      <c r="O1403" s="16" t="s">
        <v>4172</v>
      </c>
      <c r="P1403" s="23">
        <v>16667.55255</v>
      </c>
      <c r="Q1403" s="23">
        <f t="shared" si="171"/>
        <v>19667.712008999999</v>
      </c>
      <c r="R1403" s="23">
        <v>17268.091943277326</v>
      </c>
      <c r="S1403" s="29" t="s">
        <v>4180</v>
      </c>
      <c r="T1403" s="312">
        <v>1.0840000000000001</v>
      </c>
      <c r="U1403" s="312">
        <v>1.0509999999999999</v>
      </c>
      <c r="V1403" s="312">
        <v>1.0669999999999999</v>
      </c>
      <c r="W1403" s="312">
        <v>1.056</v>
      </c>
      <c r="X1403" s="403">
        <v>0.9</v>
      </c>
      <c r="Y1403" s="23">
        <v>19950.19742</v>
      </c>
      <c r="Z1403" s="23">
        <f t="shared" si="172"/>
        <v>23541.2329556</v>
      </c>
      <c r="AA1403" s="36" t="s">
        <v>132</v>
      </c>
      <c r="AB1403" s="36" t="s">
        <v>132</v>
      </c>
      <c r="AC1403" s="23">
        <v>16667.55255</v>
      </c>
      <c r="AD1403" s="23">
        <f t="shared" si="173"/>
        <v>19667.712008999999</v>
      </c>
      <c r="AE1403" s="60" t="s">
        <v>169</v>
      </c>
      <c r="AF1403" s="38" t="s">
        <v>83</v>
      </c>
      <c r="AG1403" s="38" t="s">
        <v>83</v>
      </c>
      <c r="AH1403" s="38" t="s">
        <v>90</v>
      </c>
      <c r="AI1403" s="51">
        <v>41623</v>
      </c>
      <c r="AJ1403" s="51">
        <v>41669</v>
      </c>
      <c r="AK1403" s="369"/>
      <c r="AL1403" s="60"/>
      <c r="AM1403" s="60" t="s">
        <v>4685</v>
      </c>
      <c r="AN1403" s="60" t="s">
        <v>1757</v>
      </c>
      <c r="AO1403" s="11">
        <v>796</v>
      </c>
      <c r="AP1403" s="38" t="s">
        <v>368</v>
      </c>
      <c r="AQ1403" s="38">
        <v>1</v>
      </c>
      <c r="AR1403" s="38" t="s">
        <v>2980</v>
      </c>
      <c r="AS1403" s="16" t="s">
        <v>3373</v>
      </c>
      <c r="AT1403" s="51">
        <v>41669</v>
      </c>
      <c r="AU1403" s="51">
        <v>41669</v>
      </c>
      <c r="AV1403" s="51">
        <v>41942</v>
      </c>
      <c r="AW1403" s="38">
        <v>2014</v>
      </c>
      <c r="AX1403" s="60"/>
      <c r="AY1403" s="135"/>
      <c r="AZ1403" s="16"/>
      <c r="BA1403" s="38"/>
      <c r="BB1403" s="38"/>
      <c r="BC1403" s="60"/>
      <c r="BD1403" s="60"/>
      <c r="BE1403" s="304"/>
      <c r="BF1403" s="304"/>
      <c r="BG1403" s="304"/>
      <c r="BH1403" s="304"/>
      <c r="BI1403" s="304"/>
      <c r="BJ1403" s="304"/>
      <c r="BK1403" s="16"/>
    </row>
    <row r="1404" spans="1:63" s="199" customFormat="1" ht="85.5" customHeight="1">
      <c r="A1404" s="401">
        <v>3</v>
      </c>
      <c r="B1404" s="38" t="s">
        <v>4686</v>
      </c>
      <c r="C1404" s="38" t="s">
        <v>83</v>
      </c>
      <c r="D1404" s="38" t="s">
        <v>245</v>
      </c>
      <c r="E1404" s="38" t="s">
        <v>274</v>
      </c>
      <c r="F1404" s="38" t="s">
        <v>4620</v>
      </c>
      <c r="G1404" s="38">
        <v>31</v>
      </c>
      <c r="H1404" s="11">
        <v>626381</v>
      </c>
      <c r="I1404" s="16" t="s">
        <v>4687</v>
      </c>
      <c r="J1404" s="16" t="s">
        <v>4282</v>
      </c>
      <c r="K1404" s="29" t="s">
        <v>4917</v>
      </c>
      <c r="L1404" s="16" t="s">
        <v>180</v>
      </c>
      <c r="M1404" s="95" t="s">
        <v>4170</v>
      </c>
      <c r="N1404" s="15" t="s">
        <v>5934</v>
      </c>
      <c r="O1404" s="16" t="s">
        <v>4172</v>
      </c>
      <c r="P1404" s="23">
        <v>1383.77604</v>
      </c>
      <c r="Q1404" s="23">
        <f t="shared" si="171"/>
        <v>1632.8557271999998</v>
      </c>
      <c r="R1404" s="23">
        <v>1208.9206879879916</v>
      </c>
      <c r="S1404" s="29" t="s">
        <v>4180</v>
      </c>
      <c r="T1404" s="312">
        <v>1.0840000000000001</v>
      </c>
      <c r="U1404" s="312">
        <v>1.0509999999999999</v>
      </c>
      <c r="V1404" s="312">
        <v>1.0669999999999999</v>
      </c>
      <c r="W1404" s="312">
        <v>1.056</v>
      </c>
      <c r="X1404" s="403">
        <v>0.9</v>
      </c>
      <c r="Y1404" s="23">
        <v>1396.6920299999997</v>
      </c>
      <c r="Z1404" s="23">
        <f t="shared" si="172"/>
        <v>1648.0965953999996</v>
      </c>
      <c r="AA1404" s="36" t="s">
        <v>132</v>
      </c>
      <c r="AB1404" s="36" t="s">
        <v>132</v>
      </c>
      <c r="AC1404" s="23">
        <v>1383.77604</v>
      </c>
      <c r="AD1404" s="23">
        <f t="shared" si="173"/>
        <v>1632.8557271999998</v>
      </c>
      <c r="AE1404" s="38" t="s">
        <v>173</v>
      </c>
      <c r="AF1404" s="38" t="s">
        <v>83</v>
      </c>
      <c r="AG1404" s="38" t="s">
        <v>83</v>
      </c>
      <c r="AH1404" s="38" t="s">
        <v>90</v>
      </c>
      <c r="AI1404" s="51">
        <v>41623</v>
      </c>
      <c r="AJ1404" s="51">
        <v>41669</v>
      </c>
      <c r="AK1404" s="369"/>
      <c r="AL1404" s="60"/>
      <c r="AM1404" s="60" t="s">
        <v>4688</v>
      </c>
      <c r="AN1404" s="60" t="s">
        <v>1757</v>
      </c>
      <c r="AO1404" s="11">
        <v>796</v>
      </c>
      <c r="AP1404" s="38" t="s">
        <v>368</v>
      </c>
      <c r="AQ1404" s="38">
        <v>1</v>
      </c>
      <c r="AR1404" s="38" t="s">
        <v>2980</v>
      </c>
      <c r="AS1404" s="16" t="s">
        <v>3373</v>
      </c>
      <c r="AT1404" s="51">
        <v>41669</v>
      </c>
      <c r="AU1404" s="51">
        <v>41729</v>
      </c>
      <c r="AV1404" s="764">
        <v>41912</v>
      </c>
      <c r="AW1404" s="38">
        <v>2014</v>
      </c>
      <c r="AX1404" s="60"/>
      <c r="AY1404" s="135"/>
      <c r="AZ1404" s="16"/>
      <c r="BA1404" s="38"/>
      <c r="BB1404" s="38"/>
      <c r="BC1404" s="60"/>
      <c r="BD1404" s="60"/>
      <c r="BE1404" s="304"/>
      <c r="BF1404" s="304"/>
      <c r="BG1404" s="304"/>
      <c r="BH1404" s="304"/>
      <c r="BI1404" s="304"/>
      <c r="BJ1404" s="304"/>
      <c r="BK1404" s="16"/>
    </row>
    <row r="1405" spans="1:63" s="199" customFormat="1" ht="85.5" customHeight="1">
      <c r="A1405" s="401">
        <v>3</v>
      </c>
      <c r="B1405" s="38" t="s">
        <v>4689</v>
      </c>
      <c r="C1405" s="38" t="s">
        <v>83</v>
      </c>
      <c r="D1405" s="38" t="s">
        <v>160</v>
      </c>
      <c r="E1405" s="38" t="s">
        <v>274</v>
      </c>
      <c r="F1405" s="38" t="s">
        <v>4620</v>
      </c>
      <c r="G1405" s="38">
        <v>31</v>
      </c>
      <c r="H1405" s="11">
        <v>626616</v>
      </c>
      <c r="I1405" s="16" t="s">
        <v>4690</v>
      </c>
      <c r="J1405" s="16" t="s">
        <v>4282</v>
      </c>
      <c r="K1405" s="29" t="s">
        <v>4917</v>
      </c>
      <c r="L1405" s="16" t="s">
        <v>180</v>
      </c>
      <c r="M1405" s="95" t="s">
        <v>4170</v>
      </c>
      <c r="N1405" s="15" t="s">
        <v>4171</v>
      </c>
      <c r="O1405" s="16" t="s">
        <v>4172</v>
      </c>
      <c r="P1405" s="23">
        <v>1010.04874</v>
      </c>
      <c r="Q1405" s="23">
        <f t="shared" si="171"/>
        <v>1191.8575131999999</v>
      </c>
      <c r="R1405" s="23">
        <v>1074.1932431718676</v>
      </c>
      <c r="S1405" s="29" t="s">
        <v>4180</v>
      </c>
      <c r="T1405" s="312">
        <v>1.0840000000000001</v>
      </c>
      <c r="U1405" s="312">
        <v>1.0509999999999999</v>
      </c>
      <c r="V1405" s="312">
        <v>1.0669999999999999</v>
      </c>
      <c r="W1405" s="312">
        <v>1.056</v>
      </c>
      <c r="X1405" s="403">
        <v>0.9</v>
      </c>
      <c r="Y1405" s="23">
        <v>1241.0385200000001</v>
      </c>
      <c r="Z1405" s="23">
        <f t="shared" si="172"/>
        <v>1464.4254536000001</v>
      </c>
      <c r="AA1405" s="36" t="s">
        <v>132</v>
      </c>
      <c r="AB1405" s="36" t="s">
        <v>132</v>
      </c>
      <c r="AC1405" s="23">
        <v>1010.04874</v>
      </c>
      <c r="AD1405" s="23">
        <f t="shared" si="173"/>
        <v>1191.8575131999999</v>
      </c>
      <c r="AE1405" s="38" t="s">
        <v>173</v>
      </c>
      <c r="AF1405" s="38" t="s">
        <v>83</v>
      </c>
      <c r="AG1405" s="38" t="s">
        <v>83</v>
      </c>
      <c r="AH1405" s="38" t="s">
        <v>90</v>
      </c>
      <c r="AI1405" s="51">
        <v>41623</v>
      </c>
      <c r="AJ1405" s="51">
        <v>41669</v>
      </c>
      <c r="AK1405" s="369"/>
      <c r="AL1405" s="60"/>
      <c r="AM1405" s="60" t="s">
        <v>4691</v>
      </c>
      <c r="AN1405" s="60" t="s">
        <v>1757</v>
      </c>
      <c r="AO1405" s="11">
        <v>796</v>
      </c>
      <c r="AP1405" s="38" t="s">
        <v>368</v>
      </c>
      <c r="AQ1405" s="38">
        <v>1</v>
      </c>
      <c r="AR1405" s="38" t="s">
        <v>2980</v>
      </c>
      <c r="AS1405" s="16" t="s">
        <v>3373</v>
      </c>
      <c r="AT1405" s="51">
        <v>41669</v>
      </c>
      <c r="AU1405" s="51">
        <v>41669</v>
      </c>
      <c r="AV1405" s="51">
        <v>41698</v>
      </c>
      <c r="AW1405" s="38">
        <v>2014</v>
      </c>
      <c r="AX1405" s="60"/>
      <c r="AY1405" s="135"/>
      <c r="AZ1405" s="16"/>
      <c r="BA1405" s="38"/>
      <c r="BB1405" s="38"/>
      <c r="BC1405" s="60"/>
      <c r="BD1405" s="60"/>
      <c r="BE1405" s="304"/>
      <c r="BF1405" s="304"/>
      <c r="BG1405" s="304"/>
      <c r="BH1405" s="304"/>
      <c r="BI1405" s="304"/>
      <c r="BJ1405" s="304"/>
      <c r="BK1405" s="16"/>
    </row>
    <row r="1406" spans="1:63" s="199" customFormat="1" ht="85.5" customHeight="1">
      <c r="A1406" s="401">
        <v>3</v>
      </c>
      <c r="B1406" s="38" t="s">
        <v>4692</v>
      </c>
      <c r="C1406" s="38" t="s">
        <v>83</v>
      </c>
      <c r="D1406" s="38" t="s">
        <v>160</v>
      </c>
      <c r="E1406" s="38" t="s">
        <v>274</v>
      </c>
      <c r="F1406" s="38" t="s">
        <v>4624</v>
      </c>
      <c r="G1406" s="38">
        <v>24</v>
      </c>
      <c r="H1406" s="11">
        <v>626377</v>
      </c>
      <c r="I1406" s="16" t="s">
        <v>4693</v>
      </c>
      <c r="J1406" s="16" t="s">
        <v>4282</v>
      </c>
      <c r="K1406" s="29" t="s">
        <v>4917</v>
      </c>
      <c r="L1406" s="16" t="s">
        <v>180</v>
      </c>
      <c r="M1406" s="95" t="s">
        <v>4170</v>
      </c>
      <c r="N1406" s="15" t="s">
        <v>4171</v>
      </c>
      <c r="O1406" s="16" t="s">
        <v>4172</v>
      </c>
      <c r="P1406" s="23">
        <v>2003.1759300000001</v>
      </c>
      <c r="Q1406" s="23">
        <f t="shared" si="171"/>
        <v>2363.7475973999999</v>
      </c>
      <c r="R1406" s="23">
        <v>2419.1797499999998</v>
      </c>
      <c r="S1406" s="29"/>
      <c r="T1406" s="312">
        <v>1.1919999999999999</v>
      </c>
      <c r="U1406" s="312">
        <v>1.042</v>
      </c>
      <c r="V1406" s="312">
        <v>1.014</v>
      </c>
      <c r="W1406" s="312">
        <v>1.0209999999999999</v>
      </c>
      <c r="X1406" s="403">
        <v>0.9</v>
      </c>
      <c r="Y1406" s="23">
        <v>2799.7439794792012</v>
      </c>
      <c r="Z1406" s="23">
        <f t="shared" si="172"/>
        <v>3303.6978957854571</v>
      </c>
      <c r="AA1406" s="36" t="s">
        <v>132</v>
      </c>
      <c r="AB1406" s="36" t="s">
        <v>132</v>
      </c>
      <c r="AC1406" s="23">
        <v>2003.1759300000001</v>
      </c>
      <c r="AD1406" s="23">
        <f t="shared" si="173"/>
        <v>2363.7475973999999</v>
      </c>
      <c r="AE1406" s="38" t="s">
        <v>173</v>
      </c>
      <c r="AF1406" s="38" t="s">
        <v>83</v>
      </c>
      <c r="AG1406" s="38" t="s">
        <v>83</v>
      </c>
      <c r="AH1406" s="38" t="s">
        <v>90</v>
      </c>
      <c r="AI1406" s="51">
        <v>41623</v>
      </c>
      <c r="AJ1406" s="51">
        <v>41669</v>
      </c>
      <c r="AK1406" s="369"/>
      <c r="AL1406" s="60"/>
      <c r="AM1406" s="60" t="s">
        <v>4694</v>
      </c>
      <c r="AN1406" s="60" t="s">
        <v>1757</v>
      </c>
      <c r="AO1406" s="11">
        <v>796</v>
      </c>
      <c r="AP1406" s="38" t="s">
        <v>368</v>
      </c>
      <c r="AQ1406" s="38">
        <v>1</v>
      </c>
      <c r="AR1406" s="38" t="s">
        <v>2980</v>
      </c>
      <c r="AS1406" s="16" t="s">
        <v>3373</v>
      </c>
      <c r="AT1406" s="51">
        <v>41669</v>
      </c>
      <c r="AU1406" s="51">
        <v>41669</v>
      </c>
      <c r="AV1406" s="51">
        <v>41942</v>
      </c>
      <c r="AW1406" s="38">
        <v>2014</v>
      </c>
      <c r="AX1406" s="60"/>
      <c r="AY1406" s="135"/>
      <c r="AZ1406" s="16"/>
      <c r="BA1406" s="38"/>
      <c r="BB1406" s="38"/>
      <c r="BC1406" s="60"/>
      <c r="BD1406" s="60"/>
      <c r="BE1406" s="304"/>
      <c r="BF1406" s="304"/>
      <c r="BG1406" s="304"/>
      <c r="BH1406" s="304"/>
      <c r="BI1406" s="304"/>
      <c r="BJ1406" s="304"/>
      <c r="BK1406" s="16"/>
    </row>
    <row r="1407" spans="1:63" s="199" customFormat="1" ht="85.5" customHeight="1">
      <c r="A1407" s="401">
        <v>3</v>
      </c>
      <c r="B1407" s="38" t="s">
        <v>4733</v>
      </c>
      <c r="C1407" s="38" t="s">
        <v>83</v>
      </c>
      <c r="D1407" s="38" t="s">
        <v>213</v>
      </c>
      <c r="E1407" s="38" t="s">
        <v>274</v>
      </c>
      <c r="F1407" s="38" t="s">
        <v>4620</v>
      </c>
      <c r="G1407" s="38">
        <v>31</v>
      </c>
      <c r="H1407" s="11">
        <v>626524</v>
      </c>
      <c r="I1407" s="16" t="s">
        <v>4734</v>
      </c>
      <c r="J1407" s="16" t="s">
        <v>4282</v>
      </c>
      <c r="K1407" s="29" t="s">
        <v>4917</v>
      </c>
      <c r="L1407" s="16" t="s">
        <v>180</v>
      </c>
      <c r="M1407" s="95" t="s">
        <v>4170</v>
      </c>
      <c r="N1407" s="15" t="s">
        <v>4171</v>
      </c>
      <c r="O1407" s="16" t="s">
        <v>4172</v>
      </c>
      <c r="P1407" s="23">
        <v>447.62040000000002</v>
      </c>
      <c r="Q1407" s="23">
        <f t="shared" si="171"/>
        <v>528.19207199999994</v>
      </c>
      <c r="R1407" s="23">
        <v>421.55658586618563</v>
      </c>
      <c r="S1407" s="29"/>
      <c r="T1407" s="312">
        <v>1.0900000000000001</v>
      </c>
      <c r="U1407" s="312">
        <v>1.0409999999999999</v>
      </c>
      <c r="V1407" s="312">
        <v>1.0229999999999999</v>
      </c>
      <c r="W1407" s="312">
        <v>1.044</v>
      </c>
      <c r="X1407" s="403">
        <v>0.9</v>
      </c>
      <c r="Y1407" s="23">
        <v>459.78176999999999</v>
      </c>
      <c r="Z1407" s="23">
        <f t="shared" si="172"/>
        <v>542.54248859999996</v>
      </c>
      <c r="AA1407" s="36" t="s">
        <v>132</v>
      </c>
      <c r="AB1407" s="36" t="s">
        <v>132</v>
      </c>
      <c r="AC1407" s="23">
        <v>447.62040000000002</v>
      </c>
      <c r="AD1407" s="23">
        <f t="shared" si="173"/>
        <v>528.19207199999994</v>
      </c>
      <c r="AE1407" s="38" t="s">
        <v>173</v>
      </c>
      <c r="AF1407" s="38" t="s">
        <v>83</v>
      </c>
      <c r="AG1407" s="38" t="s">
        <v>83</v>
      </c>
      <c r="AH1407" s="38" t="s">
        <v>90</v>
      </c>
      <c r="AI1407" s="51">
        <v>41623</v>
      </c>
      <c r="AJ1407" s="51">
        <v>41669</v>
      </c>
      <c r="AK1407" s="369"/>
      <c r="AL1407" s="60"/>
      <c r="AM1407" s="60" t="s">
        <v>4584</v>
      </c>
      <c r="AN1407" s="60" t="s">
        <v>1757</v>
      </c>
      <c r="AO1407" s="11">
        <v>796</v>
      </c>
      <c r="AP1407" s="38" t="s">
        <v>368</v>
      </c>
      <c r="AQ1407" s="38">
        <v>27</v>
      </c>
      <c r="AR1407" s="38" t="s">
        <v>2980</v>
      </c>
      <c r="AS1407" s="16" t="s">
        <v>3373</v>
      </c>
      <c r="AT1407" s="51">
        <v>41669</v>
      </c>
      <c r="AU1407" s="51">
        <v>41669</v>
      </c>
      <c r="AV1407" s="51">
        <v>41698</v>
      </c>
      <c r="AW1407" s="38">
        <v>2014</v>
      </c>
      <c r="AX1407" s="60"/>
      <c r="AY1407" s="135"/>
      <c r="AZ1407" s="16"/>
      <c r="BA1407" s="38"/>
      <c r="BB1407" s="38"/>
      <c r="BC1407" s="60"/>
      <c r="BD1407" s="60"/>
      <c r="BE1407" s="304"/>
      <c r="BF1407" s="304"/>
      <c r="BG1407" s="304"/>
      <c r="BH1407" s="304"/>
      <c r="BI1407" s="304"/>
      <c r="BJ1407" s="304"/>
      <c r="BK1407" s="16"/>
    </row>
    <row r="1408" spans="1:63" s="199" customFormat="1" ht="85.5" customHeight="1">
      <c r="A1408" s="401">
        <v>3</v>
      </c>
      <c r="B1408" s="38" t="s">
        <v>4954</v>
      </c>
      <c r="C1408" s="38" t="s">
        <v>83</v>
      </c>
      <c r="D1408" s="38" t="s">
        <v>231</v>
      </c>
      <c r="E1408" s="38" t="s">
        <v>274</v>
      </c>
      <c r="F1408" s="38" t="s">
        <v>4620</v>
      </c>
      <c r="G1408" s="38">
        <v>31</v>
      </c>
      <c r="H1408" s="11">
        <v>626693</v>
      </c>
      <c r="I1408" s="16" t="s">
        <v>4955</v>
      </c>
      <c r="J1408" s="16" t="s">
        <v>4282</v>
      </c>
      <c r="K1408" s="29" t="s">
        <v>4917</v>
      </c>
      <c r="L1408" s="16" t="s">
        <v>180</v>
      </c>
      <c r="M1408" s="95" t="s">
        <v>4170</v>
      </c>
      <c r="N1408" s="15" t="s">
        <v>4171</v>
      </c>
      <c r="O1408" s="16" t="s">
        <v>4172</v>
      </c>
      <c r="P1408" s="23">
        <v>3969.4679999999998</v>
      </c>
      <c r="Q1408" s="23">
        <f t="shared" si="171"/>
        <v>4683.9722399999991</v>
      </c>
      <c r="R1408" s="23">
        <v>3969.716479038851</v>
      </c>
      <c r="S1408" s="29"/>
      <c r="T1408" s="312">
        <v>1.0840000000000001</v>
      </c>
      <c r="U1408" s="312">
        <v>1.0509999999999999</v>
      </c>
      <c r="V1408" s="312">
        <v>1.0669999999999999</v>
      </c>
      <c r="W1408" s="312">
        <v>1.056</v>
      </c>
      <c r="X1408" s="403">
        <v>0.9</v>
      </c>
      <c r="Y1408" s="23">
        <v>4586.2986899999996</v>
      </c>
      <c r="Z1408" s="23">
        <f t="shared" si="172"/>
        <v>5411.8324541999991</v>
      </c>
      <c r="AA1408" s="36" t="s">
        <v>132</v>
      </c>
      <c r="AB1408" s="36" t="s">
        <v>132</v>
      </c>
      <c r="AC1408" s="23">
        <v>3969.4679999999998</v>
      </c>
      <c r="AD1408" s="23">
        <f t="shared" si="173"/>
        <v>4683.9722399999991</v>
      </c>
      <c r="AE1408" s="38" t="s">
        <v>173</v>
      </c>
      <c r="AF1408" s="38" t="s">
        <v>83</v>
      </c>
      <c r="AG1408" s="38" t="s">
        <v>83</v>
      </c>
      <c r="AH1408" s="38" t="s">
        <v>90</v>
      </c>
      <c r="AI1408" s="51">
        <v>41628</v>
      </c>
      <c r="AJ1408" s="51">
        <v>41669</v>
      </c>
      <c r="AK1408" s="369"/>
      <c r="AL1408" s="60"/>
      <c r="AM1408" s="60" t="s">
        <v>4956</v>
      </c>
      <c r="AN1408" s="60" t="s">
        <v>1757</v>
      </c>
      <c r="AO1408" s="11">
        <v>6</v>
      </c>
      <c r="AP1408" s="38" t="s">
        <v>717</v>
      </c>
      <c r="AQ1408" s="38">
        <v>1553</v>
      </c>
      <c r="AR1408" s="38" t="s">
        <v>2980</v>
      </c>
      <c r="AS1408" s="16" t="s">
        <v>3373</v>
      </c>
      <c r="AT1408" s="51">
        <v>41669</v>
      </c>
      <c r="AU1408" s="51">
        <v>41670</v>
      </c>
      <c r="AV1408" s="51">
        <v>41670</v>
      </c>
      <c r="AW1408" s="38">
        <v>2014</v>
      </c>
      <c r="AX1408" s="60"/>
      <c r="AY1408" s="135"/>
      <c r="AZ1408" s="16"/>
      <c r="BA1408" s="38"/>
      <c r="BB1408" s="38"/>
      <c r="BC1408" s="60"/>
      <c r="BD1408" s="60"/>
      <c r="BE1408" s="304"/>
      <c r="BF1408" s="304"/>
      <c r="BG1408" s="304"/>
      <c r="BH1408" s="304"/>
      <c r="BI1408" s="304"/>
      <c r="BJ1408" s="304"/>
      <c r="BK1408" s="16"/>
    </row>
    <row r="1409" spans="1:63" s="199" customFormat="1" ht="85.5" customHeight="1">
      <c r="A1409" s="401">
        <v>3</v>
      </c>
      <c r="B1409" s="38" t="s">
        <v>4957</v>
      </c>
      <c r="C1409" s="38" t="s">
        <v>83</v>
      </c>
      <c r="D1409" s="38" t="s">
        <v>245</v>
      </c>
      <c r="E1409" s="38" t="s">
        <v>274</v>
      </c>
      <c r="F1409" s="38" t="s">
        <v>4620</v>
      </c>
      <c r="G1409" s="38">
        <v>31</v>
      </c>
      <c r="H1409" s="11">
        <v>626664</v>
      </c>
      <c r="I1409" s="16" t="s">
        <v>4958</v>
      </c>
      <c r="J1409" s="16" t="s">
        <v>4282</v>
      </c>
      <c r="K1409" s="29" t="s">
        <v>4917</v>
      </c>
      <c r="L1409" s="16" t="s">
        <v>180</v>
      </c>
      <c r="M1409" s="95" t="s">
        <v>4170</v>
      </c>
      <c r="N1409" s="15" t="s">
        <v>5934</v>
      </c>
      <c r="O1409" s="16" t="s">
        <v>4172</v>
      </c>
      <c r="P1409" s="23">
        <v>11131.6572</v>
      </c>
      <c r="Q1409" s="23">
        <f t="shared" si="171"/>
        <v>13135.355495999998</v>
      </c>
      <c r="R1409" s="23">
        <v>12897.862202747669</v>
      </c>
      <c r="S1409" s="29"/>
      <c r="T1409" s="312">
        <v>1.288</v>
      </c>
      <c r="U1409" s="312">
        <v>1.093</v>
      </c>
      <c r="V1409" s="312">
        <v>1.04</v>
      </c>
      <c r="W1409" s="312">
        <v>1.03</v>
      </c>
      <c r="X1409" s="403">
        <v>0.9</v>
      </c>
      <c r="Y1409" s="23">
        <v>17505.19009</v>
      </c>
      <c r="Z1409" s="23">
        <f t="shared" si="172"/>
        <v>20656.124306199999</v>
      </c>
      <c r="AA1409" s="36" t="s">
        <v>132</v>
      </c>
      <c r="AB1409" s="36" t="s">
        <v>132</v>
      </c>
      <c r="AC1409" s="23">
        <v>11131.6572</v>
      </c>
      <c r="AD1409" s="23">
        <f t="shared" si="173"/>
        <v>13135.355495999998</v>
      </c>
      <c r="AE1409" s="38" t="s">
        <v>169</v>
      </c>
      <c r="AF1409" s="38" t="s">
        <v>83</v>
      </c>
      <c r="AG1409" s="38" t="s">
        <v>83</v>
      </c>
      <c r="AH1409" s="38" t="s">
        <v>90</v>
      </c>
      <c r="AI1409" s="51">
        <v>41628</v>
      </c>
      <c r="AJ1409" s="51">
        <v>41690</v>
      </c>
      <c r="AK1409" s="369"/>
      <c r="AL1409" s="60"/>
      <c r="AM1409" s="60" t="s">
        <v>4959</v>
      </c>
      <c r="AN1409" s="60" t="s">
        <v>1757</v>
      </c>
      <c r="AO1409" s="11">
        <v>796</v>
      </c>
      <c r="AP1409" s="38" t="s">
        <v>368</v>
      </c>
      <c r="AQ1409" s="38">
        <v>1</v>
      </c>
      <c r="AR1409" s="38" t="s">
        <v>2980</v>
      </c>
      <c r="AS1409" s="16" t="s">
        <v>3373</v>
      </c>
      <c r="AT1409" s="51">
        <v>41690</v>
      </c>
      <c r="AU1409" s="51">
        <v>41690</v>
      </c>
      <c r="AV1409" s="51">
        <v>41821</v>
      </c>
      <c r="AW1409" s="38">
        <v>2014</v>
      </c>
      <c r="AX1409" s="60"/>
      <c r="AY1409" s="135"/>
      <c r="AZ1409" s="16"/>
      <c r="BA1409" s="38"/>
      <c r="BB1409" s="38"/>
      <c r="BC1409" s="60"/>
      <c r="BD1409" s="60"/>
      <c r="BE1409" s="304"/>
      <c r="BF1409" s="304"/>
      <c r="BG1409" s="304"/>
      <c r="BH1409" s="304"/>
      <c r="BI1409" s="304"/>
      <c r="BJ1409" s="304"/>
      <c r="BK1409" s="16"/>
    </row>
    <row r="1410" spans="1:63" s="199" customFormat="1" ht="75">
      <c r="A1410" s="401">
        <v>3</v>
      </c>
      <c r="B1410" s="38" t="s">
        <v>5908</v>
      </c>
      <c r="C1410" s="38" t="s">
        <v>83</v>
      </c>
      <c r="D1410" s="38" t="s">
        <v>245</v>
      </c>
      <c r="E1410" s="38" t="s">
        <v>274</v>
      </c>
      <c r="F1410" s="38" t="s">
        <v>4620</v>
      </c>
      <c r="G1410" s="38">
        <v>31</v>
      </c>
      <c r="H1410" s="11">
        <v>626691</v>
      </c>
      <c r="I1410" s="16" t="s">
        <v>5909</v>
      </c>
      <c r="J1410" s="16" t="s">
        <v>4282</v>
      </c>
      <c r="K1410" s="29" t="s">
        <v>4917</v>
      </c>
      <c r="L1410" s="16" t="s">
        <v>180</v>
      </c>
      <c r="M1410" s="95" t="s">
        <v>4170</v>
      </c>
      <c r="N1410" s="15" t="s">
        <v>4171</v>
      </c>
      <c r="O1410" s="16" t="s">
        <v>4172</v>
      </c>
      <c r="P1410" s="23">
        <v>653.99548000000004</v>
      </c>
      <c r="Q1410" s="23">
        <f t="shared" si="171"/>
        <v>771.71466640000006</v>
      </c>
      <c r="R1410" s="23">
        <v>552.69722926665816</v>
      </c>
      <c r="S1410" s="29"/>
      <c r="T1410" s="312">
        <v>1.1919999999999999</v>
      </c>
      <c r="U1410" s="312">
        <v>1.042</v>
      </c>
      <c r="V1410" s="312">
        <v>1.014</v>
      </c>
      <c r="W1410" s="312">
        <v>1.044</v>
      </c>
      <c r="X1410" s="403">
        <v>0.9</v>
      </c>
      <c r="Y1410" s="23">
        <v>654.05192</v>
      </c>
      <c r="Z1410" s="23">
        <f t="shared" si="172"/>
        <v>771.78126559999998</v>
      </c>
      <c r="AA1410" s="36" t="s">
        <v>132</v>
      </c>
      <c r="AB1410" s="36" t="s">
        <v>132</v>
      </c>
      <c r="AC1410" s="23">
        <v>653.99548000000004</v>
      </c>
      <c r="AD1410" s="23">
        <f t="shared" si="173"/>
        <v>771.71466640000006</v>
      </c>
      <c r="AE1410" s="38" t="s">
        <v>173</v>
      </c>
      <c r="AF1410" s="38" t="s">
        <v>83</v>
      </c>
      <c r="AG1410" s="38" t="s">
        <v>83</v>
      </c>
      <c r="AH1410" s="38" t="s">
        <v>90</v>
      </c>
      <c r="AI1410" s="51">
        <v>41636</v>
      </c>
      <c r="AJ1410" s="51">
        <v>41681</v>
      </c>
      <c r="AK1410" s="369"/>
      <c r="AL1410" s="60"/>
      <c r="AM1410" s="60" t="s">
        <v>5910</v>
      </c>
      <c r="AN1410" s="60" t="s">
        <v>1757</v>
      </c>
      <c r="AO1410" s="11">
        <v>796</v>
      </c>
      <c r="AP1410" s="38" t="s">
        <v>368</v>
      </c>
      <c r="AQ1410" s="38">
        <v>46</v>
      </c>
      <c r="AR1410" s="38" t="s">
        <v>2980</v>
      </c>
      <c r="AS1410" s="16" t="s">
        <v>3373</v>
      </c>
      <c r="AT1410" s="51">
        <v>41681</v>
      </c>
      <c r="AU1410" s="51">
        <v>41681</v>
      </c>
      <c r="AV1410" s="51">
        <v>41394</v>
      </c>
      <c r="AW1410" s="38">
        <v>2014</v>
      </c>
      <c r="AX1410" s="60"/>
      <c r="AY1410" s="135"/>
      <c r="AZ1410" s="16"/>
      <c r="BA1410" s="38"/>
      <c r="BB1410" s="38"/>
      <c r="BC1410" s="60"/>
      <c r="BD1410" s="60"/>
      <c r="BE1410" s="304"/>
      <c r="BF1410" s="304"/>
      <c r="BG1410" s="304"/>
      <c r="BH1410" s="304"/>
      <c r="BI1410" s="304"/>
      <c r="BJ1410" s="304"/>
      <c r="BK1410" s="16"/>
    </row>
    <row r="1411" spans="1:63" s="199" customFormat="1" ht="75">
      <c r="A1411" s="401">
        <v>3</v>
      </c>
      <c r="B1411" s="38" t="s">
        <v>5911</v>
      </c>
      <c r="C1411" s="38" t="s">
        <v>83</v>
      </c>
      <c r="D1411" s="38" t="s">
        <v>231</v>
      </c>
      <c r="E1411" s="38" t="s">
        <v>274</v>
      </c>
      <c r="F1411" s="38" t="s">
        <v>4620</v>
      </c>
      <c r="G1411" s="38">
        <v>31</v>
      </c>
      <c r="H1411" s="11">
        <v>625770</v>
      </c>
      <c r="I1411" s="16" t="s">
        <v>5912</v>
      </c>
      <c r="J1411" s="16" t="s">
        <v>4282</v>
      </c>
      <c r="K1411" s="29" t="s">
        <v>4917</v>
      </c>
      <c r="L1411" s="16" t="s">
        <v>180</v>
      </c>
      <c r="M1411" s="95" t="s">
        <v>4170</v>
      </c>
      <c r="N1411" s="15" t="s">
        <v>4171</v>
      </c>
      <c r="O1411" s="16" t="s">
        <v>4172</v>
      </c>
      <c r="P1411" s="23">
        <v>690.12300000000005</v>
      </c>
      <c r="Q1411" s="23">
        <f t="shared" si="171"/>
        <v>814.34514000000001</v>
      </c>
      <c r="R1411" s="23">
        <v>460.5546815664548</v>
      </c>
      <c r="S1411" s="29"/>
      <c r="T1411" s="312">
        <v>1.0880000000000001</v>
      </c>
      <c r="U1411" s="312">
        <v>1.014</v>
      </c>
      <c r="V1411" s="312">
        <v>1.0549999999999999</v>
      </c>
      <c r="W1411" s="312">
        <v>1</v>
      </c>
      <c r="X1411" s="403">
        <v>0.9</v>
      </c>
      <c r="Y1411" s="23">
        <v>482.43968000000001</v>
      </c>
      <c r="Z1411" s="23">
        <f t="shared" si="172"/>
        <v>569.27882239999997</v>
      </c>
      <c r="AA1411" s="36" t="s">
        <v>132</v>
      </c>
      <c r="AB1411" s="36" t="s">
        <v>132</v>
      </c>
      <c r="AC1411" s="23">
        <v>690.12300000000005</v>
      </c>
      <c r="AD1411" s="23">
        <f t="shared" si="173"/>
        <v>814.34514000000001</v>
      </c>
      <c r="AE1411" s="38" t="s">
        <v>173</v>
      </c>
      <c r="AF1411" s="38" t="s">
        <v>83</v>
      </c>
      <c r="AG1411" s="38" t="s">
        <v>83</v>
      </c>
      <c r="AH1411" s="38" t="s">
        <v>90</v>
      </c>
      <c r="AI1411" s="51">
        <v>41636</v>
      </c>
      <c r="AJ1411" s="51">
        <v>41681</v>
      </c>
      <c r="AK1411" s="369"/>
      <c r="AL1411" s="60"/>
      <c r="AM1411" s="60" t="s">
        <v>5913</v>
      </c>
      <c r="AN1411" s="60" t="s">
        <v>1757</v>
      </c>
      <c r="AO1411" s="11">
        <v>796</v>
      </c>
      <c r="AP1411" s="38" t="s">
        <v>368</v>
      </c>
      <c r="AQ1411" s="38">
        <v>3</v>
      </c>
      <c r="AR1411" s="38" t="s">
        <v>2980</v>
      </c>
      <c r="AS1411" s="16" t="s">
        <v>3373</v>
      </c>
      <c r="AT1411" s="51">
        <v>41681</v>
      </c>
      <c r="AU1411" s="51">
        <v>41681</v>
      </c>
      <c r="AV1411" s="51">
        <v>41333</v>
      </c>
      <c r="AW1411" s="38">
        <v>2014</v>
      </c>
      <c r="AX1411" s="60"/>
      <c r="AY1411" s="135"/>
      <c r="AZ1411" s="16"/>
      <c r="BA1411" s="38"/>
      <c r="BB1411" s="38"/>
      <c r="BC1411" s="60"/>
      <c r="BD1411" s="60"/>
      <c r="BE1411" s="304"/>
      <c r="BF1411" s="304"/>
      <c r="BG1411" s="304"/>
      <c r="BH1411" s="304"/>
      <c r="BI1411" s="304"/>
      <c r="BJ1411" s="304"/>
      <c r="BK1411" s="16"/>
    </row>
    <row r="1412" spans="1:63" s="199" customFormat="1" ht="75">
      <c r="A1412" s="401">
        <v>3</v>
      </c>
      <c r="B1412" s="38" t="s">
        <v>5914</v>
      </c>
      <c r="C1412" s="38" t="s">
        <v>83</v>
      </c>
      <c r="D1412" s="38" t="s">
        <v>160</v>
      </c>
      <c r="E1412" s="38" t="s">
        <v>274</v>
      </c>
      <c r="F1412" s="38" t="s">
        <v>4620</v>
      </c>
      <c r="G1412" s="38">
        <v>31</v>
      </c>
      <c r="H1412" s="11">
        <v>626566</v>
      </c>
      <c r="I1412" s="16" t="s">
        <v>5915</v>
      </c>
      <c r="J1412" s="16" t="s">
        <v>4282</v>
      </c>
      <c r="K1412" s="29" t="s">
        <v>4917</v>
      </c>
      <c r="L1412" s="16" t="s">
        <v>180</v>
      </c>
      <c r="M1412" s="95" t="s">
        <v>4170</v>
      </c>
      <c r="N1412" s="15" t="s">
        <v>4171</v>
      </c>
      <c r="O1412" s="16" t="s">
        <v>4172</v>
      </c>
      <c r="P1412" s="23">
        <v>1714.5305900000001</v>
      </c>
      <c r="Q1412" s="23">
        <f t="shared" si="171"/>
        <v>2023.1460961999999</v>
      </c>
      <c r="R1412" s="23"/>
      <c r="S1412" s="29" t="s">
        <v>4978</v>
      </c>
      <c r="T1412" s="312"/>
      <c r="U1412" s="312"/>
      <c r="V1412" s="312"/>
      <c r="W1412" s="312"/>
      <c r="X1412" s="403"/>
      <c r="Y1412" s="23">
        <v>1714.5305900000001</v>
      </c>
      <c r="Z1412" s="23">
        <f t="shared" si="172"/>
        <v>2023.1460961999999</v>
      </c>
      <c r="AA1412" s="36" t="s">
        <v>132</v>
      </c>
      <c r="AB1412" s="36" t="s">
        <v>132</v>
      </c>
      <c r="AC1412" s="23">
        <v>1714.5305900000001</v>
      </c>
      <c r="AD1412" s="23">
        <f t="shared" si="173"/>
        <v>2023.1460961999999</v>
      </c>
      <c r="AE1412" s="38" t="s">
        <v>173</v>
      </c>
      <c r="AF1412" s="38" t="s">
        <v>83</v>
      </c>
      <c r="AG1412" s="38" t="s">
        <v>83</v>
      </c>
      <c r="AH1412" s="38" t="s">
        <v>90</v>
      </c>
      <c r="AI1412" s="51">
        <v>41636</v>
      </c>
      <c r="AJ1412" s="51">
        <v>41681</v>
      </c>
      <c r="AK1412" s="369"/>
      <c r="AL1412" s="60"/>
      <c r="AM1412" s="60" t="s">
        <v>5916</v>
      </c>
      <c r="AN1412" s="60" t="s">
        <v>1757</v>
      </c>
      <c r="AO1412" s="11">
        <v>796</v>
      </c>
      <c r="AP1412" s="38" t="s">
        <v>368</v>
      </c>
      <c r="AQ1412" s="38">
        <v>251</v>
      </c>
      <c r="AR1412" s="38" t="s">
        <v>2980</v>
      </c>
      <c r="AS1412" s="16" t="s">
        <v>3373</v>
      </c>
      <c r="AT1412" s="51">
        <v>41681</v>
      </c>
      <c r="AU1412" s="51">
        <v>41681</v>
      </c>
      <c r="AV1412" s="51">
        <v>41333</v>
      </c>
      <c r="AW1412" s="38">
        <v>2014</v>
      </c>
      <c r="AX1412" s="60"/>
      <c r="AY1412" s="135"/>
      <c r="AZ1412" s="16"/>
      <c r="BA1412" s="38"/>
      <c r="BB1412" s="38"/>
      <c r="BC1412" s="60"/>
      <c r="BD1412" s="60"/>
      <c r="BE1412" s="304"/>
      <c r="BF1412" s="304"/>
      <c r="BG1412" s="304"/>
      <c r="BH1412" s="304"/>
      <c r="BI1412" s="304"/>
      <c r="BJ1412" s="304"/>
      <c r="BK1412" s="16"/>
    </row>
    <row r="1413" spans="1:63" s="603" customFormat="1">
      <c r="A1413" s="91" t="s">
        <v>132</v>
      </c>
      <c r="B1413" s="7" t="s">
        <v>132</v>
      </c>
      <c r="C1413" s="7" t="s">
        <v>132</v>
      </c>
      <c r="D1413" s="7" t="s">
        <v>132</v>
      </c>
      <c r="E1413" s="7" t="s">
        <v>132</v>
      </c>
      <c r="F1413" s="7" t="s">
        <v>132</v>
      </c>
      <c r="G1413" s="7" t="s">
        <v>132</v>
      </c>
      <c r="H1413" s="7" t="s">
        <v>132</v>
      </c>
      <c r="I1413" s="7" t="s">
        <v>4157</v>
      </c>
      <c r="J1413" s="7" t="s">
        <v>132</v>
      </c>
      <c r="K1413" s="7" t="s">
        <v>132</v>
      </c>
      <c r="L1413" s="7" t="s">
        <v>132</v>
      </c>
      <c r="M1413" s="7" t="s">
        <v>132</v>
      </c>
      <c r="N1413" s="7" t="s">
        <v>132</v>
      </c>
      <c r="O1413" s="7" t="s">
        <v>132</v>
      </c>
      <c r="P1413" s="7" t="s">
        <v>132</v>
      </c>
      <c r="Q1413" s="7" t="s">
        <v>132</v>
      </c>
      <c r="R1413" s="7" t="s">
        <v>132</v>
      </c>
      <c r="S1413" s="7" t="s">
        <v>132</v>
      </c>
      <c r="T1413" s="7" t="s">
        <v>132</v>
      </c>
      <c r="U1413" s="7" t="s">
        <v>132</v>
      </c>
      <c r="V1413" s="7" t="s">
        <v>132</v>
      </c>
      <c r="W1413" s="7" t="s">
        <v>132</v>
      </c>
      <c r="X1413" s="7" t="s">
        <v>132</v>
      </c>
      <c r="Y1413" s="7" t="s">
        <v>132</v>
      </c>
      <c r="Z1413" s="7" t="s">
        <v>132</v>
      </c>
      <c r="AA1413" s="225" t="s">
        <v>132</v>
      </c>
      <c r="AB1413" s="225" t="s">
        <v>132</v>
      </c>
      <c r="AC1413" s="7" t="s">
        <v>132</v>
      </c>
      <c r="AD1413" s="7" t="s">
        <v>132</v>
      </c>
      <c r="AE1413" s="7" t="s">
        <v>132</v>
      </c>
      <c r="AF1413" s="7" t="s">
        <v>132</v>
      </c>
      <c r="AG1413" s="7" t="s">
        <v>132</v>
      </c>
      <c r="AH1413" s="7" t="s">
        <v>132</v>
      </c>
      <c r="AI1413" s="7" t="s">
        <v>132</v>
      </c>
      <c r="AJ1413" s="7" t="s">
        <v>132</v>
      </c>
      <c r="AK1413" s="7" t="s">
        <v>132</v>
      </c>
      <c r="AL1413" s="7" t="s">
        <v>132</v>
      </c>
      <c r="AM1413" s="7" t="s">
        <v>132</v>
      </c>
      <c r="AN1413" s="7" t="s">
        <v>132</v>
      </c>
      <c r="AO1413" s="7" t="s">
        <v>132</v>
      </c>
      <c r="AP1413" s="7" t="s">
        <v>132</v>
      </c>
      <c r="AQ1413" s="7" t="s">
        <v>132</v>
      </c>
      <c r="AR1413" s="7" t="s">
        <v>132</v>
      </c>
      <c r="AS1413" s="7" t="s">
        <v>132</v>
      </c>
      <c r="AT1413" s="7" t="s">
        <v>132</v>
      </c>
      <c r="AU1413" s="7" t="s">
        <v>132</v>
      </c>
      <c r="AV1413" s="7" t="s">
        <v>132</v>
      </c>
      <c r="AW1413" s="7" t="s">
        <v>132</v>
      </c>
      <c r="AX1413" s="7" t="s">
        <v>132</v>
      </c>
      <c r="AY1413" s="7" t="s">
        <v>132</v>
      </c>
      <c r="AZ1413" s="7" t="s">
        <v>132</v>
      </c>
      <c r="BA1413" s="7" t="s">
        <v>132</v>
      </c>
      <c r="BB1413" s="7" t="s">
        <v>132</v>
      </c>
      <c r="BC1413" s="7" t="s">
        <v>132</v>
      </c>
      <c r="BD1413" s="7" t="s">
        <v>132</v>
      </c>
      <c r="BE1413" s="7" t="s">
        <v>132</v>
      </c>
      <c r="BF1413" s="7" t="s">
        <v>132</v>
      </c>
      <c r="BG1413" s="7" t="s">
        <v>132</v>
      </c>
      <c r="BH1413" s="7" t="s">
        <v>132</v>
      </c>
      <c r="BI1413" s="7" t="s">
        <v>132</v>
      </c>
      <c r="BJ1413" s="7" t="s">
        <v>132</v>
      </c>
      <c r="BK1413" s="7"/>
    </row>
    <row r="1414" spans="1:63" s="603" customFormat="1" ht="36.75" customHeight="1">
      <c r="A1414" s="91" t="s">
        <v>132</v>
      </c>
      <c r="B1414" s="7" t="s">
        <v>132</v>
      </c>
      <c r="C1414" s="7" t="s">
        <v>132</v>
      </c>
      <c r="D1414" s="7" t="s">
        <v>132</v>
      </c>
      <c r="E1414" s="7" t="s">
        <v>132</v>
      </c>
      <c r="F1414" s="7" t="s">
        <v>132</v>
      </c>
      <c r="G1414" s="7" t="s">
        <v>132</v>
      </c>
      <c r="H1414" s="7" t="s">
        <v>132</v>
      </c>
      <c r="I1414" s="8" t="s">
        <v>3036</v>
      </c>
      <c r="J1414" s="7" t="s">
        <v>132</v>
      </c>
      <c r="K1414" s="7" t="s">
        <v>132</v>
      </c>
      <c r="L1414" s="7" t="s">
        <v>132</v>
      </c>
      <c r="M1414" s="7" t="s">
        <v>132</v>
      </c>
      <c r="N1414" s="7" t="s">
        <v>132</v>
      </c>
      <c r="O1414" s="7" t="s">
        <v>132</v>
      </c>
      <c r="P1414" s="102">
        <f>SUMIFS(Сумма_16,Филиал,"=ОАО*",ВД,"=3")</f>
        <v>4943134.2233600095</v>
      </c>
      <c r="Q1414" s="102">
        <f>SUMIFS(Сумма_17,Филиал,"=ОАО*",ВД,"=3")</f>
        <v>5832139.3459647922</v>
      </c>
      <c r="R1414" s="7" t="s">
        <v>132</v>
      </c>
      <c r="S1414" s="7" t="s">
        <v>132</v>
      </c>
      <c r="T1414" s="7" t="s">
        <v>132</v>
      </c>
      <c r="U1414" s="7" t="s">
        <v>132</v>
      </c>
      <c r="V1414" s="7" t="s">
        <v>132</v>
      </c>
      <c r="W1414" s="7" t="s">
        <v>132</v>
      </c>
      <c r="X1414" s="7" t="s">
        <v>132</v>
      </c>
      <c r="Y1414" s="102">
        <f>SUMIFS(Сумма_25,Филиал,"=ОАО*",ВД,"=3")</f>
        <v>5254471.9598251022</v>
      </c>
      <c r="Z1414" s="102">
        <f>SUMIFS(Сумма_26,Филиал,"=ОАО*",ВД,"=3")</f>
        <v>6199517.8749936176</v>
      </c>
      <c r="AA1414" s="225" t="s">
        <v>132</v>
      </c>
      <c r="AB1414" s="225" t="s">
        <v>132</v>
      </c>
      <c r="AC1414" s="102">
        <f>SUMIFS(Сумма_29,Филиал,"=ОАО*",ВД,"=3")</f>
        <v>4931158.9270477109</v>
      </c>
      <c r="AD1414" s="102">
        <f>SUMIFS(Сумма,Филиал,"=ОАО*",ВД,"=3")</f>
        <v>5818008.4963162784</v>
      </c>
      <c r="AE1414" s="7" t="s">
        <v>132</v>
      </c>
      <c r="AF1414" s="7" t="s">
        <v>132</v>
      </c>
      <c r="AG1414" s="7" t="s">
        <v>132</v>
      </c>
      <c r="AH1414" s="7" t="s">
        <v>132</v>
      </c>
      <c r="AI1414" s="7" t="s">
        <v>132</v>
      </c>
      <c r="AJ1414" s="7" t="s">
        <v>132</v>
      </c>
      <c r="AK1414" s="7" t="s">
        <v>132</v>
      </c>
      <c r="AL1414" s="7" t="s">
        <v>132</v>
      </c>
      <c r="AM1414" s="7" t="s">
        <v>132</v>
      </c>
      <c r="AN1414" s="7" t="s">
        <v>132</v>
      </c>
      <c r="AO1414" s="7" t="s">
        <v>132</v>
      </c>
      <c r="AP1414" s="7" t="s">
        <v>132</v>
      </c>
      <c r="AQ1414" s="7" t="s">
        <v>132</v>
      </c>
      <c r="AR1414" s="7" t="s">
        <v>132</v>
      </c>
      <c r="AS1414" s="7" t="s">
        <v>132</v>
      </c>
      <c r="AT1414" s="7" t="s">
        <v>132</v>
      </c>
      <c r="AU1414" s="7" t="s">
        <v>132</v>
      </c>
      <c r="AV1414" s="7" t="s">
        <v>132</v>
      </c>
      <c r="AW1414" s="7" t="s">
        <v>132</v>
      </c>
      <c r="AX1414" s="7" t="s">
        <v>132</v>
      </c>
      <c r="AY1414" s="7" t="s">
        <v>132</v>
      </c>
      <c r="AZ1414" s="7" t="s">
        <v>132</v>
      </c>
      <c r="BA1414" s="7" t="s">
        <v>132</v>
      </c>
      <c r="BB1414" s="7" t="s">
        <v>132</v>
      </c>
      <c r="BC1414" s="7" t="s">
        <v>132</v>
      </c>
      <c r="BD1414" s="7" t="s">
        <v>132</v>
      </c>
      <c r="BE1414" s="7" t="s">
        <v>132</v>
      </c>
      <c r="BF1414" s="7" t="s">
        <v>132</v>
      </c>
      <c r="BG1414" s="7" t="s">
        <v>132</v>
      </c>
      <c r="BH1414" s="7" t="s">
        <v>132</v>
      </c>
      <c r="BI1414" s="7" t="s">
        <v>132</v>
      </c>
      <c r="BJ1414" s="7" t="s">
        <v>132</v>
      </c>
      <c r="BK1414" s="7"/>
    </row>
    <row r="1415" spans="1:63" s="603" customFormat="1">
      <c r="A1415" s="91" t="s">
        <v>132</v>
      </c>
      <c r="B1415" s="7" t="s">
        <v>132</v>
      </c>
      <c r="C1415" s="7" t="s">
        <v>132</v>
      </c>
      <c r="D1415" s="7" t="s">
        <v>132</v>
      </c>
      <c r="E1415" s="7" t="s">
        <v>132</v>
      </c>
      <c r="F1415" s="7" t="s">
        <v>132</v>
      </c>
      <c r="G1415" s="7" t="s">
        <v>132</v>
      </c>
      <c r="H1415" s="7" t="s">
        <v>132</v>
      </c>
      <c r="I1415" s="8" t="s">
        <v>3037</v>
      </c>
      <c r="J1415" s="7" t="s">
        <v>132</v>
      </c>
      <c r="K1415" s="7" t="s">
        <v>132</v>
      </c>
      <c r="L1415" s="7" t="s">
        <v>132</v>
      </c>
      <c r="M1415" s="7" t="s">
        <v>132</v>
      </c>
      <c r="N1415" s="7" t="s">
        <v>132</v>
      </c>
      <c r="O1415" s="7" t="s">
        <v>132</v>
      </c>
      <c r="P1415" s="7" t="s">
        <v>132</v>
      </c>
      <c r="Q1415" s="7" t="s">
        <v>132</v>
      </c>
      <c r="R1415" s="7" t="s">
        <v>132</v>
      </c>
      <c r="S1415" s="7" t="s">
        <v>132</v>
      </c>
      <c r="T1415" s="7" t="s">
        <v>132</v>
      </c>
      <c r="U1415" s="7" t="s">
        <v>132</v>
      </c>
      <c r="V1415" s="7" t="s">
        <v>132</v>
      </c>
      <c r="W1415" s="7" t="s">
        <v>132</v>
      </c>
      <c r="X1415" s="7" t="s">
        <v>132</v>
      </c>
      <c r="Y1415" s="7" t="s">
        <v>132</v>
      </c>
      <c r="Z1415" s="7" t="s">
        <v>132</v>
      </c>
      <c r="AA1415" s="225" t="s">
        <v>132</v>
      </c>
      <c r="AB1415" s="225" t="s">
        <v>132</v>
      </c>
      <c r="AC1415" s="7" t="s">
        <v>132</v>
      </c>
      <c r="AD1415" s="7" t="s">
        <v>132</v>
      </c>
      <c r="AE1415" s="7" t="s">
        <v>132</v>
      </c>
      <c r="AF1415" s="7" t="s">
        <v>132</v>
      </c>
      <c r="AG1415" s="7" t="s">
        <v>132</v>
      </c>
      <c r="AH1415" s="7" t="s">
        <v>132</v>
      </c>
      <c r="AI1415" s="7" t="s">
        <v>132</v>
      </c>
      <c r="AJ1415" s="7" t="s">
        <v>132</v>
      </c>
      <c r="AK1415" s="7" t="s">
        <v>132</v>
      </c>
      <c r="AL1415" s="7" t="s">
        <v>132</v>
      </c>
      <c r="AM1415" s="7" t="s">
        <v>132</v>
      </c>
      <c r="AN1415" s="7" t="s">
        <v>132</v>
      </c>
      <c r="AO1415" s="7" t="s">
        <v>132</v>
      </c>
      <c r="AP1415" s="7" t="s">
        <v>132</v>
      </c>
      <c r="AQ1415" s="7" t="s">
        <v>132</v>
      </c>
      <c r="AR1415" s="7" t="s">
        <v>132</v>
      </c>
      <c r="AS1415" s="7" t="s">
        <v>132</v>
      </c>
      <c r="AT1415" s="7" t="s">
        <v>132</v>
      </c>
      <c r="AU1415" s="7" t="s">
        <v>132</v>
      </c>
      <c r="AV1415" s="7" t="s">
        <v>132</v>
      </c>
      <c r="AW1415" s="7" t="s">
        <v>132</v>
      </c>
      <c r="AX1415" s="7" t="s">
        <v>132</v>
      </c>
      <c r="AY1415" s="7" t="s">
        <v>132</v>
      </c>
      <c r="AZ1415" s="7" t="s">
        <v>132</v>
      </c>
      <c r="BA1415" s="7" t="s">
        <v>132</v>
      </c>
      <c r="BB1415" s="7" t="s">
        <v>132</v>
      </c>
      <c r="BC1415" s="7" t="s">
        <v>132</v>
      </c>
      <c r="BD1415" s="7" t="s">
        <v>132</v>
      </c>
      <c r="BE1415" s="7" t="s">
        <v>132</v>
      </c>
      <c r="BF1415" s="7" t="s">
        <v>132</v>
      </c>
      <c r="BG1415" s="7" t="s">
        <v>132</v>
      </c>
      <c r="BH1415" s="7" t="s">
        <v>132</v>
      </c>
      <c r="BI1415" s="7" t="s">
        <v>132</v>
      </c>
      <c r="BJ1415" s="7" t="s">
        <v>132</v>
      </c>
      <c r="BK1415" s="7"/>
    </row>
    <row r="1416" spans="1:63" s="603" customFormat="1">
      <c r="A1416" s="91" t="s">
        <v>132</v>
      </c>
      <c r="B1416" s="7" t="s">
        <v>132</v>
      </c>
      <c r="C1416" s="7" t="s">
        <v>132</v>
      </c>
      <c r="D1416" s="7" t="s">
        <v>132</v>
      </c>
      <c r="E1416" s="7" t="s">
        <v>132</v>
      </c>
      <c r="F1416" s="7" t="s">
        <v>132</v>
      </c>
      <c r="G1416" s="7" t="s">
        <v>132</v>
      </c>
      <c r="H1416" s="7" t="s">
        <v>132</v>
      </c>
      <c r="I1416" s="7" t="s">
        <v>132</v>
      </c>
      <c r="J1416" s="7" t="s">
        <v>132</v>
      </c>
      <c r="K1416" s="7" t="s">
        <v>132</v>
      </c>
      <c r="L1416" s="7" t="s">
        <v>132</v>
      </c>
      <c r="M1416" s="7" t="s">
        <v>132</v>
      </c>
      <c r="N1416" s="7" t="s">
        <v>132</v>
      </c>
      <c r="O1416" s="7" t="s">
        <v>132</v>
      </c>
      <c r="P1416" s="7" t="s">
        <v>132</v>
      </c>
      <c r="Q1416" s="7" t="s">
        <v>132</v>
      </c>
      <c r="R1416" s="7" t="s">
        <v>132</v>
      </c>
      <c r="S1416" s="7" t="s">
        <v>132</v>
      </c>
      <c r="T1416" s="7" t="s">
        <v>132</v>
      </c>
      <c r="U1416" s="7" t="s">
        <v>132</v>
      </c>
      <c r="V1416" s="7" t="s">
        <v>132</v>
      </c>
      <c r="W1416" s="7" t="s">
        <v>132</v>
      </c>
      <c r="X1416" s="7" t="s">
        <v>132</v>
      </c>
      <c r="Y1416" s="7" t="s">
        <v>132</v>
      </c>
      <c r="Z1416" s="7" t="s">
        <v>132</v>
      </c>
      <c r="AA1416" s="225" t="s">
        <v>132</v>
      </c>
      <c r="AB1416" s="225" t="s">
        <v>132</v>
      </c>
      <c r="AC1416" s="7" t="s">
        <v>132</v>
      </c>
      <c r="AD1416" s="7" t="s">
        <v>132</v>
      </c>
      <c r="AE1416" s="7" t="s">
        <v>132</v>
      </c>
      <c r="AF1416" s="7" t="s">
        <v>132</v>
      </c>
      <c r="AG1416" s="7" t="s">
        <v>132</v>
      </c>
      <c r="AH1416" s="7" t="s">
        <v>132</v>
      </c>
      <c r="AI1416" s="7" t="s">
        <v>132</v>
      </c>
      <c r="AJ1416" s="7" t="s">
        <v>132</v>
      </c>
      <c r="AK1416" s="7" t="s">
        <v>132</v>
      </c>
      <c r="AL1416" s="7" t="s">
        <v>132</v>
      </c>
      <c r="AM1416" s="7" t="s">
        <v>132</v>
      </c>
      <c r="AN1416" s="7" t="s">
        <v>132</v>
      </c>
      <c r="AO1416" s="7" t="s">
        <v>132</v>
      </c>
      <c r="AP1416" s="7" t="s">
        <v>132</v>
      </c>
      <c r="AQ1416" s="7" t="s">
        <v>132</v>
      </c>
      <c r="AR1416" s="7" t="s">
        <v>132</v>
      </c>
      <c r="AS1416" s="7" t="s">
        <v>132</v>
      </c>
      <c r="AT1416" s="7" t="s">
        <v>132</v>
      </c>
      <c r="AU1416" s="7" t="s">
        <v>132</v>
      </c>
      <c r="AV1416" s="7" t="s">
        <v>132</v>
      </c>
      <c r="AW1416" s="7" t="s">
        <v>132</v>
      </c>
      <c r="AX1416" s="7" t="s">
        <v>132</v>
      </c>
      <c r="AY1416" s="7" t="s">
        <v>132</v>
      </c>
      <c r="AZ1416" s="7" t="s">
        <v>132</v>
      </c>
      <c r="BA1416" s="7" t="s">
        <v>132</v>
      </c>
      <c r="BB1416" s="7" t="s">
        <v>132</v>
      </c>
      <c r="BC1416" s="7" t="s">
        <v>132</v>
      </c>
      <c r="BD1416" s="7" t="s">
        <v>132</v>
      </c>
      <c r="BE1416" s="7" t="s">
        <v>132</v>
      </c>
      <c r="BF1416" s="7" t="s">
        <v>132</v>
      </c>
      <c r="BG1416" s="7" t="s">
        <v>132</v>
      </c>
      <c r="BH1416" s="7" t="s">
        <v>132</v>
      </c>
      <c r="BI1416" s="7" t="s">
        <v>132</v>
      </c>
      <c r="BJ1416" s="7" t="s">
        <v>132</v>
      </c>
      <c r="BK1416" s="7"/>
    </row>
    <row r="1417" spans="1:63" s="607" customFormat="1" ht="168.75">
      <c r="A1417" s="89">
        <v>4</v>
      </c>
      <c r="B1417" s="72" t="s">
        <v>4794</v>
      </c>
      <c r="C1417" s="72" t="s">
        <v>83</v>
      </c>
      <c r="D1417" s="72" t="s">
        <v>4795</v>
      </c>
      <c r="E1417" s="72" t="s">
        <v>163</v>
      </c>
      <c r="F1417" s="72" t="s">
        <v>445</v>
      </c>
      <c r="G1417" s="72" t="s">
        <v>4796</v>
      </c>
      <c r="H1417" s="72">
        <v>626679</v>
      </c>
      <c r="I1417" s="72" t="s">
        <v>4797</v>
      </c>
      <c r="J1417" s="72" t="s">
        <v>428</v>
      </c>
      <c r="K1417" s="72" t="s">
        <v>428</v>
      </c>
      <c r="L1417" s="72" t="s">
        <v>180</v>
      </c>
      <c r="M1417" s="72">
        <v>201050602</v>
      </c>
      <c r="N1417" s="72" t="s">
        <v>5874</v>
      </c>
      <c r="O1417" s="72" t="s">
        <v>398</v>
      </c>
      <c r="P1417" s="404">
        <v>4237.29</v>
      </c>
      <c r="Q1417" s="404">
        <f t="shared" ref="Q1417:Q1424" si="174">P1417*1.18</f>
        <v>5000.0021999999999</v>
      </c>
      <c r="R1417" s="72"/>
      <c r="S1417" s="72" t="s">
        <v>4798</v>
      </c>
      <c r="T1417" s="72"/>
      <c r="U1417" s="72"/>
      <c r="V1417" s="72"/>
      <c r="W1417" s="72"/>
      <c r="X1417" s="72"/>
      <c r="Y1417" s="404">
        <v>4237.29</v>
      </c>
      <c r="Z1417" s="404">
        <f t="shared" ref="Z1417:Z1424" si="175">Y1417*1.18</f>
        <v>5000.0021999999999</v>
      </c>
      <c r="AA1417" s="36" t="s">
        <v>132</v>
      </c>
      <c r="AB1417" s="36" t="s">
        <v>132</v>
      </c>
      <c r="AC1417" s="404">
        <v>4237.29</v>
      </c>
      <c r="AD1417" s="404">
        <f t="shared" ref="AD1417:AD1424" si="176">AC1417*1.18</f>
        <v>5000.0021999999999</v>
      </c>
      <c r="AE1417" s="38" t="s">
        <v>173</v>
      </c>
      <c r="AF1417" s="72" t="s">
        <v>83</v>
      </c>
      <c r="AG1417" s="72" t="s">
        <v>83</v>
      </c>
      <c r="AH1417" s="72" t="s">
        <v>90</v>
      </c>
      <c r="AI1417" s="405">
        <v>41659</v>
      </c>
      <c r="AJ1417" s="405">
        <v>41690</v>
      </c>
      <c r="AK1417" s="72"/>
      <c r="AL1417" s="72"/>
      <c r="AM1417" s="72" t="s">
        <v>4797</v>
      </c>
      <c r="AN1417" s="72" t="s">
        <v>353</v>
      </c>
      <c r="AO1417" s="72">
        <v>796</v>
      </c>
      <c r="AP1417" s="72" t="s">
        <v>419</v>
      </c>
      <c r="AQ1417" s="72">
        <v>1</v>
      </c>
      <c r="AR1417" s="406">
        <v>45296559</v>
      </c>
      <c r="AS1417" s="72" t="s">
        <v>399</v>
      </c>
      <c r="AT1417" s="405">
        <v>41718</v>
      </c>
      <c r="AU1417" s="405">
        <v>41718</v>
      </c>
      <c r="AV1417" s="405">
        <v>41810</v>
      </c>
      <c r="AW1417" s="72">
        <v>2014</v>
      </c>
      <c r="AX1417" s="72"/>
      <c r="AY1417" s="407"/>
      <c r="AZ1417" s="72"/>
      <c r="BA1417" s="72"/>
      <c r="BB1417" s="72"/>
      <c r="BC1417" s="72"/>
      <c r="BD1417" s="72"/>
      <c r="BE1417" s="72"/>
      <c r="BF1417" s="72"/>
      <c r="BG1417" s="72"/>
      <c r="BH1417" s="72"/>
      <c r="BI1417" s="72"/>
      <c r="BJ1417" s="72" t="s">
        <v>400</v>
      </c>
      <c r="BK1417" s="72"/>
    </row>
    <row r="1418" spans="1:63" s="607" customFormat="1" ht="131.25">
      <c r="A1418" s="89">
        <v>4</v>
      </c>
      <c r="B1418" s="72" t="s">
        <v>4983</v>
      </c>
      <c r="C1418" s="72" t="s">
        <v>83</v>
      </c>
      <c r="D1418" s="72" t="s">
        <v>3592</v>
      </c>
      <c r="E1418" s="72" t="s">
        <v>163</v>
      </c>
      <c r="F1418" s="72" t="s">
        <v>440</v>
      </c>
      <c r="G1418" s="72">
        <v>7220000</v>
      </c>
      <c r="H1418" s="72">
        <v>626695</v>
      </c>
      <c r="I1418" s="72" t="s">
        <v>4984</v>
      </c>
      <c r="J1418" s="72" t="s">
        <v>433</v>
      </c>
      <c r="K1418" s="72" t="s">
        <v>433</v>
      </c>
      <c r="L1418" s="72" t="s">
        <v>180</v>
      </c>
      <c r="M1418" s="72">
        <v>20105030102</v>
      </c>
      <c r="N1418" s="72" t="s">
        <v>433</v>
      </c>
      <c r="O1418" s="72" t="s">
        <v>398</v>
      </c>
      <c r="P1418" s="404">
        <v>1200</v>
      </c>
      <c r="Q1418" s="404">
        <v>1200</v>
      </c>
      <c r="R1418" s="72"/>
      <c r="S1418" s="72" t="s">
        <v>4803</v>
      </c>
      <c r="T1418" s="72"/>
      <c r="U1418" s="72"/>
      <c r="V1418" s="72"/>
      <c r="W1418" s="72"/>
      <c r="X1418" s="72"/>
      <c r="Y1418" s="404">
        <v>1200</v>
      </c>
      <c r="Z1418" s="404">
        <v>1200</v>
      </c>
      <c r="AA1418" s="36" t="s">
        <v>132</v>
      </c>
      <c r="AB1418" s="36" t="s">
        <v>132</v>
      </c>
      <c r="AC1418" s="404">
        <v>1200</v>
      </c>
      <c r="AD1418" s="404">
        <v>1200</v>
      </c>
      <c r="AE1418" s="38" t="s">
        <v>173</v>
      </c>
      <c r="AF1418" s="72" t="s">
        <v>83</v>
      </c>
      <c r="AG1418" s="72" t="s">
        <v>83</v>
      </c>
      <c r="AH1418" s="72" t="s">
        <v>90</v>
      </c>
      <c r="AI1418" s="405">
        <v>41654</v>
      </c>
      <c r="AJ1418" s="405">
        <v>41687</v>
      </c>
      <c r="AK1418" s="72"/>
      <c r="AL1418" s="72"/>
      <c r="AM1418" s="72" t="s">
        <v>4984</v>
      </c>
      <c r="AN1418" s="72" t="s">
        <v>353</v>
      </c>
      <c r="AO1418" s="72">
        <v>796</v>
      </c>
      <c r="AP1418" s="72" t="s">
        <v>419</v>
      </c>
      <c r="AQ1418" s="72">
        <v>1</v>
      </c>
      <c r="AR1418" s="406">
        <v>45296559</v>
      </c>
      <c r="AS1418" s="72" t="s">
        <v>399</v>
      </c>
      <c r="AT1418" s="405">
        <v>41714</v>
      </c>
      <c r="AU1418" s="405">
        <v>41714</v>
      </c>
      <c r="AV1418" s="405">
        <v>41745</v>
      </c>
      <c r="AW1418" s="72">
        <v>2014</v>
      </c>
      <c r="AX1418" s="72"/>
      <c r="AY1418" s="407"/>
      <c r="AZ1418" s="72"/>
      <c r="BA1418" s="72"/>
      <c r="BB1418" s="72"/>
      <c r="BC1418" s="72"/>
      <c r="BD1418" s="72"/>
      <c r="BE1418" s="72"/>
      <c r="BF1418" s="72"/>
      <c r="BG1418" s="72"/>
      <c r="BH1418" s="72"/>
      <c r="BI1418" s="72"/>
      <c r="BJ1418" s="72" t="s">
        <v>400</v>
      </c>
      <c r="BK1418" s="72"/>
    </row>
    <row r="1419" spans="1:63" s="607" customFormat="1" ht="131.25">
      <c r="A1419" s="89">
        <v>4</v>
      </c>
      <c r="B1419" s="72" t="s">
        <v>4799</v>
      </c>
      <c r="C1419" s="72" t="s">
        <v>83</v>
      </c>
      <c r="D1419" s="72" t="s">
        <v>4795</v>
      </c>
      <c r="E1419" s="72" t="s">
        <v>163</v>
      </c>
      <c r="F1419" s="72" t="s">
        <v>445</v>
      </c>
      <c r="G1419" s="72" t="s">
        <v>4796</v>
      </c>
      <c r="H1419" s="72">
        <v>626643</v>
      </c>
      <c r="I1419" s="72" t="s">
        <v>4800</v>
      </c>
      <c r="J1419" s="72" t="s">
        <v>462</v>
      </c>
      <c r="K1419" s="72" t="s">
        <v>462</v>
      </c>
      <c r="L1419" s="72" t="s">
        <v>180</v>
      </c>
      <c r="M1419" s="72">
        <v>201050602</v>
      </c>
      <c r="N1419" s="72" t="s">
        <v>5874</v>
      </c>
      <c r="O1419" s="72" t="s">
        <v>398</v>
      </c>
      <c r="P1419" s="404">
        <v>5508.4750000000004</v>
      </c>
      <c r="Q1419" s="404">
        <f t="shared" si="174"/>
        <v>6500.0005000000001</v>
      </c>
      <c r="R1419" s="72"/>
      <c r="S1419" s="72" t="s">
        <v>4798</v>
      </c>
      <c r="T1419" s="72"/>
      <c r="U1419" s="72"/>
      <c r="V1419" s="72"/>
      <c r="W1419" s="72"/>
      <c r="X1419" s="72"/>
      <c r="Y1419" s="404">
        <v>5508.4750000000004</v>
      </c>
      <c r="Z1419" s="404">
        <f t="shared" si="175"/>
        <v>6500.0005000000001</v>
      </c>
      <c r="AA1419" s="36" t="s">
        <v>132</v>
      </c>
      <c r="AB1419" s="36" t="s">
        <v>132</v>
      </c>
      <c r="AC1419" s="404">
        <v>5508.4750000000004</v>
      </c>
      <c r="AD1419" s="404">
        <f t="shared" si="176"/>
        <v>6500.0005000000001</v>
      </c>
      <c r="AE1419" s="38" t="s">
        <v>173</v>
      </c>
      <c r="AF1419" s="72" t="s">
        <v>83</v>
      </c>
      <c r="AG1419" s="72" t="s">
        <v>83</v>
      </c>
      <c r="AH1419" s="72" t="s">
        <v>90</v>
      </c>
      <c r="AI1419" s="405">
        <v>41815</v>
      </c>
      <c r="AJ1419" s="405">
        <v>41845</v>
      </c>
      <c r="AK1419" s="72"/>
      <c r="AL1419" s="72"/>
      <c r="AM1419" s="72" t="s">
        <v>4800</v>
      </c>
      <c r="AN1419" s="72" t="s">
        <v>353</v>
      </c>
      <c r="AO1419" s="72">
        <v>796</v>
      </c>
      <c r="AP1419" s="72" t="s">
        <v>419</v>
      </c>
      <c r="AQ1419" s="72">
        <v>1</v>
      </c>
      <c r="AR1419" s="406">
        <v>45296559</v>
      </c>
      <c r="AS1419" s="72" t="s">
        <v>399</v>
      </c>
      <c r="AT1419" s="405">
        <v>41865</v>
      </c>
      <c r="AU1419" s="405">
        <v>41865</v>
      </c>
      <c r="AV1419" s="405">
        <v>41956</v>
      </c>
      <c r="AW1419" s="72">
        <v>2014</v>
      </c>
      <c r="AX1419" s="72"/>
      <c r="AY1419" s="407"/>
      <c r="AZ1419" s="72"/>
      <c r="BA1419" s="72"/>
      <c r="BB1419" s="72"/>
      <c r="BC1419" s="72"/>
      <c r="BD1419" s="72"/>
      <c r="BE1419" s="72"/>
      <c r="BF1419" s="72"/>
      <c r="BG1419" s="72"/>
      <c r="BH1419" s="72"/>
      <c r="BI1419" s="72"/>
      <c r="BJ1419" s="72" t="s">
        <v>400</v>
      </c>
      <c r="BK1419" s="72"/>
    </row>
    <row r="1420" spans="1:63" s="607" customFormat="1" ht="131.25">
      <c r="A1420" s="89">
        <v>4</v>
      </c>
      <c r="B1420" s="72" t="s">
        <v>4801</v>
      </c>
      <c r="C1420" s="72" t="s">
        <v>83</v>
      </c>
      <c r="D1420" s="72" t="s">
        <v>4795</v>
      </c>
      <c r="E1420" s="72" t="s">
        <v>163</v>
      </c>
      <c r="F1420" s="72" t="s">
        <v>445</v>
      </c>
      <c r="G1420" s="72" t="s">
        <v>4796</v>
      </c>
      <c r="H1420" s="72">
        <v>626651</v>
      </c>
      <c r="I1420" s="72" t="s">
        <v>4802</v>
      </c>
      <c r="J1420" s="72" t="s">
        <v>397</v>
      </c>
      <c r="K1420" s="72" t="s">
        <v>397</v>
      </c>
      <c r="L1420" s="72" t="s">
        <v>180</v>
      </c>
      <c r="M1420" s="72">
        <v>201050602</v>
      </c>
      <c r="N1420" s="72" t="s">
        <v>5874</v>
      </c>
      <c r="O1420" s="72" t="s">
        <v>398</v>
      </c>
      <c r="P1420" s="404">
        <v>711.86500000000001</v>
      </c>
      <c r="Q1420" s="404">
        <f t="shared" si="174"/>
        <v>840.00069999999994</v>
      </c>
      <c r="R1420" s="72"/>
      <c r="S1420" s="72" t="s">
        <v>4798</v>
      </c>
      <c r="T1420" s="72"/>
      <c r="U1420" s="72"/>
      <c r="V1420" s="72"/>
      <c r="W1420" s="72"/>
      <c r="X1420" s="72"/>
      <c r="Y1420" s="404">
        <v>711.86500000000001</v>
      </c>
      <c r="Z1420" s="404">
        <f t="shared" si="175"/>
        <v>840.00069999999994</v>
      </c>
      <c r="AA1420" s="36" t="s">
        <v>132</v>
      </c>
      <c r="AB1420" s="36" t="s">
        <v>132</v>
      </c>
      <c r="AC1420" s="404">
        <v>711.86500000000001</v>
      </c>
      <c r="AD1420" s="404">
        <f t="shared" si="176"/>
        <v>840.00069999999994</v>
      </c>
      <c r="AE1420" s="38" t="s">
        <v>173</v>
      </c>
      <c r="AF1420" s="72" t="s">
        <v>83</v>
      </c>
      <c r="AG1420" s="72" t="s">
        <v>83</v>
      </c>
      <c r="AH1420" s="72" t="s">
        <v>90</v>
      </c>
      <c r="AI1420" s="405">
        <v>41827</v>
      </c>
      <c r="AJ1420" s="405">
        <v>41858</v>
      </c>
      <c r="AK1420" s="72"/>
      <c r="AL1420" s="72"/>
      <c r="AM1420" s="72" t="s">
        <v>4802</v>
      </c>
      <c r="AN1420" s="72" t="s">
        <v>353</v>
      </c>
      <c r="AO1420" s="72">
        <v>796</v>
      </c>
      <c r="AP1420" s="72" t="s">
        <v>419</v>
      </c>
      <c r="AQ1420" s="72">
        <v>1</v>
      </c>
      <c r="AR1420" s="406">
        <v>45296559</v>
      </c>
      <c r="AS1420" s="72" t="s">
        <v>399</v>
      </c>
      <c r="AT1420" s="405">
        <v>41912</v>
      </c>
      <c r="AU1420" s="405">
        <v>41919</v>
      </c>
      <c r="AV1420" s="405">
        <v>42284</v>
      </c>
      <c r="AW1420" s="72" t="s">
        <v>99</v>
      </c>
      <c r="AX1420" s="72"/>
      <c r="AY1420" s="407"/>
      <c r="AZ1420" s="72"/>
      <c r="BA1420" s="72"/>
      <c r="BB1420" s="72"/>
      <c r="BC1420" s="72"/>
      <c r="BD1420" s="72"/>
      <c r="BE1420" s="72"/>
      <c r="BF1420" s="72"/>
      <c r="BG1420" s="72"/>
      <c r="BH1420" s="72"/>
      <c r="BI1420" s="72"/>
      <c r="BJ1420" s="72" t="s">
        <v>400</v>
      </c>
      <c r="BK1420" s="72"/>
    </row>
    <row r="1421" spans="1:63" s="607" customFormat="1" ht="168.75">
      <c r="A1421" s="89">
        <v>4</v>
      </c>
      <c r="B1421" s="72" t="s">
        <v>4804</v>
      </c>
      <c r="C1421" s="72" t="s">
        <v>83</v>
      </c>
      <c r="D1421" s="72" t="s">
        <v>4795</v>
      </c>
      <c r="E1421" s="72" t="s">
        <v>163</v>
      </c>
      <c r="F1421" s="72" t="s">
        <v>4805</v>
      </c>
      <c r="G1421" s="72" t="s">
        <v>4796</v>
      </c>
      <c r="H1421" s="72">
        <v>626650</v>
      </c>
      <c r="I1421" s="72" t="s">
        <v>4806</v>
      </c>
      <c r="J1421" s="72" t="s">
        <v>462</v>
      </c>
      <c r="K1421" s="72" t="s">
        <v>462</v>
      </c>
      <c r="L1421" s="72" t="s">
        <v>180</v>
      </c>
      <c r="M1421" s="72">
        <v>201050602</v>
      </c>
      <c r="N1421" s="72" t="s">
        <v>5874</v>
      </c>
      <c r="O1421" s="72" t="s">
        <v>398</v>
      </c>
      <c r="P1421" s="404">
        <v>2059.3200000000002</v>
      </c>
      <c r="Q1421" s="404">
        <f t="shared" si="174"/>
        <v>2429.9976000000001</v>
      </c>
      <c r="R1421" s="72"/>
      <c r="S1421" s="72" t="s">
        <v>4798</v>
      </c>
      <c r="T1421" s="72"/>
      <c r="U1421" s="72"/>
      <c r="V1421" s="72"/>
      <c r="W1421" s="72"/>
      <c r="X1421" s="72"/>
      <c r="Y1421" s="404">
        <v>2059.3200000000002</v>
      </c>
      <c r="Z1421" s="404">
        <f t="shared" si="175"/>
        <v>2429.9976000000001</v>
      </c>
      <c r="AA1421" s="36" t="s">
        <v>132</v>
      </c>
      <c r="AB1421" s="36" t="s">
        <v>132</v>
      </c>
      <c r="AC1421" s="404">
        <v>2059.3200000000002</v>
      </c>
      <c r="AD1421" s="404">
        <f t="shared" si="176"/>
        <v>2429.9976000000001</v>
      </c>
      <c r="AE1421" s="38" t="s">
        <v>173</v>
      </c>
      <c r="AF1421" s="72" t="s">
        <v>83</v>
      </c>
      <c r="AG1421" s="72" t="s">
        <v>83</v>
      </c>
      <c r="AH1421" s="72" t="s">
        <v>90</v>
      </c>
      <c r="AI1421" s="405">
        <v>41827</v>
      </c>
      <c r="AJ1421" s="405">
        <v>41858</v>
      </c>
      <c r="AK1421" s="72"/>
      <c r="AL1421" s="72"/>
      <c r="AM1421" s="72" t="s">
        <v>4806</v>
      </c>
      <c r="AN1421" s="72" t="s">
        <v>353</v>
      </c>
      <c r="AO1421" s="72">
        <v>796</v>
      </c>
      <c r="AP1421" s="72" t="s">
        <v>419</v>
      </c>
      <c r="AQ1421" s="72">
        <v>1</v>
      </c>
      <c r="AR1421" s="406">
        <v>45296559</v>
      </c>
      <c r="AS1421" s="72" t="s">
        <v>399</v>
      </c>
      <c r="AT1421" s="405">
        <v>41912</v>
      </c>
      <c r="AU1421" s="405">
        <v>41919</v>
      </c>
      <c r="AV1421" s="405">
        <v>42284</v>
      </c>
      <c r="AW1421" s="72" t="s">
        <v>99</v>
      </c>
      <c r="AX1421" s="72" t="s">
        <v>4803</v>
      </c>
      <c r="AY1421" s="407"/>
      <c r="AZ1421" s="72"/>
      <c r="BA1421" s="72"/>
      <c r="BB1421" s="72"/>
      <c r="BC1421" s="72"/>
      <c r="BD1421" s="72"/>
      <c r="BE1421" s="72"/>
      <c r="BF1421" s="72"/>
      <c r="BG1421" s="72"/>
      <c r="BH1421" s="72"/>
      <c r="BI1421" s="72"/>
      <c r="BJ1421" s="72" t="s">
        <v>400</v>
      </c>
      <c r="BK1421" s="72"/>
    </row>
    <row r="1422" spans="1:63" s="607" customFormat="1" ht="131.25">
      <c r="A1422" s="89">
        <v>4</v>
      </c>
      <c r="B1422" s="72" t="s">
        <v>4808</v>
      </c>
      <c r="C1422" s="72" t="s">
        <v>83</v>
      </c>
      <c r="D1422" s="72" t="s">
        <v>4795</v>
      </c>
      <c r="E1422" s="72" t="s">
        <v>163</v>
      </c>
      <c r="F1422" s="72" t="s">
        <v>445</v>
      </c>
      <c r="G1422" s="72" t="s">
        <v>4809</v>
      </c>
      <c r="H1422" s="72">
        <v>626633</v>
      </c>
      <c r="I1422" s="72" t="s">
        <v>4810</v>
      </c>
      <c r="J1422" s="72" t="s">
        <v>443</v>
      </c>
      <c r="K1422" s="72" t="s">
        <v>443</v>
      </c>
      <c r="L1422" s="72" t="s">
        <v>180</v>
      </c>
      <c r="M1422" s="72">
        <v>201050602</v>
      </c>
      <c r="N1422" s="72" t="s">
        <v>5874</v>
      </c>
      <c r="O1422" s="72" t="s">
        <v>398</v>
      </c>
      <c r="P1422" s="404">
        <v>8325.4</v>
      </c>
      <c r="Q1422" s="404">
        <f t="shared" si="174"/>
        <v>9823.9719999999998</v>
      </c>
      <c r="R1422" s="72"/>
      <c r="S1422" s="72"/>
      <c r="T1422" s="72"/>
      <c r="U1422" s="72"/>
      <c r="V1422" s="72"/>
      <c r="W1422" s="72"/>
      <c r="X1422" s="72"/>
      <c r="Y1422" s="404">
        <v>8325.4</v>
      </c>
      <c r="Z1422" s="404">
        <f t="shared" si="175"/>
        <v>9823.9719999999998</v>
      </c>
      <c r="AA1422" s="36" t="s">
        <v>132</v>
      </c>
      <c r="AB1422" s="36" t="s">
        <v>132</v>
      </c>
      <c r="AC1422" s="404">
        <v>8325.4</v>
      </c>
      <c r="AD1422" s="404">
        <f t="shared" si="176"/>
        <v>9823.9719999999998</v>
      </c>
      <c r="AE1422" s="38" t="s">
        <v>173</v>
      </c>
      <c r="AF1422" s="72" t="s">
        <v>83</v>
      </c>
      <c r="AG1422" s="72" t="s">
        <v>83</v>
      </c>
      <c r="AH1422" s="72" t="s">
        <v>90</v>
      </c>
      <c r="AI1422" s="405">
        <v>41664</v>
      </c>
      <c r="AJ1422" s="405">
        <v>41709</v>
      </c>
      <c r="AK1422" s="72"/>
      <c r="AL1422" s="72"/>
      <c r="AM1422" s="72" t="s">
        <v>4810</v>
      </c>
      <c r="AN1422" s="72" t="s">
        <v>353</v>
      </c>
      <c r="AO1422" s="72">
        <v>796</v>
      </c>
      <c r="AP1422" s="72" t="s">
        <v>419</v>
      </c>
      <c r="AQ1422" s="72">
        <v>1</v>
      </c>
      <c r="AR1422" s="406">
        <v>45296559</v>
      </c>
      <c r="AS1422" s="72" t="s">
        <v>399</v>
      </c>
      <c r="AT1422" s="405">
        <v>41729</v>
      </c>
      <c r="AU1422" s="405">
        <v>41729</v>
      </c>
      <c r="AV1422" s="405">
        <v>42035</v>
      </c>
      <c r="AW1422" s="72">
        <v>2014</v>
      </c>
      <c r="AX1422" s="72">
        <v>2014</v>
      </c>
      <c r="AY1422" s="407"/>
      <c r="AZ1422" s="72"/>
      <c r="BA1422" s="72"/>
      <c r="BB1422" s="72"/>
      <c r="BC1422" s="72"/>
      <c r="BD1422" s="72"/>
      <c r="BE1422" s="72"/>
      <c r="BF1422" s="72"/>
      <c r="BG1422" s="72"/>
      <c r="BH1422" s="72"/>
      <c r="BI1422" s="72"/>
      <c r="BJ1422" s="72" t="s">
        <v>400</v>
      </c>
      <c r="BK1422" s="72"/>
    </row>
    <row r="1423" spans="1:63" s="607" customFormat="1" ht="168.75">
      <c r="A1423" s="89">
        <v>4</v>
      </c>
      <c r="B1423" s="72" t="s">
        <v>4811</v>
      </c>
      <c r="C1423" s="72" t="s">
        <v>83</v>
      </c>
      <c r="D1423" s="72" t="s">
        <v>4795</v>
      </c>
      <c r="E1423" s="72" t="s">
        <v>163</v>
      </c>
      <c r="F1423" s="72" t="s">
        <v>445</v>
      </c>
      <c r="G1423" s="72" t="s">
        <v>4809</v>
      </c>
      <c r="H1423" s="72">
        <v>626635</v>
      </c>
      <c r="I1423" s="72" t="s">
        <v>4812</v>
      </c>
      <c r="J1423" s="72" t="s">
        <v>462</v>
      </c>
      <c r="K1423" s="72" t="s">
        <v>462</v>
      </c>
      <c r="L1423" s="72" t="s">
        <v>180</v>
      </c>
      <c r="M1423" s="72">
        <v>2021007</v>
      </c>
      <c r="N1423" s="72" t="s">
        <v>5301</v>
      </c>
      <c r="O1423" s="72" t="s">
        <v>398</v>
      </c>
      <c r="P1423" s="404">
        <v>52190</v>
      </c>
      <c r="Q1423" s="404">
        <f t="shared" si="174"/>
        <v>61584.2</v>
      </c>
      <c r="R1423" s="72"/>
      <c r="S1423" s="72" t="s">
        <v>4798</v>
      </c>
      <c r="T1423" s="72"/>
      <c r="U1423" s="72"/>
      <c r="V1423" s="72"/>
      <c r="W1423" s="72"/>
      <c r="X1423" s="72"/>
      <c r="Y1423" s="404">
        <v>52190</v>
      </c>
      <c r="Z1423" s="404">
        <f t="shared" si="175"/>
        <v>61584.2</v>
      </c>
      <c r="AA1423" s="36" t="s">
        <v>132</v>
      </c>
      <c r="AB1423" s="36" t="s">
        <v>132</v>
      </c>
      <c r="AC1423" s="404">
        <v>52190</v>
      </c>
      <c r="AD1423" s="404">
        <f t="shared" si="176"/>
        <v>61584.2</v>
      </c>
      <c r="AE1423" s="72" t="s">
        <v>169</v>
      </c>
      <c r="AF1423" s="72" t="s">
        <v>83</v>
      </c>
      <c r="AG1423" s="72" t="s">
        <v>83</v>
      </c>
      <c r="AH1423" s="72" t="s">
        <v>90</v>
      </c>
      <c r="AI1423" s="405">
        <v>41633</v>
      </c>
      <c r="AJ1423" s="405">
        <v>41678</v>
      </c>
      <c r="AK1423" s="72"/>
      <c r="AL1423" s="72"/>
      <c r="AM1423" s="72" t="s">
        <v>4812</v>
      </c>
      <c r="AN1423" s="72" t="s">
        <v>353</v>
      </c>
      <c r="AO1423" s="72">
        <v>796</v>
      </c>
      <c r="AP1423" s="72" t="s">
        <v>419</v>
      </c>
      <c r="AQ1423" s="72">
        <v>1</v>
      </c>
      <c r="AR1423" s="406">
        <v>45296559</v>
      </c>
      <c r="AS1423" s="72" t="s">
        <v>399</v>
      </c>
      <c r="AT1423" s="405">
        <v>41698</v>
      </c>
      <c r="AU1423" s="405">
        <v>41698</v>
      </c>
      <c r="AV1423" s="405">
        <v>41789</v>
      </c>
      <c r="AW1423" s="72">
        <v>2014</v>
      </c>
      <c r="AX1423" s="72"/>
      <c r="AY1423" s="407"/>
      <c r="AZ1423" s="72"/>
      <c r="BA1423" s="72"/>
      <c r="BB1423" s="72"/>
      <c r="BC1423" s="72"/>
      <c r="BD1423" s="72"/>
      <c r="BE1423" s="72"/>
      <c r="BF1423" s="72"/>
      <c r="BG1423" s="72"/>
      <c r="BH1423" s="72"/>
      <c r="BI1423" s="72"/>
      <c r="BJ1423" s="72"/>
      <c r="BK1423" s="72"/>
    </row>
    <row r="1424" spans="1:63" s="607" customFormat="1" ht="262.5">
      <c r="A1424" s="89">
        <v>4</v>
      </c>
      <c r="B1424" s="72" t="s">
        <v>4813</v>
      </c>
      <c r="C1424" s="72" t="s">
        <v>83</v>
      </c>
      <c r="D1424" s="72" t="s">
        <v>4795</v>
      </c>
      <c r="E1424" s="72" t="s">
        <v>163</v>
      </c>
      <c r="F1424" s="72" t="s">
        <v>4805</v>
      </c>
      <c r="G1424" s="72" t="s">
        <v>4796</v>
      </c>
      <c r="H1424" s="72">
        <v>626641</v>
      </c>
      <c r="I1424" s="72" t="s">
        <v>4814</v>
      </c>
      <c r="J1424" s="72" t="s">
        <v>462</v>
      </c>
      <c r="K1424" s="72" t="s">
        <v>462</v>
      </c>
      <c r="L1424" s="72" t="s">
        <v>180</v>
      </c>
      <c r="M1424" s="72">
        <v>201050602</v>
      </c>
      <c r="N1424" s="72" t="s">
        <v>5874</v>
      </c>
      <c r="O1424" s="72" t="s">
        <v>398</v>
      </c>
      <c r="P1424" s="404">
        <v>13559.32</v>
      </c>
      <c r="Q1424" s="404">
        <f t="shared" si="174"/>
        <v>15999.997599999999</v>
      </c>
      <c r="R1424" s="72"/>
      <c r="S1424" s="72" t="s">
        <v>4798</v>
      </c>
      <c r="T1424" s="72"/>
      <c r="U1424" s="72"/>
      <c r="V1424" s="72"/>
      <c r="W1424" s="72"/>
      <c r="X1424" s="72"/>
      <c r="Y1424" s="404">
        <v>13559.32</v>
      </c>
      <c r="Z1424" s="404">
        <f t="shared" si="175"/>
        <v>15999.997599999999</v>
      </c>
      <c r="AA1424" s="36" t="s">
        <v>132</v>
      </c>
      <c r="AB1424" s="36" t="s">
        <v>132</v>
      </c>
      <c r="AC1424" s="404">
        <v>13559.32</v>
      </c>
      <c r="AD1424" s="404">
        <f t="shared" si="176"/>
        <v>15999.997599999999</v>
      </c>
      <c r="AE1424" s="72" t="s">
        <v>169</v>
      </c>
      <c r="AF1424" s="72" t="s">
        <v>83</v>
      </c>
      <c r="AG1424" s="72" t="s">
        <v>83</v>
      </c>
      <c r="AH1424" s="72" t="s">
        <v>90</v>
      </c>
      <c r="AI1424" s="405">
        <v>41664</v>
      </c>
      <c r="AJ1424" s="405">
        <v>41723</v>
      </c>
      <c r="AK1424" s="72"/>
      <c r="AL1424" s="72"/>
      <c r="AM1424" s="72" t="s">
        <v>4814</v>
      </c>
      <c r="AN1424" s="72" t="s">
        <v>353</v>
      </c>
      <c r="AO1424" s="72">
        <v>796</v>
      </c>
      <c r="AP1424" s="72" t="s">
        <v>419</v>
      </c>
      <c r="AQ1424" s="72">
        <v>1</v>
      </c>
      <c r="AR1424" s="406">
        <v>45296559</v>
      </c>
      <c r="AS1424" s="72" t="s">
        <v>399</v>
      </c>
      <c r="AT1424" s="405">
        <v>41744</v>
      </c>
      <c r="AU1424" s="405">
        <v>41744</v>
      </c>
      <c r="AV1424" s="405">
        <v>41834</v>
      </c>
      <c r="AW1424" s="72">
        <v>2014</v>
      </c>
      <c r="AX1424" s="72"/>
      <c r="AY1424" s="407"/>
      <c r="AZ1424" s="72"/>
      <c r="BA1424" s="72"/>
      <c r="BB1424" s="72"/>
      <c r="BC1424" s="72"/>
      <c r="BD1424" s="72"/>
      <c r="BE1424" s="72"/>
      <c r="BF1424" s="72"/>
      <c r="BG1424" s="72"/>
      <c r="BH1424" s="72"/>
      <c r="BI1424" s="72"/>
      <c r="BJ1424" s="72"/>
      <c r="BK1424" s="72"/>
    </row>
    <row r="1425" spans="1:63" s="607" customFormat="1" ht="131.25">
      <c r="A1425" s="89">
        <v>4</v>
      </c>
      <c r="B1425" s="72" t="s">
        <v>4815</v>
      </c>
      <c r="C1425" s="72" t="s">
        <v>83</v>
      </c>
      <c r="D1425" s="72" t="s">
        <v>4795</v>
      </c>
      <c r="E1425" s="72" t="s">
        <v>163</v>
      </c>
      <c r="F1425" s="72" t="s">
        <v>1478</v>
      </c>
      <c r="G1425" s="72">
        <v>7220000</v>
      </c>
      <c r="H1425" s="72">
        <v>626644</v>
      </c>
      <c r="I1425" s="72" t="s">
        <v>4816</v>
      </c>
      <c r="J1425" s="72" t="s">
        <v>433</v>
      </c>
      <c r="K1425" s="72" t="s">
        <v>433</v>
      </c>
      <c r="L1425" s="72" t="s">
        <v>180</v>
      </c>
      <c r="M1425" s="72">
        <v>201050602</v>
      </c>
      <c r="N1425" s="72" t="s">
        <v>5874</v>
      </c>
      <c r="O1425" s="72" t="s">
        <v>398</v>
      </c>
      <c r="P1425" s="404">
        <v>9000</v>
      </c>
      <c r="Q1425" s="408">
        <v>9000</v>
      </c>
      <c r="R1425" s="72"/>
      <c r="S1425" s="72" t="s">
        <v>4798</v>
      </c>
      <c r="T1425" s="72"/>
      <c r="U1425" s="72"/>
      <c r="V1425" s="72"/>
      <c r="W1425" s="72"/>
      <c r="X1425" s="72"/>
      <c r="Y1425" s="404">
        <v>9000</v>
      </c>
      <c r="Z1425" s="408">
        <v>9000</v>
      </c>
      <c r="AA1425" s="36" t="s">
        <v>132</v>
      </c>
      <c r="AB1425" s="36" t="s">
        <v>132</v>
      </c>
      <c r="AC1425" s="404">
        <v>9000</v>
      </c>
      <c r="AD1425" s="408">
        <v>9000</v>
      </c>
      <c r="AE1425" s="38" t="s">
        <v>173</v>
      </c>
      <c r="AF1425" s="72" t="s">
        <v>83</v>
      </c>
      <c r="AG1425" s="72" t="s">
        <v>83</v>
      </c>
      <c r="AH1425" s="72" t="s">
        <v>90</v>
      </c>
      <c r="AI1425" s="405">
        <v>41784</v>
      </c>
      <c r="AJ1425" s="405">
        <v>41829</v>
      </c>
      <c r="AK1425" s="72"/>
      <c r="AL1425" s="72"/>
      <c r="AM1425" s="72" t="s">
        <v>4816</v>
      </c>
      <c r="AN1425" s="72" t="s">
        <v>353</v>
      </c>
      <c r="AO1425" s="72">
        <v>796</v>
      </c>
      <c r="AP1425" s="72" t="s">
        <v>419</v>
      </c>
      <c r="AQ1425" s="72">
        <v>1</v>
      </c>
      <c r="AR1425" s="406">
        <v>45296559</v>
      </c>
      <c r="AS1425" s="72" t="s">
        <v>399</v>
      </c>
      <c r="AT1425" s="405">
        <v>41849</v>
      </c>
      <c r="AU1425" s="405">
        <v>41849</v>
      </c>
      <c r="AV1425" s="405">
        <v>41940</v>
      </c>
      <c r="AW1425" s="72">
        <v>2014</v>
      </c>
      <c r="AX1425" s="72"/>
      <c r="AY1425" s="407"/>
      <c r="AZ1425" s="72"/>
      <c r="BA1425" s="72"/>
      <c r="BB1425" s="72"/>
      <c r="BC1425" s="72"/>
      <c r="BD1425" s="72"/>
      <c r="BE1425" s="72"/>
      <c r="BF1425" s="72"/>
      <c r="BG1425" s="72"/>
      <c r="BH1425" s="72"/>
      <c r="BI1425" s="72"/>
      <c r="BJ1425" s="72"/>
      <c r="BK1425" s="72"/>
    </row>
    <row r="1426" spans="1:63" s="607" customFormat="1" ht="131.25">
      <c r="A1426" s="89">
        <v>4</v>
      </c>
      <c r="B1426" s="72" t="s">
        <v>4817</v>
      </c>
      <c r="C1426" s="72" t="s">
        <v>83</v>
      </c>
      <c r="D1426" s="72" t="s">
        <v>4795</v>
      </c>
      <c r="E1426" s="72" t="s">
        <v>163</v>
      </c>
      <c r="F1426" s="72" t="s">
        <v>445</v>
      </c>
      <c r="G1426" s="72" t="s">
        <v>4809</v>
      </c>
      <c r="H1426" s="72">
        <v>626649</v>
      </c>
      <c r="I1426" s="72" t="s">
        <v>4818</v>
      </c>
      <c r="J1426" s="72" t="s">
        <v>452</v>
      </c>
      <c r="K1426" s="72" t="s">
        <v>452</v>
      </c>
      <c r="L1426" s="72" t="s">
        <v>180</v>
      </c>
      <c r="M1426" s="72">
        <v>201050602</v>
      </c>
      <c r="N1426" s="72" t="s">
        <v>5874</v>
      </c>
      <c r="O1426" s="72" t="s">
        <v>398</v>
      </c>
      <c r="P1426" s="404">
        <v>6500</v>
      </c>
      <c r="Q1426" s="404">
        <f>P1426*1.18</f>
        <v>7670</v>
      </c>
      <c r="R1426" s="72"/>
      <c r="S1426" s="72"/>
      <c r="T1426" s="72"/>
      <c r="U1426" s="72"/>
      <c r="V1426" s="72"/>
      <c r="W1426" s="72"/>
      <c r="X1426" s="72"/>
      <c r="Y1426" s="404">
        <v>6500</v>
      </c>
      <c r="Z1426" s="404">
        <f>Y1426*1.18</f>
        <v>7670</v>
      </c>
      <c r="AA1426" s="36" t="s">
        <v>132</v>
      </c>
      <c r="AB1426" s="36" t="s">
        <v>132</v>
      </c>
      <c r="AC1426" s="404">
        <v>6500</v>
      </c>
      <c r="AD1426" s="404">
        <f>AC1426*1.18</f>
        <v>7670</v>
      </c>
      <c r="AE1426" s="38" t="s">
        <v>173</v>
      </c>
      <c r="AF1426" s="72" t="s">
        <v>83</v>
      </c>
      <c r="AG1426" s="72" t="s">
        <v>83</v>
      </c>
      <c r="AH1426" s="72" t="s">
        <v>90</v>
      </c>
      <c r="AI1426" s="405">
        <v>41699</v>
      </c>
      <c r="AJ1426" s="405">
        <v>41745</v>
      </c>
      <c r="AK1426" s="72"/>
      <c r="AL1426" s="72"/>
      <c r="AM1426" s="72" t="s">
        <v>4818</v>
      </c>
      <c r="AN1426" s="72" t="s">
        <v>353</v>
      </c>
      <c r="AO1426" s="72">
        <v>796</v>
      </c>
      <c r="AP1426" s="72" t="s">
        <v>419</v>
      </c>
      <c r="AQ1426" s="72">
        <v>1</v>
      </c>
      <c r="AR1426" s="406">
        <v>45296559</v>
      </c>
      <c r="AS1426" s="72" t="s">
        <v>399</v>
      </c>
      <c r="AT1426" s="405">
        <v>41791</v>
      </c>
      <c r="AU1426" s="405">
        <v>41791</v>
      </c>
      <c r="AV1426" s="405">
        <v>42156</v>
      </c>
      <c r="AW1426" s="72" t="s">
        <v>99</v>
      </c>
      <c r="AX1426" s="72"/>
      <c r="AY1426" s="407"/>
      <c r="AZ1426" s="72"/>
      <c r="BA1426" s="72"/>
      <c r="BB1426" s="72"/>
      <c r="BC1426" s="72"/>
      <c r="BD1426" s="72"/>
      <c r="BE1426" s="72"/>
      <c r="BF1426" s="72"/>
      <c r="BG1426" s="72"/>
      <c r="BH1426" s="72"/>
      <c r="BI1426" s="72"/>
      <c r="BJ1426" s="72" t="s">
        <v>400</v>
      </c>
      <c r="BK1426" s="72"/>
    </row>
    <row r="1427" spans="1:63" s="607" customFormat="1" ht="150">
      <c r="A1427" s="89">
        <v>4</v>
      </c>
      <c r="B1427" s="72" t="s">
        <v>4819</v>
      </c>
      <c r="C1427" s="72" t="s">
        <v>83</v>
      </c>
      <c r="D1427" s="72" t="s">
        <v>4795</v>
      </c>
      <c r="E1427" s="72" t="s">
        <v>163</v>
      </c>
      <c r="F1427" s="72" t="s">
        <v>4805</v>
      </c>
      <c r="G1427" s="72" t="s">
        <v>4796</v>
      </c>
      <c r="H1427" s="72">
        <v>626652</v>
      </c>
      <c r="I1427" s="72" t="s">
        <v>4820</v>
      </c>
      <c r="J1427" s="72" t="s">
        <v>462</v>
      </c>
      <c r="K1427" s="72" t="s">
        <v>462</v>
      </c>
      <c r="L1427" s="72" t="s">
        <v>180</v>
      </c>
      <c r="M1427" s="72">
        <v>201050602</v>
      </c>
      <c r="N1427" s="72" t="s">
        <v>5874</v>
      </c>
      <c r="O1427" s="72" t="s">
        <v>398</v>
      </c>
      <c r="P1427" s="404">
        <v>8474.58</v>
      </c>
      <c r="Q1427" s="404">
        <f>P1427*1.18</f>
        <v>10000.0044</v>
      </c>
      <c r="R1427" s="72"/>
      <c r="S1427" s="72" t="s">
        <v>4798</v>
      </c>
      <c r="T1427" s="72"/>
      <c r="U1427" s="72"/>
      <c r="V1427" s="72"/>
      <c r="W1427" s="72"/>
      <c r="X1427" s="72"/>
      <c r="Y1427" s="404">
        <v>8474.58</v>
      </c>
      <c r="Z1427" s="404">
        <f>Y1427*1.18</f>
        <v>10000.0044</v>
      </c>
      <c r="AA1427" s="36" t="s">
        <v>132</v>
      </c>
      <c r="AB1427" s="36" t="s">
        <v>132</v>
      </c>
      <c r="AC1427" s="404">
        <v>8474.58</v>
      </c>
      <c r="AD1427" s="404">
        <f>AC1427*1.18</f>
        <v>10000.0044</v>
      </c>
      <c r="AE1427" s="38" t="s">
        <v>173</v>
      </c>
      <c r="AF1427" s="72" t="s">
        <v>83</v>
      </c>
      <c r="AG1427" s="72" t="s">
        <v>83</v>
      </c>
      <c r="AH1427" s="72" t="s">
        <v>90</v>
      </c>
      <c r="AI1427" s="405">
        <v>41827</v>
      </c>
      <c r="AJ1427" s="405">
        <v>41876</v>
      </c>
      <c r="AK1427" s="72"/>
      <c r="AL1427" s="72"/>
      <c r="AM1427" s="72" t="s">
        <v>4820</v>
      </c>
      <c r="AN1427" s="72" t="s">
        <v>353</v>
      </c>
      <c r="AO1427" s="72">
        <v>796</v>
      </c>
      <c r="AP1427" s="72" t="s">
        <v>419</v>
      </c>
      <c r="AQ1427" s="72">
        <v>1</v>
      </c>
      <c r="AR1427" s="406">
        <v>45296559</v>
      </c>
      <c r="AS1427" s="72" t="s">
        <v>399</v>
      </c>
      <c r="AT1427" s="405">
        <v>41912</v>
      </c>
      <c r="AU1427" s="405">
        <v>41919</v>
      </c>
      <c r="AV1427" s="405">
        <v>42284</v>
      </c>
      <c r="AW1427" s="72" t="s">
        <v>99</v>
      </c>
      <c r="AX1427" s="72"/>
      <c r="AY1427" s="407"/>
      <c r="AZ1427" s="72"/>
      <c r="BA1427" s="72"/>
      <c r="BB1427" s="72"/>
      <c r="BC1427" s="72"/>
      <c r="BD1427" s="72"/>
      <c r="BE1427" s="72"/>
      <c r="BF1427" s="72"/>
      <c r="BG1427" s="72"/>
      <c r="BH1427" s="72"/>
      <c r="BI1427" s="72"/>
      <c r="BJ1427" s="72" t="s">
        <v>400</v>
      </c>
      <c r="BK1427" s="72"/>
    </row>
    <row r="1428" spans="1:63" s="607" customFormat="1" ht="131.25">
      <c r="A1428" s="89">
        <v>4</v>
      </c>
      <c r="B1428" s="72" t="s">
        <v>4821</v>
      </c>
      <c r="C1428" s="72" t="s">
        <v>83</v>
      </c>
      <c r="D1428" s="72" t="s">
        <v>4795</v>
      </c>
      <c r="E1428" s="72" t="s">
        <v>163</v>
      </c>
      <c r="F1428" s="72" t="s">
        <v>1478</v>
      </c>
      <c r="G1428" s="72">
        <v>7220000</v>
      </c>
      <c r="H1428" s="72">
        <v>626653</v>
      </c>
      <c r="I1428" s="72" t="s">
        <v>4822</v>
      </c>
      <c r="J1428" s="72" t="s">
        <v>433</v>
      </c>
      <c r="K1428" s="72" t="s">
        <v>433</v>
      </c>
      <c r="L1428" s="72" t="s">
        <v>180</v>
      </c>
      <c r="M1428" s="72">
        <v>201050602</v>
      </c>
      <c r="N1428" s="72" t="s">
        <v>5874</v>
      </c>
      <c r="O1428" s="72" t="s">
        <v>398</v>
      </c>
      <c r="P1428" s="404">
        <v>7595</v>
      </c>
      <c r="Q1428" s="408">
        <v>7595</v>
      </c>
      <c r="R1428" s="72"/>
      <c r="S1428" s="72" t="s">
        <v>4798</v>
      </c>
      <c r="T1428" s="72"/>
      <c r="U1428" s="72"/>
      <c r="V1428" s="72"/>
      <c r="W1428" s="72"/>
      <c r="X1428" s="72"/>
      <c r="Y1428" s="404">
        <v>7595</v>
      </c>
      <c r="Z1428" s="408">
        <v>7595</v>
      </c>
      <c r="AA1428" s="36" t="s">
        <v>132</v>
      </c>
      <c r="AB1428" s="36" t="s">
        <v>132</v>
      </c>
      <c r="AC1428" s="404">
        <v>7595</v>
      </c>
      <c r="AD1428" s="408">
        <v>7595</v>
      </c>
      <c r="AE1428" s="38" t="s">
        <v>173</v>
      </c>
      <c r="AF1428" s="72" t="s">
        <v>83</v>
      </c>
      <c r="AG1428" s="72" t="s">
        <v>83</v>
      </c>
      <c r="AH1428" s="72" t="s">
        <v>90</v>
      </c>
      <c r="AI1428" s="405">
        <v>41827</v>
      </c>
      <c r="AJ1428" s="405">
        <v>41858</v>
      </c>
      <c r="AK1428" s="72"/>
      <c r="AL1428" s="72"/>
      <c r="AM1428" s="72" t="s">
        <v>4822</v>
      </c>
      <c r="AN1428" s="72" t="s">
        <v>353</v>
      </c>
      <c r="AO1428" s="72">
        <v>796</v>
      </c>
      <c r="AP1428" s="72" t="s">
        <v>419</v>
      </c>
      <c r="AQ1428" s="72">
        <v>1</v>
      </c>
      <c r="AR1428" s="406">
        <v>45296559</v>
      </c>
      <c r="AS1428" s="72" t="s">
        <v>399</v>
      </c>
      <c r="AT1428" s="405">
        <v>41912</v>
      </c>
      <c r="AU1428" s="405">
        <v>41919</v>
      </c>
      <c r="AV1428" s="405">
        <v>42284</v>
      </c>
      <c r="AW1428" s="72" t="s">
        <v>99</v>
      </c>
      <c r="AX1428" s="72"/>
      <c r="AY1428" s="407"/>
      <c r="AZ1428" s="72"/>
      <c r="BA1428" s="72"/>
      <c r="BB1428" s="72"/>
      <c r="BC1428" s="72"/>
      <c r="BD1428" s="72"/>
      <c r="BE1428" s="72"/>
      <c r="BF1428" s="72"/>
      <c r="BG1428" s="72"/>
      <c r="BH1428" s="72"/>
      <c r="BI1428" s="72"/>
      <c r="BJ1428" s="72"/>
      <c r="BK1428" s="72"/>
    </row>
    <row r="1429" spans="1:63" s="607" customFormat="1" ht="131.25">
      <c r="A1429" s="89">
        <v>4</v>
      </c>
      <c r="B1429" s="72" t="s">
        <v>4823</v>
      </c>
      <c r="C1429" s="72" t="s">
        <v>83</v>
      </c>
      <c r="D1429" s="72" t="s">
        <v>4795</v>
      </c>
      <c r="E1429" s="72" t="s">
        <v>163</v>
      </c>
      <c r="F1429" s="72" t="s">
        <v>4805</v>
      </c>
      <c r="G1429" s="72" t="s">
        <v>4796</v>
      </c>
      <c r="H1429" s="72">
        <v>626654</v>
      </c>
      <c r="I1429" s="72" t="s">
        <v>4824</v>
      </c>
      <c r="J1429" s="72" t="s">
        <v>428</v>
      </c>
      <c r="K1429" s="72" t="s">
        <v>428</v>
      </c>
      <c r="L1429" s="72" t="s">
        <v>180</v>
      </c>
      <c r="M1429" s="72">
        <v>201050602</v>
      </c>
      <c r="N1429" s="72" t="s">
        <v>5874</v>
      </c>
      <c r="O1429" s="72" t="s">
        <v>398</v>
      </c>
      <c r="P1429" s="404">
        <v>26654.240000000002</v>
      </c>
      <c r="Q1429" s="404">
        <f>P1429*1.18</f>
        <v>31452.003199999999</v>
      </c>
      <c r="R1429" s="72"/>
      <c r="S1429" s="72" t="s">
        <v>4798</v>
      </c>
      <c r="T1429" s="72"/>
      <c r="U1429" s="72"/>
      <c r="V1429" s="72"/>
      <c r="W1429" s="72"/>
      <c r="X1429" s="72"/>
      <c r="Y1429" s="404">
        <v>26654.240000000002</v>
      </c>
      <c r="Z1429" s="404">
        <f>Y1429*1.18</f>
        <v>31452.003199999999</v>
      </c>
      <c r="AA1429" s="36" t="s">
        <v>132</v>
      </c>
      <c r="AB1429" s="36" t="s">
        <v>132</v>
      </c>
      <c r="AC1429" s="404">
        <v>26654.240000000002</v>
      </c>
      <c r="AD1429" s="404">
        <f>AC1429*1.18</f>
        <v>31452.003199999999</v>
      </c>
      <c r="AE1429" s="72" t="s">
        <v>169</v>
      </c>
      <c r="AF1429" s="72" t="s">
        <v>83</v>
      </c>
      <c r="AG1429" s="72" t="s">
        <v>83</v>
      </c>
      <c r="AH1429" s="72" t="s">
        <v>90</v>
      </c>
      <c r="AI1429" s="405">
        <v>41827</v>
      </c>
      <c r="AJ1429" s="405">
        <v>41876</v>
      </c>
      <c r="AK1429" s="72"/>
      <c r="AL1429" s="72"/>
      <c r="AM1429" s="72" t="s">
        <v>4824</v>
      </c>
      <c r="AN1429" s="72" t="s">
        <v>353</v>
      </c>
      <c r="AO1429" s="72">
        <v>796</v>
      </c>
      <c r="AP1429" s="72" t="s">
        <v>419</v>
      </c>
      <c r="AQ1429" s="72">
        <v>1</v>
      </c>
      <c r="AR1429" s="406">
        <v>45296559</v>
      </c>
      <c r="AS1429" s="72" t="s">
        <v>399</v>
      </c>
      <c r="AT1429" s="405">
        <v>41912</v>
      </c>
      <c r="AU1429" s="405">
        <v>41919</v>
      </c>
      <c r="AV1429" s="405">
        <v>42284</v>
      </c>
      <c r="AW1429" s="72" t="s">
        <v>99</v>
      </c>
      <c r="AX1429" s="72"/>
      <c r="AY1429" s="407"/>
      <c r="AZ1429" s="72"/>
      <c r="BA1429" s="72"/>
      <c r="BB1429" s="72"/>
      <c r="BC1429" s="72"/>
      <c r="BD1429" s="72"/>
      <c r="BE1429" s="72"/>
      <c r="BF1429" s="72"/>
      <c r="BG1429" s="72"/>
      <c r="BH1429" s="72"/>
      <c r="BI1429" s="72"/>
      <c r="BJ1429" s="72"/>
      <c r="BK1429" s="72"/>
    </row>
    <row r="1430" spans="1:63" s="607" customFormat="1" ht="131.25">
      <c r="A1430" s="89">
        <v>4</v>
      </c>
      <c r="B1430" s="72" t="s">
        <v>4825</v>
      </c>
      <c r="C1430" s="72" t="s">
        <v>83</v>
      </c>
      <c r="D1430" s="72" t="s">
        <v>4795</v>
      </c>
      <c r="E1430" s="72" t="s">
        <v>163</v>
      </c>
      <c r="F1430" s="72" t="s">
        <v>4805</v>
      </c>
      <c r="G1430" s="72" t="s">
        <v>4796</v>
      </c>
      <c r="H1430" s="72">
        <v>626645</v>
      </c>
      <c r="I1430" s="72" t="s">
        <v>4826</v>
      </c>
      <c r="J1430" s="72" t="s">
        <v>462</v>
      </c>
      <c r="K1430" s="72" t="s">
        <v>462</v>
      </c>
      <c r="L1430" s="72" t="s">
        <v>180</v>
      </c>
      <c r="M1430" s="72">
        <v>201050602</v>
      </c>
      <c r="N1430" s="72" t="s">
        <v>5874</v>
      </c>
      <c r="O1430" s="72" t="s">
        <v>398</v>
      </c>
      <c r="P1430" s="404">
        <v>8474.58</v>
      </c>
      <c r="Q1430" s="404">
        <f>P1430*1.18</f>
        <v>10000.0044</v>
      </c>
      <c r="R1430" s="72"/>
      <c r="S1430" s="72" t="s">
        <v>4798</v>
      </c>
      <c r="T1430" s="72"/>
      <c r="U1430" s="72"/>
      <c r="V1430" s="72"/>
      <c r="W1430" s="72"/>
      <c r="X1430" s="72"/>
      <c r="Y1430" s="404">
        <v>8474.58</v>
      </c>
      <c r="Z1430" s="404">
        <f>Y1430*1.18</f>
        <v>10000.0044</v>
      </c>
      <c r="AA1430" s="36" t="s">
        <v>132</v>
      </c>
      <c r="AB1430" s="36" t="s">
        <v>132</v>
      </c>
      <c r="AC1430" s="404">
        <v>8474.58</v>
      </c>
      <c r="AD1430" s="404">
        <f>AC1430*1.18</f>
        <v>10000.0044</v>
      </c>
      <c r="AE1430" s="38" t="s">
        <v>173</v>
      </c>
      <c r="AF1430" s="72" t="s">
        <v>83</v>
      </c>
      <c r="AG1430" s="72" t="s">
        <v>83</v>
      </c>
      <c r="AH1430" s="72" t="s">
        <v>90</v>
      </c>
      <c r="AI1430" s="405">
        <v>41664</v>
      </c>
      <c r="AJ1430" s="405">
        <v>41709</v>
      </c>
      <c r="AK1430" s="72"/>
      <c r="AL1430" s="72"/>
      <c r="AM1430" s="72" t="s">
        <v>4826</v>
      </c>
      <c r="AN1430" s="72" t="s">
        <v>353</v>
      </c>
      <c r="AO1430" s="72">
        <v>796</v>
      </c>
      <c r="AP1430" s="72" t="s">
        <v>419</v>
      </c>
      <c r="AQ1430" s="72">
        <v>1</v>
      </c>
      <c r="AR1430" s="406">
        <v>45296559</v>
      </c>
      <c r="AS1430" s="72" t="s">
        <v>399</v>
      </c>
      <c r="AT1430" s="405">
        <v>41729</v>
      </c>
      <c r="AU1430" s="405">
        <v>41729</v>
      </c>
      <c r="AV1430" s="405">
        <v>41820</v>
      </c>
      <c r="AW1430" s="72">
        <v>2014</v>
      </c>
      <c r="AX1430" s="72"/>
      <c r="AY1430" s="407"/>
      <c r="AZ1430" s="72"/>
      <c r="BA1430" s="72"/>
      <c r="BB1430" s="72"/>
      <c r="BC1430" s="72"/>
      <c r="BD1430" s="72"/>
      <c r="BE1430" s="72"/>
      <c r="BF1430" s="72"/>
      <c r="BG1430" s="72"/>
      <c r="BH1430" s="72"/>
      <c r="BI1430" s="72"/>
      <c r="BJ1430" s="72"/>
      <c r="BK1430" s="72"/>
    </row>
    <row r="1431" spans="1:63" s="607" customFormat="1" ht="225">
      <c r="A1431" s="89">
        <v>4</v>
      </c>
      <c r="B1431" s="72" t="s">
        <v>4827</v>
      </c>
      <c r="C1431" s="72" t="s">
        <v>83</v>
      </c>
      <c r="D1431" s="72" t="s">
        <v>4795</v>
      </c>
      <c r="E1431" s="72" t="s">
        <v>163</v>
      </c>
      <c r="F1431" s="72" t="s">
        <v>4805</v>
      </c>
      <c r="G1431" s="72" t="s">
        <v>4796</v>
      </c>
      <c r="H1431" s="72">
        <v>626631</v>
      </c>
      <c r="I1431" s="72" t="s">
        <v>4828</v>
      </c>
      <c r="J1431" s="72" t="s">
        <v>462</v>
      </c>
      <c r="K1431" s="72" t="s">
        <v>462</v>
      </c>
      <c r="L1431" s="72" t="s">
        <v>180</v>
      </c>
      <c r="M1431" s="72">
        <v>201050602</v>
      </c>
      <c r="N1431" s="72" t="s">
        <v>5874</v>
      </c>
      <c r="O1431" s="72" t="s">
        <v>398</v>
      </c>
      <c r="P1431" s="404">
        <v>33898.305</v>
      </c>
      <c r="Q1431" s="404">
        <f>P1431*1.18</f>
        <v>39999.999899999995</v>
      </c>
      <c r="R1431" s="72"/>
      <c r="S1431" s="72" t="s">
        <v>4798</v>
      </c>
      <c r="T1431" s="72"/>
      <c r="U1431" s="72"/>
      <c r="V1431" s="72"/>
      <c r="W1431" s="72"/>
      <c r="X1431" s="72"/>
      <c r="Y1431" s="404">
        <v>33898.305</v>
      </c>
      <c r="Z1431" s="404">
        <f>Y1431*1.18</f>
        <v>39999.999899999995</v>
      </c>
      <c r="AA1431" s="36" t="s">
        <v>132</v>
      </c>
      <c r="AB1431" s="36" t="s">
        <v>132</v>
      </c>
      <c r="AC1431" s="404">
        <v>33898.305</v>
      </c>
      <c r="AD1431" s="404">
        <f>AC1431*1.18</f>
        <v>39999.999899999995</v>
      </c>
      <c r="AE1431" s="72" t="s">
        <v>169</v>
      </c>
      <c r="AF1431" s="72" t="s">
        <v>83</v>
      </c>
      <c r="AG1431" s="72" t="s">
        <v>83</v>
      </c>
      <c r="AH1431" s="72" t="s">
        <v>90</v>
      </c>
      <c r="AI1431" s="405">
        <v>41664</v>
      </c>
      <c r="AJ1431" s="405">
        <v>41723</v>
      </c>
      <c r="AK1431" s="72"/>
      <c r="AL1431" s="72"/>
      <c r="AM1431" s="72" t="s">
        <v>4828</v>
      </c>
      <c r="AN1431" s="72" t="s">
        <v>353</v>
      </c>
      <c r="AO1431" s="72">
        <v>796</v>
      </c>
      <c r="AP1431" s="72" t="s">
        <v>419</v>
      </c>
      <c r="AQ1431" s="72">
        <v>1</v>
      </c>
      <c r="AR1431" s="406">
        <v>45296559</v>
      </c>
      <c r="AS1431" s="72" t="s">
        <v>399</v>
      </c>
      <c r="AT1431" s="405">
        <v>41744</v>
      </c>
      <c r="AU1431" s="405">
        <v>41744</v>
      </c>
      <c r="AV1431" s="405">
        <v>41926</v>
      </c>
      <c r="AW1431" s="72">
        <v>2014</v>
      </c>
      <c r="AX1431" s="72"/>
      <c r="AY1431" s="407"/>
      <c r="AZ1431" s="72"/>
      <c r="BA1431" s="72"/>
      <c r="BB1431" s="72"/>
      <c r="BC1431" s="72"/>
      <c r="BD1431" s="72"/>
      <c r="BE1431" s="72"/>
      <c r="BF1431" s="72"/>
      <c r="BG1431" s="72"/>
      <c r="BH1431" s="72"/>
      <c r="BI1431" s="72"/>
      <c r="BJ1431" s="72"/>
      <c r="BK1431" s="72"/>
    </row>
    <row r="1432" spans="1:63" s="607" customFormat="1" ht="131.25">
      <c r="A1432" s="89">
        <v>4</v>
      </c>
      <c r="B1432" s="72" t="s">
        <v>465</v>
      </c>
      <c r="C1432" s="72" t="s">
        <v>83</v>
      </c>
      <c r="D1432" s="72" t="s">
        <v>4795</v>
      </c>
      <c r="E1432" s="72" t="s">
        <v>163</v>
      </c>
      <c r="F1432" s="72" t="s">
        <v>395</v>
      </c>
      <c r="G1432" s="72">
        <v>7244000</v>
      </c>
      <c r="H1432" s="72">
        <v>625819</v>
      </c>
      <c r="I1432" s="72" t="s">
        <v>466</v>
      </c>
      <c r="J1432" s="72" t="s">
        <v>443</v>
      </c>
      <c r="K1432" s="72" t="s">
        <v>443</v>
      </c>
      <c r="L1432" s="72" t="s">
        <v>180</v>
      </c>
      <c r="M1432" s="72">
        <v>201050602</v>
      </c>
      <c r="N1432" s="72" t="s">
        <v>5874</v>
      </c>
      <c r="O1432" s="72" t="s">
        <v>398</v>
      </c>
      <c r="P1432" s="404">
        <v>19500</v>
      </c>
      <c r="Q1432" s="404">
        <f>P1432*1.18</f>
        <v>23010</v>
      </c>
      <c r="R1432" s="404"/>
      <c r="S1432" s="72"/>
      <c r="T1432" s="72"/>
      <c r="U1432" s="72"/>
      <c r="V1432" s="72"/>
      <c r="W1432" s="72"/>
      <c r="X1432" s="72"/>
      <c r="Y1432" s="404">
        <v>19500</v>
      </c>
      <c r="Z1432" s="404">
        <f>Y1432*1.18</f>
        <v>23010</v>
      </c>
      <c r="AA1432" s="36" t="s">
        <v>132</v>
      </c>
      <c r="AB1432" s="36" t="s">
        <v>132</v>
      </c>
      <c r="AC1432" s="404">
        <v>19500</v>
      </c>
      <c r="AD1432" s="404">
        <f>AC1432*1.18</f>
        <v>23010</v>
      </c>
      <c r="AE1432" s="72" t="s">
        <v>169</v>
      </c>
      <c r="AF1432" s="72" t="s">
        <v>83</v>
      </c>
      <c r="AG1432" s="72" t="s">
        <v>83</v>
      </c>
      <c r="AH1432" s="72" t="s">
        <v>90</v>
      </c>
      <c r="AI1432" s="405">
        <v>41821</v>
      </c>
      <c r="AJ1432" s="405">
        <v>41867</v>
      </c>
      <c r="AK1432" s="72"/>
      <c r="AL1432" s="72"/>
      <c r="AM1432" s="72" t="s">
        <v>466</v>
      </c>
      <c r="AN1432" s="72" t="s">
        <v>353</v>
      </c>
      <c r="AO1432" s="72">
        <v>796</v>
      </c>
      <c r="AP1432" s="72" t="s">
        <v>419</v>
      </c>
      <c r="AQ1432" s="72">
        <v>1400</v>
      </c>
      <c r="AR1432" s="406">
        <v>45296559</v>
      </c>
      <c r="AS1432" s="72" t="s">
        <v>399</v>
      </c>
      <c r="AT1432" s="405">
        <v>41913</v>
      </c>
      <c r="AU1432" s="405">
        <v>41913</v>
      </c>
      <c r="AV1432" s="405">
        <v>42277</v>
      </c>
      <c r="AW1432" s="72" t="s">
        <v>99</v>
      </c>
      <c r="AX1432" s="72"/>
      <c r="AY1432" s="407"/>
      <c r="AZ1432" s="72"/>
      <c r="BA1432" s="72"/>
      <c r="BB1432" s="72"/>
      <c r="BC1432" s="72"/>
      <c r="BD1432" s="72"/>
      <c r="BE1432" s="72"/>
      <c r="BF1432" s="72"/>
      <c r="BG1432" s="72"/>
      <c r="BH1432" s="72"/>
      <c r="BI1432" s="72"/>
      <c r="BJ1432" s="72" t="s">
        <v>400</v>
      </c>
      <c r="BK1432" s="72"/>
    </row>
    <row r="1433" spans="1:63" s="607" customFormat="1" ht="131.25">
      <c r="A1433" s="89">
        <v>4</v>
      </c>
      <c r="B1433" s="72" t="s">
        <v>473</v>
      </c>
      <c r="C1433" s="72" t="s">
        <v>83</v>
      </c>
      <c r="D1433" s="72" t="s">
        <v>3592</v>
      </c>
      <c r="E1433" s="72" t="s">
        <v>163</v>
      </c>
      <c r="F1433" s="72" t="s">
        <v>440</v>
      </c>
      <c r="G1433" s="72" t="s">
        <v>431</v>
      </c>
      <c r="H1433" s="72">
        <v>625846</v>
      </c>
      <c r="I1433" s="72" t="s">
        <v>474</v>
      </c>
      <c r="J1433" s="72" t="s">
        <v>452</v>
      </c>
      <c r="K1433" s="72" t="s">
        <v>452</v>
      </c>
      <c r="L1433" s="72" t="s">
        <v>180</v>
      </c>
      <c r="M1433" s="72">
        <v>20105030102</v>
      </c>
      <c r="N1433" s="72" t="s">
        <v>433</v>
      </c>
      <c r="O1433" s="72" t="s">
        <v>398</v>
      </c>
      <c r="P1433" s="404">
        <v>11200</v>
      </c>
      <c r="Q1433" s="408">
        <v>11200</v>
      </c>
      <c r="R1433" s="404"/>
      <c r="S1433" s="72"/>
      <c r="T1433" s="72"/>
      <c r="U1433" s="72"/>
      <c r="V1433" s="72"/>
      <c r="W1433" s="72"/>
      <c r="X1433" s="72"/>
      <c r="Y1433" s="404">
        <v>11200</v>
      </c>
      <c r="Z1433" s="408">
        <v>11200</v>
      </c>
      <c r="AA1433" s="36" t="s">
        <v>132</v>
      </c>
      <c r="AB1433" s="36" t="s">
        <v>132</v>
      </c>
      <c r="AC1433" s="404">
        <v>11200</v>
      </c>
      <c r="AD1433" s="408">
        <v>11200</v>
      </c>
      <c r="AE1433" s="72" t="s">
        <v>169</v>
      </c>
      <c r="AF1433" s="72" t="s">
        <v>83</v>
      </c>
      <c r="AG1433" s="72" t="s">
        <v>83</v>
      </c>
      <c r="AH1433" s="72" t="s">
        <v>90</v>
      </c>
      <c r="AI1433" s="405">
        <v>41885</v>
      </c>
      <c r="AJ1433" s="405">
        <v>41937</v>
      </c>
      <c r="AK1433" s="72"/>
      <c r="AL1433" s="72"/>
      <c r="AM1433" s="72" t="s">
        <v>474</v>
      </c>
      <c r="AN1433" s="72" t="s">
        <v>353</v>
      </c>
      <c r="AO1433" s="72">
        <v>796</v>
      </c>
      <c r="AP1433" s="72" t="s">
        <v>419</v>
      </c>
      <c r="AQ1433" s="72">
        <v>1</v>
      </c>
      <c r="AR1433" s="406">
        <v>45296559</v>
      </c>
      <c r="AS1433" s="72" t="s">
        <v>399</v>
      </c>
      <c r="AT1433" s="405">
        <v>41986</v>
      </c>
      <c r="AU1433" s="405">
        <v>41926</v>
      </c>
      <c r="AV1433" s="405">
        <v>42004</v>
      </c>
      <c r="AW1433" s="72">
        <v>2014</v>
      </c>
      <c r="AX1433" s="72"/>
      <c r="AY1433" s="407"/>
      <c r="AZ1433" s="72"/>
      <c r="BA1433" s="72"/>
      <c r="BB1433" s="72"/>
      <c r="BC1433" s="72"/>
      <c r="BD1433" s="72"/>
      <c r="BE1433" s="72"/>
      <c r="BF1433" s="72"/>
      <c r="BG1433" s="72"/>
      <c r="BH1433" s="72"/>
      <c r="BI1433" s="72"/>
      <c r="BJ1433" s="72" t="s">
        <v>400</v>
      </c>
      <c r="BK1433" s="72"/>
    </row>
    <row r="1434" spans="1:63" s="607" customFormat="1" ht="187.5">
      <c r="A1434" s="89">
        <v>4</v>
      </c>
      <c r="B1434" s="72" t="s">
        <v>487</v>
      </c>
      <c r="C1434" s="72" t="s">
        <v>83</v>
      </c>
      <c r="D1434" s="72" t="s">
        <v>4795</v>
      </c>
      <c r="E1434" s="72" t="s">
        <v>163</v>
      </c>
      <c r="F1434" s="72" t="s">
        <v>486</v>
      </c>
      <c r="G1434" s="72">
        <v>7244000</v>
      </c>
      <c r="H1434" s="72">
        <v>625837</v>
      </c>
      <c r="I1434" s="72" t="s">
        <v>4829</v>
      </c>
      <c r="J1434" s="72" t="s">
        <v>462</v>
      </c>
      <c r="K1434" s="72" t="s">
        <v>462</v>
      </c>
      <c r="L1434" s="72" t="s">
        <v>180</v>
      </c>
      <c r="M1434" s="72">
        <v>201050602</v>
      </c>
      <c r="N1434" s="72" t="s">
        <v>5874</v>
      </c>
      <c r="O1434" s="72" t="s">
        <v>398</v>
      </c>
      <c r="P1434" s="404">
        <v>17235</v>
      </c>
      <c r="Q1434" s="404">
        <f t="shared" ref="Q1434:Q1441" si="177">P1434*1.18</f>
        <v>20337.3</v>
      </c>
      <c r="R1434" s="404"/>
      <c r="S1434" s="72"/>
      <c r="T1434" s="72"/>
      <c r="U1434" s="72"/>
      <c r="V1434" s="72"/>
      <c r="W1434" s="72"/>
      <c r="X1434" s="72"/>
      <c r="Y1434" s="404">
        <v>17235</v>
      </c>
      <c r="Z1434" s="404">
        <f t="shared" ref="Z1434:Z1441" si="178">Y1434*1.18</f>
        <v>20337.3</v>
      </c>
      <c r="AA1434" s="36" t="s">
        <v>132</v>
      </c>
      <c r="AB1434" s="36" t="s">
        <v>132</v>
      </c>
      <c r="AC1434" s="404">
        <v>17235</v>
      </c>
      <c r="AD1434" s="404">
        <f t="shared" ref="AD1434:AD1441" si="179">AC1434*1.18</f>
        <v>20337.3</v>
      </c>
      <c r="AE1434" s="72" t="s">
        <v>169</v>
      </c>
      <c r="AF1434" s="72" t="s">
        <v>83</v>
      </c>
      <c r="AG1434" s="72" t="s">
        <v>83</v>
      </c>
      <c r="AH1434" s="72" t="s">
        <v>90</v>
      </c>
      <c r="AI1434" s="405">
        <v>41664</v>
      </c>
      <c r="AJ1434" s="405">
        <v>41723</v>
      </c>
      <c r="AK1434" s="72"/>
      <c r="AL1434" s="72"/>
      <c r="AM1434" s="72" t="s">
        <v>4829</v>
      </c>
      <c r="AN1434" s="72" t="s">
        <v>353</v>
      </c>
      <c r="AO1434" s="72">
        <v>796</v>
      </c>
      <c r="AP1434" s="72" t="s">
        <v>419</v>
      </c>
      <c r="AQ1434" s="72">
        <v>1</v>
      </c>
      <c r="AR1434" s="406">
        <v>45296559</v>
      </c>
      <c r="AS1434" s="72" t="s">
        <v>399</v>
      </c>
      <c r="AT1434" s="405">
        <v>41744</v>
      </c>
      <c r="AU1434" s="405">
        <v>41744</v>
      </c>
      <c r="AV1434" s="405">
        <v>42109</v>
      </c>
      <c r="AW1434" s="72" t="s">
        <v>99</v>
      </c>
      <c r="AX1434" s="72"/>
      <c r="AY1434" s="407"/>
      <c r="AZ1434" s="72"/>
      <c r="BA1434" s="72"/>
      <c r="BB1434" s="72"/>
      <c r="BC1434" s="72"/>
      <c r="BD1434" s="72"/>
      <c r="BE1434" s="72"/>
      <c r="BF1434" s="72"/>
      <c r="BG1434" s="72"/>
      <c r="BH1434" s="72"/>
      <c r="BI1434" s="72"/>
      <c r="BJ1434" s="72" t="s">
        <v>400</v>
      </c>
      <c r="BK1434" s="72"/>
    </row>
    <row r="1435" spans="1:63" s="607" customFormat="1" ht="131.25">
      <c r="A1435" s="89">
        <v>4</v>
      </c>
      <c r="B1435" s="72" t="s">
        <v>479</v>
      </c>
      <c r="C1435" s="72" t="s">
        <v>83</v>
      </c>
      <c r="D1435" s="72" t="s">
        <v>3592</v>
      </c>
      <c r="E1435" s="72" t="s">
        <v>163</v>
      </c>
      <c r="F1435" s="72" t="s">
        <v>480</v>
      </c>
      <c r="G1435" s="72" t="s">
        <v>431</v>
      </c>
      <c r="H1435" s="72">
        <v>625842</v>
      </c>
      <c r="I1435" s="72" t="s">
        <v>4830</v>
      </c>
      <c r="J1435" s="72" t="s">
        <v>428</v>
      </c>
      <c r="K1435" s="72" t="s">
        <v>428</v>
      </c>
      <c r="L1435" s="72" t="s">
        <v>180</v>
      </c>
      <c r="M1435" s="72">
        <v>20105030102</v>
      </c>
      <c r="N1435" s="72" t="s">
        <v>433</v>
      </c>
      <c r="O1435" s="72" t="s">
        <v>398</v>
      </c>
      <c r="P1435" s="404">
        <v>20000</v>
      </c>
      <c r="Q1435" s="404">
        <f t="shared" si="177"/>
        <v>23600</v>
      </c>
      <c r="R1435" s="404"/>
      <c r="S1435" s="72" t="s">
        <v>4798</v>
      </c>
      <c r="T1435" s="72"/>
      <c r="U1435" s="72"/>
      <c r="V1435" s="72"/>
      <c r="W1435" s="72"/>
      <c r="X1435" s="72"/>
      <c r="Y1435" s="404">
        <v>20000</v>
      </c>
      <c r="Z1435" s="404">
        <f t="shared" si="178"/>
        <v>23600</v>
      </c>
      <c r="AA1435" s="36" t="s">
        <v>132</v>
      </c>
      <c r="AB1435" s="36" t="s">
        <v>132</v>
      </c>
      <c r="AC1435" s="404">
        <v>20000</v>
      </c>
      <c r="AD1435" s="404">
        <f t="shared" si="179"/>
        <v>23600</v>
      </c>
      <c r="AE1435" s="72" t="s">
        <v>169</v>
      </c>
      <c r="AF1435" s="72" t="s">
        <v>83</v>
      </c>
      <c r="AG1435" s="72" t="s">
        <v>83</v>
      </c>
      <c r="AH1435" s="72" t="s">
        <v>90</v>
      </c>
      <c r="AI1435" s="405">
        <v>41827</v>
      </c>
      <c r="AJ1435" s="405">
        <v>41876</v>
      </c>
      <c r="AK1435" s="72"/>
      <c r="AL1435" s="72"/>
      <c r="AM1435" s="72" t="s">
        <v>4830</v>
      </c>
      <c r="AN1435" s="72" t="s">
        <v>353</v>
      </c>
      <c r="AO1435" s="72">
        <v>796</v>
      </c>
      <c r="AP1435" s="72" t="s">
        <v>419</v>
      </c>
      <c r="AQ1435" s="72">
        <v>1</v>
      </c>
      <c r="AR1435" s="406">
        <v>45296559</v>
      </c>
      <c r="AS1435" s="72" t="s">
        <v>399</v>
      </c>
      <c r="AT1435" s="405">
        <v>41912</v>
      </c>
      <c r="AU1435" s="405">
        <v>41919</v>
      </c>
      <c r="AV1435" s="405">
        <v>42284</v>
      </c>
      <c r="AW1435" s="72" t="s">
        <v>99</v>
      </c>
      <c r="AX1435" s="72"/>
      <c r="AY1435" s="407"/>
      <c r="AZ1435" s="72"/>
      <c r="BA1435" s="72"/>
      <c r="BB1435" s="72"/>
      <c r="BC1435" s="72"/>
      <c r="BD1435" s="72"/>
      <c r="BE1435" s="72"/>
      <c r="BF1435" s="72"/>
      <c r="BG1435" s="72"/>
      <c r="BH1435" s="72"/>
      <c r="BI1435" s="72"/>
      <c r="BJ1435" s="72" t="s">
        <v>400</v>
      </c>
      <c r="BK1435" s="72"/>
    </row>
    <row r="1436" spans="1:63" s="607" customFormat="1" ht="131.25">
      <c r="A1436" s="89">
        <v>4</v>
      </c>
      <c r="B1436" s="72" t="s">
        <v>457</v>
      </c>
      <c r="C1436" s="72" t="s">
        <v>83</v>
      </c>
      <c r="D1436" s="72" t="s">
        <v>3592</v>
      </c>
      <c r="E1436" s="72" t="s">
        <v>163</v>
      </c>
      <c r="F1436" s="72" t="s">
        <v>395</v>
      </c>
      <c r="G1436" s="72">
        <v>7220000</v>
      </c>
      <c r="H1436" s="72">
        <v>625899</v>
      </c>
      <c r="I1436" s="72" t="s">
        <v>4831</v>
      </c>
      <c r="J1436" s="72" t="s">
        <v>397</v>
      </c>
      <c r="K1436" s="72" t="s">
        <v>397</v>
      </c>
      <c r="L1436" s="72" t="s">
        <v>180</v>
      </c>
      <c r="M1436" s="72">
        <v>20105030102</v>
      </c>
      <c r="N1436" s="72" t="s">
        <v>433</v>
      </c>
      <c r="O1436" s="72" t="s">
        <v>398</v>
      </c>
      <c r="P1436" s="404">
        <v>1440.68</v>
      </c>
      <c r="Q1436" s="404">
        <f t="shared" si="177"/>
        <v>1700.0024000000001</v>
      </c>
      <c r="R1436" s="404"/>
      <c r="S1436" s="72" t="s">
        <v>4798</v>
      </c>
      <c r="T1436" s="72"/>
      <c r="U1436" s="72"/>
      <c r="V1436" s="72"/>
      <c r="W1436" s="72"/>
      <c r="X1436" s="72"/>
      <c r="Y1436" s="404">
        <v>1440.68</v>
      </c>
      <c r="Z1436" s="404">
        <f t="shared" si="178"/>
        <v>1700.0024000000001</v>
      </c>
      <c r="AA1436" s="36" t="s">
        <v>132</v>
      </c>
      <c r="AB1436" s="36" t="s">
        <v>132</v>
      </c>
      <c r="AC1436" s="404">
        <v>1440.68</v>
      </c>
      <c r="AD1436" s="404">
        <f t="shared" si="179"/>
        <v>1700.0024000000001</v>
      </c>
      <c r="AE1436" s="38" t="s">
        <v>173</v>
      </c>
      <c r="AF1436" s="72" t="s">
        <v>83</v>
      </c>
      <c r="AG1436" s="72" t="s">
        <v>83</v>
      </c>
      <c r="AH1436" s="72" t="s">
        <v>90</v>
      </c>
      <c r="AI1436" s="405">
        <v>41901</v>
      </c>
      <c r="AJ1436" s="405">
        <v>41931</v>
      </c>
      <c r="AK1436" s="72"/>
      <c r="AL1436" s="72"/>
      <c r="AM1436" s="72" t="s">
        <v>4831</v>
      </c>
      <c r="AN1436" s="72" t="s">
        <v>353</v>
      </c>
      <c r="AO1436" s="72">
        <v>796</v>
      </c>
      <c r="AP1436" s="72" t="s">
        <v>419</v>
      </c>
      <c r="AQ1436" s="72">
        <v>1</v>
      </c>
      <c r="AR1436" s="406">
        <v>45296559</v>
      </c>
      <c r="AS1436" s="72" t="s">
        <v>399</v>
      </c>
      <c r="AT1436" s="405">
        <v>41942</v>
      </c>
      <c r="AU1436" s="405">
        <v>41946</v>
      </c>
      <c r="AV1436" s="405">
        <v>42307</v>
      </c>
      <c r="AW1436" s="72" t="s">
        <v>99</v>
      </c>
      <c r="AX1436" s="72"/>
      <c r="AY1436" s="407"/>
      <c r="AZ1436" s="72"/>
      <c r="BA1436" s="72"/>
      <c r="BB1436" s="72"/>
      <c r="BC1436" s="72"/>
      <c r="BD1436" s="72"/>
      <c r="BE1436" s="72"/>
      <c r="BF1436" s="72"/>
      <c r="BG1436" s="72"/>
      <c r="BH1436" s="72"/>
      <c r="BI1436" s="72"/>
      <c r="BJ1436" s="72"/>
      <c r="BK1436" s="72"/>
    </row>
    <row r="1437" spans="1:63" s="607" customFormat="1" ht="131.25">
      <c r="A1437" s="89">
        <v>4</v>
      </c>
      <c r="B1437" s="72" t="s">
        <v>4100</v>
      </c>
      <c r="C1437" s="72" t="s">
        <v>83</v>
      </c>
      <c r="D1437" s="72" t="s">
        <v>4795</v>
      </c>
      <c r="E1437" s="72" t="s">
        <v>163</v>
      </c>
      <c r="F1437" s="72" t="s">
        <v>492</v>
      </c>
      <c r="G1437" s="72">
        <v>7244000</v>
      </c>
      <c r="H1437" s="72">
        <v>626178</v>
      </c>
      <c r="I1437" s="72" t="s">
        <v>4832</v>
      </c>
      <c r="J1437" s="72" t="s">
        <v>443</v>
      </c>
      <c r="K1437" s="72" t="s">
        <v>443</v>
      </c>
      <c r="L1437" s="72" t="s">
        <v>180</v>
      </c>
      <c r="M1437" s="72">
        <v>201050602</v>
      </c>
      <c r="N1437" s="72" t="s">
        <v>5874</v>
      </c>
      <c r="O1437" s="72" t="s">
        <v>398</v>
      </c>
      <c r="P1437" s="404">
        <v>19379.66</v>
      </c>
      <c r="Q1437" s="404">
        <f t="shared" si="177"/>
        <v>22867.998799999998</v>
      </c>
      <c r="R1437" s="404"/>
      <c r="S1437" s="72"/>
      <c r="T1437" s="72"/>
      <c r="U1437" s="72"/>
      <c r="V1437" s="72"/>
      <c r="W1437" s="72"/>
      <c r="X1437" s="72"/>
      <c r="Y1437" s="404">
        <v>19379.66</v>
      </c>
      <c r="Z1437" s="404">
        <f t="shared" si="178"/>
        <v>22867.998799999998</v>
      </c>
      <c r="AA1437" s="36" t="s">
        <v>132</v>
      </c>
      <c r="AB1437" s="36" t="s">
        <v>132</v>
      </c>
      <c r="AC1437" s="404">
        <v>19379.66</v>
      </c>
      <c r="AD1437" s="404">
        <f t="shared" si="179"/>
        <v>22867.998799999998</v>
      </c>
      <c r="AE1437" s="72" t="s">
        <v>169</v>
      </c>
      <c r="AF1437" s="72" t="s">
        <v>83</v>
      </c>
      <c r="AG1437" s="72" t="s">
        <v>83</v>
      </c>
      <c r="AH1437" s="72" t="s">
        <v>90</v>
      </c>
      <c r="AI1437" s="405">
        <v>41780</v>
      </c>
      <c r="AJ1437" s="405">
        <v>41841</v>
      </c>
      <c r="AK1437" s="72"/>
      <c r="AL1437" s="72"/>
      <c r="AM1437" s="72" t="s">
        <v>4832</v>
      </c>
      <c r="AN1437" s="72" t="s">
        <v>353</v>
      </c>
      <c r="AO1437" s="72">
        <v>796</v>
      </c>
      <c r="AP1437" s="72" t="s">
        <v>419</v>
      </c>
      <c r="AQ1437" s="72">
        <v>1</v>
      </c>
      <c r="AR1437" s="406">
        <v>45296559</v>
      </c>
      <c r="AS1437" s="72" t="s">
        <v>399</v>
      </c>
      <c r="AT1437" s="405">
        <v>41861</v>
      </c>
      <c r="AU1437" s="405">
        <v>41861</v>
      </c>
      <c r="AV1437" s="405">
        <v>42164</v>
      </c>
      <c r="AW1437" s="38" t="s">
        <v>99</v>
      </c>
      <c r="AX1437" s="72">
        <v>2014</v>
      </c>
      <c r="AY1437" s="407"/>
      <c r="AZ1437" s="72"/>
      <c r="BA1437" s="72"/>
      <c r="BB1437" s="72"/>
      <c r="BC1437" s="72"/>
      <c r="BD1437" s="72"/>
      <c r="BE1437" s="72"/>
      <c r="BF1437" s="72"/>
      <c r="BG1437" s="72"/>
      <c r="BH1437" s="72"/>
      <c r="BI1437" s="72"/>
      <c r="BJ1437" s="72" t="s">
        <v>400</v>
      </c>
      <c r="BK1437" s="72"/>
    </row>
    <row r="1438" spans="1:63" s="607" customFormat="1" ht="131.25">
      <c r="A1438" s="89">
        <v>4</v>
      </c>
      <c r="B1438" s="72" t="s">
        <v>490</v>
      </c>
      <c r="C1438" s="72" t="s">
        <v>83</v>
      </c>
      <c r="D1438" s="72" t="s">
        <v>4795</v>
      </c>
      <c r="E1438" s="72" t="s">
        <v>163</v>
      </c>
      <c r="F1438" s="72" t="s">
        <v>486</v>
      </c>
      <c r="G1438" s="72">
        <v>7244000</v>
      </c>
      <c r="H1438" s="72">
        <v>625832</v>
      </c>
      <c r="I1438" s="72" t="s">
        <v>7282</v>
      </c>
      <c r="J1438" s="72" t="s">
        <v>462</v>
      </c>
      <c r="K1438" s="72" t="s">
        <v>462</v>
      </c>
      <c r="L1438" s="72" t="s">
        <v>180</v>
      </c>
      <c r="M1438" s="72">
        <v>201050602</v>
      </c>
      <c r="N1438" s="72" t="s">
        <v>5874</v>
      </c>
      <c r="O1438" s="72" t="s">
        <v>398</v>
      </c>
      <c r="P1438" s="404">
        <v>15254.24</v>
      </c>
      <c r="Q1438" s="404">
        <f t="shared" si="177"/>
        <v>18000.003199999999</v>
      </c>
      <c r="R1438" s="404"/>
      <c r="S1438" s="72"/>
      <c r="T1438" s="72"/>
      <c r="U1438" s="72"/>
      <c r="V1438" s="72"/>
      <c r="W1438" s="72"/>
      <c r="X1438" s="72"/>
      <c r="Y1438" s="404">
        <v>15254.24</v>
      </c>
      <c r="Z1438" s="404">
        <f t="shared" si="178"/>
        <v>18000.003199999999</v>
      </c>
      <c r="AA1438" s="36" t="s">
        <v>132</v>
      </c>
      <c r="AB1438" s="36" t="s">
        <v>132</v>
      </c>
      <c r="AC1438" s="404">
        <v>15254.24</v>
      </c>
      <c r="AD1438" s="404">
        <f t="shared" si="179"/>
        <v>18000.003199999999</v>
      </c>
      <c r="AE1438" s="72" t="s">
        <v>169</v>
      </c>
      <c r="AF1438" s="72" t="s">
        <v>83</v>
      </c>
      <c r="AG1438" s="72" t="s">
        <v>83</v>
      </c>
      <c r="AH1438" s="72" t="s">
        <v>90</v>
      </c>
      <c r="AI1438" s="405">
        <v>41672</v>
      </c>
      <c r="AJ1438" s="405">
        <v>41731</v>
      </c>
      <c r="AK1438" s="72"/>
      <c r="AL1438" s="72"/>
      <c r="AM1438" s="72" t="s">
        <v>4833</v>
      </c>
      <c r="AN1438" s="72" t="s">
        <v>353</v>
      </c>
      <c r="AO1438" s="72">
        <v>796</v>
      </c>
      <c r="AP1438" s="72" t="s">
        <v>419</v>
      </c>
      <c r="AQ1438" s="72">
        <v>1</v>
      </c>
      <c r="AR1438" s="406">
        <v>45296559</v>
      </c>
      <c r="AS1438" s="72" t="s">
        <v>399</v>
      </c>
      <c r="AT1438" s="405">
        <v>41754</v>
      </c>
      <c r="AU1438" s="405">
        <v>41754</v>
      </c>
      <c r="AV1438" s="405">
        <v>42059</v>
      </c>
      <c r="AW1438" s="72" t="s">
        <v>99</v>
      </c>
      <c r="AX1438" s="72"/>
      <c r="AY1438" s="407"/>
      <c r="AZ1438" s="72"/>
      <c r="BA1438" s="72"/>
      <c r="BB1438" s="72"/>
      <c r="BC1438" s="72"/>
      <c r="BD1438" s="72"/>
      <c r="BE1438" s="72"/>
      <c r="BF1438" s="72"/>
      <c r="BG1438" s="72"/>
      <c r="BH1438" s="72"/>
      <c r="BI1438" s="72"/>
      <c r="BJ1438" s="72" t="s">
        <v>400</v>
      </c>
      <c r="BK1438" s="72"/>
    </row>
    <row r="1439" spans="1:63" s="607" customFormat="1" ht="150">
      <c r="A1439" s="89">
        <v>4</v>
      </c>
      <c r="B1439" s="72" t="s">
        <v>461</v>
      </c>
      <c r="C1439" s="72" t="s">
        <v>83</v>
      </c>
      <c r="D1439" s="72" t="s">
        <v>4795</v>
      </c>
      <c r="E1439" s="72" t="s">
        <v>163</v>
      </c>
      <c r="F1439" s="72" t="s">
        <v>445</v>
      </c>
      <c r="G1439" s="72">
        <v>7244000</v>
      </c>
      <c r="H1439" s="72">
        <v>625827</v>
      </c>
      <c r="I1439" s="72" t="s">
        <v>4834</v>
      </c>
      <c r="J1439" s="72" t="s">
        <v>462</v>
      </c>
      <c r="K1439" s="72" t="s">
        <v>462</v>
      </c>
      <c r="L1439" s="72" t="s">
        <v>180</v>
      </c>
      <c r="M1439" s="72">
        <v>201050602</v>
      </c>
      <c r="N1439" s="72" t="s">
        <v>5874</v>
      </c>
      <c r="O1439" s="72" t="s">
        <v>398</v>
      </c>
      <c r="P1439" s="404">
        <v>14811.02</v>
      </c>
      <c r="Q1439" s="404">
        <f t="shared" si="177"/>
        <v>17477.0036</v>
      </c>
      <c r="R1439" s="404"/>
      <c r="S1439" s="72"/>
      <c r="T1439" s="72"/>
      <c r="U1439" s="72"/>
      <c r="V1439" s="72"/>
      <c r="W1439" s="72"/>
      <c r="X1439" s="72"/>
      <c r="Y1439" s="404">
        <v>14811.02</v>
      </c>
      <c r="Z1439" s="404">
        <f t="shared" si="178"/>
        <v>17477.0036</v>
      </c>
      <c r="AA1439" s="36" t="s">
        <v>132</v>
      </c>
      <c r="AB1439" s="36" t="s">
        <v>132</v>
      </c>
      <c r="AC1439" s="404">
        <v>14811.02</v>
      </c>
      <c r="AD1439" s="404">
        <f t="shared" si="179"/>
        <v>17477.0036</v>
      </c>
      <c r="AE1439" s="72" t="s">
        <v>169</v>
      </c>
      <c r="AF1439" s="72" t="s">
        <v>83</v>
      </c>
      <c r="AG1439" s="72" t="s">
        <v>83</v>
      </c>
      <c r="AH1439" s="72" t="s">
        <v>90</v>
      </c>
      <c r="AI1439" s="405">
        <v>41633</v>
      </c>
      <c r="AJ1439" s="405">
        <v>41678</v>
      </c>
      <c r="AK1439" s="72"/>
      <c r="AL1439" s="72"/>
      <c r="AM1439" s="72" t="s">
        <v>4834</v>
      </c>
      <c r="AN1439" s="72" t="s">
        <v>353</v>
      </c>
      <c r="AO1439" s="72">
        <v>796</v>
      </c>
      <c r="AP1439" s="72" t="s">
        <v>419</v>
      </c>
      <c r="AQ1439" s="72">
        <v>1</v>
      </c>
      <c r="AR1439" s="406">
        <v>45296559</v>
      </c>
      <c r="AS1439" s="72" t="s">
        <v>399</v>
      </c>
      <c r="AT1439" s="405">
        <v>41698</v>
      </c>
      <c r="AU1439" s="405">
        <v>41698</v>
      </c>
      <c r="AV1439" s="405">
        <v>41789</v>
      </c>
      <c r="AW1439" s="72">
        <v>2014</v>
      </c>
      <c r="AX1439" s="72"/>
      <c r="AY1439" s="407"/>
      <c r="AZ1439" s="72"/>
      <c r="BA1439" s="72"/>
      <c r="BB1439" s="72"/>
      <c r="BC1439" s="72"/>
      <c r="BD1439" s="72"/>
      <c r="BE1439" s="72"/>
      <c r="BF1439" s="72"/>
      <c r="BG1439" s="72"/>
      <c r="BH1439" s="72"/>
      <c r="BI1439" s="72"/>
      <c r="BJ1439" s="72" t="s">
        <v>400</v>
      </c>
      <c r="BK1439" s="72"/>
    </row>
    <row r="1440" spans="1:63" s="607" customFormat="1" ht="131.25">
      <c r="A1440" s="89">
        <v>4</v>
      </c>
      <c r="B1440" s="72" t="s">
        <v>460</v>
      </c>
      <c r="C1440" s="72" t="s">
        <v>83</v>
      </c>
      <c r="D1440" s="72" t="s">
        <v>3592</v>
      </c>
      <c r="E1440" s="72" t="s">
        <v>163</v>
      </c>
      <c r="F1440" s="72" t="s">
        <v>395</v>
      </c>
      <c r="G1440" s="72" t="s">
        <v>458</v>
      </c>
      <c r="H1440" s="72">
        <v>625896</v>
      </c>
      <c r="I1440" s="72" t="s">
        <v>4835</v>
      </c>
      <c r="J1440" s="72" t="s">
        <v>459</v>
      </c>
      <c r="K1440" s="72" t="s">
        <v>459</v>
      </c>
      <c r="L1440" s="72" t="s">
        <v>180</v>
      </c>
      <c r="M1440" s="72">
        <v>20105030204</v>
      </c>
      <c r="N1440" s="72" t="s">
        <v>5876</v>
      </c>
      <c r="O1440" s="72" t="s">
        <v>398</v>
      </c>
      <c r="P1440" s="404">
        <v>4749.3599999999997</v>
      </c>
      <c r="Q1440" s="404">
        <f t="shared" si="177"/>
        <v>5604.2447999999995</v>
      </c>
      <c r="R1440" s="404"/>
      <c r="S1440" s="72" t="s">
        <v>4798</v>
      </c>
      <c r="T1440" s="72"/>
      <c r="U1440" s="72"/>
      <c r="V1440" s="72"/>
      <c r="W1440" s="72"/>
      <c r="X1440" s="72"/>
      <c r="Y1440" s="404">
        <v>4749.3599999999997</v>
      </c>
      <c r="Z1440" s="404">
        <f t="shared" si="178"/>
        <v>5604.2447999999995</v>
      </c>
      <c r="AA1440" s="36" t="s">
        <v>132</v>
      </c>
      <c r="AB1440" s="36" t="s">
        <v>132</v>
      </c>
      <c r="AC1440" s="404">
        <v>4749.3599999999997</v>
      </c>
      <c r="AD1440" s="404">
        <f t="shared" si="179"/>
        <v>5604.2447999999995</v>
      </c>
      <c r="AE1440" s="38" t="s">
        <v>173</v>
      </c>
      <c r="AF1440" s="72" t="s">
        <v>83</v>
      </c>
      <c r="AG1440" s="72" t="s">
        <v>83</v>
      </c>
      <c r="AH1440" s="72" t="s">
        <v>90</v>
      </c>
      <c r="AI1440" s="405">
        <v>41730</v>
      </c>
      <c r="AJ1440" s="405">
        <v>41760</v>
      </c>
      <c r="AK1440" s="72"/>
      <c r="AL1440" s="72"/>
      <c r="AM1440" s="72" t="s">
        <v>4835</v>
      </c>
      <c r="AN1440" s="72" t="s">
        <v>353</v>
      </c>
      <c r="AO1440" s="72">
        <v>796</v>
      </c>
      <c r="AP1440" s="72" t="s">
        <v>419</v>
      </c>
      <c r="AQ1440" s="72">
        <v>1</v>
      </c>
      <c r="AR1440" s="406">
        <v>45296559</v>
      </c>
      <c r="AS1440" s="72" t="s">
        <v>399</v>
      </c>
      <c r="AT1440" s="405">
        <v>41820</v>
      </c>
      <c r="AU1440" s="405">
        <v>41821</v>
      </c>
      <c r="AV1440" s="405">
        <v>42185</v>
      </c>
      <c r="AW1440" s="72" t="s">
        <v>99</v>
      </c>
      <c r="AX1440" s="72"/>
      <c r="AY1440" s="407"/>
      <c r="AZ1440" s="72"/>
      <c r="BA1440" s="72"/>
      <c r="BB1440" s="72"/>
      <c r="BC1440" s="72"/>
      <c r="BD1440" s="72"/>
      <c r="BE1440" s="72"/>
      <c r="BF1440" s="72"/>
      <c r="BG1440" s="72"/>
      <c r="BH1440" s="72"/>
      <c r="BI1440" s="72"/>
      <c r="BJ1440" s="72"/>
      <c r="BK1440" s="72"/>
    </row>
    <row r="1441" spans="1:63" s="607" customFormat="1" ht="131.25">
      <c r="A1441" s="89">
        <v>4</v>
      </c>
      <c r="B1441" s="72" t="s">
        <v>439</v>
      </c>
      <c r="C1441" s="72" t="s">
        <v>83</v>
      </c>
      <c r="D1441" s="72" t="s">
        <v>3592</v>
      </c>
      <c r="E1441" s="72" t="s">
        <v>163</v>
      </c>
      <c r="F1441" s="72" t="s">
        <v>440</v>
      </c>
      <c r="G1441" s="72" t="s">
        <v>431</v>
      </c>
      <c r="H1441" s="72">
        <v>625848</v>
      </c>
      <c r="I1441" s="72" t="s">
        <v>4836</v>
      </c>
      <c r="J1441" s="72" t="s">
        <v>433</v>
      </c>
      <c r="K1441" s="72" t="s">
        <v>433</v>
      </c>
      <c r="L1441" s="72" t="s">
        <v>180</v>
      </c>
      <c r="M1441" s="72">
        <v>20105030102</v>
      </c>
      <c r="N1441" s="72" t="s">
        <v>433</v>
      </c>
      <c r="O1441" s="72" t="s">
        <v>398</v>
      </c>
      <c r="P1441" s="404">
        <v>22139.83</v>
      </c>
      <c r="Q1441" s="404">
        <f t="shared" si="177"/>
        <v>26124.999400000001</v>
      </c>
      <c r="R1441" s="404"/>
      <c r="S1441" s="72" t="s">
        <v>4798</v>
      </c>
      <c r="T1441" s="72"/>
      <c r="U1441" s="72"/>
      <c r="V1441" s="72"/>
      <c r="W1441" s="72"/>
      <c r="X1441" s="72"/>
      <c r="Y1441" s="404">
        <v>22139.83</v>
      </c>
      <c r="Z1441" s="404">
        <f t="shared" si="178"/>
        <v>26124.999400000001</v>
      </c>
      <c r="AA1441" s="36" t="s">
        <v>132</v>
      </c>
      <c r="AB1441" s="36" t="s">
        <v>132</v>
      </c>
      <c r="AC1441" s="404">
        <v>22139.83</v>
      </c>
      <c r="AD1441" s="404">
        <f t="shared" si="179"/>
        <v>26124.999400000001</v>
      </c>
      <c r="AE1441" s="72" t="s">
        <v>169</v>
      </c>
      <c r="AF1441" s="72" t="s">
        <v>83</v>
      </c>
      <c r="AG1441" s="72" t="s">
        <v>83</v>
      </c>
      <c r="AH1441" s="72" t="s">
        <v>90</v>
      </c>
      <c r="AI1441" s="405">
        <v>41821</v>
      </c>
      <c r="AJ1441" s="405">
        <v>41867</v>
      </c>
      <c r="AK1441" s="72"/>
      <c r="AL1441" s="72"/>
      <c r="AM1441" s="72" t="s">
        <v>4836</v>
      </c>
      <c r="AN1441" s="72" t="s">
        <v>353</v>
      </c>
      <c r="AO1441" s="72">
        <v>796</v>
      </c>
      <c r="AP1441" s="72" t="s">
        <v>419</v>
      </c>
      <c r="AQ1441" s="72">
        <v>1</v>
      </c>
      <c r="AR1441" s="406">
        <v>45296559</v>
      </c>
      <c r="AS1441" s="72" t="s">
        <v>399</v>
      </c>
      <c r="AT1441" s="405">
        <v>41883</v>
      </c>
      <c r="AU1441" s="405">
        <v>41913</v>
      </c>
      <c r="AV1441" s="405">
        <v>42278</v>
      </c>
      <c r="AW1441" s="72" t="s">
        <v>99</v>
      </c>
      <c r="AX1441" s="72"/>
      <c r="AY1441" s="407"/>
      <c r="AZ1441" s="72"/>
      <c r="BA1441" s="72"/>
      <c r="BB1441" s="72"/>
      <c r="BC1441" s="72"/>
      <c r="BD1441" s="72"/>
      <c r="BE1441" s="72"/>
      <c r="BF1441" s="72"/>
      <c r="BG1441" s="72"/>
      <c r="BH1441" s="72"/>
      <c r="BI1441" s="72"/>
      <c r="BJ1441" s="72"/>
      <c r="BK1441" s="72"/>
    </row>
    <row r="1442" spans="1:63" s="607" customFormat="1" ht="131.25">
      <c r="A1442" s="89">
        <v>4</v>
      </c>
      <c r="B1442" s="72" t="s">
        <v>483</v>
      </c>
      <c r="C1442" s="72" t="s">
        <v>83</v>
      </c>
      <c r="D1442" s="72" t="s">
        <v>3592</v>
      </c>
      <c r="E1442" s="72" t="s">
        <v>163</v>
      </c>
      <c r="F1442" s="72" t="s">
        <v>422</v>
      </c>
      <c r="G1442" s="72" t="s">
        <v>484</v>
      </c>
      <c r="H1442" s="72">
        <v>625840</v>
      </c>
      <c r="I1442" s="72" t="s">
        <v>4837</v>
      </c>
      <c r="J1442" s="72" t="s">
        <v>424</v>
      </c>
      <c r="K1442" s="72" t="s">
        <v>424</v>
      </c>
      <c r="L1442" s="72" t="s">
        <v>180</v>
      </c>
      <c r="M1442" s="72">
        <v>20105030102</v>
      </c>
      <c r="N1442" s="72" t="s">
        <v>433</v>
      </c>
      <c r="O1442" s="72" t="s">
        <v>398</v>
      </c>
      <c r="P1442" s="404">
        <v>6000</v>
      </c>
      <c r="Q1442" s="408">
        <v>6000</v>
      </c>
      <c r="R1442" s="404"/>
      <c r="S1442" s="72" t="s">
        <v>4798</v>
      </c>
      <c r="T1442" s="72"/>
      <c r="U1442" s="72"/>
      <c r="V1442" s="72"/>
      <c r="W1442" s="72"/>
      <c r="X1442" s="72"/>
      <c r="Y1442" s="404">
        <v>6000</v>
      </c>
      <c r="Z1442" s="408">
        <v>6000</v>
      </c>
      <c r="AA1442" s="36" t="s">
        <v>132</v>
      </c>
      <c r="AB1442" s="36" t="s">
        <v>132</v>
      </c>
      <c r="AC1442" s="404">
        <v>6000</v>
      </c>
      <c r="AD1442" s="408">
        <v>6000</v>
      </c>
      <c r="AE1442" s="38" t="s">
        <v>173</v>
      </c>
      <c r="AF1442" s="72" t="s">
        <v>83</v>
      </c>
      <c r="AG1442" s="72" t="s">
        <v>83</v>
      </c>
      <c r="AH1442" s="72" t="s">
        <v>90</v>
      </c>
      <c r="AI1442" s="405">
        <v>41730</v>
      </c>
      <c r="AJ1442" s="405">
        <v>41760</v>
      </c>
      <c r="AK1442" s="72"/>
      <c r="AL1442" s="72"/>
      <c r="AM1442" s="72" t="s">
        <v>4837</v>
      </c>
      <c r="AN1442" s="72" t="s">
        <v>353</v>
      </c>
      <c r="AO1442" s="72">
        <v>796</v>
      </c>
      <c r="AP1442" s="72" t="s">
        <v>419</v>
      </c>
      <c r="AQ1442" s="72">
        <v>1</v>
      </c>
      <c r="AR1442" s="406">
        <v>45296559</v>
      </c>
      <c r="AS1442" s="72" t="s">
        <v>399</v>
      </c>
      <c r="AT1442" s="405">
        <v>41787</v>
      </c>
      <c r="AU1442" s="405">
        <v>41821</v>
      </c>
      <c r="AV1442" s="405">
        <v>41852</v>
      </c>
      <c r="AW1442" s="72">
        <v>2014</v>
      </c>
      <c r="AX1442" s="72" t="s">
        <v>485</v>
      </c>
      <c r="AY1442" s="407"/>
      <c r="AZ1442" s="72"/>
      <c r="BA1442" s="72"/>
      <c r="BB1442" s="72"/>
      <c r="BC1442" s="72"/>
      <c r="BD1442" s="72"/>
      <c r="BE1442" s="72"/>
      <c r="BF1442" s="72"/>
      <c r="BG1442" s="72"/>
      <c r="BH1442" s="72"/>
      <c r="BI1442" s="72"/>
      <c r="BJ1442" s="72" t="s">
        <v>400</v>
      </c>
      <c r="BK1442" s="72"/>
    </row>
    <row r="1443" spans="1:63" s="607" customFormat="1" ht="150">
      <c r="A1443" s="89">
        <v>4</v>
      </c>
      <c r="B1443" s="72" t="s">
        <v>481</v>
      </c>
      <c r="C1443" s="72" t="s">
        <v>83</v>
      </c>
      <c r="D1443" s="72" t="s">
        <v>3592</v>
      </c>
      <c r="E1443" s="72" t="s">
        <v>163</v>
      </c>
      <c r="F1443" s="72" t="s">
        <v>440</v>
      </c>
      <c r="G1443" s="72">
        <v>7220000</v>
      </c>
      <c r="H1443" s="72">
        <v>625841</v>
      </c>
      <c r="I1443" s="72" t="s">
        <v>482</v>
      </c>
      <c r="J1443" s="72" t="s">
        <v>433</v>
      </c>
      <c r="K1443" s="72" t="s">
        <v>433</v>
      </c>
      <c r="L1443" s="72" t="s">
        <v>180</v>
      </c>
      <c r="M1443" s="72">
        <v>20105030102</v>
      </c>
      <c r="N1443" s="72" t="s">
        <v>433</v>
      </c>
      <c r="O1443" s="72" t="s">
        <v>398</v>
      </c>
      <c r="P1443" s="404">
        <v>3363</v>
      </c>
      <c r="Q1443" s="408">
        <v>3363</v>
      </c>
      <c r="R1443" s="404"/>
      <c r="S1443" s="72" t="s">
        <v>4798</v>
      </c>
      <c r="T1443" s="72"/>
      <c r="U1443" s="72"/>
      <c r="V1443" s="72"/>
      <c r="W1443" s="72"/>
      <c r="X1443" s="72"/>
      <c r="Y1443" s="404">
        <v>3363</v>
      </c>
      <c r="Z1443" s="408">
        <v>3363</v>
      </c>
      <c r="AA1443" s="36" t="s">
        <v>132</v>
      </c>
      <c r="AB1443" s="36" t="s">
        <v>132</v>
      </c>
      <c r="AC1443" s="404">
        <v>3363</v>
      </c>
      <c r="AD1443" s="408">
        <v>3363</v>
      </c>
      <c r="AE1443" s="38" t="s">
        <v>173</v>
      </c>
      <c r="AF1443" s="72" t="s">
        <v>83</v>
      </c>
      <c r="AG1443" s="72" t="s">
        <v>83</v>
      </c>
      <c r="AH1443" s="72" t="s">
        <v>90</v>
      </c>
      <c r="AI1443" s="405">
        <v>41835</v>
      </c>
      <c r="AJ1443" s="405">
        <v>41866</v>
      </c>
      <c r="AK1443" s="72"/>
      <c r="AL1443" s="72"/>
      <c r="AM1443" s="72" t="s">
        <v>482</v>
      </c>
      <c r="AN1443" s="72" t="s">
        <v>353</v>
      </c>
      <c r="AO1443" s="72">
        <v>796</v>
      </c>
      <c r="AP1443" s="72" t="s">
        <v>419</v>
      </c>
      <c r="AQ1443" s="72">
        <v>1</v>
      </c>
      <c r="AR1443" s="406">
        <v>45296559</v>
      </c>
      <c r="AS1443" s="72" t="s">
        <v>399</v>
      </c>
      <c r="AT1443" s="405">
        <v>41879</v>
      </c>
      <c r="AU1443" s="405">
        <v>41913</v>
      </c>
      <c r="AV1443" s="405">
        <v>41942</v>
      </c>
      <c r="AW1443" s="72">
        <v>2014</v>
      </c>
      <c r="AX1443" s="72" t="s">
        <v>4886</v>
      </c>
      <c r="AY1443" s="407"/>
      <c r="AZ1443" s="72"/>
      <c r="BA1443" s="72"/>
      <c r="BB1443" s="72"/>
      <c r="BC1443" s="72"/>
      <c r="BD1443" s="72"/>
      <c r="BE1443" s="72"/>
      <c r="BF1443" s="72"/>
      <c r="BG1443" s="72"/>
      <c r="BH1443" s="72"/>
      <c r="BI1443" s="72"/>
      <c r="BJ1443" s="72" t="s">
        <v>400</v>
      </c>
      <c r="BK1443" s="72"/>
    </row>
    <row r="1444" spans="1:63" s="607" customFormat="1" ht="131.25">
      <c r="A1444" s="89">
        <v>4</v>
      </c>
      <c r="B1444" s="72" t="s">
        <v>403</v>
      </c>
      <c r="C1444" s="72" t="s">
        <v>83</v>
      </c>
      <c r="D1444" s="72" t="s">
        <v>3592</v>
      </c>
      <c r="E1444" s="72" t="s">
        <v>163</v>
      </c>
      <c r="F1444" s="72" t="s">
        <v>395</v>
      </c>
      <c r="G1444" s="72">
        <v>7220024</v>
      </c>
      <c r="H1444" s="72">
        <v>625892</v>
      </c>
      <c r="I1444" s="72" t="s">
        <v>404</v>
      </c>
      <c r="J1444" s="72" t="s">
        <v>397</v>
      </c>
      <c r="K1444" s="72" t="s">
        <v>397</v>
      </c>
      <c r="L1444" s="72" t="s">
        <v>180</v>
      </c>
      <c r="M1444" s="72">
        <v>20105030204</v>
      </c>
      <c r="N1444" s="72" t="s">
        <v>5875</v>
      </c>
      <c r="O1444" s="72" t="s">
        <v>398</v>
      </c>
      <c r="P1444" s="404">
        <v>1481.6</v>
      </c>
      <c r="Q1444" s="404">
        <f>P1444*1.18</f>
        <v>1748.2879999999998</v>
      </c>
      <c r="R1444" s="404"/>
      <c r="S1444" s="72"/>
      <c r="T1444" s="72"/>
      <c r="U1444" s="72"/>
      <c r="V1444" s="72"/>
      <c r="W1444" s="72"/>
      <c r="X1444" s="72"/>
      <c r="Y1444" s="404">
        <v>1481.6</v>
      </c>
      <c r="Z1444" s="404">
        <f>Y1444*1.18</f>
        <v>1748.2879999999998</v>
      </c>
      <c r="AA1444" s="36" t="s">
        <v>132</v>
      </c>
      <c r="AB1444" s="36" t="s">
        <v>132</v>
      </c>
      <c r="AC1444" s="404">
        <v>1481.6</v>
      </c>
      <c r="AD1444" s="404">
        <f>AC1444*1.18</f>
        <v>1748.2879999999998</v>
      </c>
      <c r="AE1444" s="38" t="s">
        <v>173</v>
      </c>
      <c r="AF1444" s="72" t="s">
        <v>83</v>
      </c>
      <c r="AG1444" s="72" t="s">
        <v>83</v>
      </c>
      <c r="AH1444" s="72" t="s">
        <v>90</v>
      </c>
      <c r="AI1444" s="405">
        <v>41685</v>
      </c>
      <c r="AJ1444" s="405">
        <v>41713</v>
      </c>
      <c r="AK1444" s="72"/>
      <c r="AL1444" s="72"/>
      <c r="AM1444" s="72" t="s">
        <v>404</v>
      </c>
      <c r="AN1444" s="72" t="s">
        <v>353</v>
      </c>
      <c r="AO1444" s="72">
        <v>796</v>
      </c>
      <c r="AP1444" s="72" t="s">
        <v>419</v>
      </c>
      <c r="AQ1444" s="72">
        <v>1</v>
      </c>
      <c r="AR1444" s="406">
        <v>45296559</v>
      </c>
      <c r="AS1444" s="72" t="s">
        <v>399</v>
      </c>
      <c r="AT1444" s="405">
        <v>41732</v>
      </c>
      <c r="AU1444" s="405">
        <v>41732</v>
      </c>
      <c r="AV1444" s="405">
        <v>42035</v>
      </c>
      <c r="AW1444" s="72" t="s">
        <v>99</v>
      </c>
      <c r="AX1444" s="72"/>
      <c r="AY1444" s="407"/>
      <c r="AZ1444" s="72"/>
      <c r="BA1444" s="72"/>
      <c r="BB1444" s="72"/>
      <c r="BC1444" s="72"/>
      <c r="BD1444" s="72"/>
      <c r="BE1444" s="72"/>
      <c r="BF1444" s="72"/>
      <c r="BG1444" s="72"/>
      <c r="BH1444" s="72"/>
      <c r="BI1444" s="72"/>
      <c r="BJ1444" s="72" t="s">
        <v>400</v>
      </c>
      <c r="BK1444" s="72"/>
    </row>
    <row r="1445" spans="1:63" s="607" customFormat="1" ht="131.25">
      <c r="A1445" s="89">
        <v>4</v>
      </c>
      <c r="B1445" s="72" t="s">
        <v>441</v>
      </c>
      <c r="C1445" s="72" t="s">
        <v>83</v>
      </c>
      <c r="D1445" s="72" t="s">
        <v>3592</v>
      </c>
      <c r="E1445" s="72" t="s">
        <v>163</v>
      </c>
      <c r="F1445" s="72" t="s">
        <v>395</v>
      </c>
      <c r="G1445" s="72">
        <v>7210000</v>
      </c>
      <c r="H1445" s="72">
        <v>625912</v>
      </c>
      <c r="I1445" s="72" t="s">
        <v>442</v>
      </c>
      <c r="J1445" s="72" t="s">
        <v>443</v>
      </c>
      <c r="K1445" s="72" t="s">
        <v>443</v>
      </c>
      <c r="L1445" s="72" t="s">
        <v>180</v>
      </c>
      <c r="M1445" s="72">
        <v>201050603</v>
      </c>
      <c r="N1445" s="72" t="s">
        <v>5877</v>
      </c>
      <c r="O1445" s="72" t="s">
        <v>398</v>
      </c>
      <c r="P1445" s="404">
        <v>10321</v>
      </c>
      <c r="Q1445" s="404">
        <f>P1445*1.18</f>
        <v>12178.779999999999</v>
      </c>
      <c r="R1445" s="404"/>
      <c r="S1445" s="72" t="s">
        <v>4798</v>
      </c>
      <c r="T1445" s="72"/>
      <c r="U1445" s="72"/>
      <c r="V1445" s="72"/>
      <c r="W1445" s="72"/>
      <c r="X1445" s="72"/>
      <c r="Y1445" s="404">
        <v>10321</v>
      </c>
      <c r="Z1445" s="404">
        <f>Y1445*1.18</f>
        <v>12178.779999999999</v>
      </c>
      <c r="AA1445" s="36" t="s">
        <v>132</v>
      </c>
      <c r="AB1445" s="36" t="s">
        <v>132</v>
      </c>
      <c r="AC1445" s="404">
        <v>10321</v>
      </c>
      <c r="AD1445" s="404">
        <f>AC1445*1.18</f>
        <v>12178.779999999999</v>
      </c>
      <c r="AE1445" s="72" t="s">
        <v>169</v>
      </c>
      <c r="AF1445" s="72" t="s">
        <v>83</v>
      </c>
      <c r="AG1445" s="72" t="s">
        <v>83</v>
      </c>
      <c r="AH1445" s="72" t="s">
        <v>90</v>
      </c>
      <c r="AI1445" s="405">
        <v>41699</v>
      </c>
      <c r="AJ1445" s="405">
        <v>41745</v>
      </c>
      <c r="AK1445" s="72"/>
      <c r="AL1445" s="72"/>
      <c r="AM1445" s="72" t="s">
        <v>442</v>
      </c>
      <c r="AN1445" s="72" t="s">
        <v>353</v>
      </c>
      <c r="AO1445" s="72">
        <v>796</v>
      </c>
      <c r="AP1445" s="72" t="s">
        <v>419</v>
      </c>
      <c r="AQ1445" s="72">
        <v>1</v>
      </c>
      <c r="AR1445" s="406">
        <v>45296559</v>
      </c>
      <c r="AS1445" s="72" t="s">
        <v>399</v>
      </c>
      <c r="AT1445" s="405">
        <v>41791</v>
      </c>
      <c r="AU1445" s="405">
        <v>41791</v>
      </c>
      <c r="AV1445" s="405">
        <v>42155</v>
      </c>
      <c r="AW1445" s="72" t="s">
        <v>99</v>
      </c>
      <c r="AX1445" s="72"/>
      <c r="AY1445" s="407"/>
      <c r="AZ1445" s="72"/>
      <c r="BA1445" s="72"/>
      <c r="BB1445" s="72"/>
      <c r="BC1445" s="72"/>
      <c r="BD1445" s="72"/>
      <c r="BE1445" s="72"/>
      <c r="BF1445" s="72"/>
      <c r="BG1445" s="72"/>
      <c r="BH1445" s="72"/>
      <c r="BI1445" s="72"/>
      <c r="BJ1445" s="72"/>
      <c r="BK1445" s="72"/>
    </row>
    <row r="1446" spans="1:63" s="607" customFormat="1" ht="131.25">
      <c r="A1446" s="89">
        <v>4</v>
      </c>
      <c r="B1446" s="72" t="s">
        <v>447</v>
      </c>
      <c r="C1446" s="72" t="s">
        <v>83</v>
      </c>
      <c r="D1446" s="72" t="s">
        <v>3592</v>
      </c>
      <c r="E1446" s="72" t="s">
        <v>163</v>
      </c>
      <c r="F1446" s="72" t="s">
        <v>395</v>
      </c>
      <c r="G1446" s="72">
        <v>7210000</v>
      </c>
      <c r="H1446" s="72">
        <v>625908</v>
      </c>
      <c r="I1446" s="72" t="s">
        <v>448</v>
      </c>
      <c r="J1446" s="72" t="s">
        <v>397</v>
      </c>
      <c r="K1446" s="72" t="s">
        <v>397</v>
      </c>
      <c r="L1446" s="72" t="s">
        <v>180</v>
      </c>
      <c r="M1446" s="72">
        <v>201050603</v>
      </c>
      <c r="N1446" s="72" t="s">
        <v>5877</v>
      </c>
      <c r="O1446" s="72" t="s">
        <v>398</v>
      </c>
      <c r="P1446" s="404">
        <v>4750</v>
      </c>
      <c r="Q1446" s="404">
        <f>P1446*1.18</f>
        <v>5605</v>
      </c>
      <c r="R1446" s="404"/>
      <c r="S1446" s="72" t="s">
        <v>4798</v>
      </c>
      <c r="T1446" s="72"/>
      <c r="U1446" s="72"/>
      <c r="V1446" s="72"/>
      <c r="W1446" s="72"/>
      <c r="X1446" s="72"/>
      <c r="Y1446" s="404">
        <v>4750</v>
      </c>
      <c r="Z1446" s="404">
        <f>Y1446*1.18</f>
        <v>5605</v>
      </c>
      <c r="AA1446" s="36" t="s">
        <v>132</v>
      </c>
      <c r="AB1446" s="36" t="s">
        <v>132</v>
      </c>
      <c r="AC1446" s="404">
        <v>4750</v>
      </c>
      <c r="AD1446" s="404">
        <f>AC1446*1.18</f>
        <v>5605</v>
      </c>
      <c r="AE1446" s="38" t="s">
        <v>173</v>
      </c>
      <c r="AF1446" s="72" t="s">
        <v>83</v>
      </c>
      <c r="AG1446" s="72" t="s">
        <v>83</v>
      </c>
      <c r="AH1446" s="72" t="s">
        <v>90</v>
      </c>
      <c r="AI1446" s="405">
        <v>41852</v>
      </c>
      <c r="AJ1446" s="405">
        <v>41883</v>
      </c>
      <c r="AK1446" s="72"/>
      <c r="AL1446" s="72"/>
      <c r="AM1446" s="72" t="s">
        <v>448</v>
      </c>
      <c r="AN1446" s="72" t="s">
        <v>353</v>
      </c>
      <c r="AO1446" s="72">
        <v>796</v>
      </c>
      <c r="AP1446" s="72" t="s">
        <v>419</v>
      </c>
      <c r="AQ1446" s="72">
        <v>1</v>
      </c>
      <c r="AR1446" s="406">
        <v>45296559</v>
      </c>
      <c r="AS1446" s="72" t="s">
        <v>399</v>
      </c>
      <c r="AT1446" s="405">
        <v>41973</v>
      </c>
      <c r="AU1446" s="405">
        <v>41974</v>
      </c>
      <c r="AV1446" s="405">
        <v>42308</v>
      </c>
      <c r="AW1446" s="72" t="s">
        <v>99</v>
      </c>
      <c r="AX1446" s="72"/>
      <c r="AY1446" s="407"/>
      <c r="AZ1446" s="72"/>
      <c r="BA1446" s="72"/>
      <c r="BB1446" s="72"/>
      <c r="BC1446" s="72"/>
      <c r="BD1446" s="72"/>
      <c r="BE1446" s="72"/>
      <c r="BF1446" s="72"/>
      <c r="BG1446" s="72"/>
      <c r="BH1446" s="72"/>
      <c r="BI1446" s="72"/>
      <c r="BJ1446" s="72"/>
      <c r="BK1446" s="72"/>
    </row>
    <row r="1447" spans="1:63" s="607" customFormat="1" ht="131.25">
      <c r="A1447" s="89">
        <v>4</v>
      </c>
      <c r="B1447" s="72" t="s">
        <v>467</v>
      </c>
      <c r="C1447" s="72" t="s">
        <v>83</v>
      </c>
      <c r="D1447" s="72" t="s">
        <v>4795</v>
      </c>
      <c r="E1447" s="72" t="s">
        <v>163</v>
      </c>
      <c r="F1447" s="72" t="s">
        <v>395</v>
      </c>
      <c r="G1447" s="72">
        <v>7244000</v>
      </c>
      <c r="H1447" s="72">
        <v>625817</v>
      </c>
      <c r="I1447" s="72" t="s">
        <v>468</v>
      </c>
      <c r="J1447" s="72" t="s">
        <v>452</v>
      </c>
      <c r="K1447" s="72" t="s">
        <v>452</v>
      </c>
      <c r="L1447" s="72" t="s">
        <v>180</v>
      </c>
      <c r="M1447" s="72">
        <v>201050602</v>
      </c>
      <c r="N1447" s="72" t="s">
        <v>5874</v>
      </c>
      <c r="O1447" s="72" t="s">
        <v>398</v>
      </c>
      <c r="P1447" s="404">
        <v>7154.1</v>
      </c>
      <c r="Q1447" s="404">
        <f>P1447*1.18</f>
        <v>8441.8379999999997</v>
      </c>
      <c r="R1447" s="404"/>
      <c r="S1447" s="72"/>
      <c r="T1447" s="72"/>
      <c r="U1447" s="72"/>
      <c r="V1447" s="72"/>
      <c r="W1447" s="72"/>
      <c r="X1447" s="72"/>
      <c r="Y1447" s="404">
        <v>7154.1</v>
      </c>
      <c r="Z1447" s="404">
        <f>Y1447*1.18</f>
        <v>8441.8379999999997</v>
      </c>
      <c r="AA1447" s="36" t="s">
        <v>132</v>
      </c>
      <c r="AB1447" s="36" t="s">
        <v>132</v>
      </c>
      <c r="AC1447" s="404">
        <v>7154.1</v>
      </c>
      <c r="AD1447" s="404">
        <f>AC1447*1.18</f>
        <v>8441.8379999999997</v>
      </c>
      <c r="AE1447" s="38" t="s">
        <v>173</v>
      </c>
      <c r="AF1447" s="72" t="s">
        <v>83</v>
      </c>
      <c r="AG1447" s="72" t="s">
        <v>83</v>
      </c>
      <c r="AH1447" s="72" t="s">
        <v>90</v>
      </c>
      <c r="AI1447" s="405">
        <v>41699</v>
      </c>
      <c r="AJ1447" s="405">
        <v>41745</v>
      </c>
      <c r="AK1447" s="72"/>
      <c r="AL1447" s="72"/>
      <c r="AM1447" s="72" t="s">
        <v>468</v>
      </c>
      <c r="AN1447" s="72" t="s">
        <v>353</v>
      </c>
      <c r="AO1447" s="72">
        <v>796</v>
      </c>
      <c r="AP1447" s="72" t="s">
        <v>419</v>
      </c>
      <c r="AQ1447" s="72">
        <v>1</v>
      </c>
      <c r="AR1447" s="406">
        <v>45296559</v>
      </c>
      <c r="AS1447" s="72" t="s">
        <v>399</v>
      </c>
      <c r="AT1447" s="405">
        <v>41791</v>
      </c>
      <c r="AU1447" s="405">
        <v>41791</v>
      </c>
      <c r="AV1447" s="405">
        <v>42156</v>
      </c>
      <c r="AW1447" s="72" t="s">
        <v>99</v>
      </c>
      <c r="AX1447" s="72"/>
      <c r="AY1447" s="407"/>
      <c r="AZ1447" s="72"/>
      <c r="BA1447" s="72"/>
      <c r="BB1447" s="72"/>
      <c r="BC1447" s="72"/>
      <c r="BD1447" s="72"/>
      <c r="BE1447" s="72"/>
      <c r="BF1447" s="72"/>
      <c r="BG1447" s="72"/>
      <c r="BH1447" s="72"/>
      <c r="BI1447" s="72"/>
      <c r="BJ1447" s="72" t="s">
        <v>400</v>
      </c>
      <c r="BK1447" s="72"/>
    </row>
    <row r="1448" spans="1:63" s="607" customFormat="1" ht="131.25">
      <c r="A1448" s="89">
        <v>4</v>
      </c>
      <c r="B1448" s="72" t="s">
        <v>444</v>
      </c>
      <c r="C1448" s="72" t="s">
        <v>83</v>
      </c>
      <c r="D1448" s="72" t="s">
        <v>3592</v>
      </c>
      <c r="E1448" s="72" t="s">
        <v>163</v>
      </c>
      <c r="F1448" s="72" t="s">
        <v>445</v>
      </c>
      <c r="G1448" s="72" t="s">
        <v>446</v>
      </c>
      <c r="H1448" s="72">
        <v>625910</v>
      </c>
      <c r="I1448" s="72" t="s">
        <v>4838</v>
      </c>
      <c r="J1448" s="72" t="s">
        <v>443</v>
      </c>
      <c r="K1448" s="72" t="s">
        <v>443</v>
      </c>
      <c r="L1448" s="72" t="s">
        <v>180</v>
      </c>
      <c r="M1448" s="72">
        <v>20105030102</v>
      </c>
      <c r="N1448" s="72" t="s">
        <v>433</v>
      </c>
      <c r="O1448" s="72" t="s">
        <v>398</v>
      </c>
      <c r="P1448" s="404">
        <v>67796.61</v>
      </c>
      <c r="Q1448" s="404">
        <f>P1448*1.18</f>
        <v>79999.999799999991</v>
      </c>
      <c r="R1448" s="404"/>
      <c r="S1448" s="72" t="s">
        <v>4798</v>
      </c>
      <c r="T1448" s="72"/>
      <c r="U1448" s="72"/>
      <c r="V1448" s="72"/>
      <c r="W1448" s="72"/>
      <c r="X1448" s="72"/>
      <c r="Y1448" s="404">
        <v>67796.61</v>
      </c>
      <c r="Z1448" s="404">
        <f>Y1448*1.18</f>
        <v>79999.999799999991</v>
      </c>
      <c r="AA1448" s="36" t="s">
        <v>132</v>
      </c>
      <c r="AB1448" s="36" t="s">
        <v>132</v>
      </c>
      <c r="AC1448" s="404">
        <v>67796.61</v>
      </c>
      <c r="AD1448" s="404">
        <f>AC1448*1.18</f>
        <v>79999.999799999991</v>
      </c>
      <c r="AE1448" s="72" t="s">
        <v>169</v>
      </c>
      <c r="AF1448" s="72" t="s">
        <v>83</v>
      </c>
      <c r="AG1448" s="72" t="s">
        <v>83</v>
      </c>
      <c r="AH1448" s="72" t="s">
        <v>90</v>
      </c>
      <c r="AI1448" s="405">
        <v>41671</v>
      </c>
      <c r="AJ1448" s="405">
        <v>41714</v>
      </c>
      <c r="AK1448" s="72"/>
      <c r="AL1448" s="72"/>
      <c r="AM1448" s="72" t="s">
        <v>4838</v>
      </c>
      <c r="AN1448" s="72" t="s">
        <v>353</v>
      </c>
      <c r="AO1448" s="72">
        <v>796</v>
      </c>
      <c r="AP1448" s="72" t="s">
        <v>419</v>
      </c>
      <c r="AQ1448" s="72">
        <v>1</v>
      </c>
      <c r="AR1448" s="406">
        <v>45296559</v>
      </c>
      <c r="AS1448" s="72" t="s">
        <v>399</v>
      </c>
      <c r="AT1448" s="405">
        <v>41730</v>
      </c>
      <c r="AU1448" s="405">
        <v>41730</v>
      </c>
      <c r="AV1448" s="405">
        <v>42369</v>
      </c>
      <c r="AW1448" s="72" t="s">
        <v>99</v>
      </c>
      <c r="AX1448" s="72"/>
      <c r="AY1448" s="407"/>
      <c r="AZ1448" s="72"/>
      <c r="BA1448" s="72"/>
      <c r="BB1448" s="72"/>
      <c r="BC1448" s="72"/>
      <c r="BD1448" s="72"/>
      <c r="BE1448" s="72"/>
      <c r="BF1448" s="72"/>
      <c r="BG1448" s="72"/>
      <c r="BH1448" s="72"/>
      <c r="BI1448" s="72"/>
      <c r="BJ1448" s="72"/>
      <c r="BK1448" s="72"/>
    </row>
    <row r="1449" spans="1:63" s="607" customFormat="1" ht="131.25">
      <c r="A1449" s="89">
        <v>4</v>
      </c>
      <c r="B1449" s="72" t="s">
        <v>436</v>
      </c>
      <c r="C1449" s="72" t="s">
        <v>83</v>
      </c>
      <c r="D1449" s="72" t="s">
        <v>3592</v>
      </c>
      <c r="E1449" s="72" t="s">
        <v>163</v>
      </c>
      <c r="F1449" s="72" t="s">
        <v>422</v>
      </c>
      <c r="G1449" s="72">
        <v>7260000</v>
      </c>
      <c r="H1449" s="72">
        <v>625851</v>
      </c>
      <c r="I1449" s="72" t="s">
        <v>437</v>
      </c>
      <c r="J1449" s="72" t="s">
        <v>428</v>
      </c>
      <c r="K1449" s="72" t="s">
        <v>428</v>
      </c>
      <c r="L1449" s="72" t="s">
        <v>180</v>
      </c>
      <c r="M1449" s="72">
        <v>20105030102</v>
      </c>
      <c r="N1449" s="72" t="s">
        <v>433</v>
      </c>
      <c r="O1449" s="72" t="s">
        <v>398</v>
      </c>
      <c r="P1449" s="404">
        <v>48176.639999999999</v>
      </c>
      <c r="Q1449" s="408">
        <v>48176.639999999999</v>
      </c>
      <c r="R1449" s="404"/>
      <c r="S1449" s="72" t="s">
        <v>4798</v>
      </c>
      <c r="T1449" s="72"/>
      <c r="U1449" s="72"/>
      <c r="V1449" s="72"/>
      <c r="W1449" s="72"/>
      <c r="X1449" s="72"/>
      <c r="Y1449" s="404">
        <v>48176.639999999999</v>
      </c>
      <c r="Z1449" s="408">
        <v>48176.639999999999</v>
      </c>
      <c r="AA1449" s="36" t="s">
        <v>132</v>
      </c>
      <c r="AB1449" s="36" t="s">
        <v>132</v>
      </c>
      <c r="AC1449" s="404">
        <v>48176.639999999999</v>
      </c>
      <c r="AD1449" s="408">
        <v>48176.639999999999</v>
      </c>
      <c r="AE1449" s="72" t="s">
        <v>169</v>
      </c>
      <c r="AF1449" s="72" t="s">
        <v>83</v>
      </c>
      <c r="AG1449" s="72" t="s">
        <v>83</v>
      </c>
      <c r="AH1449" s="72" t="s">
        <v>90</v>
      </c>
      <c r="AI1449" s="405">
        <v>41760</v>
      </c>
      <c r="AJ1449" s="405">
        <v>41807</v>
      </c>
      <c r="AK1449" s="72"/>
      <c r="AL1449" s="72"/>
      <c r="AM1449" s="72" t="s">
        <v>437</v>
      </c>
      <c r="AN1449" s="72" t="s">
        <v>353</v>
      </c>
      <c r="AO1449" s="72">
        <v>796</v>
      </c>
      <c r="AP1449" s="72" t="s">
        <v>419</v>
      </c>
      <c r="AQ1449" s="72">
        <v>1</v>
      </c>
      <c r="AR1449" s="406">
        <v>45296559</v>
      </c>
      <c r="AS1449" s="72" t="s">
        <v>399</v>
      </c>
      <c r="AT1449" s="405">
        <v>41821</v>
      </c>
      <c r="AU1449" s="405">
        <v>41852</v>
      </c>
      <c r="AV1449" s="405">
        <v>42004</v>
      </c>
      <c r="AW1449" s="72">
        <v>2014</v>
      </c>
      <c r="AX1449" s="72" t="s">
        <v>4887</v>
      </c>
      <c r="AY1449" s="407"/>
      <c r="AZ1449" s="72"/>
      <c r="BA1449" s="72"/>
      <c r="BB1449" s="72"/>
      <c r="BC1449" s="72"/>
      <c r="BD1449" s="72"/>
      <c r="BE1449" s="72"/>
      <c r="BF1449" s="72"/>
      <c r="BG1449" s="72"/>
      <c r="BH1449" s="72"/>
      <c r="BI1449" s="72"/>
      <c r="BJ1449" s="72" t="s">
        <v>400</v>
      </c>
      <c r="BK1449" s="72"/>
    </row>
    <row r="1450" spans="1:63" s="607" customFormat="1" ht="131.25">
      <c r="A1450" s="89">
        <v>4</v>
      </c>
      <c r="B1450" s="72" t="s">
        <v>449</v>
      </c>
      <c r="C1450" s="72" t="s">
        <v>83</v>
      </c>
      <c r="D1450" s="72" t="s">
        <v>3592</v>
      </c>
      <c r="E1450" s="72" t="s">
        <v>163</v>
      </c>
      <c r="F1450" s="72" t="s">
        <v>422</v>
      </c>
      <c r="G1450" s="72">
        <v>7220000</v>
      </c>
      <c r="H1450" s="72">
        <v>625906</v>
      </c>
      <c r="I1450" s="72" t="s">
        <v>4839</v>
      </c>
      <c r="J1450" s="72" t="s">
        <v>424</v>
      </c>
      <c r="K1450" s="72" t="s">
        <v>424</v>
      </c>
      <c r="L1450" s="72" t="s">
        <v>180</v>
      </c>
      <c r="M1450" s="72">
        <v>2021006</v>
      </c>
      <c r="N1450" s="72" t="s">
        <v>450</v>
      </c>
      <c r="O1450" s="72" t="s">
        <v>398</v>
      </c>
      <c r="P1450" s="404">
        <v>593.22</v>
      </c>
      <c r="Q1450" s="404">
        <f t="shared" ref="Q1450:Q1461" si="180">P1450*1.18</f>
        <v>699.99959999999999</v>
      </c>
      <c r="R1450" s="404"/>
      <c r="S1450" s="72" t="s">
        <v>4798</v>
      </c>
      <c r="T1450" s="72"/>
      <c r="U1450" s="72"/>
      <c r="V1450" s="72"/>
      <c r="W1450" s="72"/>
      <c r="X1450" s="72"/>
      <c r="Y1450" s="404">
        <v>593.22</v>
      </c>
      <c r="Z1450" s="404">
        <f t="shared" ref="Z1450:Z1461" si="181">Y1450*1.18</f>
        <v>699.99959999999999</v>
      </c>
      <c r="AA1450" s="36" t="s">
        <v>132</v>
      </c>
      <c r="AB1450" s="36" t="s">
        <v>132</v>
      </c>
      <c r="AC1450" s="404">
        <v>593.22</v>
      </c>
      <c r="AD1450" s="404">
        <f t="shared" ref="AD1450:AD1461" si="182">AC1450*1.18</f>
        <v>699.99959999999999</v>
      </c>
      <c r="AE1450" s="38" t="s">
        <v>173</v>
      </c>
      <c r="AF1450" s="72" t="s">
        <v>83</v>
      </c>
      <c r="AG1450" s="72" t="s">
        <v>83</v>
      </c>
      <c r="AH1450" s="72" t="s">
        <v>90</v>
      </c>
      <c r="AI1450" s="405">
        <v>41654</v>
      </c>
      <c r="AJ1450" s="405">
        <v>41685</v>
      </c>
      <c r="AK1450" s="72"/>
      <c r="AL1450" s="72"/>
      <c r="AM1450" s="72" t="s">
        <v>4839</v>
      </c>
      <c r="AN1450" s="72" t="s">
        <v>353</v>
      </c>
      <c r="AO1450" s="72">
        <v>796</v>
      </c>
      <c r="AP1450" s="72" t="s">
        <v>419</v>
      </c>
      <c r="AQ1450" s="72">
        <v>1</v>
      </c>
      <c r="AR1450" s="406">
        <v>45296559</v>
      </c>
      <c r="AS1450" s="72" t="s">
        <v>399</v>
      </c>
      <c r="AT1450" s="405">
        <v>41701</v>
      </c>
      <c r="AU1450" s="405">
        <v>41730</v>
      </c>
      <c r="AV1450" s="405">
        <v>42094</v>
      </c>
      <c r="AW1450" s="72" t="s">
        <v>99</v>
      </c>
      <c r="AX1450" s="72"/>
      <c r="AY1450" s="407"/>
      <c r="AZ1450" s="72"/>
      <c r="BA1450" s="72"/>
      <c r="BB1450" s="72"/>
      <c r="BC1450" s="72"/>
      <c r="BD1450" s="72"/>
      <c r="BE1450" s="72"/>
      <c r="BF1450" s="72"/>
      <c r="BG1450" s="72"/>
      <c r="BH1450" s="72"/>
      <c r="BI1450" s="72"/>
      <c r="BJ1450" s="72"/>
      <c r="BK1450" s="72"/>
    </row>
    <row r="1451" spans="1:63" s="607" customFormat="1" ht="131.25">
      <c r="A1451" s="89">
        <v>4</v>
      </c>
      <c r="B1451" s="72" t="s">
        <v>451</v>
      </c>
      <c r="C1451" s="72" t="s">
        <v>83</v>
      </c>
      <c r="D1451" s="72" t="s">
        <v>3592</v>
      </c>
      <c r="E1451" s="72" t="s">
        <v>163</v>
      </c>
      <c r="F1451" s="72" t="s">
        <v>440</v>
      </c>
      <c r="G1451" s="72" t="s">
        <v>431</v>
      </c>
      <c r="H1451" s="72">
        <v>625904</v>
      </c>
      <c r="I1451" s="72" t="s">
        <v>4840</v>
      </c>
      <c r="J1451" s="72" t="s">
        <v>452</v>
      </c>
      <c r="K1451" s="72" t="s">
        <v>452</v>
      </c>
      <c r="L1451" s="72" t="s">
        <v>180</v>
      </c>
      <c r="M1451" s="72">
        <v>2021006</v>
      </c>
      <c r="N1451" s="72" t="s">
        <v>450</v>
      </c>
      <c r="O1451" s="72" t="s">
        <v>398</v>
      </c>
      <c r="P1451" s="404">
        <v>10932.2</v>
      </c>
      <c r="Q1451" s="404">
        <f t="shared" si="180"/>
        <v>12899.996000000001</v>
      </c>
      <c r="R1451" s="404"/>
      <c r="S1451" s="72" t="s">
        <v>4798</v>
      </c>
      <c r="T1451" s="72"/>
      <c r="U1451" s="72"/>
      <c r="V1451" s="72"/>
      <c r="W1451" s="72"/>
      <c r="X1451" s="72"/>
      <c r="Y1451" s="404">
        <v>10932.2</v>
      </c>
      <c r="Z1451" s="404">
        <f t="shared" si="181"/>
        <v>12899.996000000001</v>
      </c>
      <c r="AA1451" s="36" t="s">
        <v>132</v>
      </c>
      <c r="AB1451" s="36" t="s">
        <v>132</v>
      </c>
      <c r="AC1451" s="404">
        <v>10932.2</v>
      </c>
      <c r="AD1451" s="404">
        <f t="shared" si="182"/>
        <v>12899.996000000001</v>
      </c>
      <c r="AE1451" s="72" t="s">
        <v>169</v>
      </c>
      <c r="AF1451" s="72" t="s">
        <v>83</v>
      </c>
      <c r="AG1451" s="72" t="s">
        <v>83</v>
      </c>
      <c r="AH1451" s="72" t="s">
        <v>90</v>
      </c>
      <c r="AI1451" s="405">
        <v>41659</v>
      </c>
      <c r="AJ1451" s="405">
        <v>41703</v>
      </c>
      <c r="AK1451" s="72"/>
      <c r="AL1451" s="72"/>
      <c r="AM1451" s="72" t="s">
        <v>4840</v>
      </c>
      <c r="AN1451" s="72" t="s">
        <v>353</v>
      </c>
      <c r="AO1451" s="72">
        <v>796</v>
      </c>
      <c r="AP1451" s="72" t="s">
        <v>419</v>
      </c>
      <c r="AQ1451" s="72">
        <v>1</v>
      </c>
      <c r="AR1451" s="406">
        <v>45296559</v>
      </c>
      <c r="AS1451" s="72" t="s">
        <v>399</v>
      </c>
      <c r="AT1451" s="405">
        <v>41722</v>
      </c>
      <c r="AU1451" s="405">
        <v>41730</v>
      </c>
      <c r="AV1451" s="405">
        <v>42093</v>
      </c>
      <c r="AW1451" s="72" t="s">
        <v>99</v>
      </c>
      <c r="AX1451" s="72"/>
      <c r="AY1451" s="407"/>
      <c r="AZ1451" s="72"/>
      <c r="BA1451" s="72"/>
      <c r="BB1451" s="72"/>
      <c r="BC1451" s="72"/>
      <c r="BD1451" s="72"/>
      <c r="BE1451" s="72"/>
      <c r="BF1451" s="72"/>
      <c r="BG1451" s="72"/>
      <c r="BH1451" s="72"/>
      <c r="BI1451" s="72"/>
      <c r="BJ1451" s="72"/>
      <c r="BK1451" s="72"/>
    </row>
    <row r="1452" spans="1:63" s="607" customFormat="1" ht="131.25">
      <c r="A1452" s="89">
        <v>4</v>
      </c>
      <c r="B1452" s="72" t="s">
        <v>454</v>
      </c>
      <c r="C1452" s="72" t="s">
        <v>83</v>
      </c>
      <c r="D1452" s="72" t="s">
        <v>3592</v>
      </c>
      <c r="E1452" s="72" t="s">
        <v>163</v>
      </c>
      <c r="F1452" s="72" t="s">
        <v>440</v>
      </c>
      <c r="G1452" s="72" t="s">
        <v>431</v>
      </c>
      <c r="H1452" s="72">
        <v>625902</v>
      </c>
      <c r="I1452" s="72" t="s">
        <v>455</v>
      </c>
      <c r="J1452" s="72" t="s">
        <v>397</v>
      </c>
      <c r="K1452" s="72" t="s">
        <v>397</v>
      </c>
      <c r="L1452" s="72" t="s">
        <v>180</v>
      </c>
      <c r="M1452" s="72">
        <v>20105030204</v>
      </c>
      <c r="N1452" s="72" t="s">
        <v>5875</v>
      </c>
      <c r="O1452" s="72" t="s">
        <v>398</v>
      </c>
      <c r="P1452" s="404">
        <v>3050.85</v>
      </c>
      <c r="Q1452" s="404">
        <f t="shared" si="180"/>
        <v>3600.0029999999997</v>
      </c>
      <c r="R1452" s="404"/>
      <c r="S1452" s="72" t="s">
        <v>4798</v>
      </c>
      <c r="T1452" s="72"/>
      <c r="U1452" s="72"/>
      <c r="V1452" s="72"/>
      <c r="W1452" s="72"/>
      <c r="X1452" s="72"/>
      <c r="Y1452" s="404">
        <v>3050.85</v>
      </c>
      <c r="Z1452" s="404">
        <f t="shared" si="181"/>
        <v>3600.0029999999997</v>
      </c>
      <c r="AA1452" s="36" t="s">
        <v>132</v>
      </c>
      <c r="AB1452" s="36" t="s">
        <v>132</v>
      </c>
      <c r="AC1452" s="404">
        <v>3050.85</v>
      </c>
      <c r="AD1452" s="404">
        <f t="shared" si="182"/>
        <v>3600.0029999999997</v>
      </c>
      <c r="AE1452" s="38" t="s">
        <v>173</v>
      </c>
      <c r="AF1452" s="72" t="s">
        <v>83</v>
      </c>
      <c r="AG1452" s="72" t="s">
        <v>83</v>
      </c>
      <c r="AH1452" s="72" t="s">
        <v>90</v>
      </c>
      <c r="AI1452" s="405">
        <v>41771</v>
      </c>
      <c r="AJ1452" s="405">
        <v>41802</v>
      </c>
      <c r="AK1452" s="72"/>
      <c r="AL1452" s="72"/>
      <c r="AM1452" s="72" t="s">
        <v>455</v>
      </c>
      <c r="AN1452" s="72" t="s">
        <v>353</v>
      </c>
      <c r="AO1452" s="72">
        <v>796</v>
      </c>
      <c r="AP1452" s="72" t="s">
        <v>419</v>
      </c>
      <c r="AQ1452" s="72">
        <v>1</v>
      </c>
      <c r="AR1452" s="406">
        <v>45296559</v>
      </c>
      <c r="AS1452" s="72" t="s">
        <v>399</v>
      </c>
      <c r="AT1452" s="405">
        <v>41852</v>
      </c>
      <c r="AU1452" s="405">
        <v>41852</v>
      </c>
      <c r="AV1452" s="405">
        <v>42186</v>
      </c>
      <c r="AW1452" s="72" t="s">
        <v>99</v>
      </c>
      <c r="AX1452" s="72"/>
      <c r="AY1452" s="407"/>
      <c r="AZ1452" s="72"/>
      <c r="BA1452" s="72"/>
      <c r="BB1452" s="72"/>
      <c r="BC1452" s="72"/>
      <c r="BD1452" s="72"/>
      <c r="BE1452" s="72"/>
      <c r="BF1452" s="72"/>
      <c r="BG1452" s="72"/>
      <c r="BH1452" s="72"/>
      <c r="BI1452" s="72"/>
      <c r="BJ1452" s="72"/>
      <c r="BK1452" s="72"/>
    </row>
    <row r="1453" spans="1:63" s="607" customFormat="1" ht="150">
      <c r="A1453" s="89">
        <v>4</v>
      </c>
      <c r="B1453" s="72" t="s">
        <v>456</v>
      </c>
      <c r="C1453" s="72" t="s">
        <v>83</v>
      </c>
      <c r="D1453" s="72" t="s">
        <v>3592</v>
      </c>
      <c r="E1453" s="72" t="s">
        <v>163</v>
      </c>
      <c r="F1453" s="72" t="s">
        <v>430</v>
      </c>
      <c r="G1453" s="72">
        <v>7243000</v>
      </c>
      <c r="H1453" s="72">
        <v>625900</v>
      </c>
      <c r="I1453" s="72" t="s">
        <v>4841</v>
      </c>
      <c r="J1453" s="72" t="s">
        <v>397</v>
      </c>
      <c r="K1453" s="72" t="s">
        <v>397</v>
      </c>
      <c r="L1453" s="72" t="s">
        <v>180</v>
      </c>
      <c r="M1453" s="72">
        <v>20105030204</v>
      </c>
      <c r="N1453" s="72" t="s">
        <v>5875</v>
      </c>
      <c r="O1453" s="72" t="s">
        <v>398</v>
      </c>
      <c r="P1453" s="404">
        <v>20898</v>
      </c>
      <c r="Q1453" s="404">
        <f t="shared" si="180"/>
        <v>24659.64</v>
      </c>
      <c r="R1453" s="404"/>
      <c r="S1453" s="72" t="s">
        <v>4798</v>
      </c>
      <c r="T1453" s="72"/>
      <c r="U1453" s="72"/>
      <c r="V1453" s="72"/>
      <c r="W1453" s="72"/>
      <c r="X1453" s="72"/>
      <c r="Y1453" s="404">
        <v>20898</v>
      </c>
      <c r="Z1453" s="404">
        <f t="shared" si="181"/>
        <v>24659.64</v>
      </c>
      <c r="AA1453" s="36" t="s">
        <v>132</v>
      </c>
      <c r="AB1453" s="36" t="s">
        <v>132</v>
      </c>
      <c r="AC1453" s="404">
        <v>20898</v>
      </c>
      <c r="AD1453" s="404">
        <f t="shared" si="182"/>
        <v>24659.64</v>
      </c>
      <c r="AE1453" s="72" t="s">
        <v>169</v>
      </c>
      <c r="AF1453" s="72" t="s">
        <v>83</v>
      </c>
      <c r="AG1453" s="72" t="s">
        <v>83</v>
      </c>
      <c r="AH1453" s="72" t="s">
        <v>90</v>
      </c>
      <c r="AI1453" s="405">
        <v>41730</v>
      </c>
      <c r="AJ1453" s="405">
        <v>41775</v>
      </c>
      <c r="AK1453" s="72"/>
      <c r="AL1453" s="72"/>
      <c r="AM1453" s="72" t="s">
        <v>4841</v>
      </c>
      <c r="AN1453" s="72" t="s">
        <v>353</v>
      </c>
      <c r="AO1453" s="72">
        <v>796</v>
      </c>
      <c r="AP1453" s="72" t="s">
        <v>419</v>
      </c>
      <c r="AQ1453" s="72">
        <v>1</v>
      </c>
      <c r="AR1453" s="406">
        <v>45296559</v>
      </c>
      <c r="AS1453" s="72" t="s">
        <v>399</v>
      </c>
      <c r="AT1453" s="405">
        <v>41806</v>
      </c>
      <c r="AU1453" s="405">
        <v>41821</v>
      </c>
      <c r="AV1453" s="405">
        <v>42551</v>
      </c>
      <c r="AW1453" s="72" t="s">
        <v>1789</v>
      </c>
      <c r="AX1453" s="72"/>
      <c r="AY1453" s="407"/>
      <c r="AZ1453" s="72"/>
      <c r="BA1453" s="72"/>
      <c r="BB1453" s="72"/>
      <c r="BC1453" s="72"/>
      <c r="BD1453" s="72"/>
      <c r="BE1453" s="72"/>
      <c r="BF1453" s="72"/>
      <c r="BG1453" s="72"/>
      <c r="BH1453" s="72"/>
      <c r="BI1453" s="72"/>
      <c r="BJ1453" s="72"/>
      <c r="BK1453" s="72"/>
    </row>
    <row r="1454" spans="1:63" s="607" customFormat="1" ht="131.25">
      <c r="A1454" s="89">
        <v>4</v>
      </c>
      <c r="B1454" s="72" t="s">
        <v>394</v>
      </c>
      <c r="C1454" s="72" t="s">
        <v>83</v>
      </c>
      <c r="D1454" s="72" t="s">
        <v>3592</v>
      </c>
      <c r="E1454" s="72" t="s">
        <v>163</v>
      </c>
      <c r="F1454" s="72" t="s">
        <v>395</v>
      </c>
      <c r="G1454" s="72">
        <v>7220000</v>
      </c>
      <c r="H1454" s="72">
        <v>625894</v>
      </c>
      <c r="I1454" s="72" t="s">
        <v>396</v>
      </c>
      <c r="J1454" s="72" t="s">
        <v>397</v>
      </c>
      <c r="K1454" s="72" t="s">
        <v>397</v>
      </c>
      <c r="L1454" s="72" t="s">
        <v>180</v>
      </c>
      <c r="M1454" s="72">
        <v>20105030204</v>
      </c>
      <c r="N1454" s="72" t="s">
        <v>5875</v>
      </c>
      <c r="O1454" s="72" t="s">
        <v>398</v>
      </c>
      <c r="P1454" s="404">
        <v>1483.05</v>
      </c>
      <c r="Q1454" s="404">
        <f t="shared" si="180"/>
        <v>1749.9989999999998</v>
      </c>
      <c r="R1454" s="404"/>
      <c r="S1454" s="72" t="s">
        <v>4798</v>
      </c>
      <c r="T1454" s="72"/>
      <c r="U1454" s="72"/>
      <c r="V1454" s="72"/>
      <c r="W1454" s="72"/>
      <c r="X1454" s="72"/>
      <c r="Y1454" s="404">
        <v>1483.05</v>
      </c>
      <c r="Z1454" s="404">
        <f t="shared" si="181"/>
        <v>1749.9989999999998</v>
      </c>
      <c r="AA1454" s="36" t="s">
        <v>132</v>
      </c>
      <c r="AB1454" s="36" t="s">
        <v>132</v>
      </c>
      <c r="AC1454" s="404">
        <v>1483.05</v>
      </c>
      <c r="AD1454" s="404">
        <f t="shared" si="182"/>
        <v>1749.9989999999998</v>
      </c>
      <c r="AE1454" s="38" t="s">
        <v>173</v>
      </c>
      <c r="AF1454" s="72" t="s">
        <v>83</v>
      </c>
      <c r="AG1454" s="72" t="s">
        <v>83</v>
      </c>
      <c r="AH1454" s="72" t="s">
        <v>90</v>
      </c>
      <c r="AI1454" s="405">
        <v>41746</v>
      </c>
      <c r="AJ1454" s="405">
        <v>41776</v>
      </c>
      <c r="AK1454" s="72"/>
      <c r="AL1454" s="72"/>
      <c r="AM1454" s="72" t="s">
        <v>396</v>
      </c>
      <c r="AN1454" s="72" t="s">
        <v>353</v>
      </c>
      <c r="AO1454" s="72">
        <v>796</v>
      </c>
      <c r="AP1454" s="72" t="s">
        <v>419</v>
      </c>
      <c r="AQ1454" s="72">
        <v>1</v>
      </c>
      <c r="AR1454" s="406">
        <v>45296559</v>
      </c>
      <c r="AS1454" s="72" t="s">
        <v>399</v>
      </c>
      <c r="AT1454" s="405">
        <v>41805</v>
      </c>
      <c r="AU1454" s="405">
        <v>41821</v>
      </c>
      <c r="AV1454" s="405">
        <v>42551</v>
      </c>
      <c r="AW1454" s="72" t="s">
        <v>1789</v>
      </c>
      <c r="AX1454" s="72"/>
      <c r="AY1454" s="407"/>
      <c r="AZ1454" s="72"/>
      <c r="BA1454" s="72"/>
      <c r="BB1454" s="72"/>
      <c r="BC1454" s="72"/>
      <c r="BD1454" s="72"/>
      <c r="BE1454" s="72"/>
      <c r="BF1454" s="72"/>
      <c r="BG1454" s="72"/>
      <c r="BH1454" s="72"/>
      <c r="BI1454" s="72"/>
      <c r="BJ1454" s="72"/>
      <c r="BK1454" s="72"/>
    </row>
    <row r="1455" spans="1:63" s="607" customFormat="1" ht="131.25">
      <c r="A1455" s="89">
        <v>4</v>
      </c>
      <c r="B1455" s="72" t="s">
        <v>401</v>
      </c>
      <c r="C1455" s="72" t="s">
        <v>83</v>
      </c>
      <c r="D1455" s="72" t="s">
        <v>3592</v>
      </c>
      <c r="E1455" s="72" t="s">
        <v>163</v>
      </c>
      <c r="F1455" s="72" t="s">
        <v>395</v>
      </c>
      <c r="G1455" s="72">
        <v>7250000</v>
      </c>
      <c r="H1455" s="72">
        <v>625893</v>
      </c>
      <c r="I1455" s="72" t="s">
        <v>402</v>
      </c>
      <c r="J1455" s="72" t="s">
        <v>397</v>
      </c>
      <c r="K1455" s="72" t="s">
        <v>397</v>
      </c>
      <c r="L1455" s="72" t="s">
        <v>180</v>
      </c>
      <c r="M1455" s="72">
        <v>20105030204</v>
      </c>
      <c r="N1455" s="72" t="s">
        <v>5875</v>
      </c>
      <c r="O1455" s="72" t="s">
        <v>398</v>
      </c>
      <c r="P1455" s="404">
        <v>7838.98</v>
      </c>
      <c r="Q1455" s="404">
        <f t="shared" si="180"/>
        <v>9249.9963999999982</v>
      </c>
      <c r="R1455" s="404"/>
      <c r="S1455" s="72" t="s">
        <v>4798</v>
      </c>
      <c r="T1455" s="72"/>
      <c r="U1455" s="72"/>
      <c r="V1455" s="72"/>
      <c r="W1455" s="72"/>
      <c r="X1455" s="72"/>
      <c r="Y1455" s="404">
        <v>7838.98</v>
      </c>
      <c r="Z1455" s="404">
        <f t="shared" si="181"/>
        <v>9249.9963999999982</v>
      </c>
      <c r="AA1455" s="36" t="s">
        <v>132</v>
      </c>
      <c r="AB1455" s="36" t="s">
        <v>132</v>
      </c>
      <c r="AC1455" s="404">
        <v>7838.98</v>
      </c>
      <c r="AD1455" s="404">
        <f t="shared" si="182"/>
        <v>9249.9963999999982</v>
      </c>
      <c r="AE1455" s="38" t="s">
        <v>173</v>
      </c>
      <c r="AF1455" s="72" t="s">
        <v>83</v>
      </c>
      <c r="AG1455" s="72" t="s">
        <v>83</v>
      </c>
      <c r="AH1455" s="72" t="s">
        <v>90</v>
      </c>
      <c r="AI1455" s="405">
        <v>41807</v>
      </c>
      <c r="AJ1455" s="405">
        <v>41837</v>
      </c>
      <c r="AK1455" s="72"/>
      <c r="AL1455" s="72"/>
      <c r="AM1455" s="72" t="s">
        <v>402</v>
      </c>
      <c r="AN1455" s="72" t="s">
        <v>353</v>
      </c>
      <c r="AO1455" s="72">
        <v>796</v>
      </c>
      <c r="AP1455" s="72" t="s">
        <v>419</v>
      </c>
      <c r="AQ1455" s="72">
        <v>1</v>
      </c>
      <c r="AR1455" s="406">
        <v>45296559</v>
      </c>
      <c r="AS1455" s="72" t="s">
        <v>399</v>
      </c>
      <c r="AT1455" s="405">
        <v>41851</v>
      </c>
      <c r="AU1455" s="405">
        <v>41852</v>
      </c>
      <c r="AV1455" s="405">
        <v>42216</v>
      </c>
      <c r="AW1455" s="72" t="s">
        <v>99</v>
      </c>
      <c r="AX1455" s="72"/>
      <c r="AY1455" s="407"/>
      <c r="AZ1455" s="72"/>
      <c r="BA1455" s="72"/>
      <c r="BB1455" s="72"/>
      <c r="BC1455" s="72"/>
      <c r="BD1455" s="72"/>
      <c r="BE1455" s="72"/>
      <c r="BF1455" s="72"/>
      <c r="BG1455" s="72"/>
      <c r="BH1455" s="72"/>
      <c r="BI1455" s="72"/>
      <c r="BJ1455" s="72"/>
      <c r="BK1455" s="72"/>
    </row>
    <row r="1456" spans="1:63" s="607" customFormat="1" ht="131.25">
      <c r="A1456" s="89">
        <v>4</v>
      </c>
      <c r="B1456" s="72" t="s">
        <v>405</v>
      </c>
      <c r="C1456" s="72" t="s">
        <v>83</v>
      </c>
      <c r="D1456" s="72" t="s">
        <v>3592</v>
      </c>
      <c r="E1456" s="72" t="s">
        <v>163</v>
      </c>
      <c r="F1456" s="72" t="s">
        <v>395</v>
      </c>
      <c r="G1456" s="72">
        <v>7220000</v>
      </c>
      <c r="H1456" s="72">
        <v>625891</v>
      </c>
      <c r="I1456" s="72" t="s">
        <v>406</v>
      </c>
      <c r="J1456" s="72" t="s">
        <v>397</v>
      </c>
      <c r="K1456" s="72" t="s">
        <v>397</v>
      </c>
      <c r="L1456" s="72" t="s">
        <v>180</v>
      </c>
      <c r="M1456" s="72">
        <v>20105030204</v>
      </c>
      <c r="N1456" s="72" t="s">
        <v>5875</v>
      </c>
      <c r="O1456" s="72" t="s">
        <v>398</v>
      </c>
      <c r="P1456" s="404">
        <v>2288.1350000000002</v>
      </c>
      <c r="Q1456" s="404">
        <f t="shared" si="180"/>
        <v>2699.9992999999999</v>
      </c>
      <c r="R1456" s="404"/>
      <c r="S1456" s="72" t="s">
        <v>4798</v>
      </c>
      <c r="T1456" s="72"/>
      <c r="U1456" s="72"/>
      <c r="V1456" s="72"/>
      <c r="W1456" s="72"/>
      <c r="X1456" s="72"/>
      <c r="Y1456" s="404">
        <v>2288.1350000000002</v>
      </c>
      <c r="Z1456" s="404">
        <f t="shared" si="181"/>
        <v>2699.9992999999999</v>
      </c>
      <c r="AA1456" s="36" t="s">
        <v>132</v>
      </c>
      <c r="AB1456" s="36" t="s">
        <v>132</v>
      </c>
      <c r="AC1456" s="404">
        <v>2288.1350000000002</v>
      </c>
      <c r="AD1456" s="404">
        <f t="shared" si="182"/>
        <v>2699.9992999999999</v>
      </c>
      <c r="AE1456" s="38" t="s">
        <v>173</v>
      </c>
      <c r="AF1456" s="72" t="s">
        <v>83</v>
      </c>
      <c r="AG1456" s="72" t="s">
        <v>83</v>
      </c>
      <c r="AH1456" s="72" t="s">
        <v>90</v>
      </c>
      <c r="AI1456" s="405">
        <v>41654</v>
      </c>
      <c r="AJ1456" s="405">
        <v>41685</v>
      </c>
      <c r="AK1456" s="72"/>
      <c r="AL1456" s="72"/>
      <c r="AM1456" s="72" t="s">
        <v>406</v>
      </c>
      <c r="AN1456" s="72" t="s">
        <v>353</v>
      </c>
      <c r="AO1456" s="72">
        <v>796</v>
      </c>
      <c r="AP1456" s="72" t="s">
        <v>419</v>
      </c>
      <c r="AQ1456" s="72">
        <v>1</v>
      </c>
      <c r="AR1456" s="406">
        <v>45296559</v>
      </c>
      <c r="AS1456" s="72" t="s">
        <v>399</v>
      </c>
      <c r="AT1456" s="405">
        <v>41705</v>
      </c>
      <c r="AU1456" s="405">
        <v>41730</v>
      </c>
      <c r="AV1456" s="405">
        <v>42094</v>
      </c>
      <c r="AW1456" s="72" t="s">
        <v>99</v>
      </c>
      <c r="AX1456" s="72"/>
      <c r="AY1456" s="407"/>
      <c r="AZ1456" s="72"/>
      <c r="BA1456" s="72"/>
      <c r="BB1456" s="72"/>
      <c r="BC1456" s="72"/>
      <c r="BD1456" s="72"/>
      <c r="BE1456" s="72"/>
      <c r="BF1456" s="72"/>
      <c r="BG1456" s="72"/>
      <c r="BH1456" s="72"/>
      <c r="BI1456" s="72"/>
      <c r="BJ1456" s="72"/>
      <c r="BK1456" s="72"/>
    </row>
    <row r="1457" spans="1:63" s="607" customFormat="1" ht="131.25">
      <c r="A1457" s="89">
        <v>4</v>
      </c>
      <c r="B1457" s="72" t="s">
        <v>407</v>
      </c>
      <c r="C1457" s="72" t="s">
        <v>83</v>
      </c>
      <c r="D1457" s="72" t="s">
        <v>3592</v>
      </c>
      <c r="E1457" s="72" t="s">
        <v>163</v>
      </c>
      <c r="F1457" s="72" t="s">
        <v>395</v>
      </c>
      <c r="G1457" s="72">
        <v>7220000</v>
      </c>
      <c r="H1457" s="72">
        <v>625890</v>
      </c>
      <c r="I1457" s="72" t="s">
        <v>408</v>
      </c>
      <c r="J1457" s="72" t="s">
        <v>397</v>
      </c>
      <c r="K1457" s="72" t="s">
        <v>397</v>
      </c>
      <c r="L1457" s="72" t="s">
        <v>180</v>
      </c>
      <c r="M1457" s="72">
        <v>20105030204</v>
      </c>
      <c r="N1457" s="72" t="s">
        <v>5875</v>
      </c>
      <c r="O1457" s="72" t="s">
        <v>398</v>
      </c>
      <c r="P1457" s="404">
        <v>5889.83</v>
      </c>
      <c r="Q1457" s="404">
        <f t="shared" si="180"/>
        <v>6949.9993999999997</v>
      </c>
      <c r="R1457" s="404"/>
      <c r="S1457" s="72" t="s">
        <v>4798</v>
      </c>
      <c r="T1457" s="72"/>
      <c r="U1457" s="72"/>
      <c r="V1457" s="72"/>
      <c r="W1457" s="72"/>
      <c r="X1457" s="72"/>
      <c r="Y1457" s="404">
        <v>5889.83</v>
      </c>
      <c r="Z1457" s="404">
        <f t="shared" si="181"/>
        <v>6949.9993999999997</v>
      </c>
      <c r="AA1457" s="36" t="s">
        <v>132</v>
      </c>
      <c r="AB1457" s="36" t="s">
        <v>132</v>
      </c>
      <c r="AC1457" s="404">
        <v>5889.83</v>
      </c>
      <c r="AD1457" s="404">
        <f t="shared" si="182"/>
        <v>6949.9993999999997</v>
      </c>
      <c r="AE1457" s="38" t="s">
        <v>173</v>
      </c>
      <c r="AF1457" s="72" t="s">
        <v>83</v>
      </c>
      <c r="AG1457" s="72" t="s">
        <v>83</v>
      </c>
      <c r="AH1457" s="72" t="s">
        <v>90</v>
      </c>
      <c r="AI1457" s="405">
        <v>41685</v>
      </c>
      <c r="AJ1457" s="405">
        <v>41713</v>
      </c>
      <c r="AK1457" s="72"/>
      <c r="AL1457" s="72"/>
      <c r="AM1457" s="72" t="s">
        <v>408</v>
      </c>
      <c r="AN1457" s="72" t="s">
        <v>353</v>
      </c>
      <c r="AO1457" s="72">
        <v>796</v>
      </c>
      <c r="AP1457" s="72" t="s">
        <v>419</v>
      </c>
      <c r="AQ1457" s="72">
        <v>1</v>
      </c>
      <c r="AR1457" s="406">
        <v>45296559</v>
      </c>
      <c r="AS1457" s="72" t="s">
        <v>399</v>
      </c>
      <c r="AT1457" s="405">
        <v>41726</v>
      </c>
      <c r="AU1457" s="405">
        <v>41730</v>
      </c>
      <c r="AV1457" s="405">
        <v>42094</v>
      </c>
      <c r="AW1457" s="72" t="s">
        <v>99</v>
      </c>
      <c r="AX1457" s="72"/>
      <c r="AY1457" s="407"/>
      <c r="AZ1457" s="72"/>
      <c r="BA1457" s="72"/>
      <c r="BB1457" s="72"/>
      <c r="BC1457" s="72"/>
      <c r="BD1457" s="72"/>
      <c r="BE1457" s="72"/>
      <c r="BF1457" s="72"/>
      <c r="BG1457" s="72"/>
      <c r="BH1457" s="72"/>
      <c r="BI1457" s="72"/>
      <c r="BJ1457" s="72"/>
      <c r="BK1457" s="72"/>
    </row>
    <row r="1458" spans="1:63" s="607" customFormat="1" ht="131.25">
      <c r="A1458" s="89">
        <v>4</v>
      </c>
      <c r="B1458" s="72" t="s">
        <v>409</v>
      </c>
      <c r="C1458" s="72" t="s">
        <v>83</v>
      </c>
      <c r="D1458" s="72" t="s">
        <v>3592</v>
      </c>
      <c r="E1458" s="72" t="s">
        <v>163</v>
      </c>
      <c r="F1458" s="72" t="s">
        <v>395</v>
      </c>
      <c r="G1458" s="72">
        <v>7210000</v>
      </c>
      <c r="H1458" s="72">
        <v>625889</v>
      </c>
      <c r="I1458" s="72" t="s">
        <v>410</v>
      </c>
      <c r="J1458" s="72" t="s">
        <v>397</v>
      </c>
      <c r="K1458" s="72" t="s">
        <v>397</v>
      </c>
      <c r="L1458" s="72" t="s">
        <v>180</v>
      </c>
      <c r="M1458" s="72">
        <v>20105030204</v>
      </c>
      <c r="N1458" s="72" t="s">
        <v>5875</v>
      </c>
      <c r="O1458" s="72" t="s">
        <v>398</v>
      </c>
      <c r="P1458" s="404">
        <v>2711.8649999999998</v>
      </c>
      <c r="Q1458" s="404">
        <f t="shared" si="180"/>
        <v>3200.0006999999996</v>
      </c>
      <c r="R1458" s="404"/>
      <c r="S1458" s="72" t="s">
        <v>4798</v>
      </c>
      <c r="T1458" s="72"/>
      <c r="U1458" s="72"/>
      <c r="V1458" s="72"/>
      <c r="W1458" s="72"/>
      <c r="X1458" s="72"/>
      <c r="Y1458" s="404">
        <v>2711.8649999999998</v>
      </c>
      <c r="Z1458" s="404">
        <f t="shared" si="181"/>
        <v>3200.0006999999996</v>
      </c>
      <c r="AA1458" s="36" t="s">
        <v>132</v>
      </c>
      <c r="AB1458" s="36" t="s">
        <v>132</v>
      </c>
      <c r="AC1458" s="404">
        <v>2711.8649999999998</v>
      </c>
      <c r="AD1458" s="404">
        <f t="shared" si="182"/>
        <v>3200.0006999999996</v>
      </c>
      <c r="AE1458" s="38" t="s">
        <v>173</v>
      </c>
      <c r="AF1458" s="72" t="s">
        <v>83</v>
      </c>
      <c r="AG1458" s="72" t="s">
        <v>83</v>
      </c>
      <c r="AH1458" s="72" t="s">
        <v>90</v>
      </c>
      <c r="AI1458" s="405">
        <v>41744</v>
      </c>
      <c r="AJ1458" s="405">
        <v>41774</v>
      </c>
      <c r="AK1458" s="72"/>
      <c r="AL1458" s="72"/>
      <c r="AM1458" s="72" t="s">
        <v>410</v>
      </c>
      <c r="AN1458" s="72" t="s">
        <v>353</v>
      </c>
      <c r="AO1458" s="72">
        <v>796</v>
      </c>
      <c r="AP1458" s="72" t="s">
        <v>419</v>
      </c>
      <c r="AQ1458" s="72">
        <v>1</v>
      </c>
      <c r="AR1458" s="406">
        <v>45296559</v>
      </c>
      <c r="AS1458" s="72" t="s">
        <v>399</v>
      </c>
      <c r="AT1458" s="405">
        <v>41820</v>
      </c>
      <c r="AU1458" s="405">
        <v>41821</v>
      </c>
      <c r="AV1458" s="405">
        <v>42551</v>
      </c>
      <c r="AW1458" s="72" t="s">
        <v>1789</v>
      </c>
      <c r="AX1458" s="72"/>
      <c r="AY1458" s="407"/>
      <c r="AZ1458" s="72"/>
      <c r="BA1458" s="72"/>
      <c r="BB1458" s="72"/>
      <c r="BC1458" s="72"/>
      <c r="BD1458" s="72"/>
      <c r="BE1458" s="72"/>
      <c r="BF1458" s="72"/>
      <c r="BG1458" s="72"/>
      <c r="BH1458" s="72"/>
      <c r="BI1458" s="72"/>
      <c r="BJ1458" s="72"/>
      <c r="BK1458" s="72"/>
    </row>
    <row r="1459" spans="1:63" s="607" customFormat="1" ht="131.25">
      <c r="A1459" s="89">
        <v>4</v>
      </c>
      <c r="B1459" s="72" t="s">
        <v>411</v>
      </c>
      <c r="C1459" s="72" t="s">
        <v>83</v>
      </c>
      <c r="D1459" s="72" t="s">
        <v>3592</v>
      </c>
      <c r="E1459" s="72" t="s">
        <v>163</v>
      </c>
      <c r="F1459" s="72" t="s">
        <v>395</v>
      </c>
      <c r="G1459" s="72">
        <v>7210000</v>
      </c>
      <c r="H1459" s="72">
        <v>625888</v>
      </c>
      <c r="I1459" s="72" t="s">
        <v>412</v>
      </c>
      <c r="J1459" s="72" t="s">
        <v>397</v>
      </c>
      <c r="K1459" s="72" t="s">
        <v>397</v>
      </c>
      <c r="L1459" s="72" t="s">
        <v>180</v>
      </c>
      <c r="M1459" s="72">
        <v>20105030204</v>
      </c>
      <c r="N1459" s="72" t="s">
        <v>5875</v>
      </c>
      <c r="O1459" s="72" t="s">
        <v>398</v>
      </c>
      <c r="P1459" s="404">
        <v>2525.42</v>
      </c>
      <c r="Q1459" s="404">
        <f t="shared" si="180"/>
        <v>2979.9955999999997</v>
      </c>
      <c r="R1459" s="404"/>
      <c r="S1459" s="72" t="s">
        <v>4798</v>
      </c>
      <c r="T1459" s="72"/>
      <c r="U1459" s="72"/>
      <c r="V1459" s="72"/>
      <c r="W1459" s="72"/>
      <c r="X1459" s="72"/>
      <c r="Y1459" s="404">
        <v>2525.42</v>
      </c>
      <c r="Z1459" s="404">
        <f t="shared" si="181"/>
        <v>2979.9955999999997</v>
      </c>
      <c r="AA1459" s="36" t="s">
        <v>132</v>
      </c>
      <c r="AB1459" s="36" t="s">
        <v>132</v>
      </c>
      <c r="AC1459" s="404">
        <v>2525.42</v>
      </c>
      <c r="AD1459" s="404">
        <f t="shared" si="182"/>
        <v>2979.9955999999997</v>
      </c>
      <c r="AE1459" s="38" t="s">
        <v>173</v>
      </c>
      <c r="AF1459" s="72" t="s">
        <v>83</v>
      </c>
      <c r="AG1459" s="72" t="s">
        <v>83</v>
      </c>
      <c r="AH1459" s="72" t="s">
        <v>90</v>
      </c>
      <c r="AI1459" s="405">
        <v>41744</v>
      </c>
      <c r="AJ1459" s="405">
        <v>41774</v>
      </c>
      <c r="AK1459" s="72"/>
      <c r="AL1459" s="72"/>
      <c r="AM1459" s="72" t="s">
        <v>412</v>
      </c>
      <c r="AN1459" s="72" t="s">
        <v>353</v>
      </c>
      <c r="AO1459" s="72">
        <v>796</v>
      </c>
      <c r="AP1459" s="72" t="s">
        <v>419</v>
      </c>
      <c r="AQ1459" s="72">
        <v>1</v>
      </c>
      <c r="AR1459" s="406">
        <v>45296559</v>
      </c>
      <c r="AS1459" s="72" t="s">
        <v>399</v>
      </c>
      <c r="AT1459" s="405">
        <v>41820</v>
      </c>
      <c r="AU1459" s="405">
        <v>41821</v>
      </c>
      <c r="AV1459" s="405">
        <v>42551</v>
      </c>
      <c r="AW1459" s="72" t="s">
        <v>1789</v>
      </c>
      <c r="AX1459" s="72"/>
      <c r="AY1459" s="407"/>
      <c r="AZ1459" s="72"/>
      <c r="BA1459" s="72"/>
      <c r="BB1459" s="72"/>
      <c r="BC1459" s="72"/>
      <c r="BD1459" s="72"/>
      <c r="BE1459" s="72"/>
      <c r="BF1459" s="72"/>
      <c r="BG1459" s="72"/>
      <c r="BH1459" s="72"/>
      <c r="BI1459" s="72"/>
      <c r="BJ1459" s="72"/>
      <c r="BK1459" s="72"/>
    </row>
    <row r="1460" spans="1:63" s="607" customFormat="1" ht="131.25">
      <c r="A1460" s="89">
        <v>4</v>
      </c>
      <c r="B1460" s="72" t="s">
        <v>413</v>
      </c>
      <c r="C1460" s="72" t="s">
        <v>83</v>
      </c>
      <c r="D1460" s="72" t="s">
        <v>3592</v>
      </c>
      <c r="E1460" s="72" t="s">
        <v>163</v>
      </c>
      <c r="F1460" s="72" t="s">
        <v>395</v>
      </c>
      <c r="G1460" s="72">
        <v>7220000</v>
      </c>
      <c r="H1460" s="72">
        <v>625887</v>
      </c>
      <c r="I1460" s="72" t="s">
        <v>414</v>
      </c>
      <c r="J1460" s="72" t="s">
        <v>397</v>
      </c>
      <c r="K1460" s="72" t="s">
        <v>397</v>
      </c>
      <c r="L1460" s="72" t="s">
        <v>180</v>
      </c>
      <c r="M1460" s="72">
        <v>20105030204</v>
      </c>
      <c r="N1460" s="72" t="s">
        <v>5875</v>
      </c>
      <c r="O1460" s="72" t="s">
        <v>398</v>
      </c>
      <c r="P1460" s="404">
        <v>3347.46</v>
      </c>
      <c r="Q1460" s="404">
        <f t="shared" si="180"/>
        <v>3950.0027999999998</v>
      </c>
      <c r="R1460" s="404"/>
      <c r="S1460" s="72" t="s">
        <v>4798</v>
      </c>
      <c r="T1460" s="72"/>
      <c r="U1460" s="72"/>
      <c r="V1460" s="72"/>
      <c r="W1460" s="72"/>
      <c r="X1460" s="72"/>
      <c r="Y1460" s="404">
        <v>3347.46</v>
      </c>
      <c r="Z1460" s="404">
        <f t="shared" si="181"/>
        <v>3950.0027999999998</v>
      </c>
      <c r="AA1460" s="36" t="s">
        <v>132</v>
      </c>
      <c r="AB1460" s="36" t="s">
        <v>132</v>
      </c>
      <c r="AC1460" s="404">
        <v>3347.46</v>
      </c>
      <c r="AD1460" s="404">
        <f t="shared" si="182"/>
        <v>3950.0027999999998</v>
      </c>
      <c r="AE1460" s="38" t="s">
        <v>173</v>
      </c>
      <c r="AF1460" s="72" t="s">
        <v>83</v>
      </c>
      <c r="AG1460" s="72" t="s">
        <v>83</v>
      </c>
      <c r="AH1460" s="72" t="s">
        <v>90</v>
      </c>
      <c r="AI1460" s="405">
        <v>41661</v>
      </c>
      <c r="AJ1460" s="405">
        <v>41692</v>
      </c>
      <c r="AK1460" s="72"/>
      <c r="AL1460" s="72"/>
      <c r="AM1460" s="72" t="s">
        <v>414</v>
      </c>
      <c r="AN1460" s="72" t="s">
        <v>353</v>
      </c>
      <c r="AO1460" s="72">
        <v>796</v>
      </c>
      <c r="AP1460" s="72" t="s">
        <v>419</v>
      </c>
      <c r="AQ1460" s="72">
        <v>1</v>
      </c>
      <c r="AR1460" s="406">
        <v>45296559</v>
      </c>
      <c r="AS1460" s="72" t="s">
        <v>399</v>
      </c>
      <c r="AT1460" s="405">
        <v>41726</v>
      </c>
      <c r="AU1460" s="405">
        <v>41730</v>
      </c>
      <c r="AV1460" s="405">
        <v>42095</v>
      </c>
      <c r="AW1460" s="72" t="s">
        <v>99</v>
      </c>
      <c r="AX1460" s="72"/>
      <c r="AY1460" s="407"/>
      <c r="AZ1460" s="72"/>
      <c r="BA1460" s="72"/>
      <c r="BB1460" s="72"/>
      <c r="BC1460" s="72"/>
      <c r="BD1460" s="72"/>
      <c r="BE1460" s="72"/>
      <c r="BF1460" s="72"/>
      <c r="BG1460" s="72"/>
      <c r="BH1460" s="72"/>
      <c r="BI1460" s="72"/>
      <c r="BJ1460" s="72"/>
      <c r="BK1460" s="72"/>
    </row>
    <row r="1461" spans="1:63" s="607" customFormat="1" ht="131.25">
      <c r="A1461" s="89">
        <v>4</v>
      </c>
      <c r="B1461" s="72" t="s">
        <v>415</v>
      </c>
      <c r="C1461" s="72" t="s">
        <v>83</v>
      </c>
      <c r="D1461" s="72" t="s">
        <v>3592</v>
      </c>
      <c r="E1461" s="72" t="s">
        <v>163</v>
      </c>
      <c r="F1461" s="72" t="s">
        <v>395</v>
      </c>
      <c r="G1461" s="72">
        <v>7220000</v>
      </c>
      <c r="H1461" s="72">
        <v>625886</v>
      </c>
      <c r="I1461" s="72" t="s">
        <v>416</v>
      </c>
      <c r="J1461" s="72" t="s">
        <v>397</v>
      </c>
      <c r="K1461" s="72" t="s">
        <v>397</v>
      </c>
      <c r="L1461" s="72" t="s">
        <v>180</v>
      </c>
      <c r="M1461" s="72">
        <v>20105030204</v>
      </c>
      <c r="N1461" s="72" t="s">
        <v>5875</v>
      </c>
      <c r="O1461" s="72" t="s">
        <v>398</v>
      </c>
      <c r="P1461" s="404">
        <v>1525.42</v>
      </c>
      <c r="Q1461" s="404">
        <f t="shared" si="180"/>
        <v>1799.9956</v>
      </c>
      <c r="R1461" s="404"/>
      <c r="S1461" s="72" t="s">
        <v>4798</v>
      </c>
      <c r="T1461" s="72"/>
      <c r="U1461" s="72"/>
      <c r="V1461" s="72"/>
      <c r="W1461" s="72"/>
      <c r="X1461" s="72"/>
      <c r="Y1461" s="404">
        <v>1525.42</v>
      </c>
      <c r="Z1461" s="404">
        <f t="shared" si="181"/>
        <v>1799.9956</v>
      </c>
      <c r="AA1461" s="36" t="s">
        <v>132</v>
      </c>
      <c r="AB1461" s="36" t="s">
        <v>132</v>
      </c>
      <c r="AC1461" s="404">
        <v>1525.42</v>
      </c>
      <c r="AD1461" s="404">
        <f t="shared" si="182"/>
        <v>1799.9956</v>
      </c>
      <c r="AE1461" s="38" t="s">
        <v>173</v>
      </c>
      <c r="AF1461" s="72" t="s">
        <v>83</v>
      </c>
      <c r="AG1461" s="72" t="s">
        <v>83</v>
      </c>
      <c r="AH1461" s="72" t="s">
        <v>90</v>
      </c>
      <c r="AI1461" s="405">
        <v>41680</v>
      </c>
      <c r="AJ1461" s="405">
        <v>41708</v>
      </c>
      <c r="AK1461" s="72"/>
      <c r="AL1461" s="72"/>
      <c r="AM1461" s="72" t="s">
        <v>416</v>
      </c>
      <c r="AN1461" s="72" t="s">
        <v>353</v>
      </c>
      <c r="AO1461" s="72">
        <v>796</v>
      </c>
      <c r="AP1461" s="72" t="s">
        <v>419</v>
      </c>
      <c r="AQ1461" s="72">
        <v>1400</v>
      </c>
      <c r="AR1461" s="406">
        <v>45296559</v>
      </c>
      <c r="AS1461" s="72" t="s">
        <v>399</v>
      </c>
      <c r="AT1461" s="405">
        <v>41743</v>
      </c>
      <c r="AU1461" s="405">
        <v>41760</v>
      </c>
      <c r="AV1461" s="405">
        <v>42094</v>
      </c>
      <c r="AW1461" s="72" t="s">
        <v>99</v>
      </c>
      <c r="AX1461" s="72"/>
      <c r="AY1461" s="407"/>
      <c r="AZ1461" s="72"/>
      <c r="BA1461" s="72"/>
      <c r="BB1461" s="72"/>
      <c r="BC1461" s="72"/>
      <c r="BD1461" s="72"/>
      <c r="BE1461" s="72"/>
      <c r="BF1461" s="72"/>
      <c r="BG1461" s="72"/>
      <c r="BH1461" s="72"/>
      <c r="BI1461" s="72"/>
      <c r="BJ1461" s="72"/>
      <c r="BK1461" s="72"/>
    </row>
    <row r="1462" spans="1:63" s="607" customFormat="1" ht="131.25">
      <c r="A1462" s="89">
        <v>4</v>
      </c>
      <c r="B1462" s="72" t="s">
        <v>426</v>
      </c>
      <c r="C1462" s="72" t="s">
        <v>83</v>
      </c>
      <c r="D1462" s="72" t="s">
        <v>3592</v>
      </c>
      <c r="E1462" s="72" t="s">
        <v>163</v>
      </c>
      <c r="F1462" s="72" t="s">
        <v>427</v>
      </c>
      <c r="G1462" s="72">
        <v>7260000</v>
      </c>
      <c r="H1462" s="72">
        <v>625854</v>
      </c>
      <c r="I1462" s="72" t="s">
        <v>4842</v>
      </c>
      <c r="J1462" s="72" t="s">
        <v>428</v>
      </c>
      <c r="K1462" s="72" t="s">
        <v>428</v>
      </c>
      <c r="L1462" s="72" t="s">
        <v>180</v>
      </c>
      <c r="M1462" s="72">
        <v>20105030102</v>
      </c>
      <c r="N1462" s="72" t="s">
        <v>433</v>
      </c>
      <c r="O1462" s="72" t="s">
        <v>398</v>
      </c>
      <c r="P1462" s="404">
        <v>1542</v>
      </c>
      <c r="Q1462" s="408">
        <v>1542</v>
      </c>
      <c r="R1462" s="404"/>
      <c r="S1462" s="72" t="s">
        <v>4798</v>
      </c>
      <c r="T1462" s="72"/>
      <c r="U1462" s="72"/>
      <c r="V1462" s="72"/>
      <c r="W1462" s="72"/>
      <c r="X1462" s="72"/>
      <c r="Y1462" s="404">
        <v>1542</v>
      </c>
      <c r="Z1462" s="408">
        <v>1542</v>
      </c>
      <c r="AA1462" s="36" t="s">
        <v>132</v>
      </c>
      <c r="AB1462" s="36" t="s">
        <v>132</v>
      </c>
      <c r="AC1462" s="404">
        <v>1542</v>
      </c>
      <c r="AD1462" s="408">
        <v>1542</v>
      </c>
      <c r="AE1462" s="38" t="s">
        <v>173</v>
      </c>
      <c r="AF1462" s="72" t="s">
        <v>83</v>
      </c>
      <c r="AG1462" s="72" t="s">
        <v>83</v>
      </c>
      <c r="AH1462" s="72" t="s">
        <v>90</v>
      </c>
      <c r="AI1462" s="405">
        <v>41774</v>
      </c>
      <c r="AJ1462" s="405">
        <v>41805</v>
      </c>
      <c r="AK1462" s="72"/>
      <c r="AL1462" s="72"/>
      <c r="AM1462" s="72" t="s">
        <v>4842</v>
      </c>
      <c r="AN1462" s="72" t="s">
        <v>353</v>
      </c>
      <c r="AO1462" s="72">
        <v>796</v>
      </c>
      <c r="AP1462" s="72" t="s">
        <v>419</v>
      </c>
      <c r="AQ1462" s="72">
        <v>1</v>
      </c>
      <c r="AR1462" s="406">
        <v>45296559</v>
      </c>
      <c r="AS1462" s="72" t="s">
        <v>399</v>
      </c>
      <c r="AT1462" s="405">
        <v>41835</v>
      </c>
      <c r="AU1462" s="405">
        <v>41850</v>
      </c>
      <c r="AV1462" s="405">
        <v>41881</v>
      </c>
      <c r="AW1462" s="72">
        <v>2014</v>
      </c>
      <c r="AX1462" s="72" t="s">
        <v>4888</v>
      </c>
      <c r="AY1462" s="407"/>
      <c r="AZ1462" s="72"/>
      <c r="BA1462" s="72"/>
      <c r="BB1462" s="72"/>
      <c r="BC1462" s="72"/>
      <c r="BD1462" s="72"/>
      <c r="BE1462" s="72"/>
      <c r="BF1462" s="72"/>
      <c r="BG1462" s="72"/>
      <c r="BH1462" s="72"/>
      <c r="BI1462" s="72"/>
      <c r="BJ1462" s="72" t="s">
        <v>400</v>
      </c>
      <c r="BK1462" s="72"/>
    </row>
    <row r="1463" spans="1:63" s="607" customFormat="1" ht="131.25">
      <c r="A1463" s="89">
        <v>4</v>
      </c>
      <c r="B1463" s="72" t="s">
        <v>429</v>
      </c>
      <c r="C1463" s="72" t="s">
        <v>83</v>
      </c>
      <c r="D1463" s="72" t="s">
        <v>3592</v>
      </c>
      <c r="E1463" s="72" t="s">
        <v>163</v>
      </c>
      <c r="F1463" s="72" t="s">
        <v>430</v>
      </c>
      <c r="G1463" s="72" t="s">
        <v>431</v>
      </c>
      <c r="H1463" s="72">
        <v>625853</v>
      </c>
      <c r="I1463" s="72" t="s">
        <v>432</v>
      </c>
      <c r="J1463" s="72" t="s">
        <v>433</v>
      </c>
      <c r="K1463" s="72" t="s">
        <v>433</v>
      </c>
      <c r="L1463" s="72" t="s">
        <v>180</v>
      </c>
      <c r="M1463" s="72">
        <v>20105030102</v>
      </c>
      <c r="N1463" s="72" t="s">
        <v>433</v>
      </c>
      <c r="O1463" s="72" t="s">
        <v>398</v>
      </c>
      <c r="P1463" s="404">
        <v>20000</v>
      </c>
      <c r="Q1463" s="404">
        <f>P1463*1.18</f>
        <v>23600</v>
      </c>
      <c r="R1463" s="404"/>
      <c r="S1463" s="72" t="s">
        <v>4798</v>
      </c>
      <c r="T1463" s="72"/>
      <c r="U1463" s="72"/>
      <c r="V1463" s="72"/>
      <c r="W1463" s="72"/>
      <c r="X1463" s="72"/>
      <c r="Y1463" s="404">
        <v>20000</v>
      </c>
      <c r="Z1463" s="404">
        <f>Y1463*1.18</f>
        <v>23600</v>
      </c>
      <c r="AA1463" s="36" t="s">
        <v>132</v>
      </c>
      <c r="AB1463" s="36" t="s">
        <v>132</v>
      </c>
      <c r="AC1463" s="404">
        <v>20000</v>
      </c>
      <c r="AD1463" s="404">
        <f>AC1463*1.18</f>
        <v>23600</v>
      </c>
      <c r="AE1463" s="72" t="s">
        <v>169</v>
      </c>
      <c r="AF1463" s="72" t="s">
        <v>83</v>
      </c>
      <c r="AG1463" s="72" t="s">
        <v>83</v>
      </c>
      <c r="AH1463" s="72" t="s">
        <v>90</v>
      </c>
      <c r="AI1463" s="405">
        <v>41852</v>
      </c>
      <c r="AJ1463" s="405">
        <v>41898</v>
      </c>
      <c r="AK1463" s="72"/>
      <c r="AL1463" s="72"/>
      <c r="AM1463" s="72" t="s">
        <v>432</v>
      </c>
      <c r="AN1463" s="72" t="s">
        <v>353</v>
      </c>
      <c r="AO1463" s="72">
        <v>796</v>
      </c>
      <c r="AP1463" s="72" t="s">
        <v>419</v>
      </c>
      <c r="AQ1463" s="72">
        <v>1</v>
      </c>
      <c r="AR1463" s="406">
        <v>45296559</v>
      </c>
      <c r="AS1463" s="72" t="s">
        <v>399</v>
      </c>
      <c r="AT1463" s="405">
        <v>41912</v>
      </c>
      <c r="AU1463" s="405">
        <v>41944</v>
      </c>
      <c r="AV1463" s="405">
        <v>42307</v>
      </c>
      <c r="AW1463" s="72" t="s">
        <v>99</v>
      </c>
      <c r="AX1463" s="72"/>
      <c r="AY1463" s="407"/>
      <c r="AZ1463" s="72"/>
      <c r="BA1463" s="72"/>
      <c r="BB1463" s="72"/>
      <c r="BC1463" s="72"/>
      <c r="BD1463" s="72"/>
      <c r="BE1463" s="72"/>
      <c r="BF1463" s="72"/>
      <c r="BG1463" s="72"/>
      <c r="BH1463" s="72"/>
      <c r="BI1463" s="72"/>
      <c r="BJ1463" s="72"/>
      <c r="BK1463" s="72"/>
    </row>
    <row r="1464" spans="1:63" s="607" customFormat="1" ht="131.25">
      <c r="A1464" s="89">
        <v>4</v>
      </c>
      <c r="B1464" s="72" t="s">
        <v>434</v>
      </c>
      <c r="C1464" s="72" t="s">
        <v>83</v>
      </c>
      <c r="D1464" s="72" t="s">
        <v>3592</v>
      </c>
      <c r="E1464" s="72" t="s">
        <v>163</v>
      </c>
      <c r="F1464" s="72" t="s">
        <v>422</v>
      </c>
      <c r="G1464" s="72">
        <v>7260000</v>
      </c>
      <c r="H1464" s="72">
        <v>625852</v>
      </c>
      <c r="I1464" s="72" t="s">
        <v>435</v>
      </c>
      <c r="J1464" s="72" t="s">
        <v>433</v>
      </c>
      <c r="K1464" s="72" t="s">
        <v>433</v>
      </c>
      <c r="L1464" s="72" t="s">
        <v>180</v>
      </c>
      <c r="M1464" s="72">
        <v>20105030102</v>
      </c>
      <c r="N1464" s="72" t="s">
        <v>433</v>
      </c>
      <c r="O1464" s="72" t="s">
        <v>398</v>
      </c>
      <c r="P1464" s="404">
        <v>2100</v>
      </c>
      <c r="Q1464" s="408">
        <v>2100</v>
      </c>
      <c r="R1464" s="404"/>
      <c r="S1464" s="72" t="s">
        <v>4798</v>
      </c>
      <c r="T1464" s="72"/>
      <c r="U1464" s="72"/>
      <c r="V1464" s="72"/>
      <c r="W1464" s="72"/>
      <c r="X1464" s="72"/>
      <c r="Y1464" s="404">
        <v>2100</v>
      </c>
      <c r="Z1464" s="408">
        <v>2100</v>
      </c>
      <c r="AA1464" s="36" t="s">
        <v>132</v>
      </c>
      <c r="AB1464" s="36" t="s">
        <v>132</v>
      </c>
      <c r="AC1464" s="404">
        <v>2100</v>
      </c>
      <c r="AD1464" s="408">
        <v>2100</v>
      </c>
      <c r="AE1464" s="38" t="s">
        <v>173</v>
      </c>
      <c r="AF1464" s="72" t="s">
        <v>83</v>
      </c>
      <c r="AG1464" s="72" t="s">
        <v>83</v>
      </c>
      <c r="AH1464" s="72" t="s">
        <v>90</v>
      </c>
      <c r="AI1464" s="405">
        <v>41715</v>
      </c>
      <c r="AJ1464" s="405">
        <v>41746</v>
      </c>
      <c r="AK1464" s="72"/>
      <c r="AL1464" s="72"/>
      <c r="AM1464" s="72" t="s">
        <v>435</v>
      </c>
      <c r="AN1464" s="72" t="s">
        <v>353</v>
      </c>
      <c r="AO1464" s="72">
        <v>796</v>
      </c>
      <c r="AP1464" s="72" t="s">
        <v>419</v>
      </c>
      <c r="AQ1464" s="72">
        <v>1</v>
      </c>
      <c r="AR1464" s="406">
        <v>45296559</v>
      </c>
      <c r="AS1464" s="72" t="s">
        <v>399</v>
      </c>
      <c r="AT1464" s="405">
        <v>41759</v>
      </c>
      <c r="AU1464" s="405">
        <v>41760</v>
      </c>
      <c r="AV1464" s="405">
        <v>41821</v>
      </c>
      <c r="AW1464" s="72">
        <v>2014</v>
      </c>
      <c r="AX1464" s="72"/>
      <c r="AY1464" s="407"/>
      <c r="AZ1464" s="72"/>
      <c r="BA1464" s="72"/>
      <c r="BB1464" s="72"/>
      <c r="BC1464" s="72"/>
      <c r="BD1464" s="72"/>
      <c r="BE1464" s="72"/>
      <c r="BF1464" s="72"/>
      <c r="BG1464" s="72"/>
      <c r="BH1464" s="72"/>
      <c r="BI1464" s="72"/>
      <c r="BJ1464" s="72"/>
      <c r="BK1464" s="72"/>
    </row>
    <row r="1465" spans="1:63" s="607" customFormat="1" ht="131.25">
      <c r="A1465" s="89">
        <v>4</v>
      </c>
      <c r="B1465" s="72" t="s">
        <v>475</v>
      </c>
      <c r="C1465" s="72" t="s">
        <v>83</v>
      </c>
      <c r="D1465" s="72" t="s">
        <v>3592</v>
      </c>
      <c r="E1465" s="72" t="s">
        <v>163</v>
      </c>
      <c r="F1465" s="72" t="s">
        <v>422</v>
      </c>
      <c r="G1465" s="72" t="s">
        <v>431</v>
      </c>
      <c r="H1465" s="72">
        <v>625845</v>
      </c>
      <c r="I1465" s="72" t="s">
        <v>476</v>
      </c>
      <c r="J1465" s="72" t="s">
        <v>433</v>
      </c>
      <c r="K1465" s="72" t="s">
        <v>433</v>
      </c>
      <c r="L1465" s="72" t="s">
        <v>180</v>
      </c>
      <c r="M1465" s="72">
        <v>20105030102</v>
      </c>
      <c r="N1465" s="72" t="s">
        <v>433</v>
      </c>
      <c r="O1465" s="72" t="s">
        <v>398</v>
      </c>
      <c r="P1465" s="404">
        <v>1530</v>
      </c>
      <c r="Q1465" s="408">
        <v>1530</v>
      </c>
      <c r="R1465" s="404"/>
      <c r="S1465" s="72" t="s">
        <v>4798</v>
      </c>
      <c r="T1465" s="72"/>
      <c r="U1465" s="72"/>
      <c r="V1465" s="72"/>
      <c r="W1465" s="72"/>
      <c r="X1465" s="72"/>
      <c r="Y1465" s="404">
        <v>1530</v>
      </c>
      <c r="Z1465" s="408">
        <v>1530</v>
      </c>
      <c r="AA1465" s="36" t="s">
        <v>132</v>
      </c>
      <c r="AB1465" s="36" t="s">
        <v>132</v>
      </c>
      <c r="AC1465" s="404">
        <v>1530</v>
      </c>
      <c r="AD1465" s="408">
        <v>1530</v>
      </c>
      <c r="AE1465" s="38" t="s">
        <v>173</v>
      </c>
      <c r="AF1465" s="72" t="s">
        <v>83</v>
      </c>
      <c r="AG1465" s="72" t="s">
        <v>83</v>
      </c>
      <c r="AH1465" s="72" t="s">
        <v>90</v>
      </c>
      <c r="AI1465" s="405">
        <v>41821</v>
      </c>
      <c r="AJ1465" s="405">
        <v>41852</v>
      </c>
      <c r="AK1465" s="72"/>
      <c r="AL1465" s="72"/>
      <c r="AM1465" s="72" t="s">
        <v>476</v>
      </c>
      <c r="AN1465" s="72" t="s">
        <v>353</v>
      </c>
      <c r="AO1465" s="72">
        <v>796</v>
      </c>
      <c r="AP1465" s="72" t="s">
        <v>419</v>
      </c>
      <c r="AQ1465" s="72">
        <v>1</v>
      </c>
      <c r="AR1465" s="406">
        <v>45296559</v>
      </c>
      <c r="AS1465" s="72" t="s">
        <v>399</v>
      </c>
      <c r="AT1465" s="405">
        <v>41912</v>
      </c>
      <c r="AU1465" s="405">
        <v>41913</v>
      </c>
      <c r="AV1465" s="405">
        <v>41942</v>
      </c>
      <c r="AW1465" s="72">
        <v>2014</v>
      </c>
      <c r="AX1465" s="72" t="s">
        <v>4889</v>
      </c>
      <c r="AY1465" s="407"/>
      <c r="AZ1465" s="72"/>
      <c r="BA1465" s="72"/>
      <c r="BB1465" s="72"/>
      <c r="BC1465" s="72"/>
      <c r="BD1465" s="72"/>
      <c r="BE1465" s="72"/>
      <c r="BF1465" s="72"/>
      <c r="BG1465" s="72"/>
      <c r="BH1465" s="72"/>
      <c r="BI1465" s="72"/>
      <c r="BJ1465" s="72" t="s">
        <v>400</v>
      </c>
      <c r="BK1465" s="72"/>
    </row>
    <row r="1466" spans="1:63" s="607" customFormat="1" ht="131.25">
      <c r="A1466" s="89">
        <v>4</v>
      </c>
      <c r="B1466" s="72" t="s">
        <v>477</v>
      </c>
      <c r="C1466" s="72" t="s">
        <v>83</v>
      </c>
      <c r="D1466" s="72" t="s">
        <v>3592</v>
      </c>
      <c r="E1466" s="72" t="s">
        <v>163</v>
      </c>
      <c r="F1466" s="72" t="s">
        <v>422</v>
      </c>
      <c r="G1466" s="72">
        <v>7260000</v>
      </c>
      <c r="H1466" s="72">
        <v>625844</v>
      </c>
      <c r="I1466" s="72" t="s">
        <v>478</v>
      </c>
      <c r="J1466" s="72" t="s">
        <v>424</v>
      </c>
      <c r="K1466" s="72" t="s">
        <v>424</v>
      </c>
      <c r="L1466" s="72" t="s">
        <v>180</v>
      </c>
      <c r="M1466" s="72">
        <v>20105030102</v>
      </c>
      <c r="N1466" s="72" t="s">
        <v>433</v>
      </c>
      <c r="O1466" s="72" t="s">
        <v>398</v>
      </c>
      <c r="P1466" s="404">
        <v>8474.58</v>
      </c>
      <c r="Q1466" s="404">
        <f t="shared" ref="Q1466:Q1474" si="183">P1466*1.18</f>
        <v>10000.0044</v>
      </c>
      <c r="R1466" s="404"/>
      <c r="S1466" s="72" t="s">
        <v>4798</v>
      </c>
      <c r="T1466" s="72"/>
      <c r="U1466" s="72"/>
      <c r="V1466" s="72"/>
      <c r="W1466" s="72"/>
      <c r="X1466" s="72"/>
      <c r="Y1466" s="404">
        <v>8474.58</v>
      </c>
      <c r="Z1466" s="404">
        <f t="shared" ref="Z1466:Z1474" si="184">Y1466*1.18</f>
        <v>10000.0044</v>
      </c>
      <c r="AA1466" s="36" t="s">
        <v>132</v>
      </c>
      <c r="AB1466" s="36" t="s">
        <v>132</v>
      </c>
      <c r="AC1466" s="404">
        <v>8474.58</v>
      </c>
      <c r="AD1466" s="404">
        <f t="shared" ref="AD1466:AD1474" si="185">AC1466*1.18</f>
        <v>10000.0044</v>
      </c>
      <c r="AE1466" s="38" t="s">
        <v>173</v>
      </c>
      <c r="AF1466" s="72" t="s">
        <v>83</v>
      </c>
      <c r="AG1466" s="72" t="s">
        <v>83</v>
      </c>
      <c r="AH1466" s="72" t="s">
        <v>90</v>
      </c>
      <c r="AI1466" s="405">
        <v>41821</v>
      </c>
      <c r="AJ1466" s="405">
        <v>41867</v>
      </c>
      <c r="AK1466" s="72"/>
      <c r="AL1466" s="72"/>
      <c r="AM1466" s="72" t="s">
        <v>478</v>
      </c>
      <c r="AN1466" s="72" t="s">
        <v>353</v>
      </c>
      <c r="AO1466" s="72">
        <v>796</v>
      </c>
      <c r="AP1466" s="72" t="s">
        <v>419</v>
      </c>
      <c r="AQ1466" s="72">
        <v>1</v>
      </c>
      <c r="AR1466" s="406">
        <v>45296559</v>
      </c>
      <c r="AS1466" s="72" t="s">
        <v>399</v>
      </c>
      <c r="AT1466" s="405">
        <v>41912</v>
      </c>
      <c r="AU1466" s="405">
        <v>41913</v>
      </c>
      <c r="AV1466" s="405">
        <v>41944</v>
      </c>
      <c r="AW1466" s="72">
        <v>2014</v>
      </c>
      <c r="AX1466" s="72"/>
      <c r="AY1466" s="407"/>
      <c r="AZ1466" s="72"/>
      <c r="BA1466" s="72"/>
      <c r="BB1466" s="72"/>
      <c r="BC1466" s="72"/>
      <c r="BD1466" s="72"/>
      <c r="BE1466" s="72"/>
      <c r="BF1466" s="72"/>
      <c r="BG1466" s="72"/>
      <c r="BH1466" s="72"/>
      <c r="BI1466" s="72"/>
      <c r="BJ1466" s="72" t="s">
        <v>400</v>
      </c>
      <c r="BK1466" s="72"/>
    </row>
    <row r="1467" spans="1:63" s="607" customFormat="1" ht="150">
      <c r="A1467" s="89">
        <v>4</v>
      </c>
      <c r="B1467" s="72" t="s">
        <v>463</v>
      </c>
      <c r="C1467" s="72" t="s">
        <v>83</v>
      </c>
      <c r="D1467" s="72" t="s">
        <v>4795</v>
      </c>
      <c r="E1467" s="72" t="s">
        <v>163</v>
      </c>
      <c r="F1467" s="72" t="s">
        <v>395</v>
      </c>
      <c r="G1467" s="72">
        <v>7210000</v>
      </c>
      <c r="H1467" s="72">
        <v>625821</v>
      </c>
      <c r="I1467" s="72" t="s">
        <v>464</v>
      </c>
      <c r="J1467" s="72" t="s">
        <v>462</v>
      </c>
      <c r="K1467" s="72" t="s">
        <v>462</v>
      </c>
      <c r="L1467" s="72" t="s">
        <v>180</v>
      </c>
      <c r="M1467" s="72">
        <v>201050602</v>
      </c>
      <c r="N1467" s="72" t="s">
        <v>5874</v>
      </c>
      <c r="O1467" s="72" t="s">
        <v>398</v>
      </c>
      <c r="P1467" s="404">
        <v>20000</v>
      </c>
      <c r="Q1467" s="404">
        <f t="shared" si="183"/>
        <v>23600</v>
      </c>
      <c r="R1467" s="404"/>
      <c r="S1467" s="72"/>
      <c r="T1467" s="72"/>
      <c r="U1467" s="72"/>
      <c r="V1467" s="72"/>
      <c r="W1467" s="72"/>
      <c r="X1467" s="72"/>
      <c r="Y1467" s="404">
        <v>20000</v>
      </c>
      <c r="Z1467" s="404">
        <f t="shared" si="184"/>
        <v>23600</v>
      </c>
      <c r="AA1467" s="36" t="s">
        <v>132</v>
      </c>
      <c r="AB1467" s="36" t="s">
        <v>132</v>
      </c>
      <c r="AC1467" s="404">
        <v>20000</v>
      </c>
      <c r="AD1467" s="404">
        <f t="shared" si="185"/>
        <v>23600</v>
      </c>
      <c r="AE1467" s="72" t="s">
        <v>169</v>
      </c>
      <c r="AF1467" s="72" t="s">
        <v>83</v>
      </c>
      <c r="AG1467" s="72" t="s">
        <v>83</v>
      </c>
      <c r="AH1467" s="72" t="s">
        <v>90</v>
      </c>
      <c r="AI1467" s="405">
        <v>41631</v>
      </c>
      <c r="AJ1467" s="51">
        <v>41691</v>
      </c>
      <c r="AK1467" s="72"/>
      <c r="AL1467" s="72"/>
      <c r="AM1467" s="72" t="s">
        <v>464</v>
      </c>
      <c r="AN1467" s="72" t="s">
        <v>353</v>
      </c>
      <c r="AO1467" s="72">
        <v>796</v>
      </c>
      <c r="AP1467" s="72" t="s">
        <v>419</v>
      </c>
      <c r="AQ1467" s="72">
        <v>1</v>
      </c>
      <c r="AR1467" s="406">
        <v>45296559</v>
      </c>
      <c r="AS1467" s="72" t="s">
        <v>399</v>
      </c>
      <c r="AT1467" s="405">
        <v>41698</v>
      </c>
      <c r="AU1467" s="405">
        <v>41698</v>
      </c>
      <c r="AV1467" s="405">
        <v>41973</v>
      </c>
      <c r="AW1467" s="72">
        <v>2014</v>
      </c>
      <c r="AX1467" s="72"/>
      <c r="AY1467" s="407"/>
      <c r="AZ1467" s="72"/>
      <c r="BA1467" s="72"/>
      <c r="BB1467" s="72"/>
      <c r="BC1467" s="72"/>
      <c r="BD1467" s="72"/>
      <c r="BE1467" s="72"/>
      <c r="BF1467" s="72"/>
      <c r="BG1467" s="72"/>
      <c r="BH1467" s="72"/>
      <c r="BI1467" s="72"/>
      <c r="BJ1467" s="72" t="s">
        <v>400</v>
      </c>
      <c r="BK1467" s="72"/>
    </row>
    <row r="1468" spans="1:63" s="607" customFormat="1" ht="131.25">
      <c r="A1468" s="89">
        <v>4</v>
      </c>
      <c r="B1468" s="72" t="s">
        <v>3595</v>
      </c>
      <c r="C1468" s="72" t="s">
        <v>83</v>
      </c>
      <c r="D1468" s="72" t="s">
        <v>4795</v>
      </c>
      <c r="E1468" s="72" t="s">
        <v>163</v>
      </c>
      <c r="F1468" s="72" t="s">
        <v>422</v>
      </c>
      <c r="G1468" s="72">
        <v>7220000</v>
      </c>
      <c r="H1468" s="72">
        <v>626069</v>
      </c>
      <c r="I1468" s="72" t="s">
        <v>4843</v>
      </c>
      <c r="J1468" s="72" t="s">
        <v>443</v>
      </c>
      <c r="K1468" s="72" t="s">
        <v>443</v>
      </c>
      <c r="L1468" s="72" t="s">
        <v>180</v>
      </c>
      <c r="M1468" s="72">
        <v>2021007</v>
      </c>
      <c r="N1468" s="72" t="s">
        <v>5301</v>
      </c>
      <c r="O1468" s="72" t="s">
        <v>398</v>
      </c>
      <c r="P1468" s="404">
        <v>1100</v>
      </c>
      <c r="Q1468" s="404">
        <f t="shared" si="183"/>
        <v>1298</v>
      </c>
      <c r="R1468" s="404"/>
      <c r="S1468" s="72"/>
      <c r="T1468" s="72"/>
      <c r="U1468" s="72"/>
      <c r="V1468" s="72"/>
      <c r="W1468" s="72"/>
      <c r="X1468" s="72"/>
      <c r="Y1468" s="404">
        <v>1100</v>
      </c>
      <c r="Z1468" s="404">
        <f t="shared" si="184"/>
        <v>1298</v>
      </c>
      <c r="AA1468" s="36" t="s">
        <v>132</v>
      </c>
      <c r="AB1468" s="36" t="s">
        <v>132</v>
      </c>
      <c r="AC1468" s="404">
        <v>1100</v>
      </c>
      <c r="AD1468" s="404">
        <f t="shared" si="185"/>
        <v>1298</v>
      </c>
      <c r="AE1468" s="38" t="s">
        <v>173</v>
      </c>
      <c r="AF1468" s="72" t="s">
        <v>83</v>
      </c>
      <c r="AG1468" s="72" t="s">
        <v>83</v>
      </c>
      <c r="AH1468" s="72" t="s">
        <v>90</v>
      </c>
      <c r="AI1468" s="405">
        <v>41776</v>
      </c>
      <c r="AJ1468" s="405">
        <v>41807</v>
      </c>
      <c r="AK1468" s="72"/>
      <c r="AL1468" s="72"/>
      <c r="AM1468" s="72" t="s">
        <v>4843</v>
      </c>
      <c r="AN1468" s="72" t="s">
        <v>353</v>
      </c>
      <c r="AO1468" s="72">
        <v>796</v>
      </c>
      <c r="AP1468" s="72" t="s">
        <v>419</v>
      </c>
      <c r="AQ1468" s="72">
        <v>1</v>
      </c>
      <c r="AR1468" s="406">
        <v>45296559</v>
      </c>
      <c r="AS1468" s="72" t="s">
        <v>399</v>
      </c>
      <c r="AT1468" s="405">
        <v>41821</v>
      </c>
      <c r="AU1468" s="405">
        <v>41821</v>
      </c>
      <c r="AV1468" s="405">
        <v>42185</v>
      </c>
      <c r="AW1468" s="72" t="s">
        <v>99</v>
      </c>
      <c r="AX1468" s="72">
        <v>2014</v>
      </c>
      <c r="AY1468" s="407"/>
      <c r="AZ1468" s="72"/>
      <c r="BA1468" s="72"/>
      <c r="BB1468" s="72"/>
      <c r="BC1468" s="72"/>
      <c r="BD1468" s="72"/>
      <c r="BE1468" s="72"/>
      <c r="BF1468" s="72"/>
      <c r="BG1468" s="72"/>
      <c r="BH1468" s="72"/>
      <c r="BI1468" s="72"/>
      <c r="BJ1468" s="72" t="s">
        <v>400</v>
      </c>
      <c r="BK1468" s="72"/>
    </row>
    <row r="1469" spans="1:63" s="607" customFormat="1" ht="131.25">
      <c r="A1469" s="89">
        <v>4</v>
      </c>
      <c r="B1469" s="72" t="s">
        <v>494</v>
      </c>
      <c r="C1469" s="72" t="s">
        <v>83</v>
      </c>
      <c r="D1469" s="72" t="s">
        <v>4795</v>
      </c>
      <c r="E1469" s="72" t="s">
        <v>163</v>
      </c>
      <c r="F1469" s="72" t="s">
        <v>1478</v>
      </c>
      <c r="G1469" s="72">
        <v>7244000</v>
      </c>
      <c r="H1469" s="72">
        <v>625829</v>
      </c>
      <c r="I1469" s="72" t="s">
        <v>495</v>
      </c>
      <c r="J1469" s="72" t="s">
        <v>443</v>
      </c>
      <c r="K1469" s="72" t="s">
        <v>443</v>
      </c>
      <c r="L1469" s="72" t="s">
        <v>180</v>
      </c>
      <c r="M1469" s="72">
        <v>201050602</v>
      </c>
      <c r="N1469" s="72" t="s">
        <v>5874</v>
      </c>
      <c r="O1469" s="72" t="s">
        <v>398</v>
      </c>
      <c r="P1469" s="404">
        <v>5022.03</v>
      </c>
      <c r="Q1469" s="404">
        <f t="shared" si="183"/>
        <v>5925.9953999999998</v>
      </c>
      <c r="R1469" s="404"/>
      <c r="S1469" s="72"/>
      <c r="T1469" s="72"/>
      <c r="U1469" s="72"/>
      <c r="V1469" s="72"/>
      <c r="W1469" s="72"/>
      <c r="X1469" s="72"/>
      <c r="Y1469" s="404">
        <v>5022.03</v>
      </c>
      <c r="Z1469" s="404">
        <f t="shared" si="184"/>
        <v>5925.9953999999998</v>
      </c>
      <c r="AA1469" s="36" t="s">
        <v>132</v>
      </c>
      <c r="AB1469" s="36" t="s">
        <v>132</v>
      </c>
      <c r="AC1469" s="404">
        <v>5022.03</v>
      </c>
      <c r="AD1469" s="404">
        <f t="shared" si="185"/>
        <v>5925.9953999999998</v>
      </c>
      <c r="AE1469" s="38" t="s">
        <v>173</v>
      </c>
      <c r="AF1469" s="72" t="s">
        <v>83</v>
      </c>
      <c r="AG1469" s="72" t="s">
        <v>83</v>
      </c>
      <c r="AH1469" s="72" t="s">
        <v>90</v>
      </c>
      <c r="AI1469" s="405">
        <v>41654</v>
      </c>
      <c r="AJ1469" s="405">
        <v>41685</v>
      </c>
      <c r="AK1469" s="72"/>
      <c r="AL1469" s="72"/>
      <c r="AM1469" s="72" t="s">
        <v>495</v>
      </c>
      <c r="AN1469" s="72" t="s">
        <v>353</v>
      </c>
      <c r="AO1469" s="72">
        <v>796</v>
      </c>
      <c r="AP1469" s="72" t="s">
        <v>419</v>
      </c>
      <c r="AQ1469" s="72">
        <v>1</v>
      </c>
      <c r="AR1469" s="406">
        <v>45296559</v>
      </c>
      <c r="AS1469" s="72" t="s">
        <v>399</v>
      </c>
      <c r="AT1469" s="405">
        <v>41699</v>
      </c>
      <c r="AU1469" s="405">
        <v>41699</v>
      </c>
      <c r="AV1469" s="405">
        <v>42064</v>
      </c>
      <c r="AW1469" s="72" t="s">
        <v>99</v>
      </c>
      <c r="AX1469" s="72"/>
      <c r="AY1469" s="407"/>
      <c r="AZ1469" s="72"/>
      <c r="BA1469" s="72"/>
      <c r="BB1469" s="72"/>
      <c r="BC1469" s="72"/>
      <c r="BD1469" s="72"/>
      <c r="BE1469" s="72"/>
      <c r="BF1469" s="72"/>
      <c r="BG1469" s="72"/>
      <c r="BH1469" s="72"/>
      <c r="BI1469" s="72"/>
      <c r="BJ1469" s="72" t="s">
        <v>400</v>
      </c>
      <c r="BK1469" s="72"/>
    </row>
    <row r="1470" spans="1:63" s="607" customFormat="1" ht="131.25">
      <c r="A1470" s="89">
        <v>4</v>
      </c>
      <c r="B1470" s="72" t="s">
        <v>4103</v>
      </c>
      <c r="C1470" s="72" t="s">
        <v>83</v>
      </c>
      <c r="D1470" s="72" t="s">
        <v>4795</v>
      </c>
      <c r="E1470" s="72" t="s">
        <v>163</v>
      </c>
      <c r="F1470" s="72" t="s">
        <v>1478</v>
      </c>
      <c r="G1470" s="72">
        <v>7244000</v>
      </c>
      <c r="H1470" s="72">
        <v>626180</v>
      </c>
      <c r="I1470" s="72" t="s">
        <v>4104</v>
      </c>
      <c r="J1470" s="72" t="s">
        <v>443</v>
      </c>
      <c r="K1470" s="72" t="s">
        <v>443</v>
      </c>
      <c r="L1470" s="72" t="s">
        <v>180</v>
      </c>
      <c r="M1470" s="72">
        <v>201050602</v>
      </c>
      <c r="N1470" s="72" t="s">
        <v>5874</v>
      </c>
      <c r="O1470" s="72" t="s">
        <v>398</v>
      </c>
      <c r="P1470" s="404">
        <v>10169.49</v>
      </c>
      <c r="Q1470" s="404">
        <f t="shared" si="183"/>
        <v>11999.9982</v>
      </c>
      <c r="R1470" s="404"/>
      <c r="S1470" s="72"/>
      <c r="T1470" s="72"/>
      <c r="U1470" s="72"/>
      <c r="V1470" s="72"/>
      <c r="W1470" s="72"/>
      <c r="X1470" s="72"/>
      <c r="Y1470" s="404">
        <v>10169.49</v>
      </c>
      <c r="Z1470" s="404">
        <f t="shared" si="184"/>
        <v>11999.9982</v>
      </c>
      <c r="AA1470" s="36" t="s">
        <v>132</v>
      </c>
      <c r="AB1470" s="36" t="s">
        <v>132</v>
      </c>
      <c r="AC1470" s="404">
        <v>10169.49</v>
      </c>
      <c r="AD1470" s="404">
        <f t="shared" si="185"/>
        <v>11999.9982</v>
      </c>
      <c r="AE1470" s="72" t="s">
        <v>169</v>
      </c>
      <c r="AF1470" s="72" t="s">
        <v>83</v>
      </c>
      <c r="AG1470" s="72" t="s">
        <v>83</v>
      </c>
      <c r="AH1470" s="72" t="s">
        <v>90</v>
      </c>
      <c r="AI1470" s="405">
        <v>41776</v>
      </c>
      <c r="AJ1470" s="405">
        <v>41821</v>
      </c>
      <c r="AK1470" s="72"/>
      <c r="AL1470" s="72"/>
      <c r="AM1470" s="72" t="s">
        <v>4104</v>
      </c>
      <c r="AN1470" s="72" t="s">
        <v>353</v>
      </c>
      <c r="AO1470" s="72">
        <v>796</v>
      </c>
      <c r="AP1470" s="72" t="s">
        <v>419</v>
      </c>
      <c r="AQ1470" s="72">
        <v>1</v>
      </c>
      <c r="AR1470" s="406">
        <v>45296559</v>
      </c>
      <c r="AS1470" s="72" t="s">
        <v>399</v>
      </c>
      <c r="AT1470" s="405">
        <v>41821</v>
      </c>
      <c r="AU1470" s="405">
        <v>41821</v>
      </c>
      <c r="AV1470" s="405">
        <v>42004</v>
      </c>
      <c r="AW1470" s="72">
        <v>2014</v>
      </c>
      <c r="AX1470" s="72">
        <v>2014</v>
      </c>
      <c r="AY1470" s="407"/>
      <c r="AZ1470" s="72"/>
      <c r="BA1470" s="72"/>
      <c r="BB1470" s="72"/>
      <c r="BC1470" s="72"/>
      <c r="BD1470" s="72"/>
      <c r="BE1470" s="72"/>
      <c r="BF1470" s="72"/>
      <c r="BG1470" s="72"/>
      <c r="BH1470" s="72"/>
      <c r="BI1470" s="72"/>
      <c r="BJ1470" s="72" t="s">
        <v>400</v>
      </c>
      <c r="BK1470" s="72"/>
    </row>
    <row r="1471" spans="1:63" s="607" customFormat="1" ht="225">
      <c r="A1471" s="89">
        <v>4</v>
      </c>
      <c r="B1471" s="72" t="s">
        <v>491</v>
      </c>
      <c r="C1471" s="72" t="s">
        <v>83</v>
      </c>
      <c r="D1471" s="72" t="s">
        <v>4795</v>
      </c>
      <c r="E1471" s="72" t="s">
        <v>163</v>
      </c>
      <c r="F1471" s="72" t="s">
        <v>4805</v>
      </c>
      <c r="G1471" s="72">
        <v>7244000</v>
      </c>
      <c r="H1471" s="72">
        <v>625831</v>
      </c>
      <c r="I1471" s="72" t="s">
        <v>493</v>
      </c>
      <c r="J1471" s="72" t="s">
        <v>452</v>
      </c>
      <c r="K1471" s="72" t="s">
        <v>452</v>
      </c>
      <c r="L1471" s="72" t="s">
        <v>180</v>
      </c>
      <c r="M1471" s="72">
        <v>201050602</v>
      </c>
      <c r="N1471" s="72" t="s">
        <v>5874</v>
      </c>
      <c r="O1471" s="72" t="s">
        <v>398</v>
      </c>
      <c r="P1471" s="404">
        <v>33900</v>
      </c>
      <c r="Q1471" s="404">
        <f t="shared" si="183"/>
        <v>40002</v>
      </c>
      <c r="R1471" s="404"/>
      <c r="S1471" s="72"/>
      <c r="T1471" s="72"/>
      <c r="U1471" s="72"/>
      <c r="V1471" s="72"/>
      <c r="W1471" s="72"/>
      <c r="X1471" s="72"/>
      <c r="Y1471" s="404">
        <v>33900</v>
      </c>
      <c r="Z1471" s="404">
        <f t="shared" si="184"/>
        <v>40002</v>
      </c>
      <c r="AA1471" s="36" t="s">
        <v>132</v>
      </c>
      <c r="AB1471" s="36" t="s">
        <v>132</v>
      </c>
      <c r="AC1471" s="404">
        <v>33900</v>
      </c>
      <c r="AD1471" s="404">
        <f t="shared" si="185"/>
        <v>40002</v>
      </c>
      <c r="AE1471" s="72" t="s">
        <v>169</v>
      </c>
      <c r="AF1471" s="72" t="s">
        <v>83</v>
      </c>
      <c r="AG1471" s="72" t="s">
        <v>83</v>
      </c>
      <c r="AH1471" s="72" t="s">
        <v>90</v>
      </c>
      <c r="AI1471" s="405">
        <v>41821</v>
      </c>
      <c r="AJ1471" s="405">
        <v>41866</v>
      </c>
      <c r="AK1471" s="72"/>
      <c r="AL1471" s="72"/>
      <c r="AM1471" s="72" t="s">
        <v>493</v>
      </c>
      <c r="AN1471" s="72" t="s">
        <v>353</v>
      </c>
      <c r="AO1471" s="72">
        <v>796</v>
      </c>
      <c r="AP1471" s="72" t="s">
        <v>419</v>
      </c>
      <c r="AQ1471" s="72">
        <v>1</v>
      </c>
      <c r="AR1471" s="406">
        <v>45296559</v>
      </c>
      <c r="AS1471" s="72" t="s">
        <v>399</v>
      </c>
      <c r="AT1471" s="405">
        <v>41913</v>
      </c>
      <c r="AU1471" s="405">
        <v>41913</v>
      </c>
      <c r="AV1471" s="405">
        <v>42277</v>
      </c>
      <c r="AW1471" s="72" t="s">
        <v>99</v>
      </c>
      <c r="AX1471" s="72"/>
      <c r="AY1471" s="407"/>
      <c r="AZ1471" s="72"/>
      <c r="BA1471" s="72"/>
      <c r="BB1471" s="72"/>
      <c r="BC1471" s="72"/>
      <c r="BD1471" s="72"/>
      <c r="BE1471" s="72"/>
      <c r="BF1471" s="72"/>
      <c r="BG1471" s="72"/>
      <c r="BH1471" s="72"/>
      <c r="BI1471" s="72"/>
      <c r="BJ1471" s="72" t="s">
        <v>400</v>
      </c>
      <c r="BK1471" s="72"/>
    </row>
    <row r="1472" spans="1:63" s="607" customFormat="1" ht="131.25">
      <c r="A1472" s="89">
        <v>4</v>
      </c>
      <c r="B1472" s="72" t="s">
        <v>4101</v>
      </c>
      <c r="C1472" s="72" t="s">
        <v>83</v>
      </c>
      <c r="D1472" s="72" t="s">
        <v>4795</v>
      </c>
      <c r="E1472" s="72" t="s">
        <v>163</v>
      </c>
      <c r="F1472" s="72" t="s">
        <v>1478</v>
      </c>
      <c r="G1472" s="72" t="s">
        <v>4796</v>
      </c>
      <c r="H1472" s="72">
        <v>626179</v>
      </c>
      <c r="I1472" s="72" t="s">
        <v>4102</v>
      </c>
      <c r="J1472" s="72" t="s">
        <v>443</v>
      </c>
      <c r="K1472" s="72" t="s">
        <v>443</v>
      </c>
      <c r="L1472" s="72" t="s">
        <v>180</v>
      </c>
      <c r="M1472" s="72">
        <v>201050602</v>
      </c>
      <c r="N1472" s="72" t="s">
        <v>5874</v>
      </c>
      <c r="O1472" s="72" t="s">
        <v>398</v>
      </c>
      <c r="P1472" s="404">
        <v>2040</v>
      </c>
      <c r="Q1472" s="404">
        <f t="shared" si="183"/>
        <v>2407.1999999999998</v>
      </c>
      <c r="R1472" s="404"/>
      <c r="S1472" s="72"/>
      <c r="T1472" s="72"/>
      <c r="U1472" s="72"/>
      <c r="V1472" s="72"/>
      <c r="W1472" s="72"/>
      <c r="X1472" s="72"/>
      <c r="Y1472" s="404">
        <v>2040</v>
      </c>
      <c r="Z1472" s="404">
        <f t="shared" si="184"/>
        <v>2407.1999999999998</v>
      </c>
      <c r="AA1472" s="36" t="s">
        <v>132</v>
      </c>
      <c r="AB1472" s="36" t="s">
        <v>132</v>
      </c>
      <c r="AC1472" s="404">
        <v>2040</v>
      </c>
      <c r="AD1472" s="404">
        <f t="shared" si="185"/>
        <v>2407.1999999999998</v>
      </c>
      <c r="AE1472" s="38" t="s">
        <v>173</v>
      </c>
      <c r="AF1472" s="72" t="s">
        <v>83</v>
      </c>
      <c r="AG1472" s="72" t="s">
        <v>83</v>
      </c>
      <c r="AH1472" s="72" t="s">
        <v>90</v>
      </c>
      <c r="AI1472" s="405">
        <v>41672</v>
      </c>
      <c r="AJ1472" s="405">
        <v>41700</v>
      </c>
      <c r="AK1472" s="72"/>
      <c r="AL1472" s="72"/>
      <c r="AM1472" s="72" t="s">
        <v>4102</v>
      </c>
      <c r="AN1472" s="72" t="s">
        <v>353</v>
      </c>
      <c r="AO1472" s="72">
        <v>796</v>
      </c>
      <c r="AP1472" s="72" t="s">
        <v>419</v>
      </c>
      <c r="AQ1472" s="72">
        <v>1</v>
      </c>
      <c r="AR1472" s="406">
        <v>45296559</v>
      </c>
      <c r="AS1472" s="72" t="s">
        <v>399</v>
      </c>
      <c r="AT1472" s="405">
        <v>41720</v>
      </c>
      <c r="AU1472" s="405">
        <v>41720</v>
      </c>
      <c r="AV1472" s="405">
        <v>42025</v>
      </c>
      <c r="AW1472" s="38" t="s">
        <v>99</v>
      </c>
      <c r="AX1472" s="72">
        <v>2014</v>
      </c>
      <c r="AY1472" s="407"/>
      <c r="AZ1472" s="72"/>
      <c r="BA1472" s="72"/>
      <c r="BB1472" s="72"/>
      <c r="BC1472" s="72"/>
      <c r="BD1472" s="72"/>
      <c r="BE1472" s="72"/>
      <c r="BF1472" s="72"/>
      <c r="BG1472" s="72"/>
      <c r="BH1472" s="72"/>
      <c r="BI1472" s="72"/>
      <c r="BJ1472" s="72" t="s">
        <v>400</v>
      </c>
      <c r="BK1472" s="72"/>
    </row>
    <row r="1473" spans="1:63" s="607" customFormat="1" ht="131.25">
      <c r="A1473" s="89">
        <v>4</v>
      </c>
      <c r="B1473" s="72" t="s">
        <v>4844</v>
      </c>
      <c r="C1473" s="72" t="s">
        <v>83</v>
      </c>
      <c r="D1473" s="72" t="s">
        <v>3592</v>
      </c>
      <c r="E1473" s="72" t="s">
        <v>163</v>
      </c>
      <c r="F1473" s="72" t="s">
        <v>1478</v>
      </c>
      <c r="G1473" s="72" t="s">
        <v>4796</v>
      </c>
      <c r="H1473" s="72">
        <v>626629</v>
      </c>
      <c r="I1473" s="72" t="s">
        <v>4845</v>
      </c>
      <c r="J1473" s="72" t="s">
        <v>428</v>
      </c>
      <c r="K1473" s="72" t="s">
        <v>428</v>
      </c>
      <c r="L1473" s="72" t="s">
        <v>180</v>
      </c>
      <c r="M1473" s="72">
        <v>20105030204</v>
      </c>
      <c r="N1473" s="72" t="s">
        <v>5875</v>
      </c>
      <c r="O1473" s="72" t="s">
        <v>398</v>
      </c>
      <c r="P1473" s="404">
        <v>3389.83</v>
      </c>
      <c r="Q1473" s="404">
        <f t="shared" si="183"/>
        <v>3999.9993999999997</v>
      </c>
      <c r="R1473" s="72"/>
      <c r="S1473" s="72" t="s">
        <v>4798</v>
      </c>
      <c r="T1473" s="72"/>
      <c r="U1473" s="72"/>
      <c r="V1473" s="72"/>
      <c r="W1473" s="72"/>
      <c r="X1473" s="72"/>
      <c r="Y1473" s="404">
        <v>3389.83</v>
      </c>
      <c r="Z1473" s="404">
        <f t="shared" si="184"/>
        <v>3999.9993999999997</v>
      </c>
      <c r="AA1473" s="36" t="s">
        <v>132</v>
      </c>
      <c r="AB1473" s="36" t="s">
        <v>132</v>
      </c>
      <c r="AC1473" s="404">
        <v>3389.83</v>
      </c>
      <c r="AD1473" s="404">
        <f t="shared" si="185"/>
        <v>3999.9993999999997</v>
      </c>
      <c r="AE1473" s="38" t="s">
        <v>173</v>
      </c>
      <c r="AF1473" s="72" t="s">
        <v>83</v>
      </c>
      <c r="AG1473" s="72" t="s">
        <v>83</v>
      </c>
      <c r="AH1473" s="72" t="s">
        <v>90</v>
      </c>
      <c r="AI1473" s="405">
        <v>41774</v>
      </c>
      <c r="AJ1473" s="405">
        <v>41805</v>
      </c>
      <c r="AK1473" s="72"/>
      <c r="AL1473" s="72"/>
      <c r="AM1473" s="72" t="s">
        <v>4845</v>
      </c>
      <c r="AN1473" s="72" t="s">
        <v>353</v>
      </c>
      <c r="AO1473" s="72">
        <v>796</v>
      </c>
      <c r="AP1473" s="72" t="s">
        <v>419</v>
      </c>
      <c r="AQ1473" s="72">
        <v>1</v>
      </c>
      <c r="AR1473" s="406">
        <v>45296559</v>
      </c>
      <c r="AS1473" s="72" t="s">
        <v>399</v>
      </c>
      <c r="AT1473" s="405">
        <v>41835</v>
      </c>
      <c r="AU1473" s="405">
        <v>41850</v>
      </c>
      <c r="AV1473" s="767">
        <v>42003</v>
      </c>
      <c r="AW1473" s="72">
        <v>2014</v>
      </c>
      <c r="AX1473" s="72" t="s">
        <v>4888</v>
      </c>
      <c r="AY1473" s="407"/>
      <c r="AZ1473" s="72"/>
      <c r="BA1473" s="72"/>
      <c r="BB1473" s="72"/>
      <c r="BC1473" s="72"/>
      <c r="BD1473" s="72"/>
      <c r="BE1473" s="72"/>
      <c r="BF1473" s="72"/>
      <c r="BG1473" s="72"/>
      <c r="BH1473" s="72"/>
      <c r="BI1473" s="72"/>
      <c r="BJ1473" s="72" t="s">
        <v>400</v>
      </c>
      <c r="BK1473" s="72"/>
    </row>
    <row r="1474" spans="1:63" s="607" customFormat="1" ht="131.25">
      <c r="A1474" s="89">
        <v>4</v>
      </c>
      <c r="B1474" s="72" t="s">
        <v>4846</v>
      </c>
      <c r="C1474" s="72" t="s">
        <v>83</v>
      </c>
      <c r="D1474" s="72" t="s">
        <v>3592</v>
      </c>
      <c r="E1474" s="72" t="s">
        <v>163</v>
      </c>
      <c r="F1474" s="72" t="s">
        <v>1478</v>
      </c>
      <c r="G1474" s="72" t="s">
        <v>4796</v>
      </c>
      <c r="H1474" s="72">
        <v>626626</v>
      </c>
      <c r="I1474" s="72" t="s">
        <v>4847</v>
      </c>
      <c r="J1474" s="72" t="s">
        <v>4848</v>
      </c>
      <c r="K1474" s="72" t="s">
        <v>4848</v>
      </c>
      <c r="L1474" s="72" t="s">
        <v>180</v>
      </c>
      <c r="M1474" s="72">
        <v>201050603</v>
      </c>
      <c r="N1474" s="72" t="s">
        <v>5877</v>
      </c>
      <c r="O1474" s="72" t="s">
        <v>398</v>
      </c>
      <c r="P1474" s="404">
        <v>10000</v>
      </c>
      <c r="Q1474" s="404">
        <f t="shared" si="183"/>
        <v>11800</v>
      </c>
      <c r="R1474" s="72"/>
      <c r="S1474" s="72" t="s">
        <v>4798</v>
      </c>
      <c r="T1474" s="72"/>
      <c r="U1474" s="72"/>
      <c r="V1474" s="72"/>
      <c r="W1474" s="72"/>
      <c r="X1474" s="72"/>
      <c r="Y1474" s="404">
        <v>10000</v>
      </c>
      <c r="Z1474" s="404">
        <f t="shared" si="184"/>
        <v>11800</v>
      </c>
      <c r="AA1474" s="36" t="s">
        <v>132</v>
      </c>
      <c r="AB1474" s="36" t="s">
        <v>132</v>
      </c>
      <c r="AC1474" s="404">
        <v>10000</v>
      </c>
      <c r="AD1474" s="404">
        <f t="shared" si="185"/>
        <v>11800</v>
      </c>
      <c r="AE1474" s="72" t="s">
        <v>169</v>
      </c>
      <c r="AF1474" s="72" t="s">
        <v>83</v>
      </c>
      <c r="AG1474" s="72" t="s">
        <v>83</v>
      </c>
      <c r="AH1474" s="72" t="s">
        <v>90</v>
      </c>
      <c r="AI1474" s="405">
        <v>41671</v>
      </c>
      <c r="AJ1474" s="405">
        <v>41713</v>
      </c>
      <c r="AK1474" s="72"/>
      <c r="AL1474" s="72"/>
      <c r="AM1474" s="72" t="s">
        <v>4847</v>
      </c>
      <c r="AN1474" s="72" t="s">
        <v>353</v>
      </c>
      <c r="AO1474" s="72">
        <v>796</v>
      </c>
      <c r="AP1474" s="72" t="s">
        <v>419</v>
      </c>
      <c r="AQ1474" s="72">
        <v>1</v>
      </c>
      <c r="AR1474" s="406">
        <v>45296559</v>
      </c>
      <c r="AS1474" s="72" t="s">
        <v>399</v>
      </c>
      <c r="AT1474" s="405">
        <v>41698</v>
      </c>
      <c r="AU1474" s="405">
        <v>41944</v>
      </c>
      <c r="AV1474" s="405">
        <v>42307</v>
      </c>
      <c r="AW1474" s="72" t="s">
        <v>99</v>
      </c>
      <c r="AX1474" s="72"/>
      <c r="AY1474" s="407"/>
      <c r="AZ1474" s="72"/>
      <c r="BA1474" s="72"/>
      <c r="BB1474" s="72"/>
      <c r="BC1474" s="72"/>
      <c r="BD1474" s="72"/>
      <c r="BE1474" s="72"/>
      <c r="BF1474" s="72"/>
      <c r="BG1474" s="72"/>
      <c r="BH1474" s="72"/>
      <c r="BI1474" s="72"/>
      <c r="BJ1474" s="72" t="s">
        <v>400</v>
      </c>
      <c r="BK1474" s="72"/>
    </row>
    <row r="1475" spans="1:63" s="607" customFormat="1" ht="131.25">
      <c r="A1475" s="89">
        <v>4</v>
      </c>
      <c r="B1475" s="72" t="s">
        <v>4849</v>
      </c>
      <c r="C1475" s="72" t="s">
        <v>83</v>
      </c>
      <c r="D1475" s="72" t="s">
        <v>3592</v>
      </c>
      <c r="E1475" s="72" t="s">
        <v>163</v>
      </c>
      <c r="F1475" s="72" t="s">
        <v>1478</v>
      </c>
      <c r="G1475" s="72">
        <v>7220000</v>
      </c>
      <c r="H1475" s="72">
        <v>626624</v>
      </c>
      <c r="I1475" s="72" t="s">
        <v>4850</v>
      </c>
      <c r="J1475" s="72" t="s">
        <v>433</v>
      </c>
      <c r="K1475" s="72" t="s">
        <v>433</v>
      </c>
      <c r="L1475" s="72" t="s">
        <v>180</v>
      </c>
      <c r="M1475" s="72">
        <v>20105030102</v>
      </c>
      <c r="N1475" s="72" t="s">
        <v>433</v>
      </c>
      <c r="O1475" s="72" t="s">
        <v>398</v>
      </c>
      <c r="P1475" s="404">
        <v>29700</v>
      </c>
      <c r="Q1475" s="408">
        <v>29700</v>
      </c>
      <c r="R1475" s="72"/>
      <c r="S1475" s="72" t="s">
        <v>4798</v>
      </c>
      <c r="T1475" s="72"/>
      <c r="U1475" s="72"/>
      <c r="V1475" s="72"/>
      <c r="W1475" s="72"/>
      <c r="X1475" s="72"/>
      <c r="Y1475" s="404">
        <v>29700</v>
      </c>
      <c r="Z1475" s="408">
        <v>29700</v>
      </c>
      <c r="AA1475" s="36" t="s">
        <v>132</v>
      </c>
      <c r="AB1475" s="36" t="s">
        <v>132</v>
      </c>
      <c r="AC1475" s="404">
        <v>29700</v>
      </c>
      <c r="AD1475" s="408">
        <v>29700</v>
      </c>
      <c r="AE1475" s="72" t="s">
        <v>169</v>
      </c>
      <c r="AF1475" s="72" t="s">
        <v>83</v>
      </c>
      <c r="AG1475" s="72" t="s">
        <v>83</v>
      </c>
      <c r="AH1475" s="72" t="s">
        <v>90</v>
      </c>
      <c r="AI1475" s="405">
        <v>41683</v>
      </c>
      <c r="AJ1475" s="405">
        <v>41730</v>
      </c>
      <c r="AK1475" s="72"/>
      <c r="AL1475" s="72"/>
      <c r="AM1475" s="72" t="s">
        <v>4850</v>
      </c>
      <c r="AN1475" s="72" t="s">
        <v>353</v>
      </c>
      <c r="AO1475" s="72">
        <v>796</v>
      </c>
      <c r="AP1475" s="72" t="s">
        <v>419</v>
      </c>
      <c r="AQ1475" s="72">
        <v>1</v>
      </c>
      <c r="AR1475" s="406">
        <v>45296559</v>
      </c>
      <c r="AS1475" s="72" t="s">
        <v>399</v>
      </c>
      <c r="AT1475" s="405">
        <v>41699</v>
      </c>
      <c r="AU1475" s="405">
        <v>41728</v>
      </c>
      <c r="AV1475" s="405">
        <v>41698</v>
      </c>
      <c r="AW1475" s="72">
        <v>2014</v>
      </c>
      <c r="AX1475" s="72"/>
      <c r="AY1475" s="407"/>
      <c r="AZ1475" s="72"/>
      <c r="BA1475" s="72"/>
      <c r="BB1475" s="72"/>
      <c r="BC1475" s="72"/>
      <c r="BD1475" s="72"/>
      <c r="BE1475" s="72"/>
      <c r="BF1475" s="72"/>
      <c r="BG1475" s="72"/>
      <c r="BH1475" s="72"/>
      <c r="BI1475" s="72"/>
      <c r="BJ1475" s="72" t="s">
        <v>400</v>
      </c>
      <c r="BK1475" s="72"/>
    </row>
    <row r="1476" spans="1:63" s="607" customFormat="1" ht="243.75">
      <c r="A1476" s="89">
        <v>4</v>
      </c>
      <c r="B1476" s="72" t="s">
        <v>4851</v>
      </c>
      <c r="C1476" s="72" t="s">
        <v>83</v>
      </c>
      <c r="D1476" s="72" t="s">
        <v>4795</v>
      </c>
      <c r="E1476" s="72" t="s">
        <v>163</v>
      </c>
      <c r="F1476" s="72" t="s">
        <v>4805</v>
      </c>
      <c r="G1476" s="72" t="s">
        <v>4796</v>
      </c>
      <c r="H1476" s="72">
        <v>626648</v>
      </c>
      <c r="I1476" s="72" t="s">
        <v>4852</v>
      </c>
      <c r="J1476" s="72" t="s">
        <v>462</v>
      </c>
      <c r="K1476" s="72" t="s">
        <v>462</v>
      </c>
      <c r="L1476" s="72" t="s">
        <v>180</v>
      </c>
      <c r="M1476" s="72">
        <v>201050602</v>
      </c>
      <c r="N1476" s="72" t="s">
        <v>5874</v>
      </c>
      <c r="O1476" s="72" t="s">
        <v>398</v>
      </c>
      <c r="P1476" s="404">
        <v>30508.474999999999</v>
      </c>
      <c r="Q1476" s="404">
        <f>P1476*1.18</f>
        <v>36000.000499999995</v>
      </c>
      <c r="R1476" s="72"/>
      <c r="S1476" s="72" t="s">
        <v>4798</v>
      </c>
      <c r="T1476" s="72"/>
      <c r="U1476" s="72"/>
      <c r="V1476" s="72"/>
      <c r="W1476" s="72"/>
      <c r="X1476" s="72"/>
      <c r="Y1476" s="404">
        <v>30508.474999999999</v>
      </c>
      <c r="Z1476" s="404">
        <f>Y1476*1.18</f>
        <v>36000.000499999995</v>
      </c>
      <c r="AA1476" s="36" t="s">
        <v>132</v>
      </c>
      <c r="AB1476" s="36" t="s">
        <v>132</v>
      </c>
      <c r="AC1476" s="404">
        <v>30508.474999999999</v>
      </c>
      <c r="AD1476" s="404">
        <f>AC1476*1.18</f>
        <v>36000.000499999995</v>
      </c>
      <c r="AE1476" s="72" t="s">
        <v>169</v>
      </c>
      <c r="AF1476" s="72" t="s">
        <v>83</v>
      </c>
      <c r="AG1476" s="72" t="s">
        <v>83</v>
      </c>
      <c r="AH1476" s="72" t="s">
        <v>90</v>
      </c>
      <c r="AI1476" s="405">
        <v>41827</v>
      </c>
      <c r="AJ1476" s="405">
        <v>41876</v>
      </c>
      <c r="AK1476" s="72"/>
      <c r="AL1476" s="72"/>
      <c r="AM1476" s="72" t="s">
        <v>4852</v>
      </c>
      <c r="AN1476" s="72" t="s">
        <v>353</v>
      </c>
      <c r="AO1476" s="72">
        <v>796</v>
      </c>
      <c r="AP1476" s="72" t="s">
        <v>419</v>
      </c>
      <c r="AQ1476" s="72">
        <v>1</v>
      </c>
      <c r="AR1476" s="406">
        <v>45296559</v>
      </c>
      <c r="AS1476" s="72" t="s">
        <v>399</v>
      </c>
      <c r="AT1476" s="405">
        <v>41912</v>
      </c>
      <c r="AU1476" s="405">
        <v>41919</v>
      </c>
      <c r="AV1476" s="405">
        <v>42284</v>
      </c>
      <c r="AW1476" s="72" t="s">
        <v>99</v>
      </c>
      <c r="AX1476" s="72"/>
      <c r="AY1476" s="407"/>
      <c r="AZ1476" s="72"/>
      <c r="BA1476" s="72"/>
      <c r="BB1476" s="72"/>
      <c r="BC1476" s="72"/>
      <c r="BD1476" s="72"/>
      <c r="BE1476" s="72"/>
      <c r="BF1476" s="72"/>
      <c r="BG1476" s="72"/>
      <c r="BH1476" s="72"/>
      <c r="BI1476" s="72"/>
      <c r="BJ1476" s="72" t="s">
        <v>400</v>
      </c>
      <c r="BK1476" s="72"/>
    </row>
    <row r="1477" spans="1:63" s="607" customFormat="1" ht="131.25">
      <c r="A1477" s="89">
        <v>4</v>
      </c>
      <c r="B1477" s="72" t="s">
        <v>4853</v>
      </c>
      <c r="C1477" s="72" t="s">
        <v>83</v>
      </c>
      <c r="D1477" s="72" t="s">
        <v>3592</v>
      </c>
      <c r="E1477" s="72" t="s">
        <v>163</v>
      </c>
      <c r="F1477" s="72" t="s">
        <v>1478</v>
      </c>
      <c r="G1477" s="72">
        <v>7220000</v>
      </c>
      <c r="H1477" s="72">
        <v>626627</v>
      </c>
      <c r="I1477" s="72" t="s">
        <v>4854</v>
      </c>
      <c r="J1477" s="72" t="s">
        <v>428</v>
      </c>
      <c r="K1477" s="72" t="s">
        <v>428</v>
      </c>
      <c r="L1477" s="72" t="s">
        <v>180</v>
      </c>
      <c r="M1477" s="72">
        <v>20105030102</v>
      </c>
      <c r="N1477" s="72" t="s">
        <v>433</v>
      </c>
      <c r="O1477" s="72" t="s">
        <v>398</v>
      </c>
      <c r="P1477" s="404">
        <v>4000</v>
      </c>
      <c r="Q1477" s="408">
        <v>4000</v>
      </c>
      <c r="R1477" s="72"/>
      <c r="S1477" s="72" t="s">
        <v>4798</v>
      </c>
      <c r="T1477" s="72"/>
      <c r="U1477" s="72"/>
      <c r="V1477" s="72"/>
      <c r="W1477" s="72"/>
      <c r="X1477" s="72"/>
      <c r="Y1477" s="404">
        <v>4000</v>
      </c>
      <c r="Z1477" s="408">
        <v>4000</v>
      </c>
      <c r="AA1477" s="36" t="s">
        <v>132</v>
      </c>
      <c r="AB1477" s="36" t="s">
        <v>132</v>
      </c>
      <c r="AC1477" s="404">
        <v>4000</v>
      </c>
      <c r="AD1477" s="408">
        <v>4000</v>
      </c>
      <c r="AE1477" s="38" t="s">
        <v>173</v>
      </c>
      <c r="AF1477" s="72" t="s">
        <v>83</v>
      </c>
      <c r="AG1477" s="72" t="s">
        <v>83</v>
      </c>
      <c r="AH1477" s="72" t="s">
        <v>90</v>
      </c>
      <c r="AI1477" s="405">
        <v>41774</v>
      </c>
      <c r="AJ1477" s="405">
        <v>41805</v>
      </c>
      <c r="AK1477" s="72"/>
      <c r="AL1477" s="72"/>
      <c r="AM1477" s="72" t="s">
        <v>4854</v>
      </c>
      <c r="AN1477" s="72" t="s">
        <v>353</v>
      </c>
      <c r="AO1477" s="72">
        <v>796</v>
      </c>
      <c r="AP1477" s="72" t="s">
        <v>419</v>
      </c>
      <c r="AQ1477" s="72">
        <v>1</v>
      </c>
      <c r="AR1477" s="406">
        <v>45296559</v>
      </c>
      <c r="AS1477" s="72" t="s">
        <v>399</v>
      </c>
      <c r="AT1477" s="405">
        <v>41835</v>
      </c>
      <c r="AU1477" s="405">
        <v>41850</v>
      </c>
      <c r="AV1477" s="405">
        <v>41881</v>
      </c>
      <c r="AW1477" s="72">
        <v>2014</v>
      </c>
      <c r="AX1477" s="72" t="s">
        <v>4890</v>
      </c>
      <c r="AY1477" s="407"/>
      <c r="AZ1477" s="72"/>
      <c r="BA1477" s="72"/>
      <c r="BB1477" s="72"/>
      <c r="BC1477" s="72"/>
      <c r="BD1477" s="72"/>
      <c r="BE1477" s="72"/>
      <c r="BF1477" s="72"/>
      <c r="BG1477" s="72"/>
      <c r="BH1477" s="72"/>
      <c r="BI1477" s="72"/>
      <c r="BJ1477" s="72" t="s">
        <v>400</v>
      </c>
      <c r="BK1477" s="72"/>
    </row>
    <row r="1478" spans="1:63" s="607" customFormat="1" ht="131.25">
      <c r="A1478" s="89">
        <v>4</v>
      </c>
      <c r="B1478" s="72" t="s">
        <v>4855</v>
      </c>
      <c r="C1478" s="72" t="s">
        <v>83</v>
      </c>
      <c r="D1478" s="72" t="s">
        <v>3592</v>
      </c>
      <c r="E1478" s="72" t="s">
        <v>163</v>
      </c>
      <c r="F1478" s="72" t="s">
        <v>4856</v>
      </c>
      <c r="G1478" s="72" t="s">
        <v>4857</v>
      </c>
      <c r="H1478" s="72">
        <v>626637</v>
      </c>
      <c r="I1478" s="72" t="s">
        <v>4858</v>
      </c>
      <c r="J1478" s="72" t="s">
        <v>4859</v>
      </c>
      <c r="K1478" s="72" t="s">
        <v>4859</v>
      </c>
      <c r="L1478" s="72" t="s">
        <v>180</v>
      </c>
      <c r="M1478" s="72">
        <v>201050603</v>
      </c>
      <c r="N1478" s="72" t="s">
        <v>5877</v>
      </c>
      <c r="O1478" s="72" t="s">
        <v>398</v>
      </c>
      <c r="P1478" s="404">
        <v>7627.12</v>
      </c>
      <c r="Q1478" s="404">
        <f>P1478*1.18</f>
        <v>9000.0015999999996</v>
      </c>
      <c r="R1478" s="72"/>
      <c r="S1478" s="72" t="s">
        <v>4798</v>
      </c>
      <c r="T1478" s="72"/>
      <c r="U1478" s="72"/>
      <c r="V1478" s="72"/>
      <c r="W1478" s="72"/>
      <c r="X1478" s="72"/>
      <c r="Y1478" s="404">
        <v>7627.12</v>
      </c>
      <c r="Z1478" s="404">
        <f>Y1478*1.18</f>
        <v>9000.0015999999996</v>
      </c>
      <c r="AA1478" s="36" t="s">
        <v>132</v>
      </c>
      <c r="AB1478" s="36" t="s">
        <v>132</v>
      </c>
      <c r="AC1478" s="404">
        <v>7627.12</v>
      </c>
      <c r="AD1478" s="404">
        <f>AC1478*1.18</f>
        <v>9000.0015999999996</v>
      </c>
      <c r="AE1478" s="38" t="s">
        <v>173</v>
      </c>
      <c r="AF1478" s="72" t="s">
        <v>83</v>
      </c>
      <c r="AG1478" s="72" t="s">
        <v>83</v>
      </c>
      <c r="AH1478" s="72" t="s">
        <v>90</v>
      </c>
      <c r="AI1478" s="405">
        <v>41671</v>
      </c>
      <c r="AJ1478" s="405">
        <v>41713</v>
      </c>
      <c r="AK1478" s="72"/>
      <c r="AL1478" s="72"/>
      <c r="AM1478" s="72" t="s">
        <v>4858</v>
      </c>
      <c r="AN1478" s="72" t="s">
        <v>353</v>
      </c>
      <c r="AO1478" s="72">
        <v>796</v>
      </c>
      <c r="AP1478" s="72" t="s">
        <v>419</v>
      </c>
      <c r="AQ1478" s="72">
        <v>1</v>
      </c>
      <c r="AR1478" s="406">
        <v>45296559</v>
      </c>
      <c r="AS1478" s="72" t="s">
        <v>399</v>
      </c>
      <c r="AT1478" s="405">
        <v>41730</v>
      </c>
      <c r="AU1478" s="405">
        <v>41730</v>
      </c>
      <c r="AV1478" s="405">
        <v>42369</v>
      </c>
      <c r="AW1478" s="72" t="s">
        <v>99</v>
      </c>
      <c r="AX1478" s="72"/>
      <c r="AY1478" s="407"/>
      <c r="AZ1478" s="72"/>
      <c r="BA1478" s="72"/>
      <c r="BB1478" s="72"/>
      <c r="BC1478" s="72"/>
      <c r="BD1478" s="72"/>
      <c r="BE1478" s="72"/>
      <c r="BF1478" s="72"/>
      <c r="BG1478" s="72"/>
      <c r="BH1478" s="72"/>
      <c r="BI1478" s="72"/>
      <c r="BJ1478" s="72" t="s">
        <v>400</v>
      </c>
      <c r="BK1478" s="72"/>
    </row>
    <row r="1479" spans="1:63" s="607" customFormat="1" ht="131.25">
      <c r="A1479" s="89">
        <v>4</v>
      </c>
      <c r="B1479" s="72" t="s">
        <v>4860</v>
      </c>
      <c r="C1479" s="72" t="s">
        <v>83</v>
      </c>
      <c r="D1479" s="72" t="s">
        <v>3592</v>
      </c>
      <c r="E1479" s="72" t="s">
        <v>163</v>
      </c>
      <c r="F1479" s="72" t="s">
        <v>1478</v>
      </c>
      <c r="G1479" s="72">
        <v>7220000</v>
      </c>
      <c r="H1479" s="72">
        <v>626639</v>
      </c>
      <c r="I1479" s="72" t="s">
        <v>4861</v>
      </c>
      <c r="J1479" s="72" t="s">
        <v>424</v>
      </c>
      <c r="K1479" s="72" t="s">
        <v>424</v>
      </c>
      <c r="L1479" s="72" t="s">
        <v>180</v>
      </c>
      <c r="M1479" s="72">
        <v>201050603</v>
      </c>
      <c r="N1479" s="72" t="s">
        <v>5877</v>
      </c>
      <c r="O1479" s="72" t="s">
        <v>398</v>
      </c>
      <c r="P1479" s="404">
        <v>4000</v>
      </c>
      <c r="Q1479" s="404">
        <v>4720</v>
      </c>
      <c r="R1479" s="72"/>
      <c r="S1479" s="72" t="s">
        <v>4798</v>
      </c>
      <c r="T1479" s="72"/>
      <c r="U1479" s="72"/>
      <c r="V1479" s="72"/>
      <c r="W1479" s="72"/>
      <c r="X1479" s="72"/>
      <c r="Y1479" s="404">
        <v>4000</v>
      </c>
      <c r="Z1479" s="404">
        <v>4720</v>
      </c>
      <c r="AA1479" s="36" t="s">
        <v>132</v>
      </c>
      <c r="AB1479" s="36" t="s">
        <v>132</v>
      </c>
      <c r="AC1479" s="404">
        <v>4000</v>
      </c>
      <c r="AD1479" s="404">
        <v>4720</v>
      </c>
      <c r="AE1479" s="38" t="s">
        <v>173</v>
      </c>
      <c r="AF1479" s="72" t="s">
        <v>83</v>
      </c>
      <c r="AG1479" s="72" t="s">
        <v>83</v>
      </c>
      <c r="AH1479" s="72" t="s">
        <v>90</v>
      </c>
      <c r="AI1479" s="405">
        <v>41730</v>
      </c>
      <c r="AJ1479" s="405">
        <v>41760</v>
      </c>
      <c r="AK1479" s="72"/>
      <c r="AL1479" s="72"/>
      <c r="AM1479" s="72" t="s">
        <v>4861</v>
      </c>
      <c r="AN1479" s="72" t="s">
        <v>353</v>
      </c>
      <c r="AO1479" s="72">
        <v>796</v>
      </c>
      <c r="AP1479" s="72" t="s">
        <v>419</v>
      </c>
      <c r="AQ1479" s="72">
        <v>1</v>
      </c>
      <c r="AR1479" s="406">
        <v>45296559</v>
      </c>
      <c r="AS1479" s="72" t="s">
        <v>399</v>
      </c>
      <c r="AT1479" s="405">
        <v>41791</v>
      </c>
      <c r="AU1479" s="405">
        <v>41821</v>
      </c>
      <c r="AV1479" s="405">
        <v>41852</v>
      </c>
      <c r="AW1479" s="72">
        <v>2014</v>
      </c>
      <c r="AX1479" s="72"/>
      <c r="AY1479" s="407"/>
      <c r="AZ1479" s="72"/>
      <c r="BA1479" s="72"/>
      <c r="BB1479" s="72"/>
      <c r="BC1479" s="72"/>
      <c r="BD1479" s="72"/>
      <c r="BE1479" s="72"/>
      <c r="BF1479" s="72"/>
      <c r="BG1479" s="72"/>
      <c r="BH1479" s="72"/>
      <c r="BI1479" s="72"/>
      <c r="BJ1479" s="72" t="s">
        <v>400</v>
      </c>
      <c r="BK1479" s="72"/>
    </row>
    <row r="1480" spans="1:63" s="607" customFormat="1" ht="131.25">
      <c r="A1480" s="89">
        <v>4</v>
      </c>
      <c r="B1480" s="72" t="s">
        <v>4862</v>
      </c>
      <c r="C1480" s="72" t="s">
        <v>83</v>
      </c>
      <c r="D1480" s="72" t="s">
        <v>3592</v>
      </c>
      <c r="E1480" s="72" t="s">
        <v>163</v>
      </c>
      <c r="F1480" s="72" t="s">
        <v>4805</v>
      </c>
      <c r="G1480" s="72" t="s">
        <v>4796</v>
      </c>
      <c r="H1480" s="72">
        <v>626642</v>
      </c>
      <c r="I1480" s="72" t="s">
        <v>4863</v>
      </c>
      <c r="J1480" s="72" t="s">
        <v>397</v>
      </c>
      <c r="K1480" s="72" t="s">
        <v>397</v>
      </c>
      <c r="L1480" s="72" t="s">
        <v>180</v>
      </c>
      <c r="M1480" s="72">
        <v>201050603</v>
      </c>
      <c r="N1480" s="72" t="s">
        <v>5877</v>
      </c>
      <c r="O1480" s="72" t="s">
        <v>398</v>
      </c>
      <c r="P1480" s="404">
        <v>2855.93</v>
      </c>
      <c r="Q1480" s="404">
        <f>P1480*1.18</f>
        <v>3369.9973999999997</v>
      </c>
      <c r="R1480" s="72"/>
      <c r="S1480" s="72"/>
      <c r="T1480" s="72"/>
      <c r="U1480" s="72"/>
      <c r="V1480" s="72"/>
      <c r="W1480" s="72"/>
      <c r="X1480" s="72"/>
      <c r="Y1480" s="404">
        <v>2855.93</v>
      </c>
      <c r="Z1480" s="404">
        <f>Y1480*1.18</f>
        <v>3369.9973999999997</v>
      </c>
      <c r="AA1480" s="36" t="s">
        <v>132</v>
      </c>
      <c r="AB1480" s="36" t="s">
        <v>132</v>
      </c>
      <c r="AC1480" s="404">
        <v>2855.93</v>
      </c>
      <c r="AD1480" s="404">
        <f>AC1480*1.18</f>
        <v>3369.9973999999997</v>
      </c>
      <c r="AE1480" s="38" t="s">
        <v>173</v>
      </c>
      <c r="AF1480" s="72" t="s">
        <v>83</v>
      </c>
      <c r="AG1480" s="72" t="s">
        <v>83</v>
      </c>
      <c r="AH1480" s="72" t="s">
        <v>90</v>
      </c>
      <c r="AI1480" s="405">
        <v>41771</v>
      </c>
      <c r="AJ1480" s="405">
        <v>41821</v>
      </c>
      <c r="AK1480" s="72"/>
      <c r="AL1480" s="72"/>
      <c r="AM1480" s="72" t="s">
        <v>4863</v>
      </c>
      <c r="AN1480" s="72" t="s">
        <v>353</v>
      </c>
      <c r="AO1480" s="72">
        <v>796</v>
      </c>
      <c r="AP1480" s="72" t="s">
        <v>419</v>
      </c>
      <c r="AQ1480" s="72">
        <v>1</v>
      </c>
      <c r="AR1480" s="406">
        <v>45296559</v>
      </c>
      <c r="AS1480" s="72" t="s">
        <v>399</v>
      </c>
      <c r="AT1480" s="405">
        <v>41852</v>
      </c>
      <c r="AU1480" s="405">
        <v>41854</v>
      </c>
      <c r="AV1480" s="405">
        <v>42580</v>
      </c>
      <c r="AW1480" s="72" t="s">
        <v>1789</v>
      </c>
      <c r="AX1480" s="72"/>
      <c r="AY1480" s="407"/>
      <c r="AZ1480" s="72"/>
      <c r="BA1480" s="72"/>
      <c r="BB1480" s="72"/>
      <c r="BC1480" s="72"/>
      <c r="BD1480" s="72"/>
      <c r="BE1480" s="72"/>
      <c r="BF1480" s="72"/>
      <c r="BG1480" s="72"/>
      <c r="BH1480" s="72"/>
      <c r="BI1480" s="72"/>
      <c r="BJ1480" s="72" t="s">
        <v>400</v>
      </c>
      <c r="BK1480" s="72"/>
    </row>
    <row r="1481" spans="1:63" s="607" customFormat="1" ht="225">
      <c r="A1481" s="89">
        <v>4</v>
      </c>
      <c r="B1481" s="72" t="s">
        <v>4864</v>
      </c>
      <c r="C1481" s="72" t="s">
        <v>83</v>
      </c>
      <c r="D1481" s="72" t="s">
        <v>3592</v>
      </c>
      <c r="E1481" s="72" t="s">
        <v>163</v>
      </c>
      <c r="F1481" s="72" t="s">
        <v>4805</v>
      </c>
      <c r="G1481" s="72" t="s">
        <v>4796</v>
      </c>
      <c r="H1481" s="72">
        <v>626638</v>
      </c>
      <c r="I1481" s="72" t="s">
        <v>4865</v>
      </c>
      <c r="J1481" s="72" t="s">
        <v>462</v>
      </c>
      <c r="K1481" s="72" t="s">
        <v>462</v>
      </c>
      <c r="L1481" s="72" t="s">
        <v>180</v>
      </c>
      <c r="M1481" s="72">
        <v>201050603</v>
      </c>
      <c r="N1481" s="72" t="s">
        <v>5877</v>
      </c>
      <c r="O1481" s="72" t="s">
        <v>398</v>
      </c>
      <c r="P1481" s="404">
        <v>16779.66</v>
      </c>
      <c r="Q1481" s="404">
        <f>P1481*1.18</f>
        <v>19799.998799999998</v>
      </c>
      <c r="R1481" s="72"/>
      <c r="S1481" s="72"/>
      <c r="T1481" s="72"/>
      <c r="U1481" s="72"/>
      <c r="V1481" s="72"/>
      <c r="W1481" s="72"/>
      <c r="X1481" s="72"/>
      <c r="Y1481" s="404">
        <v>16779.66</v>
      </c>
      <c r="Z1481" s="404">
        <f>Y1481*1.18</f>
        <v>19799.998799999998</v>
      </c>
      <c r="AA1481" s="36" t="s">
        <v>132</v>
      </c>
      <c r="AB1481" s="36" t="s">
        <v>132</v>
      </c>
      <c r="AC1481" s="404">
        <v>16779.66</v>
      </c>
      <c r="AD1481" s="404">
        <f>AC1481*1.18</f>
        <v>19799.998799999998</v>
      </c>
      <c r="AE1481" s="72" t="s">
        <v>169</v>
      </c>
      <c r="AF1481" s="72" t="s">
        <v>83</v>
      </c>
      <c r="AG1481" s="72" t="s">
        <v>83</v>
      </c>
      <c r="AH1481" s="72" t="s">
        <v>90</v>
      </c>
      <c r="AI1481" s="405">
        <v>41852</v>
      </c>
      <c r="AJ1481" s="405">
        <v>41897</v>
      </c>
      <c r="AK1481" s="72"/>
      <c r="AL1481" s="72"/>
      <c r="AM1481" s="72" t="s">
        <v>4865</v>
      </c>
      <c r="AN1481" s="72" t="s">
        <v>353</v>
      </c>
      <c r="AO1481" s="72">
        <v>796</v>
      </c>
      <c r="AP1481" s="72" t="s">
        <v>419</v>
      </c>
      <c r="AQ1481" s="72">
        <v>1</v>
      </c>
      <c r="AR1481" s="406">
        <v>45296559</v>
      </c>
      <c r="AS1481" s="72" t="s">
        <v>399</v>
      </c>
      <c r="AT1481" s="405">
        <v>41912</v>
      </c>
      <c r="AU1481" s="405">
        <v>41944</v>
      </c>
      <c r="AV1481" s="405">
        <v>42307</v>
      </c>
      <c r="AW1481" s="72" t="s">
        <v>99</v>
      </c>
      <c r="AX1481" s="72"/>
      <c r="AY1481" s="407"/>
      <c r="AZ1481" s="72"/>
      <c r="BA1481" s="72"/>
      <c r="BB1481" s="72"/>
      <c r="BC1481" s="72"/>
      <c r="BD1481" s="72"/>
      <c r="BE1481" s="72"/>
      <c r="BF1481" s="72"/>
      <c r="BG1481" s="72"/>
      <c r="BH1481" s="72"/>
      <c r="BI1481" s="72"/>
      <c r="BJ1481" s="72" t="s">
        <v>400</v>
      </c>
      <c r="BK1481" s="72"/>
    </row>
    <row r="1482" spans="1:63" s="607" customFormat="1" ht="131.25">
      <c r="A1482" s="89">
        <v>4</v>
      </c>
      <c r="B1482" s="72" t="s">
        <v>4866</v>
      </c>
      <c r="C1482" s="72" t="s">
        <v>83</v>
      </c>
      <c r="D1482" s="72" t="s">
        <v>3592</v>
      </c>
      <c r="E1482" s="72" t="s">
        <v>163</v>
      </c>
      <c r="F1482" s="72" t="s">
        <v>4668</v>
      </c>
      <c r="G1482" s="72" t="s">
        <v>4867</v>
      </c>
      <c r="H1482" s="72">
        <v>626636</v>
      </c>
      <c r="I1482" s="72" t="s">
        <v>4868</v>
      </c>
      <c r="J1482" s="72" t="s">
        <v>462</v>
      </c>
      <c r="K1482" s="72" t="s">
        <v>462</v>
      </c>
      <c r="L1482" s="72" t="s">
        <v>180</v>
      </c>
      <c r="M1482" s="72">
        <v>20105030204</v>
      </c>
      <c r="N1482" s="72" t="s">
        <v>5875</v>
      </c>
      <c r="O1482" s="72" t="s">
        <v>398</v>
      </c>
      <c r="P1482" s="404">
        <v>5932.2</v>
      </c>
      <c r="Q1482" s="404">
        <f>P1482*1.18</f>
        <v>6999.9959999999992</v>
      </c>
      <c r="R1482" s="72"/>
      <c r="S1482" s="72" t="s">
        <v>4798</v>
      </c>
      <c r="T1482" s="72"/>
      <c r="U1482" s="72"/>
      <c r="V1482" s="72"/>
      <c r="W1482" s="72"/>
      <c r="X1482" s="72"/>
      <c r="Y1482" s="404">
        <v>5932.2</v>
      </c>
      <c r="Z1482" s="404">
        <f>Y1482*1.18</f>
        <v>6999.9959999999992</v>
      </c>
      <c r="AA1482" s="36" t="s">
        <v>132</v>
      </c>
      <c r="AB1482" s="36" t="s">
        <v>132</v>
      </c>
      <c r="AC1482" s="404">
        <v>5932.2</v>
      </c>
      <c r="AD1482" s="404">
        <f>AC1482*1.18</f>
        <v>6999.9959999999992</v>
      </c>
      <c r="AE1482" s="38" t="s">
        <v>173</v>
      </c>
      <c r="AF1482" s="72" t="s">
        <v>83</v>
      </c>
      <c r="AG1482" s="72" t="s">
        <v>83</v>
      </c>
      <c r="AH1482" s="72" t="s">
        <v>90</v>
      </c>
      <c r="AI1482" s="405">
        <v>41852</v>
      </c>
      <c r="AJ1482" s="405">
        <v>41897</v>
      </c>
      <c r="AK1482" s="72"/>
      <c r="AL1482" s="72"/>
      <c r="AM1482" s="72" t="s">
        <v>4868</v>
      </c>
      <c r="AN1482" s="72" t="s">
        <v>353</v>
      </c>
      <c r="AO1482" s="72">
        <v>796</v>
      </c>
      <c r="AP1482" s="72" t="s">
        <v>419</v>
      </c>
      <c r="AQ1482" s="72">
        <v>1</v>
      </c>
      <c r="AR1482" s="406">
        <v>45296559</v>
      </c>
      <c r="AS1482" s="72" t="s">
        <v>399</v>
      </c>
      <c r="AT1482" s="405">
        <v>41912</v>
      </c>
      <c r="AU1482" s="405">
        <v>41944</v>
      </c>
      <c r="AV1482" s="405">
        <v>42307</v>
      </c>
      <c r="AW1482" s="72" t="s">
        <v>99</v>
      </c>
      <c r="AX1482" s="72"/>
      <c r="AY1482" s="407"/>
      <c r="AZ1482" s="72"/>
      <c r="BA1482" s="72"/>
      <c r="BB1482" s="72"/>
      <c r="BC1482" s="72"/>
      <c r="BD1482" s="72"/>
      <c r="BE1482" s="72"/>
      <c r="BF1482" s="72"/>
      <c r="BG1482" s="72"/>
      <c r="BH1482" s="72"/>
      <c r="BI1482" s="72"/>
      <c r="BJ1482" s="72"/>
      <c r="BK1482" s="72"/>
    </row>
    <row r="1483" spans="1:63" s="607" customFormat="1" ht="131.25">
      <c r="A1483" s="89">
        <v>4</v>
      </c>
      <c r="B1483" s="72" t="s">
        <v>4869</v>
      </c>
      <c r="C1483" s="72" t="s">
        <v>83</v>
      </c>
      <c r="D1483" s="72" t="s">
        <v>4795</v>
      </c>
      <c r="E1483" s="72" t="s">
        <v>163</v>
      </c>
      <c r="F1483" s="72" t="s">
        <v>4805</v>
      </c>
      <c r="G1483" s="72" t="s">
        <v>4796</v>
      </c>
      <c r="H1483" s="72">
        <v>626634</v>
      </c>
      <c r="I1483" s="72" t="s">
        <v>4870</v>
      </c>
      <c r="J1483" s="72" t="s">
        <v>462</v>
      </c>
      <c r="K1483" s="72" t="s">
        <v>462</v>
      </c>
      <c r="L1483" s="72" t="s">
        <v>180</v>
      </c>
      <c r="M1483" s="72">
        <v>201050602</v>
      </c>
      <c r="N1483" s="72" t="s">
        <v>5874</v>
      </c>
      <c r="O1483" s="72" t="s">
        <v>398</v>
      </c>
      <c r="P1483" s="404">
        <v>54524.58</v>
      </c>
      <c r="Q1483" s="404">
        <f t="shared" ref="Q1483:Q1484" si="186">P1483*1.18</f>
        <v>64339.004399999998</v>
      </c>
      <c r="R1483" s="72"/>
      <c r="S1483" s="72"/>
      <c r="T1483" s="72"/>
      <c r="U1483" s="72"/>
      <c r="V1483" s="72"/>
      <c r="W1483" s="72"/>
      <c r="X1483" s="72"/>
      <c r="Y1483" s="404">
        <v>54524.58</v>
      </c>
      <c r="Z1483" s="404">
        <f>Y1483*1.18</f>
        <v>64339.004399999998</v>
      </c>
      <c r="AA1483" s="36" t="s">
        <v>132</v>
      </c>
      <c r="AB1483" s="36" t="s">
        <v>132</v>
      </c>
      <c r="AC1483" s="404">
        <v>54524.58</v>
      </c>
      <c r="AD1483" s="404">
        <f>AC1483*1.18</f>
        <v>64339.004399999998</v>
      </c>
      <c r="AE1483" s="38" t="s">
        <v>169</v>
      </c>
      <c r="AF1483" s="72" t="s">
        <v>83</v>
      </c>
      <c r="AG1483" s="72" t="s">
        <v>83</v>
      </c>
      <c r="AH1483" s="72" t="s">
        <v>90</v>
      </c>
      <c r="AI1483" s="405">
        <v>41680</v>
      </c>
      <c r="AJ1483" s="405">
        <v>41708</v>
      </c>
      <c r="AK1483" s="72"/>
      <c r="AL1483" s="72"/>
      <c r="AM1483" s="72" t="s">
        <v>4870</v>
      </c>
      <c r="AN1483" s="72" t="s">
        <v>353</v>
      </c>
      <c r="AO1483" s="72">
        <v>796</v>
      </c>
      <c r="AP1483" s="72" t="s">
        <v>419</v>
      </c>
      <c r="AQ1483" s="72">
        <v>1</v>
      </c>
      <c r="AR1483" s="406">
        <v>45296559</v>
      </c>
      <c r="AS1483" s="72" t="s">
        <v>399</v>
      </c>
      <c r="AT1483" s="405">
        <v>41698</v>
      </c>
      <c r="AU1483" s="405">
        <v>41698</v>
      </c>
      <c r="AV1483" s="405">
        <v>41973</v>
      </c>
      <c r="AW1483" s="72">
        <v>2014</v>
      </c>
      <c r="AX1483" s="72"/>
      <c r="AY1483" s="407"/>
      <c r="AZ1483" s="72"/>
      <c r="BA1483" s="72"/>
      <c r="BB1483" s="72"/>
      <c r="BC1483" s="72"/>
      <c r="BD1483" s="72"/>
      <c r="BE1483" s="72"/>
      <c r="BF1483" s="72"/>
      <c r="BG1483" s="72"/>
      <c r="BH1483" s="72"/>
      <c r="BI1483" s="72"/>
      <c r="BJ1483" s="72" t="s">
        <v>400</v>
      </c>
      <c r="BK1483" s="72"/>
    </row>
    <row r="1484" spans="1:63" s="607" customFormat="1" ht="131.25">
      <c r="A1484" s="89">
        <v>4</v>
      </c>
      <c r="B1484" s="72" t="s">
        <v>4871</v>
      </c>
      <c r="C1484" s="72" t="s">
        <v>83</v>
      </c>
      <c r="D1484" s="72" t="s">
        <v>3592</v>
      </c>
      <c r="E1484" s="72" t="s">
        <v>163</v>
      </c>
      <c r="F1484" s="72" t="s">
        <v>1478</v>
      </c>
      <c r="G1484" s="72">
        <v>7220000</v>
      </c>
      <c r="H1484" s="72">
        <v>626625</v>
      </c>
      <c r="I1484" s="72" t="s">
        <v>4872</v>
      </c>
      <c r="J1484" s="72" t="s">
        <v>433</v>
      </c>
      <c r="K1484" s="72" t="s">
        <v>433</v>
      </c>
      <c r="L1484" s="72" t="s">
        <v>180</v>
      </c>
      <c r="M1484" s="72">
        <v>20105030102</v>
      </c>
      <c r="N1484" s="72" t="s">
        <v>433</v>
      </c>
      <c r="O1484" s="72" t="s">
        <v>398</v>
      </c>
      <c r="P1484" s="404">
        <v>20000</v>
      </c>
      <c r="Q1484" s="404">
        <f t="shared" si="186"/>
        <v>23600</v>
      </c>
      <c r="R1484" s="72"/>
      <c r="S1484" s="72" t="s">
        <v>4798</v>
      </c>
      <c r="T1484" s="72"/>
      <c r="U1484" s="72"/>
      <c r="V1484" s="72"/>
      <c r="W1484" s="72"/>
      <c r="X1484" s="72"/>
      <c r="Y1484" s="404">
        <v>23600</v>
      </c>
      <c r="Z1484" s="404">
        <v>23600</v>
      </c>
      <c r="AA1484" s="36" t="s">
        <v>132</v>
      </c>
      <c r="AB1484" s="36" t="s">
        <v>132</v>
      </c>
      <c r="AC1484" s="404">
        <v>23600</v>
      </c>
      <c r="AD1484" s="404">
        <v>23600</v>
      </c>
      <c r="AE1484" s="38" t="s">
        <v>169</v>
      </c>
      <c r="AF1484" s="72" t="s">
        <v>83</v>
      </c>
      <c r="AG1484" s="72" t="s">
        <v>83</v>
      </c>
      <c r="AH1484" s="72" t="s">
        <v>90</v>
      </c>
      <c r="AI1484" s="405">
        <v>41852</v>
      </c>
      <c r="AJ1484" s="405">
        <v>41897</v>
      </c>
      <c r="AK1484" s="72"/>
      <c r="AL1484" s="72"/>
      <c r="AM1484" s="72" t="s">
        <v>4872</v>
      </c>
      <c r="AN1484" s="72" t="s">
        <v>353</v>
      </c>
      <c r="AO1484" s="72">
        <v>796</v>
      </c>
      <c r="AP1484" s="72" t="s">
        <v>419</v>
      </c>
      <c r="AQ1484" s="72">
        <v>1</v>
      </c>
      <c r="AR1484" s="406">
        <v>45296559</v>
      </c>
      <c r="AS1484" s="72" t="s">
        <v>399</v>
      </c>
      <c r="AT1484" s="405">
        <v>41912</v>
      </c>
      <c r="AU1484" s="405">
        <v>41944</v>
      </c>
      <c r="AV1484" s="405">
        <v>42307</v>
      </c>
      <c r="AW1484" s="72" t="s">
        <v>99</v>
      </c>
      <c r="AX1484" s="72"/>
      <c r="AY1484" s="407"/>
      <c r="AZ1484" s="72"/>
      <c r="BA1484" s="72"/>
      <c r="BB1484" s="72"/>
      <c r="BC1484" s="72"/>
      <c r="BD1484" s="72"/>
      <c r="BE1484" s="72"/>
      <c r="BF1484" s="72"/>
      <c r="BG1484" s="72"/>
      <c r="BH1484" s="72"/>
      <c r="BI1484" s="72"/>
      <c r="BJ1484" s="72"/>
      <c r="BK1484" s="72"/>
    </row>
    <row r="1485" spans="1:63" s="607" customFormat="1" ht="131.25">
      <c r="A1485" s="89">
        <v>4</v>
      </c>
      <c r="B1485" s="72" t="s">
        <v>4873</v>
      </c>
      <c r="C1485" s="72" t="s">
        <v>83</v>
      </c>
      <c r="D1485" s="72" t="s">
        <v>4795</v>
      </c>
      <c r="E1485" s="72" t="s">
        <v>163</v>
      </c>
      <c r="F1485" s="72" t="s">
        <v>4805</v>
      </c>
      <c r="G1485" s="72" t="s">
        <v>4796</v>
      </c>
      <c r="H1485" s="72">
        <v>626646</v>
      </c>
      <c r="I1485" s="72" t="s">
        <v>4874</v>
      </c>
      <c r="J1485" s="72" t="s">
        <v>428</v>
      </c>
      <c r="K1485" s="72" t="s">
        <v>428</v>
      </c>
      <c r="L1485" s="72" t="s">
        <v>180</v>
      </c>
      <c r="M1485" s="72">
        <v>201050602</v>
      </c>
      <c r="N1485" s="72" t="s">
        <v>5874</v>
      </c>
      <c r="O1485" s="72" t="s">
        <v>398</v>
      </c>
      <c r="P1485" s="404">
        <v>3000</v>
      </c>
      <c r="Q1485" s="404">
        <f>P1485*1.18</f>
        <v>3540</v>
      </c>
      <c r="R1485" s="72"/>
      <c r="S1485" s="72" t="s">
        <v>4798</v>
      </c>
      <c r="T1485" s="72"/>
      <c r="U1485" s="72"/>
      <c r="V1485" s="72"/>
      <c r="W1485" s="72"/>
      <c r="X1485" s="72"/>
      <c r="Y1485" s="404">
        <v>3000</v>
      </c>
      <c r="Z1485" s="404">
        <f>Y1485*1.18</f>
        <v>3540</v>
      </c>
      <c r="AA1485" s="36" t="s">
        <v>132</v>
      </c>
      <c r="AB1485" s="36" t="s">
        <v>132</v>
      </c>
      <c r="AC1485" s="404">
        <v>3000</v>
      </c>
      <c r="AD1485" s="404">
        <f>AC1485*1.18</f>
        <v>3540</v>
      </c>
      <c r="AE1485" s="38" t="s">
        <v>173</v>
      </c>
      <c r="AF1485" s="72" t="s">
        <v>83</v>
      </c>
      <c r="AG1485" s="72" t="s">
        <v>83</v>
      </c>
      <c r="AH1485" s="72" t="s">
        <v>90</v>
      </c>
      <c r="AI1485" s="405">
        <v>41648</v>
      </c>
      <c r="AJ1485" s="405">
        <v>41671</v>
      </c>
      <c r="AK1485" s="72"/>
      <c r="AL1485" s="72"/>
      <c r="AM1485" s="72" t="s">
        <v>4874</v>
      </c>
      <c r="AN1485" s="72" t="s">
        <v>353</v>
      </c>
      <c r="AO1485" s="72">
        <v>796</v>
      </c>
      <c r="AP1485" s="72" t="s">
        <v>419</v>
      </c>
      <c r="AQ1485" s="72">
        <v>1</v>
      </c>
      <c r="AR1485" s="406">
        <v>45296559</v>
      </c>
      <c r="AS1485" s="72" t="s">
        <v>399</v>
      </c>
      <c r="AT1485" s="405">
        <v>41699</v>
      </c>
      <c r="AU1485" s="405">
        <v>41699</v>
      </c>
      <c r="AV1485" s="405">
        <v>41728</v>
      </c>
      <c r="AW1485" s="72">
        <v>2014</v>
      </c>
      <c r="AX1485" s="72"/>
      <c r="AY1485" s="407"/>
      <c r="AZ1485" s="72"/>
      <c r="BA1485" s="72"/>
      <c r="BB1485" s="72"/>
      <c r="BC1485" s="72"/>
      <c r="BD1485" s="72"/>
      <c r="BE1485" s="72"/>
      <c r="BF1485" s="72"/>
      <c r="BG1485" s="72"/>
      <c r="BH1485" s="72"/>
      <c r="BI1485" s="72"/>
      <c r="BJ1485" s="72"/>
      <c r="BK1485" s="72"/>
    </row>
    <row r="1486" spans="1:63" s="607" customFormat="1" ht="131.25">
      <c r="A1486" s="89">
        <v>4</v>
      </c>
      <c r="B1486" s="72" t="s">
        <v>4875</v>
      </c>
      <c r="C1486" s="72" t="s">
        <v>83</v>
      </c>
      <c r="D1486" s="72" t="s">
        <v>3592</v>
      </c>
      <c r="E1486" s="72" t="s">
        <v>163</v>
      </c>
      <c r="F1486" s="72" t="s">
        <v>4805</v>
      </c>
      <c r="G1486" s="72" t="s">
        <v>4796</v>
      </c>
      <c r="H1486" s="72">
        <v>626623</v>
      </c>
      <c r="I1486" s="72" t="s">
        <v>4876</v>
      </c>
      <c r="J1486" s="72" t="s">
        <v>428</v>
      </c>
      <c r="K1486" s="72" t="s">
        <v>428</v>
      </c>
      <c r="L1486" s="72" t="s">
        <v>180</v>
      </c>
      <c r="M1486" s="72">
        <v>201050603</v>
      </c>
      <c r="N1486" s="72" t="s">
        <v>5877</v>
      </c>
      <c r="O1486" s="72" t="s">
        <v>398</v>
      </c>
      <c r="P1486" s="404">
        <v>7205.08</v>
      </c>
      <c r="Q1486" s="404">
        <f t="shared" ref="Q1486" si="187">P1486*1.18</f>
        <v>8501.9943999999996</v>
      </c>
      <c r="R1486" s="72"/>
      <c r="S1486" s="72" t="s">
        <v>4798</v>
      </c>
      <c r="T1486" s="72"/>
      <c r="U1486" s="72"/>
      <c r="V1486" s="72"/>
      <c r="W1486" s="72"/>
      <c r="X1486" s="72"/>
      <c r="Y1486" s="404">
        <v>7205.08</v>
      </c>
      <c r="Z1486" s="404">
        <f>Y1486*1.18</f>
        <v>8501.9943999999996</v>
      </c>
      <c r="AA1486" s="36" t="s">
        <v>132</v>
      </c>
      <c r="AB1486" s="36" t="s">
        <v>132</v>
      </c>
      <c r="AC1486" s="404">
        <v>7205.08</v>
      </c>
      <c r="AD1486" s="404">
        <f>AC1486*1.18</f>
        <v>8501.9943999999996</v>
      </c>
      <c r="AE1486" s="38" t="s">
        <v>169</v>
      </c>
      <c r="AF1486" s="72" t="s">
        <v>83</v>
      </c>
      <c r="AG1486" s="72" t="s">
        <v>83</v>
      </c>
      <c r="AH1486" s="72" t="s">
        <v>90</v>
      </c>
      <c r="AI1486" s="405">
        <v>41827</v>
      </c>
      <c r="AJ1486" s="405">
        <v>41876</v>
      </c>
      <c r="AK1486" s="72"/>
      <c r="AL1486" s="72"/>
      <c r="AM1486" s="72" t="s">
        <v>4876</v>
      </c>
      <c r="AN1486" s="72" t="s">
        <v>353</v>
      </c>
      <c r="AO1486" s="72">
        <v>796</v>
      </c>
      <c r="AP1486" s="72" t="s">
        <v>419</v>
      </c>
      <c r="AQ1486" s="72">
        <v>1</v>
      </c>
      <c r="AR1486" s="406">
        <v>45296559</v>
      </c>
      <c r="AS1486" s="72" t="s">
        <v>399</v>
      </c>
      <c r="AT1486" s="405">
        <v>41912</v>
      </c>
      <c r="AU1486" s="405">
        <v>41919</v>
      </c>
      <c r="AV1486" s="405">
        <v>42284</v>
      </c>
      <c r="AW1486" s="72" t="s">
        <v>99</v>
      </c>
      <c r="AX1486" s="72"/>
      <c r="AY1486" s="407"/>
      <c r="AZ1486" s="72"/>
      <c r="BA1486" s="72"/>
      <c r="BB1486" s="72"/>
      <c r="BC1486" s="72"/>
      <c r="BD1486" s="72"/>
      <c r="BE1486" s="72"/>
      <c r="BF1486" s="72"/>
      <c r="BG1486" s="72"/>
      <c r="BH1486" s="72"/>
      <c r="BI1486" s="72"/>
      <c r="BJ1486" s="72"/>
      <c r="BK1486" s="72"/>
    </row>
    <row r="1487" spans="1:63" s="607" customFormat="1" ht="131.25">
      <c r="A1487" s="89">
        <v>4</v>
      </c>
      <c r="B1487" s="72" t="s">
        <v>4877</v>
      </c>
      <c r="C1487" s="72" t="s">
        <v>83</v>
      </c>
      <c r="D1487" s="72" t="s">
        <v>4795</v>
      </c>
      <c r="E1487" s="72" t="s">
        <v>163</v>
      </c>
      <c r="F1487" s="72" t="s">
        <v>4805</v>
      </c>
      <c r="G1487" s="72" t="s">
        <v>4796</v>
      </c>
      <c r="H1487" s="72">
        <v>626582</v>
      </c>
      <c r="I1487" s="72" t="s">
        <v>4878</v>
      </c>
      <c r="J1487" s="72" t="s">
        <v>397</v>
      </c>
      <c r="K1487" s="72" t="s">
        <v>397</v>
      </c>
      <c r="L1487" s="72" t="s">
        <v>180</v>
      </c>
      <c r="M1487" s="72">
        <v>201050602</v>
      </c>
      <c r="N1487" s="72" t="s">
        <v>5874</v>
      </c>
      <c r="O1487" s="72" t="s">
        <v>398</v>
      </c>
      <c r="P1487" s="404">
        <v>3305.085</v>
      </c>
      <c r="Q1487" s="408">
        <f>P1487*1.18</f>
        <v>3900.0002999999997</v>
      </c>
      <c r="R1487" s="72"/>
      <c r="S1487" s="72"/>
      <c r="T1487" s="72"/>
      <c r="U1487" s="72"/>
      <c r="V1487" s="72"/>
      <c r="W1487" s="72"/>
      <c r="X1487" s="72"/>
      <c r="Y1487" s="404">
        <v>3305.085</v>
      </c>
      <c r="Z1487" s="408">
        <f>Y1487*1.18</f>
        <v>3900.0002999999997</v>
      </c>
      <c r="AA1487" s="36" t="s">
        <v>132</v>
      </c>
      <c r="AB1487" s="36" t="s">
        <v>132</v>
      </c>
      <c r="AC1487" s="404">
        <v>3305.085</v>
      </c>
      <c r="AD1487" s="408">
        <f>AC1487*1.18</f>
        <v>3900.0002999999997</v>
      </c>
      <c r="AE1487" s="38" t="s">
        <v>173</v>
      </c>
      <c r="AF1487" s="72" t="s">
        <v>83</v>
      </c>
      <c r="AG1487" s="72" t="s">
        <v>83</v>
      </c>
      <c r="AH1487" s="72" t="s">
        <v>90</v>
      </c>
      <c r="AI1487" s="405">
        <v>41628</v>
      </c>
      <c r="AJ1487" s="405">
        <v>41659</v>
      </c>
      <c r="AK1487" s="72"/>
      <c r="AL1487" s="72"/>
      <c r="AM1487" s="72" t="s">
        <v>4878</v>
      </c>
      <c r="AN1487" s="72" t="s">
        <v>353</v>
      </c>
      <c r="AO1487" s="72">
        <v>796</v>
      </c>
      <c r="AP1487" s="72" t="s">
        <v>419</v>
      </c>
      <c r="AQ1487" s="72">
        <v>1</v>
      </c>
      <c r="AR1487" s="406">
        <v>45296559</v>
      </c>
      <c r="AS1487" s="72" t="s">
        <v>399</v>
      </c>
      <c r="AT1487" s="405">
        <v>41640</v>
      </c>
      <c r="AU1487" s="405">
        <v>41640</v>
      </c>
      <c r="AV1487" s="405">
        <v>41820</v>
      </c>
      <c r="AW1487" s="72">
        <v>2014</v>
      </c>
      <c r="AX1487" s="72"/>
      <c r="AY1487" s="407"/>
      <c r="AZ1487" s="72"/>
      <c r="BA1487" s="72"/>
      <c r="BB1487" s="72"/>
      <c r="BC1487" s="72"/>
      <c r="BD1487" s="72"/>
      <c r="BE1487" s="72"/>
      <c r="BF1487" s="72"/>
      <c r="BG1487" s="72"/>
      <c r="BH1487" s="72"/>
      <c r="BI1487" s="72"/>
      <c r="BJ1487" s="72" t="s">
        <v>400</v>
      </c>
      <c r="BK1487" s="72"/>
    </row>
    <row r="1488" spans="1:63" s="607" customFormat="1" ht="131.25">
      <c r="A1488" s="89">
        <v>4</v>
      </c>
      <c r="B1488" s="72" t="s">
        <v>421</v>
      </c>
      <c r="C1488" s="72" t="s">
        <v>83</v>
      </c>
      <c r="D1488" s="72" t="s">
        <v>3592</v>
      </c>
      <c r="E1488" s="72" t="s">
        <v>163</v>
      </c>
      <c r="F1488" s="72" t="s">
        <v>1478</v>
      </c>
      <c r="G1488" s="72">
        <v>7220000</v>
      </c>
      <c r="H1488" s="72">
        <v>625855</v>
      </c>
      <c r="I1488" s="72" t="s">
        <v>423</v>
      </c>
      <c r="J1488" s="72" t="s">
        <v>424</v>
      </c>
      <c r="K1488" s="72" t="s">
        <v>424</v>
      </c>
      <c r="L1488" s="72" t="s">
        <v>180</v>
      </c>
      <c r="M1488" s="72">
        <v>201051104</v>
      </c>
      <c r="N1488" s="457" t="s">
        <v>453</v>
      </c>
      <c r="O1488" s="72" t="s">
        <v>398</v>
      </c>
      <c r="P1488" s="404">
        <v>51700</v>
      </c>
      <c r="Q1488" s="408">
        <v>51700</v>
      </c>
      <c r="R1488" s="72"/>
      <c r="S1488" s="72"/>
      <c r="T1488" s="72"/>
      <c r="U1488" s="72"/>
      <c r="V1488" s="72"/>
      <c r="W1488" s="72"/>
      <c r="X1488" s="72"/>
      <c r="Y1488" s="404">
        <v>51700</v>
      </c>
      <c r="Z1488" s="408">
        <v>51700</v>
      </c>
      <c r="AA1488" s="36" t="s">
        <v>132</v>
      </c>
      <c r="AB1488" s="36" t="s">
        <v>132</v>
      </c>
      <c r="AC1488" s="404">
        <v>51700</v>
      </c>
      <c r="AD1488" s="408">
        <v>51700</v>
      </c>
      <c r="AE1488" s="72" t="s">
        <v>169</v>
      </c>
      <c r="AF1488" s="72" t="s">
        <v>83</v>
      </c>
      <c r="AG1488" s="72" t="s">
        <v>83</v>
      </c>
      <c r="AH1488" s="72" t="s">
        <v>90</v>
      </c>
      <c r="AI1488" s="405">
        <v>41810</v>
      </c>
      <c r="AJ1488" s="405">
        <v>41852</v>
      </c>
      <c r="AK1488" s="72"/>
      <c r="AL1488" s="72"/>
      <c r="AM1488" s="72" t="s">
        <v>423</v>
      </c>
      <c r="AN1488" s="72" t="s">
        <v>353</v>
      </c>
      <c r="AO1488" s="72">
        <v>796</v>
      </c>
      <c r="AP1488" s="72" t="s">
        <v>419</v>
      </c>
      <c r="AQ1488" s="72">
        <v>1</v>
      </c>
      <c r="AR1488" s="406">
        <v>45296559</v>
      </c>
      <c r="AS1488" s="72" t="s">
        <v>399</v>
      </c>
      <c r="AT1488" s="405">
        <v>41913</v>
      </c>
      <c r="AU1488" s="405">
        <v>41913</v>
      </c>
      <c r="AV1488" s="405">
        <v>42643</v>
      </c>
      <c r="AW1488" s="72" t="s">
        <v>1789</v>
      </c>
      <c r="AX1488" s="72" t="s">
        <v>425</v>
      </c>
      <c r="AY1488" s="407"/>
      <c r="AZ1488" s="72"/>
      <c r="BA1488" s="72"/>
      <c r="BB1488" s="72"/>
      <c r="BC1488" s="72"/>
      <c r="BD1488" s="72"/>
      <c r="BE1488" s="72"/>
      <c r="BF1488" s="72"/>
      <c r="BG1488" s="72"/>
      <c r="BH1488" s="72"/>
      <c r="BI1488" s="72"/>
      <c r="BJ1488" s="72" t="s">
        <v>400</v>
      </c>
      <c r="BK1488" s="72"/>
    </row>
    <row r="1489" spans="1:63" s="607" customFormat="1" ht="131.25">
      <c r="A1489" s="89">
        <v>4</v>
      </c>
      <c r="B1489" s="72" t="s">
        <v>471</v>
      </c>
      <c r="C1489" s="72" t="s">
        <v>83</v>
      </c>
      <c r="D1489" s="72" t="s">
        <v>3592</v>
      </c>
      <c r="E1489" s="72" t="s">
        <v>163</v>
      </c>
      <c r="F1489" s="72" t="s">
        <v>422</v>
      </c>
      <c r="G1489" s="72" t="s">
        <v>431</v>
      </c>
      <c r="H1489" s="72">
        <v>625847</v>
      </c>
      <c r="I1489" s="72" t="s">
        <v>4879</v>
      </c>
      <c r="J1489" s="72" t="s">
        <v>424</v>
      </c>
      <c r="K1489" s="72" t="s">
        <v>424</v>
      </c>
      <c r="L1489" s="72" t="s">
        <v>180</v>
      </c>
      <c r="M1489" s="72">
        <v>20105030102</v>
      </c>
      <c r="N1489" s="72" t="s">
        <v>433</v>
      </c>
      <c r="O1489" s="72" t="s">
        <v>398</v>
      </c>
      <c r="P1489" s="404">
        <v>2800</v>
      </c>
      <c r="Q1489" s="408">
        <v>2800</v>
      </c>
      <c r="R1489" s="404"/>
      <c r="S1489" s="72" t="s">
        <v>4798</v>
      </c>
      <c r="T1489" s="72"/>
      <c r="U1489" s="72"/>
      <c r="V1489" s="72"/>
      <c r="W1489" s="72"/>
      <c r="X1489" s="72"/>
      <c r="Y1489" s="404">
        <v>2800</v>
      </c>
      <c r="Z1489" s="408">
        <v>2800</v>
      </c>
      <c r="AA1489" s="36" t="s">
        <v>132</v>
      </c>
      <c r="AB1489" s="36" t="s">
        <v>132</v>
      </c>
      <c r="AC1489" s="404">
        <v>2800</v>
      </c>
      <c r="AD1489" s="408">
        <v>2800</v>
      </c>
      <c r="AE1489" s="38" t="s">
        <v>173</v>
      </c>
      <c r="AF1489" s="72" t="s">
        <v>83</v>
      </c>
      <c r="AG1489" s="72" t="s">
        <v>83</v>
      </c>
      <c r="AH1489" s="72" t="s">
        <v>90</v>
      </c>
      <c r="AI1489" s="405">
        <v>41866</v>
      </c>
      <c r="AJ1489" s="405">
        <v>41897</v>
      </c>
      <c r="AK1489" s="72"/>
      <c r="AL1489" s="72"/>
      <c r="AM1489" s="72" t="s">
        <v>4879</v>
      </c>
      <c r="AN1489" s="72" t="s">
        <v>353</v>
      </c>
      <c r="AO1489" s="72">
        <v>796</v>
      </c>
      <c r="AP1489" s="72" t="s">
        <v>419</v>
      </c>
      <c r="AQ1489" s="72">
        <v>1</v>
      </c>
      <c r="AR1489" s="406">
        <v>45296559</v>
      </c>
      <c r="AS1489" s="72" t="s">
        <v>399</v>
      </c>
      <c r="AT1489" s="405">
        <v>41943</v>
      </c>
      <c r="AU1489" s="405">
        <v>41944</v>
      </c>
      <c r="AV1489" s="405">
        <v>42307</v>
      </c>
      <c r="AW1489" s="72" t="s">
        <v>99</v>
      </c>
      <c r="AX1489" s="72" t="s">
        <v>472</v>
      </c>
      <c r="AY1489" s="407"/>
      <c r="AZ1489" s="72"/>
      <c r="BA1489" s="72"/>
      <c r="BB1489" s="72"/>
      <c r="BC1489" s="72"/>
      <c r="BD1489" s="72"/>
      <c r="BE1489" s="72"/>
      <c r="BF1489" s="72"/>
      <c r="BG1489" s="72"/>
      <c r="BH1489" s="72"/>
      <c r="BI1489" s="72"/>
      <c r="BJ1489" s="72" t="s">
        <v>400</v>
      </c>
      <c r="BK1489" s="72"/>
    </row>
    <row r="1490" spans="1:63" s="607" customFormat="1" ht="131.25">
      <c r="A1490" s="89">
        <v>4</v>
      </c>
      <c r="B1490" s="72" t="s">
        <v>4880</v>
      </c>
      <c r="C1490" s="72" t="s">
        <v>83</v>
      </c>
      <c r="D1490" s="72" t="s">
        <v>3592</v>
      </c>
      <c r="E1490" s="72" t="s">
        <v>163</v>
      </c>
      <c r="F1490" s="72" t="s">
        <v>4881</v>
      </c>
      <c r="G1490" s="72">
        <v>7250000</v>
      </c>
      <c r="H1490" s="72">
        <v>626669</v>
      </c>
      <c r="I1490" s="72" t="s">
        <v>4882</v>
      </c>
      <c r="J1490" s="72" t="s">
        <v>397</v>
      </c>
      <c r="K1490" s="72" t="s">
        <v>397</v>
      </c>
      <c r="L1490" s="72" t="s">
        <v>180</v>
      </c>
      <c r="M1490" s="72">
        <v>201050603</v>
      </c>
      <c r="N1490" s="72" t="s">
        <v>5877</v>
      </c>
      <c r="O1490" s="72" t="s">
        <v>398</v>
      </c>
      <c r="P1490" s="404">
        <v>4000</v>
      </c>
      <c r="Q1490" s="404">
        <f>P1490*1.18</f>
        <v>4720</v>
      </c>
      <c r="R1490" s="72"/>
      <c r="S1490" s="72" t="s">
        <v>4798</v>
      </c>
      <c r="T1490" s="72"/>
      <c r="U1490" s="72"/>
      <c r="V1490" s="72"/>
      <c r="W1490" s="72"/>
      <c r="X1490" s="72"/>
      <c r="Y1490" s="404">
        <v>4000</v>
      </c>
      <c r="Z1490" s="404">
        <f>Y1490*1.18</f>
        <v>4720</v>
      </c>
      <c r="AA1490" s="36" t="s">
        <v>132</v>
      </c>
      <c r="AB1490" s="36" t="s">
        <v>132</v>
      </c>
      <c r="AC1490" s="404">
        <v>4000</v>
      </c>
      <c r="AD1490" s="404">
        <f>AC1490*1.18</f>
        <v>4720</v>
      </c>
      <c r="AE1490" s="38" t="s">
        <v>173</v>
      </c>
      <c r="AF1490" s="72" t="s">
        <v>83</v>
      </c>
      <c r="AG1490" s="72" t="s">
        <v>83</v>
      </c>
      <c r="AH1490" s="72" t="s">
        <v>90</v>
      </c>
      <c r="AI1490" s="405">
        <v>41649</v>
      </c>
      <c r="AJ1490" s="405">
        <v>41680</v>
      </c>
      <c r="AK1490" s="72"/>
      <c r="AL1490" s="72"/>
      <c r="AM1490" s="72" t="s">
        <v>4882</v>
      </c>
      <c r="AN1490" s="72" t="s">
        <v>353</v>
      </c>
      <c r="AO1490" s="72">
        <v>796</v>
      </c>
      <c r="AP1490" s="72" t="s">
        <v>419</v>
      </c>
      <c r="AQ1490" s="72">
        <v>1</v>
      </c>
      <c r="AR1490" s="406">
        <v>45296559</v>
      </c>
      <c r="AS1490" s="72" t="s">
        <v>399</v>
      </c>
      <c r="AT1490" s="405">
        <v>41728</v>
      </c>
      <c r="AU1490" s="405">
        <v>41728</v>
      </c>
      <c r="AV1490" s="405">
        <v>42092</v>
      </c>
      <c r="AW1490" s="72" t="s">
        <v>99</v>
      </c>
      <c r="AX1490" s="72"/>
      <c r="AY1490" s="407"/>
      <c r="AZ1490" s="72"/>
      <c r="BA1490" s="72"/>
      <c r="BB1490" s="72"/>
      <c r="BC1490" s="72"/>
      <c r="BD1490" s="72"/>
      <c r="BE1490" s="72"/>
      <c r="BF1490" s="72"/>
      <c r="BG1490" s="72"/>
      <c r="BH1490" s="72"/>
      <c r="BI1490" s="72"/>
      <c r="BJ1490" s="72"/>
      <c r="BK1490" s="72"/>
    </row>
    <row r="1491" spans="1:63" s="607" customFormat="1" ht="187.5">
      <c r="A1491" s="89">
        <v>4</v>
      </c>
      <c r="B1491" s="72" t="s">
        <v>4883</v>
      </c>
      <c r="C1491" s="72" t="s">
        <v>83</v>
      </c>
      <c r="D1491" s="72" t="s">
        <v>3592</v>
      </c>
      <c r="E1491" s="72" t="s">
        <v>163</v>
      </c>
      <c r="F1491" s="72" t="s">
        <v>1478</v>
      </c>
      <c r="G1491" s="72">
        <v>7220000</v>
      </c>
      <c r="H1491" s="72">
        <v>626668</v>
      </c>
      <c r="I1491" s="72" t="s">
        <v>4884</v>
      </c>
      <c r="J1491" s="72" t="s">
        <v>433</v>
      </c>
      <c r="K1491" s="72" t="s">
        <v>433</v>
      </c>
      <c r="L1491" s="72" t="s">
        <v>180</v>
      </c>
      <c r="M1491" s="72">
        <v>20105030102</v>
      </c>
      <c r="N1491" s="72" t="s">
        <v>433</v>
      </c>
      <c r="O1491" s="72" t="s">
        <v>398</v>
      </c>
      <c r="P1491" s="404">
        <v>5000</v>
      </c>
      <c r="Q1491" s="408">
        <v>5000</v>
      </c>
      <c r="R1491" s="72"/>
      <c r="S1491" s="72" t="s">
        <v>4798</v>
      </c>
      <c r="T1491" s="72"/>
      <c r="U1491" s="72"/>
      <c r="V1491" s="72"/>
      <c r="W1491" s="72"/>
      <c r="X1491" s="72"/>
      <c r="Y1491" s="404">
        <v>5000</v>
      </c>
      <c r="Z1491" s="408">
        <v>5000</v>
      </c>
      <c r="AA1491" s="36" t="s">
        <v>132</v>
      </c>
      <c r="AB1491" s="36" t="s">
        <v>132</v>
      </c>
      <c r="AC1491" s="404">
        <v>5000</v>
      </c>
      <c r="AD1491" s="408">
        <v>5000</v>
      </c>
      <c r="AE1491" s="38" t="s">
        <v>173</v>
      </c>
      <c r="AF1491" s="72" t="s">
        <v>83</v>
      </c>
      <c r="AG1491" s="72" t="s">
        <v>83</v>
      </c>
      <c r="AH1491" s="72" t="s">
        <v>90</v>
      </c>
      <c r="AI1491" s="405">
        <v>41649</v>
      </c>
      <c r="AJ1491" s="405">
        <v>41680</v>
      </c>
      <c r="AK1491" s="72"/>
      <c r="AL1491" s="72"/>
      <c r="AM1491" s="72" t="s">
        <v>4884</v>
      </c>
      <c r="AN1491" s="72" t="s">
        <v>353</v>
      </c>
      <c r="AO1491" s="72">
        <v>796</v>
      </c>
      <c r="AP1491" s="72" t="s">
        <v>419</v>
      </c>
      <c r="AQ1491" s="72">
        <v>1</v>
      </c>
      <c r="AR1491" s="406">
        <v>45296559</v>
      </c>
      <c r="AS1491" s="72" t="s">
        <v>399</v>
      </c>
      <c r="AT1491" s="405">
        <v>41728</v>
      </c>
      <c r="AU1491" s="405">
        <v>41728</v>
      </c>
      <c r="AV1491" s="405">
        <v>42092</v>
      </c>
      <c r="AW1491" s="72" t="s">
        <v>99</v>
      </c>
      <c r="AX1491" s="72"/>
      <c r="AY1491" s="407"/>
      <c r="AZ1491" s="72"/>
      <c r="BA1491" s="72"/>
      <c r="BB1491" s="72"/>
      <c r="BC1491" s="72"/>
      <c r="BD1491" s="72"/>
      <c r="BE1491" s="72"/>
      <c r="BF1491" s="72"/>
      <c r="BG1491" s="72"/>
      <c r="BH1491" s="72"/>
      <c r="BI1491" s="72"/>
      <c r="BJ1491" s="72"/>
      <c r="BK1491" s="72"/>
    </row>
    <row r="1492" spans="1:63" s="607" customFormat="1" ht="187.5">
      <c r="A1492" s="89">
        <v>4</v>
      </c>
      <c r="B1492" s="72" t="s">
        <v>417</v>
      </c>
      <c r="C1492" s="72" t="s">
        <v>83</v>
      </c>
      <c r="D1492" s="72" t="s">
        <v>3592</v>
      </c>
      <c r="E1492" s="72" t="s">
        <v>163</v>
      </c>
      <c r="F1492" s="72" t="s">
        <v>4885</v>
      </c>
      <c r="G1492" s="72" t="s">
        <v>4807</v>
      </c>
      <c r="H1492" s="72">
        <v>625885</v>
      </c>
      <c r="I1492" s="72" t="s">
        <v>418</v>
      </c>
      <c r="J1492" s="72" t="s">
        <v>397</v>
      </c>
      <c r="K1492" s="72" t="s">
        <v>397</v>
      </c>
      <c r="L1492" s="72" t="s">
        <v>180</v>
      </c>
      <c r="M1492" s="72">
        <v>20105030204</v>
      </c>
      <c r="N1492" s="72" t="s">
        <v>5875</v>
      </c>
      <c r="O1492" s="72" t="s">
        <v>398</v>
      </c>
      <c r="P1492" s="404">
        <v>182165</v>
      </c>
      <c r="Q1492" s="404">
        <f>P1492*1.18</f>
        <v>214954.69999999998</v>
      </c>
      <c r="R1492" s="404"/>
      <c r="S1492" s="72" t="s">
        <v>4798</v>
      </c>
      <c r="T1492" s="72"/>
      <c r="U1492" s="72"/>
      <c r="V1492" s="72"/>
      <c r="W1492" s="72"/>
      <c r="X1492" s="72"/>
      <c r="Y1492" s="404">
        <v>182165</v>
      </c>
      <c r="Z1492" s="404">
        <f>Y1492*1.18</f>
        <v>214954.69999999998</v>
      </c>
      <c r="AA1492" s="36" t="s">
        <v>132</v>
      </c>
      <c r="AB1492" s="36" t="s">
        <v>132</v>
      </c>
      <c r="AC1492" s="404">
        <v>182165</v>
      </c>
      <c r="AD1492" s="404">
        <f>AC1492*1.18</f>
        <v>214954.69999999998</v>
      </c>
      <c r="AE1492" s="72" t="s">
        <v>169</v>
      </c>
      <c r="AF1492" s="72" t="s">
        <v>83</v>
      </c>
      <c r="AG1492" s="72" t="s">
        <v>83</v>
      </c>
      <c r="AH1492" s="72" t="s">
        <v>90</v>
      </c>
      <c r="AI1492" s="405">
        <v>41771</v>
      </c>
      <c r="AJ1492" s="405">
        <v>41806</v>
      </c>
      <c r="AK1492" s="72"/>
      <c r="AL1492" s="72"/>
      <c r="AM1492" s="72" t="s">
        <v>418</v>
      </c>
      <c r="AN1492" s="72" t="s">
        <v>353</v>
      </c>
      <c r="AO1492" s="72">
        <v>796</v>
      </c>
      <c r="AP1492" s="72" t="s">
        <v>419</v>
      </c>
      <c r="AQ1492" s="72">
        <v>1</v>
      </c>
      <c r="AR1492" s="406">
        <v>45296559</v>
      </c>
      <c r="AS1492" s="72" t="s">
        <v>399</v>
      </c>
      <c r="AT1492" s="51">
        <v>41821</v>
      </c>
      <c r="AU1492" s="51">
        <v>41821</v>
      </c>
      <c r="AV1492" s="51">
        <v>42580</v>
      </c>
      <c r="AW1492" s="38" t="s">
        <v>1789</v>
      </c>
      <c r="AX1492" s="72" t="s">
        <v>420</v>
      </c>
      <c r="AY1492" s="407"/>
      <c r="AZ1492" s="72"/>
      <c r="BA1492" s="72"/>
      <c r="BB1492" s="72"/>
      <c r="BC1492" s="72"/>
      <c r="BD1492" s="72"/>
      <c r="BE1492" s="72"/>
      <c r="BF1492" s="72"/>
      <c r="BG1492" s="72"/>
      <c r="BH1492" s="72"/>
      <c r="BI1492" s="72"/>
      <c r="BJ1492" s="72" t="s">
        <v>400</v>
      </c>
      <c r="BK1492" s="72"/>
    </row>
    <row r="1493" spans="1:63" s="607" customFormat="1" ht="131.25">
      <c r="A1493" s="89">
        <v>4</v>
      </c>
      <c r="B1493" s="86" t="s">
        <v>469</v>
      </c>
      <c r="C1493" s="107" t="s">
        <v>83</v>
      </c>
      <c r="D1493" s="44" t="s">
        <v>3596</v>
      </c>
      <c r="E1493" s="72" t="s">
        <v>163</v>
      </c>
      <c r="F1493" s="192" t="s">
        <v>395</v>
      </c>
      <c r="G1493" s="86">
        <v>7244000</v>
      </c>
      <c r="H1493" s="87">
        <v>853802</v>
      </c>
      <c r="I1493" s="192" t="s">
        <v>470</v>
      </c>
      <c r="J1493" s="192" t="s">
        <v>443</v>
      </c>
      <c r="K1493" s="192" t="s">
        <v>443</v>
      </c>
      <c r="L1493" s="16" t="s">
        <v>180</v>
      </c>
      <c r="M1493" s="323" t="s">
        <v>4721</v>
      </c>
      <c r="N1493" s="192" t="s">
        <v>5874</v>
      </c>
      <c r="O1493" s="192" t="s">
        <v>398</v>
      </c>
      <c r="P1493" s="106">
        <v>3000</v>
      </c>
      <c r="Q1493" s="106">
        <f>P1493*1.18</f>
        <v>3540</v>
      </c>
      <c r="R1493" s="106"/>
      <c r="S1493" s="107"/>
      <c r="T1493" s="108"/>
      <c r="U1493" s="108"/>
      <c r="V1493" s="108"/>
      <c r="W1493" s="108"/>
      <c r="X1493" s="108"/>
      <c r="Y1493" s="106">
        <v>3000</v>
      </c>
      <c r="Z1493" s="106">
        <f>Y1493*1.18</f>
        <v>3540</v>
      </c>
      <c r="AA1493" s="36" t="s">
        <v>132</v>
      </c>
      <c r="AB1493" s="36" t="s">
        <v>132</v>
      </c>
      <c r="AC1493" s="106">
        <v>3000</v>
      </c>
      <c r="AD1493" s="106">
        <f>AC1493*1.18</f>
        <v>3540</v>
      </c>
      <c r="AE1493" s="38" t="s">
        <v>173</v>
      </c>
      <c r="AF1493" s="38" t="s">
        <v>83</v>
      </c>
      <c r="AG1493" s="38" t="s">
        <v>83</v>
      </c>
      <c r="AH1493" s="88" t="s">
        <v>90</v>
      </c>
      <c r="AI1493" s="314">
        <v>41573</v>
      </c>
      <c r="AJ1493" s="51">
        <v>41618</v>
      </c>
      <c r="AK1493" s="192"/>
      <c r="AL1493" s="192"/>
      <c r="AM1493" s="192" t="s">
        <v>470</v>
      </c>
      <c r="AN1493" s="192" t="s">
        <v>353</v>
      </c>
      <c r="AO1493" s="89" t="s">
        <v>3594</v>
      </c>
      <c r="AP1493" s="88" t="s">
        <v>419</v>
      </c>
      <c r="AQ1493" s="87">
        <v>1</v>
      </c>
      <c r="AR1493" s="107">
        <v>45296559</v>
      </c>
      <c r="AS1493" s="192" t="s">
        <v>399</v>
      </c>
      <c r="AT1493" s="51">
        <v>41640</v>
      </c>
      <c r="AU1493" s="51">
        <v>41852</v>
      </c>
      <c r="AV1493" s="51">
        <v>42216</v>
      </c>
      <c r="AW1493" s="38" t="s">
        <v>99</v>
      </c>
      <c r="AX1493" s="192"/>
      <c r="AY1493" s="135"/>
      <c r="AZ1493" s="71"/>
      <c r="BA1493" s="88"/>
      <c r="BB1493" s="107"/>
      <c r="BC1493" s="192"/>
      <c r="BD1493" s="192"/>
      <c r="BE1493" s="324"/>
      <c r="BF1493" s="324"/>
      <c r="BG1493" s="325"/>
      <c r="BH1493" s="325"/>
      <c r="BI1493" s="325"/>
      <c r="BJ1493" s="326" t="s">
        <v>400</v>
      </c>
      <c r="BK1493" s="72"/>
    </row>
    <row r="1494" spans="1:63" s="607" customFormat="1" ht="131.25">
      <c r="A1494" s="89">
        <v>4</v>
      </c>
      <c r="B1494" s="86" t="s">
        <v>488</v>
      </c>
      <c r="C1494" s="107" t="s">
        <v>83</v>
      </c>
      <c r="D1494" s="86" t="s">
        <v>3593</v>
      </c>
      <c r="E1494" s="72" t="s">
        <v>163</v>
      </c>
      <c r="F1494" s="86" t="s">
        <v>486</v>
      </c>
      <c r="G1494" s="86">
        <v>7244000</v>
      </c>
      <c r="H1494" s="87">
        <v>625833</v>
      </c>
      <c r="I1494" s="192" t="s">
        <v>489</v>
      </c>
      <c r="J1494" s="192" t="s">
        <v>462</v>
      </c>
      <c r="K1494" s="192" t="s">
        <v>462</v>
      </c>
      <c r="L1494" s="16" t="s">
        <v>180</v>
      </c>
      <c r="M1494" s="198" t="s">
        <v>4721</v>
      </c>
      <c r="N1494" s="192" t="s">
        <v>5874</v>
      </c>
      <c r="O1494" s="192" t="s">
        <v>398</v>
      </c>
      <c r="P1494" s="106">
        <v>11016.95</v>
      </c>
      <c r="Q1494" s="106">
        <f t="shared" ref="Q1494" si="188">P1494*1.18</f>
        <v>13000.001</v>
      </c>
      <c r="R1494" s="106"/>
      <c r="S1494" s="107"/>
      <c r="T1494" s="108"/>
      <c r="U1494" s="108"/>
      <c r="V1494" s="108"/>
      <c r="W1494" s="108"/>
      <c r="X1494" s="108"/>
      <c r="Y1494" s="109">
        <v>11016.95</v>
      </c>
      <c r="Z1494" s="109">
        <f t="shared" ref="Z1494" si="189">Y1494*1.18</f>
        <v>13000.001</v>
      </c>
      <c r="AA1494" s="36" t="s">
        <v>132</v>
      </c>
      <c r="AB1494" s="36" t="s">
        <v>132</v>
      </c>
      <c r="AC1494" s="109">
        <v>11016.95</v>
      </c>
      <c r="AD1494" s="109">
        <f t="shared" ref="AD1494" si="190">AC1494*1.18</f>
        <v>13000.001</v>
      </c>
      <c r="AE1494" s="38" t="s">
        <v>169</v>
      </c>
      <c r="AF1494" s="38" t="s">
        <v>83</v>
      </c>
      <c r="AG1494" s="38" t="s">
        <v>83</v>
      </c>
      <c r="AH1494" s="88" t="s">
        <v>90</v>
      </c>
      <c r="AI1494" s="53">
        <v>41572</v>
      </c>
      <c r="AJ1494" s="53">
        <v>41618</v>
      </c>
      <c r="AK1494" s="192"/>
      <c r="AL1494" s="192"/>
      <c r="AM1494" s="192" t="s">
        <v>489</v>
      </c>
      <c r="AN1494" s="192" t="s">
        <v>353</v>
      </c>
      <c r="AO1494" s="89" t="s">
        <v>3594</v>
      </c>
      <c r="AP1494" s="88" t="s">
        <v>419</v>
      </c>
      <c r="AQ1494" s="87">
        <v>1</v>
      </c>
      <c r="AR1494" s="327">
        <v>45296559</v>
      </c>
      <c r="AS1494" s="192" t="s">
        <v>399</v>
      </c>
      <c r="AT1494" s="53">
        <v>41640</v>
      </c>
      <c r="AU1494" s="53">
        <v>41640</v>
      </c>
      <c r="AV1494" s="52">
        <v>42155</v>
      </c>
      <c r="AW1494" s="38" t="s">
        <v>99</v>
      </c>
      <c r="AX1494" s="192"/>
      <c r="AY1494" s="135"/>
      <c r="AZ1494" s="71"/>
      <c r="BA1494" s="88"/>
      <c r="BB1494" s="107"/>
      <c r="BC1494" s="192"/>
      <c r="BD1494" s="192"/>
      <c r="BE1494" s="324"/>
      <c r="BF1494" s="324"/>
      <c r="BG1494" s="325"/>
      <c r="BH1494" s="325"/>
      <c r="BI1494" s="325"/>
      <c r="BJ1494" s="326" t="s">
        <v>400</v>
      </c>
      <c r="BK1494" s="72"/>
    </row>
    <row r="1495" spans="1:63" s="607" customFormat="1" ht="131.25">
      <c r="A1495" s="89">
        <v>4</v>
      </c>
      <c r="B1495" s="86" t="s">
        <v>4666</v>
      </c>
      <c r="C1495" s="107" t="s">
        <v>83</v>
      </c>
      <c r="D1495" s="86" t="s">
        <v>3592</v>
      </c>
      <c r="E1495" s="72" t="s">
        <v>163</v>
      </c>
      <c r="F1495" s="88" t="s">
        <v>4668</v>
      </c>
      <c r="G1495" s="88">
        <v>7230000</v>
      </c>
      <c r="H1495" s="87">
        <v>626640</v>
      </c>
      <c r="I1495" s="192" t="s">
        <v>4667</v>
      </c>
      <c r="J1495" s="192" t="s">
        <v>4590</v>
      </c>
      <c r="K1495" s="192" t="s">
        <v>4590</v>
      </c>
      <c r="L1495" s="16" t="s">
        <v>180</v>
      </c>
      <c r="M1495" s="198" t="s">
        <v>4722</v>
      </c>
      <c r="N1495" s="192" t="s">
        <v>5877</v>
      </c>
      <c r="O1495" s="192" t="s">
        <v>398</v>
      </c>
      <c r="P1495" s="106">
        <v>3622.88</v>
      </c>
      <c r="Q1495" s="106">
        <f>P1495*1.18</f>
        <v>4274.9983999999995</v>
      </c>
      <c r="R1495" s="106"/>
      <c r="S1495" s="107"/>
      <c r="T1495" s="108"/>
      <c r="U1495" s="108"/>
      <c r="V1495" s="108"/>
      <c r="W1495" s="108"/>
      <c r="X1495" s="108"/>
      <c r="Y1495" s="106">
        <v>3622.88</v>
      </c>
      <c r="Z1495" s="106">
        <f>Y1495*1.18</f>
        <v>4274.9983999999995</v>
      </c>
      <c r="AA1495" s="36" t="s">
        <v>132</v>
      </c>
      <c r="AB1495" s="36" t="s">
        <v>132</v>
      </c>
      <c r="AC1495" s="106">
        <v>3622.88</v>
      </c>
      <c r="AD1495" s="106">
        <f>AC1495*1.18</f>
        <v>4274.9983999999995</v>
      </c>
      <c r="AE1495" s="38" t="s">
        <v>173</v>
      </c>
      <c r="AF1495" s="38" t="s">
        <v>83</v>
      </c>
      <c r="AG1495" s="38" t="s">
        <v>83</v>
      </c>
      <c r="AH1495" s="88" t="s">
        <v>90</v>
      </c>
      <c r="AI1495" s="52">
        <v>41617</v>
      </c>
      <c r="AJ1495" s="53">
        <v>41654</v>
      </c>
      <c r="AK1495" s="192"/>
      <c r="AL1495" s="192"/>
      <c r="AM1495" s="192"/>
      <c r="AN1495" s="192" t="s">
        <v>353</v>
      </c>
      <c r="AO1495" s="89">
        <v>796</v>
      </c>
      <c r="AP1495" s="88" t="s">
        <v>419</v>
      </c>
      <c r="AQ1495" s="87">
        <v>1</v>
      </c>
      <c r="AR1495" s="327"/>
      <c r="AS1495" s="192"/>
      <c r="AT1495" s="52">
        <v>41654</v>
      </c>
      <c r="AU1495" s="52">
        <v>41671</v>
      </c>
      <c r="AV1495" s="52">
        <v>42004</v>
      </c>
      <c r="AW1495" s="328">
        <v>2014</v>
      </c>
      <c r="AX1495" s="192"/>
      <c r="AY1495" s="135"/>
      <c r="AZ1495" s="71"/>
      <c r="BA1495" s="88"/>
      <c r="BB1495" s="107"/>
      <c r="BC1495" s="192"/>
      <c r="BD1495" s="192"/>
      <c r="BE1495" s="324"/>
      <c r="BF1495" s="324"/>
      <c r="BG1495" s="325"/>
      <c r="BH1495" s="325"/>
      <c r="BI1495" s="325"/>
      <c r="BJ1495" s="326" t="s">
        <v>400</v>
      </c>
      <c r="BK1495" s="72"/>
    </row>
    <row r="1496" spans="1:63" s="607" customFormat="1" ht="132" customHeight="1">
      <c r="A1496" s="89">
        <v>4</v>
      </c>
      <c r="B1496" s="86" t="s">
        <v>4588</v>
      </c>
      <c r="C1496" s="107" t="s">
        <v>83</v>
      </c>
      <c r="D1496" s="86" t="s">
        <v>4563</v>
      </c>
      <c r="E1496" s="72" t="s">
        <v>750</v>
      </c>
      <c r="F1496" s="88" t="s">
        <v>1478</v>
      </c>
      <c r="G1496" s="88">
        <v>7244000</v>
      </c>
      <c r="H1496" s="87">
        <v>626611</v>
      </c>
      <c r="I1496" s="192" t="s">
        <v>4589</v>
      </c>
      <c r="J1496" s="192" t="s">
        <v>4590</v>
      </c>
      <c r="K1496" s="192" t="s">
        <v>4590</v>
      </c>
      <c r="L1496" s="16" t="s">
        <v>180</v>
      </c>
      <c r="M1496" s="198" t="s">
        <v>4759</v>
      </c>
      <c r="N1496" s="192" t="s">
        <v>433</v>
      </c>
      <c r="O1496" s="192" t="s">
        <v>398</v>
      </c>
      <c r="P1496" s="106">
        <v>101772.25</v>
      </c>
      <c r="Q1496" s="106">
        <f>P1496*1.18</f>
        <v>120091.25499999999</v>
      </c>
      <c r="R1496" s="106"/>
      <c r="S1496" s="107"/>
      <c r="T1496" s="108"/>
      <c r="U1496" s="108"/>
      <c r="V1496" s="108"/>
      <c r="W1496" s="108"/>
      <c r="X1496" s="108"/>
      <c r="Y1496" s="106">
        <v>101772.25</v>
      </c>
      <c r="Z1496" s="106">
        <f>Y1496*1.18</f>
        <v>120091.25499999999</v>
      </c>
      <c r="AA1496" s="36" t="s">
        <v>132</v>
      </c>
      <c r="AB1496" s="36" t="s">
        <v>132</v>
      </c>
      <c r="AC1496" s="106">
        <v>101772.25</v>
      </c>
      <c r="AD1496" s="106">
        <f>AC1496*1.18</f>
        <v>120091.25499999999</v>
      </c>
      <c r="AE1496" s="38" t="s">
        <v>169</v>
      </c>
      <c r="AF1496" s="38" t="s">
        <v>83</v>
      </c>
      <c r="AG1496" s="38" t="s">
        <v>83</v>
      </c>
      <c r="AH1496" s="88" t="s">
        <v>90</v>
      </c>
      <c r="AI1496" s="52">
        <v>41617</v>
      </c>
      <c r="AJ1496" s="53">
        <v>41654</v>
      </c>
      <c r="AK1496" s="192"/>
      <c r="AL1496" s="192"/>
      <c r="AM1496" s="192" t="s">
        <v>4589</v>
      </c>
      <c r="AN1496" s="192" t="s">
        <v>353</v>
      </c>
      <c r="AO1496" s="89">
        <v>796</v>
      </c>
      <c r="AP1496" s="88" t="s">
        <v>419</v>
      </c>
      <c r="AQ1496" s="87">
        <v>1</v>
      </c>
      <c r="AR1496" s="327">
        <v>45296559</v>
      </c>
      <c r="AS1496" s="192" t="s">
        <v>399</v>
      </c>
      <c r="AT1496" s="52">
        <v>41654</v>
      </c>
      <c r="AU1496" s="52">
        <v>41671</v>
      </c>
      <c r="AV1496" s="52">
        <v>41943</v>
      </c>
      <c r="AW1496" s="328">
        <v>2014</v>
      </c>
      <c r="AX1496" s="192"/>
      <c r="AY1496" s="135"/>
      <c r="AZ1496" s="71"/>
      <c r="BA1496" s="88"/>
      <c r="BB1496" s="107"/>
      <c r="BC1496" s="192"/>
      <c r="BD1496" s="192"/>
      <c r="BE1496" s="324"/>
      <c r="BF1496" s="324"/>
      <c r="BG1496" s="325"/>
      <c r="BH1496" s="325"/>
      <c r="BI1496" s="325"/>
      <c r="BJ1496" s="326" t="s">
        <v>400</v>
      </c>
      <c r="BK1496" s="72"/>
    </row>
    <row r="1497" spans="1:63" s="607" customFormat="1" ht="112.5">
      <c r="A1497" s="89">
        <v>4</v>
      </c>
      <c r="B1497" s="86" t="s">
        <v>4591</v>
      </c>
      <c r="C1497" s="107" t="s">
        <v>83</v>
      </c>
      <c r="D1497" s="86" t="s">
        <v>4563</v>
      </c>
      <c r="E1497" s="72" t="s">
        <v>750</v>
      </c>
      <c r="F1497" s="88" t="s">
        <v>1478</v>
      </c>
      <c r="G1497" s="88">
        <v>7244000</v>
      </c>
      <c r="H1497" s="87">
        <v>626612</v>
      </c>
      <c r="I1497" s="192" t="s">
        <v>4592</v>
      </c>
      <c r="J1497" s="192" t="s">
        <v>4590</v>
      </c>
      <c r="K1497" s="192" t="s">
        <v>4590</v>
      </c>
      <c r="L1497" s="16" t="s">
        <v>180</v>
      </c>
      <c r="M1497" s="329">
        <v>20105030103</v>
      </c>
      <c r="N1497" s="192" t="s">
        <v>433</v>
      </c>
      <c r="O1497" s="192" t="s">
        <v>398</v>
      </c>
      <c r="P1497" s="106">
        <v>97651.75</v>
      </c>
      <c r="Q1497" s="106">
        <f t="shared" ref="Q1497:Q1499" si="191">P1497*1.18</f>
        <v>115229.06499999999</v>
      </c>
      <c r="R1497" s="106"/>
      <c r="S1497" s="107"/>
      <c r="T1497" s="108"/>
      <c r="U1497" s="108"/>
      <c r="V1497" s="108"/>
      <c r="W1497" s="108"/>
      <c r="X1497" s="108"/>
      <c r="Y1497" s="106">
        <v>97651.75</v>
      </c>
      <c r="Z1497" s="106">
        <f t="shared" ref="Z1497:Z1499" si="192">Y1497*1.18</f>
        <v>115229.06499999999</v>
      </c>
      <c r="AA1497" s="36" t="s">
        <v>132</v>
      </c>
      <c r="AB1497" s="36" t="s">
        <v>132</v>
      </c>
      <c r="AC1497" s="106">
        <v>97651.75</v>
      </c>
      <c r="AD1497" s="106">
        <f t="shared" ref="AD1497:AD1499" si="193">AC1497*1.18</f>
        <v>115229.06499999999</v>
      </c>
      <c r="AE1497" s="38" t="s">
        <v>169</v>
      </c>
      <c r="AF1497" s="38" t="s">
        <v>83</v>
      </c>
      <c r="AG1497" s="38" t="s">
        <v>83</v>
      </c>
      <c r="AH1497" s="88" t="s">
        <v>90</v>
      </c>
      <c r="AI1497" s="52">
        <v>41617</v>
      </c>
      <c r="AJ1497" s="53">
        <v>41654</v>
      </c>
      <c r="AK1497" s="192"/>
      <c r="AL1497" s="192"/>
      <c r="AM1497" s="192" t="s">
        <v>4592</v>
      </c>
      <c r="AN1497" s="192" t="s">
        <v>353</v>
      </c>
      <c r="AO1497" s="89">
        <v>796</v>
      </c>
      <c r="AP1497" s="88" t="s">
        <v>419</v>
      </c>
      <c r="AQ1497" s="87">
        <v>1</v>
      </c>
      <c r="AR1497" s="327">
        <v>45296559</v>
      </c>
      <c r="AS1497" s="192" t="s">
        <v>399</v>
      </c>
      <c r="AT1497" s="52">
        <v>41654</v>
      </c>
      <c r="AU1497" s="52">
        <v>41671</v>
      </c>
      <c r="AV1497" s="52">
        <v>42004</v>
      </c>
      <c r="AW1497" s="328">
        <v>2014</v>
      </c>
      <c r="AX1497" s="192"/>
      <c r="AY1497" s="135"/>
      <c r="AZ1497" s="71"/>
      <c r="BA1497" s="88"/>
      <c r="BB1497" s="107"/>
      <c r="BC1497" s="192"/>
      <c r="BD1497" s="192"/>
      <c r="BE1497" s="324"/>
      <c r="BF1497" s="324"/>
      <c r="BG1497" s="325"/>
      <c r="BH1497" s="325"/>
      <c r="BI1497" s="325"/>
      <c r="BJ1497" s="326" t="s">
        <v>400</v>
      </c>
      <c r="BK1497" s="72"/>
    </row>
    <row r="1498" spans="1:63" s="607" customFormat="1" ht="112.5">
      <c r="A1498" s="89">
        <v>4</v>
      </c>
      <c r="B1498" s="86" t="s">
        <v>4593</v>
      </c>
      <c r="C1498" s="107" t="s">
        <v>83</v>
      </c>
      <c r="D1498" s="86" t="s">
        <v>4563</v>
      </c>
      <c r="E1498" s="72" t="s">
        <v>750</v>
      </c>
      <c r="F1498" s="88" t="s">
        <v>1478</v>
      </c>
      <c r="G1498" s="88">
        <v>7244000</v>
      </c>
      <c r="H1498" s="87">
        <v>626613</v>
      </c>
      <c r="I1498" s="192" t="s">
        <v>4594</v>
      </c>
      <c r="J1498" s="192" t="s">
        <v>4590</v>
      </c>
      <c r="K1498" s="192" t="s">
        <v>4590</v>
      </c>
      <c r="L1498" s="16" t="s">
        <v>180</v>
      </c>
      <c r="M1498" s="329">
        <v>20105030103</v>
      </c>
      <c r="N1498" s="192" t="s">
        <v>433</v>
      </c>
      <c r="O1498" s="192" t="s">
        <v>398</v>
      </c>
      <c r="P1498" s="106">
        <v>80606</v>
      </c>
      <c r="Q1498" s="106">
        <f t="shared" si="191"/>
        <v>95115.08</v>
      </c>
      <c r="R1498" s="106"/>
      <c r="S1498" s="107"/>
      <c r="T1498" s="108"/>
      <c r="U1498" s="108"/>
      <c r="V1498" s="108"/>
      <c r="W1498" s="108"/>
      <c r="X1498" s="108"/>
      <c r="Y1498" s="106">
        <v>80606</v>
      </c>
      <c r="Z1498" s="106">
        <f t="shared" si="192"/>
        <v>95115.08</v>
      </c>
      <c r="AA1498" s="36" t="s">
        <v>132</v>
      </c>
      <c r="AB1498" s="36" t="s">
        <v>132</v>
      </c>
      <c r="AC1498" s="106">
        <v>80606</v>
      </c>
      <c r="AD1498" s="106">
        <f t="shared" si="193"/>
        <v>95115.08</v>
      </c>
      <c r="AE1498" s="38" t="s">
        <v>169</v>
      </c>
      <c r="AF1498" s="38" t="s">
        <v>83</v>
      </c>
      <c r="AG1498" s="38" t="s">
        <v>83</v>
      </c>
      <c r="AH1498" s="88" t="s">
        <v>90</v>
      </c>
      <c r="AI1498" s="52">
        <v>41617</v>
      </c>
      <c r="AJ1498" s="53">
        <v>41654</v>
      </c>
      <c r="AK1498" s="192"/>
      <c r="AL1498" s="192"/>
      <c r="AM1498" s="192" t="s">
        <v>4594</v>
      </c>
      <c r="AN1498" s="192" t="s">
        <v>353</v>
      </c>
      <c r="AO1498" s="89">
        <v>796</v>
      </c>
      <c r="AP1498" s="88" t="s">
        <v>419</v>
      </c>
      <c r="AQ1498" s="87">
        <v>1</v>
      </c>
      <c r="AR1498" s="327">
        <v>45296559</v>
      </c>
      <c r="AS1498" s="192" t="s">
        <v>399</v>
      </c>
      <c r="AT1498" s="52">
        <v>41654</v>
      </c>
      <c r="AU1498" s="52">
        <v>41671</v>
      </c>
      <c r="AV1498" s="52">
        <v>41973</v>
      </c>
      <c r="AW1498" s="328">
        <v>2014</v>
      </c>
      <c r="AX1498" s="192"/>
      <c r="AY1498" s="135"/>
      <c r="AZ1498" s="71"/>
      <c r="BA1498" s="88"/>
      <c r="BB1498" s="107"/>
      <c r="BC1498" s="192"/>
      <c r="BD1498" s="192"/>
      <c r="BE1498" s="324"/>
      <c r="BF1498" s="324"/>
      <c r="BG1498" s="325"/>
      <c r="BH1498" s="325"/>
      <c r="BI1498" s="325"/>
      <c r="BJ1498" s="326" t="s">
        <v>400</v>
      </c>
      <c r="BK1498" s="72"/>
    </row>
    <row r="1499" spans="1:63" s="607" customFormat="1" ht="131.25">
      <c r="A1499" s="89">
        <v>4</v>
      </c>
      <c r="B1499" s="86" t="s">
        <v>4595</v>
      </c>
      <c r="C1499" s="107" t="s">
        <v>83</v>
      </c>
      <c r="D1499" s="86" t="s">
        <v>4563</v>
      </c>
      <c r="E1499" s="72" t="s">
        <v>750</v>
      </c>
      <c r="F1499" s="88" t="s">
        <v>1478</v>
      </c>
      <c r="G1499" s="88">
        <v>7244000</v>
      </c>
      <c r="H1499" s="87">
        <v>626614</v>
      </c>
      <c r="I1499" s="192" t="s">
        <v>4596</v>
      </c>
      <c r="J1499" s="192" t="s">
        <v>4590</v>
      </c>
      <c r="K1499" s="192" t="s">
        <v>4590</v>
      </c>
      <c r="L1499" s="16" t="s">
        <v>180</v>
      </c>
      <c r="M1499" s="329">
        <v>20105030103</v>
      </c>
      <c r="N1499" s="192" t="s">
        <v>433</v>
      </c>
      <c r="O1499" s="192" t="s">
        <v>398</v>
      </c>
      <c r="P1499" s="106">
        <v>74681.5</v>
      </c>
      <c r="Q1499" s="106">
        <f t="shared" si="191"/>
        <v>88124.17</v>
      </c>
      <c r="R1499" s="106"/>
      <c r="S1499" s="107"/>
      <c r="T1499" s="108"/>
      <c r="U1499" s="108"/>
      <c r="V1499" s="108"/>
      <c r="W1499" s="108"/>
      <c r="X1499" s="108"/>
      <c r="Y1499" s="106">
        <v>74681.5</v>
      </c>
      <c r="Z1499" s="106">
        <f t="shared" si="192"/>
        <v>88124.17</v>
      </c>
      <c r="AA1499" s="36" t="s">
        <v>132</v>
      </c>
      <c r="AB1499" s="36" t="s">
        <v>132</v>
      </c>
      <c r="AC1499" s="106">
        <v>74681.5</v>
      </c>
      <c r="AD1499" s="106">
        <f t="shared" si="193"/>
        <v>88124.17</v>
      </c>
      <c r="AE1499" s="38" t="s">
        <v>169</v>
      </c>
      <c r="AF1499" s="38" t="s">
        <v>83</v>
      </c>
      <c r="AG1499" s="38" t="s">
        <v>83</v>
      </c>
      <c r="AH1499" s="88" t="s">
        <v>90</v>
      </c>
      <c r="AI1499" s="52">
        <v>41617</v>
      </c>
      <c r="AJ1499" s="53">
        <v>41654</v>
      </c>
      <c r="AK1499" s="192"/>
      <c r="AL1499" s="192"/>
      <c r="AM1499" s="192" t="s">
        <v>4596</v>
      </c>
      <c r="AN1499" s="192" t="s">
        <v>353</v>
      </c>
      <c r="AO1499" s="89">
        <v>796</v>
      </c>
      <c r="AP1499" s="88" t="s">
        <v>419</v>
      </c>
      <c r="AQ1499" s="87">
        <v>1</v>
      </c>
      <c r="AR1499" s="327">
        <v>45296559</v>
      </c>
      <c r="AS1499" s="192" t="s">
        <v>399</v>
      </c>
      <c r="AT1499" s="52">
        <v>41654</v>
      </c>
      <c r="AU1499" s="52">
        <v>41671</v>
      </c>
      <c r="AV1499" s="52">
        <v>41973</v>
      </c>
      <c r="AW1499" s="328">
        <v>2014</v>
      </c>
      <c r="AX1499" s="192"/>
      <c r="AY1499" s="135"/>
      <c r="AZ1499" s="71"/>
      <c r="BA1499" s="88"/>
      <c r="BB1499" s="107"/>
      <c r="BC1499" s="192"/>
      <c r="BD1499" s="192"/>
      <c r="BE1499" s="324"/>
      <c r="BF1499" s="324"/>
      <c r="BG1499" s="325"/>
      <c r="BH1499" s="325"/>
      <c r="BI1499" s="325"/>
      <c r="BJ1499" s="326" t="s">
        <v>400</v>
      </c>
      <c r="BK1499" s="72"/>
    </row>
    <row r="1500" spans="1:63" s="607" customFormat="1" ht="93.75">
      <c r="A1500" s="89">
        <v>4</v>
      </c>
      <c r="B1500" s="86" t="s">
        <v>7260</v>
      </c>
      <c r="C1500" s="107" t="s">
        <v>83</v>
      </c>
      <c r="D1500" s="86" t="s">
        <v>4563</v>
      </c>
      <c r="E1500" s="72" t="s">
        <v>750</v>
      </c>
      <c r="F1500" s="88" t="s">
        <v>178</v>
      </c>
      <c r="G1500" s="88">
        <v>7220000</v>
      </c>
      <c r="H1500" s="87">
        <v>626738</v>
      </c>
      <c r="I1500" s="192" t="s">
        <v>7261</v>
      </c>
      <c r="J1500" s="192" t="s">
        <v>424</v>
      </c>
      <c r="K1500" s="192" t="s">
        <v>424</v>
      </c>
      <c r="L1500" s="16" t="s">
        <v>180</v>
      </c>
      <c r="M1500" s="329" t="s">
        <v>4759</v>
      </c>
      <c r="N1500" s="192" t="s">
        <v>433</v>
      </c>
      <c r="O1500" s="192" t="s">
        <v>398</v>
      </c>
      <c r="P1500" s="106">
        <f>89210.16+24460</f>
        <v>113670.16</v>
      </c>
      <c r="Q1500" s="106">
        <f>P1500*1.18</f>
        <v>134130.78880000001</v>
      </c>
      <c r="R1500" s="106"/>
      <c r="S1500" s="107"/>
      <c r="T1500" s="108"/>
      <c r="U1500" s="108"/>
      <c r="V1500" s="108"/>
      <c r="W1500" s="108"/>
      <c r="X1500" s="108"/>
      <c r="Y1500" s="106">
        <f>89210.16+24460</f>
        <v>113670.16</v>
      </c>
      <c r="Z1500" s="106">
        <f>Y1500*1.18</f>
        <v>134130.78880000001</v>
      </c>
      <c r="AA1500" s="36" t="s">
        <v>132</v>
      </c>
      <c r="AB1500" s="36" t="s">
        <v>132</v>
      </c>
      <c r="AC1500" s="106">
        <f>89210.16+24460</f>
        <v>113670.16</v>
      </c>
      <c r="AD1500" s="106">
        <f>AC1500*1.18</f>
        <v>134130.78880000001</v>
      </c>
      <c r="AE1500" s="38" t="s">
        <v>169</v>
      </c>
      <c r="AF1500" s="38" t="s">
        <v>83</v>
      </c>
      <c r="AG1500" s="38" t="s">
        <v>83</v>
      </c>
      <c r="AH1500" s="88" t="s">
        <v>90</v>
      </c>
      <c r="AI1500" s="52">
        <v>41673</v>
      </c>
      <c r="AJ1500" s="53">
        <f>AI1500+30</f>
        <v>41703</v>
      </c>
      <c r="AK1500" s="192"/>
      <c r="AL1500" s="192"/>
      <c r="AM1500" s="192" t="s">
        <v>7261</v>
      </c>
      <c r="AN1500" s="192" t="s">
        <v>353</v>
      </c>
      <c r="AO1500" s="89">
        <v>796</v>
      </c>
      <c r="AP1500" s="88" t="s">
        <v>419</v>
      </c>
      <c r="AQ1500" s="87">
        <v>1</v>
      </c>
      <c r="AR1500" s="327">
        <v>45296559</v>
      </c>
      <c r="AS1500" s="192" t="s">
        <v>399</v>
      </c>
      <c r="AT1500" s="52">
        <f t="shared" ref="AT1500:AT1506" si="194">AJ1500+14</f>
        <v>41717</v>
      </c>
      <c r="AU1500" s="52">
        <v>41717</v>
      </c>
      <c r="AV1500" s="52">
        <v>41729</v>
      </c>
      <c r="AW1500" s="328">
        <v>2014</v>
      </c>
      <c r="AX1500" s="192"/>
      <c r="AY1500" s="135"/>
      <c r="AZ1500" s="71"/>
      <c r="BA1500" s="88"/>
      <c r="BB1500" s="107"/>
      <c r="BC1500" s="192"/>
      <c r="BD1500" s="192"/>
      <c r="BE1500" s="324"/>
      <c r="BF1500" s="324"/>
      <c r="BG1500" s="325"/>
      <c r="BH1500" s="325"/>
      <c r="BI1500" s="325"/>
      <c r="BJ1500" s="326" t="s">
        <v>400</v>
      </c>
      <c r="BK1500" s="72"/>
    </row>
    <row r="1501" spans="1:63" s="607" customFormat="1" ht="131.25">
      <c r="A1501" s="89">
        <v>4</v>
      </c>
      <c r="B1501" s="86" t="s">
        <v>7262</v>
      </c>
      <c r="C1501" s="107" t="s">
        <v>83</v>
      </c>
      <c r="D1501" s="86" t="s">
        <v>4563</v>
      </c>
      <c r="E1501" s="72" t="s">
        <v>750</v>
      </c>
      <c r="F1501" s="88" t="s">
        <v>178</v>
      </c>
      <c r="G1501" s="88">
        <v>7220000</v>
      </c>
      <c r="H1501" s="87">
        <v>626744</v>
      </c>
      <c r="I1501" s="192" t="s">
        <v>7263</v>
      </c>
      <c r="J1501" s="192" t="s">
        <v>4848</v>
      </c>
      <c r="K1501" s="192" t="s">
        <v>4848</v>
      </c>
      <c r="L1501" s="16" t="s">
        <v>180</v>
      </c>
      <c r="M1501" s="329" t="s">
        <v>7264</v>
      </c>
      <c r="N1501" s="192" t="s">
        <v>7265</v>
      </c>
      <c r="O1501" s="192" t="s">
        <v>398</v>
      </c>
      <c r="P1501" s="106">
        <v>53209.5</v>
      </c>
      <c r="Q1501" s="106">
        <f t="shared" ref="Q1501:Q1505" si="195">P1501*1.18</f>
        <v>62787.21</v>
      </c>
      <c r="R1501" s="106"/>
      <c r="S1501" s="107"/>
      <c r="T1501" s="108"/>
      <c r="U1501" s="108"/>
      <c r="V1501" s="108"/>
      <c r="W1501" s="108"/>
      <c r="X1501" s="108"/>
      <c r="Y1501" s="106">
        <v>53209.5</v>
      </c>
      <c r="Z1501" s="106">
        <f t="shared" ref="Z1501:Z1505" si="196">Y1501*1.18</f>
        <v>62787.21</v>
      </c>
      <c r="AA1501" s="36" t="s">
        <v>132</v>
      </c>
      <c r="AB1501" s="36" t="s">
        <v>132</v>
      </c>
      <c r="AC1501" s="106">
        <v>53209.5</v>
      </c>
      <c r="AD1501" s="106">
        <f t="shared" ref="AD1501:AD1505" si="197">AC1501*1.18</f>
        <v>62787.21</v>
      </c>
      <c r="AE1501" s="38" t="s">
        <v>169</v>
      </c>
      <c r="AF1501" s="38" t="s">
        <v>83</v>
      </c>
      <c r="AG1501" s="38" t="s">
        <v>83</v>
      </c>
      <c r="AH1501" s="88" t="s">
        <v>90</v>
      </c>
      <c r="AI1501" s="52">
        <v>41673</v>
      </c>
      <c r="AJ1501" s="53">
        <f>AI1501+20</f>
        <v>41693</v>
      </c>
      <c r="AK1501" s="192"/>
      <c r="AL1501" s="192"/>
      <c r="AM1501" s="192" t="s">
        <v>7263</v>
      </c>
      <c r="AN1501" s="192" t="s">
        <v>353</v>
      </c>
      <c r="AO1501" s="89">
        <v>796</v>
      </c>
      <c r="AP1501" s="88" t="s">
        <v>419</v>
      </c>
      <c r="AQ1501" s="87">
        <v>1</v>
      </c>
      <c r="AR1501" s="327">
        <v>45296559</v>
      </c>
      <c r="AS1501" s="192" t="s">
        <v>399</v>
      </c>
      <c r="AT1501" s="52">
        <v>41708</v>
      </c>
      <c r="AU1501" s="52">
        <v>41708</v>
      </c>
      <c r="AV1501" s="52">
        <v>42004</v>
      </c>
      <c r="AW1501" s="328">
        <v>2014</v>
      </c>
      <c r="AX1501" s="192"/>
      <c r="AY1501" s="135"/>
      <c r="AZ1501" s="71"/>
      <c r="BA1501" s="88"/>
      <c r="BB1501" s="107"/>
      <c r="BC1501" s="192"/>
      <c r="BD1501" s="192"/>
      <c r="BE1501" s="324"/>
      <c r="BF1501" s="324"/>
      <c r="BG1501" s="325"/>
      <c r="BH1501" s="325"/>
      <c r="BI1501" s="325"/>
      <c r="BJ1501" s="326" t="s">
        <v>400</v>
      </c>
      <c r="BK1501" s="72"/>
    </row>
    <row r="1502" spans="1:63" s="607" customFormat="1" ht="112.5">
      <c r="A1502" s="89">
        <v>4</v>
      </c>
      <c r="B1502" s="86" t="s">
        <v>7266</v>
      </c>
      <c r="C1502" s="107" t="s">
        <v>83</v>
      </c>
      <c r="D1502" s="86" t="s">
        <v>4563</v>
      </c>
      <c r="E1502" s="72" t="s">
        <v>750</v>
      </c>
      <c r="F1502" s="88" t="s">
        <v>178</v>
      </c>
      <c r="G1502" s="88">
        <v>7244000</v>
      </c>
      <c r="H1502" s="87">
        <v>626740</v>
      </c>
      <c r="I1502" s="192" t="s">
        <v>7267</v>
      </c>
      <c r="J1502" s="192" t="s">
        <v>7268</v>
      </c>
      <c r="K1502" s="192" t="s">
        <v>7268</v>
      </c>
      <c r="L1502" s="16" t="s">
        <v>180</v>
      </c>
      <c r="M1502" s="329" t="s">
        <v>4759</v>
      </c>
      <c r="N1502" s="192" t="s">
        <v>433</v>
      </c>
      <c r="O1502" s="192" t="s">
        <v>398</v>
      </c>
      <c r="P1502" s="106">
        <v>71880</v>
      </c>
      <c r="Q1502" s="106">
        <f t="shared" si="195"/>
        <v>84818.4</v>
      </c>
      <c r="R1502" s="106"/>
      <c r="S1502" s="107"/>
      <c r="T1502" s="108"/>
      <c r="U1502" s="108"/>
      <c r="V1502" s="108"/>
      <c r="W1502" s="108"/>
      <c r="X1502" s="108"/>
      <c r="Y1502" s="106">
        <v>71880</v>
      </c>
      <c r="Z1502" s="106">
        <f t="shared" si="196"/>
        <v>84818.4</v>
      </c>
      <c r="AA1502" s="36" t="s">
        <v>132</v>
      </c>
      <c r="AB1502" s="36" t="s">
        <v>132</v>
      </c>
      <c r="AC1502" s="106">
        <v>71880</v>
      </c>
      <c r="AD1502" s="106">
        <f t="shared" si="197"/>
        <v>84818.4</v>
      </c>
      <c r="AE1502" s="38" t="s">
        <v>169</v>
      </c>
      <c r="AF1502" s="38" t="s">
        <v>83</v>
      </c>
      <c r="AG1502" s="38" t="s">
        <v>83</v>
      </c>
      <c r="AH1502" s="88" t="s">
        <v>90</v>
      </c>
      <c r="AI1502" s="52">
        <v>41694</v>
      </c>
      <c r="AJ1502" s="53">
        <v>41715</v>
      </c>
      <c r="AK1502" s="192"/>
      <c r="AL1502" s="192"/>
      <c r="AM1502" s="192" t="s">
        <v>7267</v>
      </c>
      <c r="AN1502" s="192" t="s">
        <v>353</v>
      </c>
      <c r="AO1502" s="89">
        <v>796</v>
      </c>
      <c r="AP1502" s="88" t="s">
        <v>419</v>
      </c>
      <c r="AQ1502" s="87">
        <v>1</v>
      </c>
      <c r="AR1502" s="327">
        <v>45296559</v>
      </c>
      <c r="AS1502" s="192" t="s">
        <v>399</v>
      </c>
      <c r="AT1502" s="52">
        <f t="shared" si="194"/>
        <v>41729</v>
      </c>
      <c r="AU1502" s="52">
        <v>41729</v>
      </c>
      <c r="AV1502" s="52">
        <v>42004</v>
      </c>
      <c r="AW1502" s="328">
        <v>2014</v>
      </c>
      <c r="AX1502" s="192"/>
      <c r="AY1502" s="135"/>
      <c r="AZ1502" s="71"/>
      <c r="BA1502" s="88"/>
      <c r="BB1502" s="107"/>
      <c r="BC1502" s="192"/>
      <c r="BD1502" s="192"/>
      <c r="BE1502" s="324"/>
      <c r="BF1502" s="324"/>
      <c r="BG1502" s="325"/>
      <c r="BH1502" s="325"/>
      <c r="BI1502" s="325"/>
      <c r="BJ1502" s="326" t="s">
        <v>400</v>
      </c>
      <c r="BK1502" s="72"/>
    </row>
    <row r="1503" spans="1:63" s="607" customFormat="1" ht="93.75">
      <c r="A1503" s="89">
        <v>4</v>
      </c>
      <c r="B1503" s="86" t="s">
        <v>7269</v>
      </c>
      <c r="C1503" s="107" t="s">
        <v>83</v>
      </c>
      <c r="D1503" s="86" t="s">
        <v>4563</v>
      </c>
      <c r="E1503" s="72" t="s">
        <v>750</v>
      </c>
      <c r="F1503" s="88" t="s">
        <v>178</v>
      </c>
      <c r="G1503" s="88">
        <v>7244000</v>
      </c>
      <c r="H1503" s="87">
        <v>626741</v>
      </c>
      <c r="I1503" s="192" t="s">
        <v>7270</v>
      </c>
      <c r="J1503" s="192" t="s">
        <v>7268</v>
      </c>
      <c r="K1503" s="192" t="s">
        <v>7268</v>
      </c>
      <c r="L1503" s="16" t="s">
        <v>180</v>
      </c>
      <c r="M1503" s="329" t="s">
        <v>4759</v>
      </c>
      <c r="N1503" s="192" t="s">
        <v>433</v>
      </c>
      <c r="O1503" s="192" t="s">
        <v>398</v>
      </c>
      <c r="P1503" s="106">
        <v>70310</v>
      </c>
      <c r="Q1503" s="106">
        <f t="shared" si="195"/>
        <v>82965.799999999988</v>
      </c>
      <c r="R1503" s="106"/>
      <c r="S1503" s="107"/>
      <c r="T1503" s="108"/>
      <c r="U1503" s="108"/>
      <c r="V1503" s="108"/>
      <c r="W1503" s="108"/>
      <c r="X1503" s="108"/>
      <c r="Y1503" s="106">
        <v>70310</v>
      </c>
      <c r="Z1503" s="106">
        <f t="shared" si="196"/>
        <v>82965.799999999988</v>
      </c>
      <c r="AA1503" s="36" t="s">
        <v>132</v>
      </c>
      <c r="AB1503" s="36" t="s">
        <v>132</v>
      </c>
      <c r="AC1503" s="106">
        <v>70310</v>
      </c>
      <c r="AD1503" s="106">
        <f t="shared" si="197"/>
        <v>82965.799999999988</v>
      </c>
      <c r="AE1503" s="38" t="s">
        <v>169</v>
      </c>
      <c r="AF1503" s="38" t="s">
        <v>83</v>
      </c>
      <c r="AG1503" s="38" t="s">
        <v>83</v>
      </c>
      <c r="AH1503" s="88" t="s">
        <v>90</v>
      </c>
      <c r="AI1503" s="52">
        <v>41694</v>
      </c>
      <c r="AJ1503" s="53">
        <v>41715</v>
      </c>
      <c r="AK1503" s="192"/>
      <c r="AL1503" s="192"/>
      <c r="AM1503" s="192" t="s">
        <v>7270</v>
      </c>
      <c r="AN1503" s="192" t="s">
        <v>353</v>
      </c>
      <c r="AO1503" s="89">
        <v>796</v>
      </c>
      <c r="AP1503" s="88" t="s">
        <v>419</v>
      </c>
      <c r="AQ1503" s="87">
        <v>1</v>
      </c>
      <c r="AR1503" s="327">
        <v>45296559</v>
      </c>
      <c r="AS1503" s="192" t="s">
        <v>399</v>
      </c>
      <c r="AT1503" s="52">
        <f t="shared" si="194"/>
        <v>41729</v>
      </c>
      <c r="AU1503" s="52">
        <v>41729</v>
      </c>
      <c r="AV1503" s="52">
        <v>42063</v>
      </c>
      <c r="AW1503" s="328" t="s">
        <v>99</v>
      </c>
      <c r="AX1503" s="192"/>
      <c r="AY1503" s="135"/>
      <c r="AZ1503" s="71"/>
      <c r="BA1503" s="88"/>
      <c r="BB1503" s="107"/>
      <c r="BC1503" s="192"/>
      <c r="BD1503" s="192"/>
      <c r="BE1503" s="324"/>
      <c r="BF1503" s="324"/>
      <c r="BG1503" s="325"/>
      <c r="BH1503" s="325"/>
      <c r="BI1503" s="325"/>
      <c r="BJ1503" s="326" t="s">
        <v>400</v>
      </c>
      <c r="BK1503" s="72"/>
    </row>
    <row r="1504" spans="1:63" s="607" customFormat="1" ht="93.75">
      <c r="A1504" s="89">
        <v>4</v>
      </c>
      <c r="B1504" s="86" t="s">
        <v>7271</v>
      </c>
      <c r="C1504" s="107" t="s">
        <v>83</v>
      </c>
      <c r="D1504" s="86" t="s">
        <v>4563</v>
      </c>
      <c r="E1504" s="72" t="s">
        <v>750</v>
      </c>
      <c r="F1504" s="88" t="s">
        <v>178</v>
      </c>
      <c r="G1504" s="88">
        <v>7244000</v>
      </c>
      <c r="H1504" s="87">
        <v>626742</v>
      </c>
      <c r="I1504" s="192" t="s">
        <v>7272</v>
      </c>
      <c r="J1504" s="192" t="s">
        <v>7268</v>
      </c>
      <c r="K1504" s="192" t="s">
        <v>7268</v>
      </c>
      <c r="L1504" s="16" t="s">
        <v>180</v>
      </c>
      <c r="M1504" s="329" t="s">
        <v>4759</v>
      </c>
      <c r="N1504" s="192" t="s">
        <v>433</v>
      </c>
      <c r="O1504" s="192" t="s">
        <v>398</v>
      </c>
      <c r="P1504" s="106">
        <v>78130</v>
      </c>
      <c r="Q1504" s="106">
        <f t="shared" si="195"/>
        <v>92193.4</v>
      </c>
      <c r="R1504" s="106"/>
      <c r="S1504" s="107"/>
      <c r="T1504" s="108"/>
      <c r="U1504" s="108"/>
      <c r="V1504" s="108"/>
      <c r="W1504" s="108"/>
      <c r="X1504" s="108"/>
      <c r="Y1504" s="106">
        <v>78130</v>
      </c>
      <c r="Z1504" s="106">
        <f t="shared" si="196"/>
        <v>92193.4</v>
      </c>
      <c r="AA1504" s="36" t="s">
        <v>132</v>
      </c>
      <c r="AB1504" s="36" t="s">
        <v>132</v>
      </c>
      <c r="AC1504" s="106">
        <v>78130</v>
      </c>
      <c r="AD1504" s="106">
        <f t="shared" si="197"/>
        <v>92193.4</v>
      </c>
      <c r="AE1504" s="38" t="s">
        <v>169</v>
      </c>
      <c r="AF1504" s="38" t="s">
        <v>83</v>
      </c>
      <c r="AG1504" s="38" t="s">
        <v>83</v>
      </c>
      <c r="AH1504" s="88" t="s">
        <v>90</v>
      </c>
      <c r="AI1504" s="52">
        <v>41694</v>
      </c>
      <c r="AJ1504" s="53">
        <v>41715</v>
      </c>
      <c r="AK1504" s="192"/>
      <c r="AL1504" s="192"/>
      <c r="AM1504" s="192" t="s">
        <v>7272</v>
      </c>
      <c r="AN1504" s="192" t="s">
        <v>353</v>
      </c>
      <c r="AO1504" s="89">
        <v>796</v>
      </c>
      <c r="AP1504" s="88" t="s">
        <v>419</v>
      </c>
      <c r="AQ1504" s="87">
        <v>1</v>
      </c>
      <c r="AR1504" s="327">
        <v>45296559</v>
      </c>
      <c r="AS1504" s="192" t="s">
        <v>399</v>
      </c>
      <c r="AT1504" s="52">
        <f t="shared" si="194"/>
        <v>41729</v>
      </c>
      <c r="AU1504" s="52">
        <v>41729</v>
      </c>
      <c r="AV1504" s="52">
        <v>42063</v>
      </c>
      <c r="AW1504" s="328" t="s">
        <v>99</v>
      </c>
      <c r="AX1504" s="192"/>
      <c r="AY1504" s="135"/>
      <c r="AZ1504" s="71"/>
      <c r="BA1504" s="88"/>
      <c r="BB1504" s="107"/>
      <c r="BC1504" s="192"/>
      <c r="BD1504" s="192"/>
      <c r="BE1504" s="324"/>
      <c r="BF1504" s="324"/>
      <c r="BG1504" s="325"/>
      <c r="BH1504" s="325"/>
      <c r="BI1504" s="325"/>
      <c r="BJ1504" s="326" t="s">
        <v>400</v>
      </c>
      <c r="BK1504" s="72"/>
    </row>
    <row r="1505" spans="1:63" s="607" customFormat="1" ht="93.75">
      <c r="A1505" s="89">
        <v>4</v>
      </c>
      <c r="B1505" s="86" t="s">
        <v>7273</v>
      </c>
      <c r="C1505" s="107" t="s">
        <v>83</v>
      </c>
      <c r="D1505" s="86" t="s">
        <v>4563</v>
      </c>
      <c r="E1505" s="72" t="s">
        <v>750</v>
      </c>
      <c r="F1505" s="88" t="s">
        <v>178</v>
      </c>
      <c r="G1505" s="88">
        <v>7244000</v>
      </c>
      <c r="H1505" s="87">
        <v>626743</v>
      </c>
      <c r="I1505" s="192" t="s">
        <v>7274</v>
      </c>
      <c r="J1505" s="192" t="s">
        <v>7268</v>
      </c>
      <c r="K1505" s="192" t="s">
        <v>7268</v>
      </c>
      <c r="L1505" s="16" t="s">
        <v>180</v>
      </c>
      <c r="M1505" s="329" t="s">
        <v>4759</v>
      </c>
      <c r="N1505" s="192" t="s">
        <v>433</v>
      </c>
      <c r="O1505" s="192" t="s">
        <v>398</v>
      </c>
      <c r="P1505" s="106">
        <v>203100</v>
      </c>
      <c r="Q1505" s="106">
        <f t="shared" si="195"/>
        <v>239658</v>
      </c>
      <c r="R1505" s="106"/>
      <c r="S1505" s="107"/>
      <c r="T1505" s="108"/>
      <c r="U1505" s="108"/>
      <c r="V1505" s="108"/>
      <c r="W1505" s="108"/>
      <c r="X1505" s="108"/>
      <c r="Y1505" s="106">
        <v>203100</v>
      </c>
      <c r="Z1505" s="106">
        <f t="shared" si="196"/>
        <v>239658</v>
      </c>
      <c r="AA1505" s="36" t="s">
        <v>132</v>
      </c>
      <c r="AB1505" s="36" t="s">
        <v>132</v>
      </c>
      <c r="AC1505" s="106">
        <v>203100</v>
      </c>
      <c r="AD1505" s="106">
        <f t="shared" si="197"/>
        <v>239658</v>
      </c>
      <c r="AE1505" s="38" t="s">
        <v>169</v>
      </c>
      <c r="AF1505" s="38" t="s">
        <v>83</v>
      </c>
      <c r="AG1505" s="38" t="s">
        <v>83</v>
      </c>
      <c r="AH1505" s="88" t="s">
        <v>90</v>
      </c>
      <c r="AI1505" s="52">
        <v>41694</v>
      </c>
      <c r="AJ1505" s="53">
        <f>AI1505+30</f>
        <v>41724</v>
      </c>
      <c r="AK1505" s="192"/>
      <c r="AL1505" s="192"/>
      <c r="AM1505" s="192" t="s">
        <v>7274</v>
      </c>
      <c r="AN1505" s="192" t="s">
        <v>353</v>
      </c>
      <c r="AO1505" s="89">
        <v>796</v>
      </c>
      <c r="AP1505" s="88" t="s">
        <v>419</v>
      </c>
      <c r="AQ1505" s="87">
        <v>1</v>
      </c>
      <c r="AR1505" s="327">
        <v>45296559</v>
      </c>
      <c r="AS1505" s="192" t="s">
        <v>399</v>
      </c>
      <c r="AT1505" s="52">
        <f t="shared" si="194"/>
        <v>41738</v>
      </c>
      <c r="AU1505" s="52">
        <v>41738</v>
      </c>
      <c r="AV1505" s="52">
        <v>42124</v>
      </c>
      <c r="AW1505" s="328" t="s">
        <v>99</v>
      </c>
      <c r="AX1505" s="192"/>
      <c r="AY1505" s="135"/>
      <c r="AZ1505" s="71"/>
      <c r="BA1505" s="88"/>
      <c r="BB1505" s="107"/>
      <c r="BC1505" s="192"/>
      <c r="BD1505" s="192"/>
      <c r="BE1505" s="324"/>
      <c r="BF1505" s="324"/>
      <c r="BG1505" s="325"/>
      <c r="BH1505" s="325"/>
      <c r="BI1505" s="325"/>
      <c r="BJ1505" s="326" t="s">
        <v>400</v>
      </c>
      <c r="BK1505" s="72"/>
    </row>
    <row r="1506" spans="1:63" s="607" customFormat="1" ht="93.75">
      <c r="A1506" s="89">
        <v>4</v>
      </c>
      <c r="B1506" s="86" t="s">
        <v>7275</v>
      </c>
      <c r="C1506" s="107" t="s">
        <v>83</v>
      </c>
      <c r="D1506" s="86" t="s">
        <v>4563</v>
      </c>
      <c r="E1506" s="72" t="s">
        <v>750</v>
      </c>
      <c r="F1506" s="88" t="s">
        <v>178</v>
      </c>
      <c r="G1506" s="88">
        <v>7220000</v>
      </c>
      <c r="H1506" s="87">
        <v>626739</v>
      </c>
      <c r="I1506" s="192" t="s">
        <v>7276</v>
      </c>
      <c r="J1506" s="192" t="s">
        <v>424</v>
      </c>
      <c r="K1506" s="192" t="s">
        <v>424</v>
      </c>
      <c r="L1506" s="16" t="s">
        <v>180</v>
      </c>
      <c r="M1506" s="329" t="s">
        <v>4759</v>
      </c>
      <c r="N1506" s="192" t="s">
        <v>433</v>
      </c>
      <c r="O1506" s="192" t="s">
        <v>398</v>
      </c>
      <c r="P1506" s="106">
        <v>89560</v>
      </c>
      <c r="Q1506" s="106">
        <f>P1506</f>
        <v>89560</v>
      </c>
      <c r="R1506" s="106"/>
      <c r="S1506" s="107"/>
      <c r="T1506" s="108"/>
      <c r="U1506" s="108"/>
      <c r="V1506" s="108"/>
      <c r="W1506" s="108"/>
      <c r="X1506" s="108"/>
      <c r="Y1506" s="106">
        <v>89560</v>
      </c>
      <c r="Z1506" s="106">
        <f>Y1506</f>
        <v>89560</v>
      </c>
      <c r="AA1506" s="36" t="s">
        <v>132</v>
      </c>
      <c r="AB1506" s="36" t="s">
        <v>132</v>
      </c>
      <c r="AC1506" s="106">
        <v>89560</v>
      </c>
      <c r="AD1506" s="106">
        <f>AC1506</f>
        <v>89560</v>
      </c>
      <c r="AE1506" s="38" t="s">
        <v>169</v>
      </c>
      <c r="AF1506" s="38" t="s">
        <v>83</v>
      </c>
      <c r="AG1506" s="38" t="s">
        <v>83</v>
      </c>
      <c r="AH1506" s="88" t="s">
        <v>90</v>
      </c>
      <c r="AI1506" s="52">
        <v>41918</v>
      </c>
      <c r="AJ1506" s="53">
        <v>41939</v>
      </c>
      <c r="AK1506" s="192"/>
      <c r="AL1506" s="192"/>
      <c r="AM1506" s="192" t="s">
        <v>7276</v>
      </c>
      <c r="AN1506" s="192" t="s">
        <v>353</v>
      </c>
      <c r="AO1506" s="89">
        <v>796</v>
      </c>
      <c r="AP1506" s="88" t="s">
        <v>419</v>
      </c>
      <c r="AQ1506" s="87">
        <v>1</v>
      </c>
      <c r="AR1506" s="327">
        <v>45296559</v>
      </c>
      <c r="AS1506" s="192" t="s">
        <v>399</v>
      </c>
      <c r="AT1506" s="52">
        <f t="shared" si="194"/>
        <v>41953</v>
      </c>
      <c r="AU1506" s="52">
        <v>41953</v>
      </c>
      <c r="AV1506" s="52">
        <v>41971</v>
      </c>
      <c r="AW1506" s="328">
        <v>2014</v>
      </c>
      <c r="AX1506" s="192"/>
      <c r="AY1506" s="135"/>
      <c r="AZ1506" s="71"/>
      <c r="BA1506" s="88"/>
      <c r="BB1506" s="107"/>
      <c r="BC1506" s="192"/>
      <c r="BD1506" s="192"/>
      <c r="BE1506" s="324"/>
      <c r="BF1506" s="324"/>
      <c r="BG1506" s="325"/>
      <c r="BH1506" s="325"/>
      <c r="BI1506" s="325"/>
      <c r="BJ1506" s="326" t="s">
        <v>400</v>
      </c>
      <c r="BK1506" s="72"/>
    </row>
    <row r="1507" spans="1:63" s="607" customFormat="1" ht="131.25">
      <c r="A1507" s="89">
        <v>4</v>
      </c>
      <c r="B1507" s="86" t="s">
        <v>7277</v>
      </c>
      <c r="C1507" s="107" t="s">
        <v>83</v>
      </c>
      <c r="D1507" s="86" t="s">
        <v>4563</v>
      </c>
      <c r="E1507" s="72" t="s">
        <v>750</v>
      </c>
      <c r="F1507" s="88" t="s">
        <v>178</v>
      </c>
      <c r="G1507" s="88">
        <v>7220000</v>
      </c>
      <c r="H1507" s="87">
        <v>626745</v>
      </c>
      <c r="I1507" s="192" t="s">
        <v>7278</v>
      </c>
      <c r="J1507" s="192" t="s">
        <v>4848</v>
      </c>
      <c r="K1507" s="192" t="s">
        <v>4848</v>
      </c>
      <c r="L1507" s="16" t="s">
        <v>180</v>
      </c>
      <c r="M1507" s="329" t="s">
        <v>7264</v>
      </c>
      <c r="N1507" s="192" t="s">
        <v>7265</v>
      </c>
      <c r="O1507" s="192" t="s">
        <v>398</v>
      </c>
      <c r="P1507" s="106">
        <v>63513</v>
      </c>
      <c r="Q1507" s="106">
        <f t="shared" ref="Q1507" si="198">P1507*1.18</f>
        <v>74945.34</v>
      </c>
      <c r="R1507" s="106"/>
      <c r="S1507" s="107"/>
      <c r="T1507" s="108"/>
      <c r="U1507" s="108"/>
      <c r="V1507" s="108"/>
      <c r="W1507" s="108"/>
      <c r="X1507" s="108"/>
      <c r="Y1507" s="106">
        <v>63513</v>
      </c>
      <c r="Z1507" s="106">
        <f t="shared" ref="Z1507" si="199">Y1507*1.18</f>
        <v>74945.34</v>
      </c>
      <c r="AA1507" s="36" t="s">
        <v>132</v>
      </c>
      <c r="AB1507" s="36" t="s">
        <v>132</v>
      </c>
      <c r="AC1507" s="106">
        <v>63513</v>
      </c>
      <c r="AD1507" s="106">
        <f t="shared" ref="AD1507" si="200">AC1507*1.18</f>
        <v>74945.34</v>
      </c>
      <c r="AE1507" s="38" t="s">
        <v>169</v>
      </c>
      <c r="AF1507" s="38" t="s">
        <v>83</v>
      </c>
      <c r="AG1507" s="38" t="s">
        <v>83</v>
      </c>
      <c r="AH1507" s="88" t="s">
        <v>90</v>
      </c>
      <c r="AI1507" s="52">
        <v>41715</v>
      </c>
      <c r="AJ1507" s="53">
        <f>AI1507+20</f>
        <v>41735</v>
      </c>
      <c r="AK1507" s="192"/>
      <c r="AL1507" s="192"/>
      <c r="AM1507" s="192" t="s">
        <v>7278</v>
      </c>
      <c r="AN1507" s="192" t="s">
        <v>353</v>
      </c>
      <c r="AO1507" s="89">
        <v>796</v>
      </c>
      <c r="AP1507" s="88" t="s">
        <v>419</v>
      </c>
      <c r="AQ1507" s="87">
        <v>1</v>
      </c>
      <c r="AR1507" s="327">
        <v>45296559</v>
      </c>
      <c r="AS1507" s="192" t="s">
        <v>399</v>
      </c>
      <c r="AT1507" s="52">
        <v>41750</v>
      </c>
      <c r="AU1507" s="52">
        <v>41750</v>
      </c>
      <c r="AV1507" s="52">
        <v>42124</v>
      </c>
      <c r="AW1507" s="328" t="s">
        <v>99</v>
      </c>
      <c r="AX1507" s="192"/>
      <c r="AY1507" s="135"/>
      <c r="AZ1507" s="71"/>
      <c r="BA1507" s="88"/>
      <c r="BB1507" s="107"/>
      <c r="BC1507" s="192"/>
      <c r="BD1507" s="192"/>
      <c r="BE1507" s="324"/>
      <c r="BF1507" s="324"/>
      <c r="BG1507" s="325"/>
      <c r="BH1507" s="325"/>
      <c r="BI1507" s="325"/>
      <c r="BJ1507" s="326" t="s">
        <v>400</v>
      </c>
      <c r="BK1507" s="72"/>
    </row>
    <row r="1508" spans="1:63" s="607" customFormat="1" ht="131.25">
      <c r="A1508" s="89">
        <v>4</v>
      </c>
      <c r="B1508" s="86" t="s">
        <v>7279</v>
      </c>
      <c r="C1508" s="107" t="s">
        <v>83</v>
      </c>
      <c r="D1508" s="86" t="s">
        <v>4563</v>
      </c>
      <c r="E1508" s="72" t="s">
        <v>750</v>
      </c>
      <c r="F1508" s="88" t="s">
        <v>178</v>
      </c>
      <c r="G1508" s="88">
        <v>7220000</v>
      </c>
      <c r="H1508" s="87">
        <v>626746</v>
      </c>
      <c r="I1508" s="192" t="s">
        <v>7280</v>
      </c>
      <c r="J1508" s="192" t="s">
        <v>4848</v>
      </c>
      <c r="K1508" s="192" t="s">
        <v>4848</v>
      </c>
      <c r="L1508" s="16" t="s">
        <v>180</v>
      </c>
      <c r="M1508" s="329" t="s">
        <v>7264</v>
      </c>
      <c r="N1508" s="192" t="s">
        <v>7265</v>
      </c>
      <c r="O1508" s="192" t="s">
        <v>398</v>
      </c>
      <c r="P1508" s="106">
        <v>82500</v>
      </c>
      <c r="Q1508" s="106">
        <f>P1508*1.18</f>
        <v>97350</v>
      </c>
      <c r="R1508" s="106"/>
      <c r="S1508" s="107"/>
      <c r="T1508" s="108"/>
      <c r="U1508" s="108"/>
      <c r="V1508" s="108"/>
      <c r="W1508" s="108"/>
      <c r="X1508" s="108"/>
      <c r="Y1508" s="106">
        <v>82500</v>
      </c>
      <c r="Z1508" s="106">
        <f>Y1508*1.18</f>
        <v>97350</v>
      </c>
      <c r="AA1508" s="36" t="s">
        <v>132</v>
      </c>
      <c r="AB1508" s="36" t="s">
        <v>132</v>
      </c>
      <c r="AC1508" s="106">
        <v>82500</v>
      </c>
      <c r="AD1508" s="106">
        <f>AC1508*1.18</f>
        <v>97350</v>
      </c>
      <c r="AE1508" s="38" t="s">
        <v>169</v>
      </c>
      <c r="AF1508" s="38" t="s">
        <v>83</v>
      </c>
      <c r="AG1508" s="38" t="s">
        <v>83</v>
      </c>
      <c r="AH1508" s="88" t="s">
        <v>90</v>
      </c>
      <c r="AI1508" s="52">
        <v>41694</v>
      </c>
      <c r="AJ1508" s="53">
        <f>AI1508+20</f>
        <v>41714</v>
      </c>
      <c r="AK1508" s="192"/>
      <c r="AL1508" s="192"/>
      <c r="AM1508" s="192" t="s">
        <v>7280</v>
      </c>
      <c r="AN1508" s="192" t="s">
        <v>353</v>
      </c>
      <c r="AO1508" s="89">
        <v>796</v>
      </c>
      <c r="AP1508" s="88" t="s">
        <v>419</v>
      </c>
      <c r="AQ1508" s="87">
        <v>1</v>
      </c>
      <c r="AR1508" s="327">
        <v>45296559</v>
      </c>
      <c r="AS1508" s="192" t="s">
        <v>399</v>
      </c>
      <c r="AT1508" s="52">
        <v>41729</v>
      </c>
      <c r="AU1508" s="52">
        <v>41729</v>
      </c>
      <c r="AV1508" s="52">
        <v>42094</v>
      </c>
      <c r="AW1508" s="328" t="s">
        <v>99</v>
      </c>
      <c r="AX1508" s="192"/>
      <c r="AY1508" s="135"/>
      <c r="AZ1508" s="71"/>
      <c r="BA1508" s="88"/>
      <c r="BB1508" s="107"/>
      <c r="BC1508" s="192"/>
      <c r="BD1508" s="192"/>
      <c r="BE1508" s="324"/>
      <c r="BF1508" s="324"/>
      <c r="BG1508" s="325"/>
      <c r="BH1508" s="325"/>
      <c r="BI1508" s="325"/>
      <c r="BJ1508" s="326" t="s">
        <v>400</v>
      </c>
      <c r="BK1508" s="72"/>
    </row>
    <row r="1509" spans="1:63" s="603" customFormat="1">
      <c r="A1509" s="91" t="s">
        <v>132</v>
      </c>
      <c r="B1509" s="7" t="s">
        <v>132</v>
      </c>
      <c r="C1509" s="7" t="s">
        <v>132</v>
      </c>
      <c r="D1509" s="7" t="s">
        <v>132</v>
      </c>
      <c r="E1509" s="7" t="s">
        <v>132</v>
      </c>
      <c r="F1509" s="7" t="s">
        <v>132</v>
      </c>
      <c r="G1509" s="7" t="s">
        <v>132</v>
      </c>
      <c r="H1509" s="7" t="s">
        <v>132</v>
      </c>
      <c r="I1509" s="7" t="s">
        <v>132</v>
      </c>
      <c r="J1509" s="7" t="s">
        <v>132</v>
      </c>
      <c r="K1509" s="7" t="s">
        <v>132</v>
      </c>
      <c r="L1509" s="7" t="s">
        <v>132</v>
      </c>
      <c r="M1509" s="7" t="s">
        <v>132</v>
      </c>
      <c r="N1509" s="7" t="s">
        <v>132</v>
      </c>
      <c r="O1509" s="7" t="s">
        <v>132</v>
      </c>
      <c r="P1509" s="7" t="s">
        <v>132</v>
      </c>
      <c r="Q1509" s="7" t="s">
        <v>132</v>
      </c>
      <c r="R1509" s="7" t="s">
        <v>132</v>
      </c>
      <c r="S1509" s="7" t="s">
        <v>132</v>
      </c>
      <c r="T1509" s="7" t="s">
        <v>132</v>
      </c>
      <c r="U1509" s="7" t="s">
        <v>132</v>
      </c>
      <c r="V1509" s="7" t="s">
        <v>132</v>
      </c>
      <c r="W1509" s="7" t="s">
        <v>132</v>
      </c>
      <c r="X1509" s="7" t="s">
        <v>132</v>
      </c>
      <c r="Y1509" s="7" t="s">
        <v>132</v>
      </c>
      <c r="Z1509" s="7" t="s">
        <v>132</v>
      </c>
      <c r="AA1509" s="225" t="s">
        <v>132</v>
      </c>
      <c r="AB1509" s="225" t="s">
        <v>132</v>
      </c>
      <c r="AC1509" s="7" t="s">
        <v>132</v>
      </c>
      <c r="AD1509" s="7" t="s">
        <v>132</v>
      </c>
      <c r="AE1509" s="7" t="s">
        <v>132</v>
      </c>
      <c r="AF1509" s="7" t="s">
        <v>132</v>
      </c>
      <c r="AG1509" s="7" t="s">
        <v>132</v>
      </c>
      <c r="AH1509" s="7" t="s">
        <v>132</v>
      </c>
      <c r="AI1509" s="7" t="s">
        <v>132</v>
      </c>
      <c r="AJ1509" s="7" t="s">
        <v>132</v>
      </c>
      <c r="AK1509" s="7" t="s">
        <v>132</v>
      </c>
      <c r="AL1509" s="7" t="s">
        <v>132</v>
      </c>
      <c r="AM1509" s="7" t="s">
        <v>132</v>
      </c>
      <c r="AN1509" s="7" t="s">
        <v>132</v>
      </c>
      <c r="AO1509" s="7" t="s">
        <v>132</v>
      </c>
      <c r="AP1509" s="7" t="s">
        <v>132</v>
      </c>
      <c r="AQ1509" s="7" t="s">
        <v>132</v>
      </c>
      <c r="AR1509" s="7" t="s">
        <v>132</v>
      </c>
      <c r="AS1509" s="7" t="s">
        <v>132</v>
      </c>
      <c r="AT1509" s="7" t="s">
        <v>132</v>
      </c>
      <c r="AU1509" s="7" t="s">
        <v>132</v>
      </c>
      <c r="AV1509" s="7" t="s">
        <v>132</v>
      </c>
      <c r="AW1509" s="7" t="s">
        <v>132</v>
      </c>
      <c r="AX1509" s="7" t="s">
        <v>132</v>
      </c>
      <c r="AY1509" s="7" t="s">
        <v>132</v>
      </c>
      <c r="AZ1509" s="7" t="s">
        <v>132</v>
      </c>
      <c r="BA1509" s="7" t="s">
        <v>132</v>
      </c>
      <c r="BB1509" s="7" t="s">
        <v>132</v>
      </c>
      <c r="BC1509" s="7" t="s">
        <v>132</v>
      </c>
      <c r="BD1509" s="7" t="s">
        <v>132</v>
      </c>
      <c r="BE1509" s="7" t="s">
        <v>132</v>
      </c>
      <c r="BF1509" s="7" t="s">
        <v>132</v>
      </c>
      <c r="BG1509" s="7" t="s">
        <v>132</v>
      </c>
      <c r="BH1509" s="7" t="s">
        <v>132</v>
      </c>
      <c r="BI1509" s="7" t="s">
        <v>132</v>
      </c>
      <c r="BJ1509" s="7" t="s">
        <v>132</v>
      </c>
      <c r="BK1509" s="7"/>
    </row>
    <row r="1510" spans="1:63" s="603" customFormat="1" ht="36.75" customHeight="1">
      <c r="A1510" s="91" t="s">
        <v>132</v>
      </c>
      <c r="B1510" s="7" t="s">
        <v>132</v>
      </c>
      <c r="C1510" s="7" t="s">
        <v>132</v>
      </c>
      <c r="D1510" s="7" t="s">
        <v>132</v>
      </c>
      <c r="E1510" s="7" t="s">
        <v>132</v>
      </c>
      <c r="F1510" s="7" t="s">
        <v>132</v>
      </c>
      <c r="G1510" s="7" t="s">
        <v>132</v>
      </c>
      <c r="H1510" s="7" t="s">
        <v>132</v>
      </c>
      <c r="I1510" s="8" t="s">
        <v>3038</v>
      </c>
      <c r="J1510" s="7" t="s">
        <v>132</v>
      </c>
      <c r="K1510" s="7" t="s">
        <v>132</v>
      </c>
      <c r="L1510" s="7" t="s">
        <v>132</v>
      </c>
      <c r="M1510" s="7" t="s">
        <v>132</v>
      </c>
      <c r="N1510" s="7" t="s">
        <v>132</v>
      </c>
      <c r="O1510" s="7" t="s">
        <v>132</v>
      </c>
      <c r="P1510" s="102">
        <f>SUMIFS(Сумма_16,Филиал,"=ОАО*",ВД,"=4")</f>
        <v>2298820.5949999997</v>
      </c>
      <c r="Q1510" s="102">
        <f>SUMIFS(Сумма_17,Филиал,"=ОАО*",ВД,"=4")</f>
        <v>2663204.3068999988</v>
      </c>
      <c r="R1510" s="7" t="s">
        <v>132</v>
      </c>
      <c r="S1510" s="7" t="s">
        <v>132</v>
      </c>
      <c r="T1510" s="7" t="s">
        <v>132</v>
      </c>
      <c r="U1510" s="7" t="s">
        <v>132</v>
      </c>
      <c r="V1510" s="7" t="s">
        <v>132</v>
      </c>
      <c r="W1510" s="7" t="s">
        <v>132</v>
      </c>
      <c r="X1510" s="7" t="s">
        <v>132</v>
      </c>
      <c r="Y1510" s="102">
        <f>SUMIFS(Сумма_25,Филиал,"=ОАО*",ВД,"=4")</f>
        <v>2302420.5949999997</v>
      </c>
      <c r="Z1510" s="102">
        <f>SUMIFS(Сумма_26,Филиал,"=ОАО*",ВД,"=4")</f>
        <v>2663204.3068999988</v>
      </c>
      <c r="AA1510" s="225" t="s">
        <v>132</v>
      </c>
      <c r="AB1510" s="225" t="s">
        <v>132</v>
      </c>
      <c r="AC1510" s="102">
        <f>SUMIFS(Сумма_29,Филиал,"=ОАО*",ВД,"=4")</f>
        <v>2302420.5949999997</v>
      </c>
      <c r="AD1510" s="102">
        <f>SUMIFS(Сумма,Филиал,"=ОАО*",ВД,"=4")</f>
        <v>2663204.3068999988</v>
      </c>
      <c r="AE1510" s="7" t="s">
        <v>132</v>
      </c>
      <c r="AF1510" s="7" t="s">
        <v>132</v>
      </c>
      <c r="AG1510" s="7" t="s">
        <v>132</v>
      </c>
      <c r="AH1510" s="7" t="s">
        <v>132</v>
      </c>
      <c r="AI1510" s="7" t="s">
        <v>132</v>
      </c>
      <c r="AJ1510" s="7" t="s">
        <v>132</v>
      </c>
      <c r="AK1510" s="7" t="s">
        <v>132</v>
      </c>
      <c r="AL1510" s="7" t="s">
        <v>132</v>
      </c>
      <c r="AM1510" s="7" t="s">
        <v>132</v>
      </c>
      <c r="AN1510" s="7" t="s">
        <v>132</v>
      </c>
      <c r="AO1510" s="7" t="s">
        <v>132</v>
      </c>
      <c r="AP1510" s="7" t="s">
        <v>132</v>
      </c>
      <c r="AQ1510" s="7" t="s">
        <v>132</v>
      </c>
      <c r="AR1510" s="7" t="s">
        <v>132</v>
      </c>
      <c r="AS1510" s="7" t="s">
        <v>132</v>
      </c>
      <c r="AT1510" s="7" t="s">
        <v>132</v>
      </c>
      <c r="AU1510" s="7" t="s">
        <v>132</v>
      </c>
      <c r="AV1510" s="7" t="s">
        <v>132</v>
      </c>
      <c r="AW1510" s="7" t="s">
        <v>132</v>
      </c>
      <c r="AX1510" s="7" t="s">
        <v>132</v>
      </c>
      <c r="AY1510" s="7" t="s">
        <v>132</v>
      </c>
      <c r="AZ1510" s="7" t="s">
        <v>132</v>
      </c>
      <c r="BA1510" s="7" t="s">
        <v>132</v>
      </c>
      <c r="BB1510" s="7" t="s">
        <v>132</v>
      </c>
      <c r="BC1510" s="7" t="s">
        <v>132</v>
      </c>
      <c r="BD1510" s="7" t="s">
        <v>132</v>
      </c>
      <c r="BE1510" s="7" t="s">
        <v>132</v>
      </c>
      <c r="BF1510" s="7" t="s">
        <v>132</v>
      </c>
      <c r="BG1510" s="7" t="s">
        <v>132</v>
      </c>
      <c r="BH1510" s="7" t="s">
        <v>132</v>
      </c>
      <c r="BI1510" s="7" t="s">
        <v>132</v>
      </c>
      <c r="BJ1510" s="7" t="s">
        <v>132</v>
      </c>
      <c r="BK1510" s="7"/>
    </row>
    <row r="1511" spans="1:63" s="603" customFormat="1">
      <c r="A1511" s="91" t="s">
        <v>132</v>
      </c>
      <c r="B1511" s="7" t="s">
        <v>132</v>
      </c>
      <c r="C1511" s="7" t="s">
        <v>132</v>
      </c>
      <c r="D1511" s="7" t="s">
        <v>132</v>
      </c>
      <c r="E1511" s="7" t="s">
        <v>132</v>
      </c>
      <c r="F1511" s="7" t="s">
        <v>132</v>
      </c>
      <c r="G1511" s="7" t="s">
        <v>132</v>
      </c>
      <c r="H1511" s="7" t="s">
        <v>132</v>
      </c>
      <c r="I1511" s="8" t="s">
        <v>3039</v>
      </c>
      <c r="J1511" s="7" t="s">
        <v>132</v>
      </c>
      <c r="K1511" s="7" t="s">
        <v>132</v>
      </c>
      <c r="L1511" s="7" t="s">
        <v>132</v>
      </c>
      <c r="M1511" s="7" t="s">
        <v>132</v>
      </c>
      <c r="N1511" s="7" t="s">
        <v>132</v>
      </c>
      <c r="O1511" s="7" t="s">
        <v>132</v>
      </c>
      <c r="P1511" s="7" t="s">
        <v>132</v>
      </c>
      <c r="Q1511" s="7" t="s">
        <v>132</v>
      </c>
      <c r="R1511" s="7" t="s">
        <v>132</v>
      </c>
      <c r="S1511" s="7" t="s">
        <v>132</v>
      </c>
      <c r="T1511" s="7" t="s">
        <v>132</v>
      </c>
      <c r="U1511" s="7" t="s">
        <v>132</v>
      </c>
      <c r="V1511" s="7" t="s">
        <v>132</v>
      </c>
      <c r="W1511" s="7" t="s">
        <v>132</v>
      </c>
      <c r="X1511" s="7" t="s">
        <v>132</v>
      </c>
      <c r="Y1511" s="7" t="s">
        <v>132</v>
      </c>
      <c r="Z1511" s="7" t="s">
        <v>132</v>
      </c>
      <c r="AA1511" s="225" t="s">
        <v>132</v>
      </c>
      <c r="AB1511" s="225" t="s">
        <v>132</v>
      </c>
      <c r="AC1511" s="7" t="s">
        <v>132</v>
      </c>
      <c r="AD1511" s="7" t="s">
        <v>132</v>
      </c>
      <c r="AE1511" s="7" t="s">
        <v>132</v>
      </c>
      <c r="AF1511" s="7" t="s">
        <v>132</v>
      </c>
      <c r="AG1511" s="7" t="s">
        <v>132</v>
      </c>
      <c r="AH1511" s="7" t="s">
        <v>132</v>
      </c>
      <c r="AI1511" s="7" t="s">
        <v>132</v>
      </c>
      <c r="AJ1511" s="7" t="s">
        <v>132</v>
      </c>
      <c r="AK1511" s="7" t="s">
        <v>132</v>
      </c>
      <c r="AL1511" s="7" t="s">
        <v>132</v>
      </c>
      <c r="AM1511" s="7" t="s">
        <v>132</v>
      </c>
      <c r="AN1511" s="7" t="s">
        <v>132</v>
      </c>
      <c r="AO1511" s="7" t="s">
        <v>132</v>
      </c>
      <c r="AP1511" s="7" t="s">
        <v>132</v>
      </c>
      <c r="AQ1511" s="7" t="s">
        <v>132</v>
      </c>
      <c r="AR1511" s="7" t="s">
        <v>132</v>
      </c>
      <c r="AS1511" s="7" t="s">
        <v>132</v>
      </c>
      <c r="AT1511" s="7" t="s">
        <v>132</v>
      </c>
      <c r="AU1511" s="7" t="s">
        <v>132</v>
      </c>
      <c r="AV1511" s="7" t="s">
        <v>132</v>
      </c>
      <c r="AW1511" s="7" t="s">
        <v>132</v>
      </c>
      <c r="AX1511" s="7" t="s">
        <v>132</v>
      </c>
      <c r="AY1511" s="7" t="s">
        <v>132</v>
      </c>
      <c r="AZ1511" s="7" t="s">
        <v>132</v>
      </c>
      <c r="BA1511" s="7" t="s">
        <v>132</v>
      </c>
      <c r="BB1511" s="7" t="s">
        <v>132</v>
      </c>
      <c r="BC1511" s="7" t="s">
        <v>132</v>
      </c>
      <c r="BD1511" s="7" t="s">
        <v>132</v>
      </c>
      <c r="BE1511" s="7" t="s">
        <v>132</v>
      </c>
      <c r="BF1511" s="7" t="s">
        <v>132</v>
      </c>
      <c r="BG1511" s="7" t="s">
        <v>132</v>
      </c>
      <c r="BH1511" s="7" t="s">
        <v>132</v>
      </c>
      <c r="BI1511" s="7" t="s">
        <v>132</v>
      </c>
      <c r="BJ1511" s="7" t="s">
        <v>132</v>
      </c>
      <c r="BK1511" s="7"/>
    </row>
    <row r="1512" spans="1:63" s="603" customFormat="1">
      <c r="A1512" s="91" t="s">
        <v>132</v>
      </c>
      <c r="B1512" s="7" t="s">
        <v>132</v>
      </c>
      <c r="C1512" s="7" t="s">
        <v>132</v>
      </c>
      <c r="D1512" s="7" t="s">
        <v>132</v>
      </c>
      <c r="E1512" s="7" t="s">
        <v>132</v>
      </c>
      <c r="F1512" s="7" t="s">
        <v>132</v>
      </c>
      <c r="G1512" s="7" t="s">
        <v>132</v>
      </c>
      <c r="H1512" s="7" t="s">
        <v>132</v>
      </c>
      <c r="I1512" s="7" t="s">
        <v>132</v>
      </c>
      <c r="J1512" s="7" t="s">
        <v>132</v>
      </c>
      <c r="K1512" s="7" t="s">
        <v>132</v>
      </c>
      <c r="L1512" s="7" t="s">
        <v>132</v>
      </c>
      <c r="M1512" s="7" t="s">
        <v>132</v>
      </c>
      <c r="N1512" s="7" t="s">
        <v>132</v>
      </c>
      <c r="O1512" s="7" t="s">
        <v>132</v>
      </c>
      <c r="P1512" s="7" t="s">
        <v>132</v>
      </c>
      <c r="Q1512" s="7" t="s">
        <v>132</v>
      </c>
      <c r="R1512" s="7" t="s">
        <v>132</v>
      </c>
      <c r="S1512" s="7" t="s">
        <v>132</v>
      </c>
      <c r="T1512" s="7" t="s">
        <v>132</v>
      </c>
      <c r="U1512" s="7" t="s">
        <v>132</v>
      </c>
      <c r="V1512" s="7" t="s">
        <v>132</v>
      </c>
      <c r="W1512" s="7" t="s">
        <v>132</v>
      </c>
      <c r="X1512" s="7" t="s">
        <v>132</v>
      </c>
      <c r="Y1512" s="7" t="s">
        <v>132</v>
      </c>
      <c r="Z1512" s="7" t="s">
        <v>132</v>
      </c>
      <c r="AA1512" s="225" t="s">
        <v>132</v>
      </c>
      <c r="AB1512" s="225" t="s">
        <v>132</v>
      </c>
      <c r="AC1512" s="7" t="s">
        <v>132</v>
      </c>
      <c r="AD1512" s="7" t="s">
        <v>132</v>
      </c>
      <c r="AE1512" s="7" t="s">
        <v>132</v>
      </c>
      <c r="AF1512" s="7" t="s">
        <v>132</v>
      </c>
      <c r="AG1512" s="7" t="s">
        <v>132</v>
      </c>
      <c r="AH1512" s="7" t="s">
        <v>132</v>
      </c>
      <c r="AI1512" s="7" t="s">
        <v>132</v>
      </c>
      <c r="AJ1512" s="7" t="s">
        <v>132</v>
      </c>
      <c r="AK1512" s="7" t="s">
        <v>132</v>
      </c>
      <c r="AL1512" s="7" t="s">
        <v>132</v>
      </c>
      <c r="AM1512" s="7" t="s">
        <v>132</v>
      </c>
      <c r="AN1512" s="7" t="s">
        <v>132</v>
      </c>
      <c r="AO1512" s="7" t="s">
        <v>132</v>
      </c>
      <c r="AP1512" s="7" t="s">
        <v>132</v>
      </c>
      <c r="AQ1512" s="7" t="s">
        <v>132</v>
      </c>
      <c r="AR1512" s="7" t="s">
        <v>132</v>
      </c>
      <c r="AS1512" s="7" t="s">
        <v>132</v>
      </c>
      <c r="AT1512" s="7" t="s">
        <v>132</v>
      </c>
      <c r="AU1512" s="7" t="s">
        <v>132</v>
      </c>
      <c r="AV1512" s="7" t="s">
        <v>132</v>
      </c>
      <c r="AW1512" s="7" t="s">
        <v>132</v>
      </c>
      <c r="AX1512" s="7" t="s">
        <v>132</v>
      </c>
      <c r="AY1512" s="7" t="s">
        <v>132</v>
      </c>
      <c r="AZ1512" s="7" t="s">
        <v>132</v>
      </c>
      <c r="BA1512" s="7" t="s">
        <v>132</v>
      </c>
      <c r="BB1512" s="7" t="s">
        <v>132</v>
      </c>
      <c r="BC1512" s="7" t="s">
        <v>132</v>
      </c>
      <c r="BD1512" s="7" t="s">
        <v>132</v>
      </c>
      <c r="BE1512" s="7" t="s">
        <v>132</v>
      </c>
      <c r="BF1512" s="7" t="s">
        <v>132</v>
      </c>
      <c r="BG1512" s="7" t="s">
        <v>132</v>
      </c>
      <c r="BH1512" s="7" t="s">
        <v>132</v>
      </c>
      <c r="BI1512" s="7" t="s">
        <v>132</v>
      </c>
      <c r="BJ1512" s="7" t="s">
        <v>132</v>
      </c>
      <c r="BK1512" s="7"/>
    </row>
    <row r="1513" spans="1:63" s="603" customFormat="1">
      <c r="A1513" s="91" t="s">
        <v>132</v>
      </c>
      <c r="B1513" s="7" t="s">
        <v>132</v>
      </c>
      <c r="C1513" s="7" t="s">
        <v>132</v>
      </c>
      <c r="D1513" s="7" t="s">
        <v>132</v>
      </c>
      <c r="E1513" s="7" t="s">
        <v>132</v>
      </c>
      <c r="F1513" s="7" t="s">
        <v>132</v>
      </c>
      <c r="G1513" s="7" t="s">
        <v>132</v>
      </c>
      <c r="H1513" s="7" t="s">
        <v>132</v>
      </c>
      <c r="I1513" s="7" t="s">
        <v>132</v>
      </c>
      <c r="J1513" s="7" t="s">
        <v>132</v>
      </c>
      <c r="K1513" s="7" t="s">
        <v>132</v>
      </c>
      <c r="L1513" s="7" t="s">
        <v>132</v>
      </c>
      <c r="M1513" s="7" t="s">
        <v>132</v>
      </c>
      <c r="N1513" s="7" t="s">
        <v>132</v>
      </c>
      <c r="O1513" s="7" t="s">
        <v>132</v>
      </c>
      <c r="P1513" s="7" t="s">
        <v>132</v>
      </c>
      <c r="Q1513" s="7" t="s">
        <v>132</v>
      </c>
      <c r="R1513" s="7" t="s">
        <v>132</v>
      </c>
      <c r="S1513" s="7" t="s">
        <v>132</v>
      </c>
      <c r="T1513" s="7" t="s">
        <v>132</v>
      </c>
      <c r="U1513" s="7" t="s">
        <v>132</v>
      </c>
      <c r="V1513" s="7" t="s">
        <v>132</v>
      </c>
      <c r="W1513" s="7" t="s">
        <v>132</v>
      </c>
      <c r="X1513" s="7" t="s">
        <v>132</v>
      </c>
      <c r="Y1513" s="7" t="s">
        <v>132</v>
      </c>
      <c r="Z1513" s="7" t="s">
        <v>132</v>
      </c>
      <c r="AA1513" s="225" t="s">
        <v>132</v>
      </c>
      <c r="AB1513" s="225" t="s">
        <v>132</v>
      </c>
      <c r="AC1513" s="7" t="s">
        <v>132</v>
      </c>
      <c r="AD1513" s="7" t="s">
        <v>132</v>
      </c>
      <c r="AE1513" s="7" t="s">
        <v>132</v>
      </c>
      <c r="AF1513" s="7" t="s">
        <v>132</v>
      </c>
      <c r="AG1513" s="7" t="s">
        <v>132</v>
      </c>
      <c r="AH1513" s="7" t="s">
        <v>132</v>
      </c>
      <c r="AI1513" s="7" t="s">
        <v>132</v>
      </c>
      <c r="AJ1513" s="7" t="s">
        <v>132</v>
      </c>
      <c r="AK1513" s="7" t="s">
        <v>132</v>
      </c>
      <c r="AL1513" s="7" t="s">
        <v>132</v>
      </c>
      <c r="AM1513" s="7" t="s">
        <v>132</v>
      </c>
      <c r="AN1513" s="7" t="s">
        <v>132</v>
      </c>
      <c r="AO1513" s="7" t="s">
        <v>132</v>
      </c>
      <c r="AP1513" s="7" t="s">
        <v>132</v>
      </c>
      <c r="AQ1513" s="7" t="s">
        <v>132</v>
      </c>
      <c r="AR1513" s="7" t="s">
        <v>132</v>
      </c>
      <c r="AS1513" s="7" t="s">
        <v>132</v>
      </c>
      <c r="AT1513" s="7" t="s">
        <v>132</v>
      </c>
      <c r="AU1513" s="7" t="s">
        <v>132</v>
      </c>
      <c r="AV1513" s="7" t="s">
        <v>132</v>
      </c>
      <c r="AW1513" s="7" t="s">
        <v>132</v>
      </c>
      <c r="AX1513" s="7" t="s">
        <v>132</v>
      </c>
      <c r="AY1513" s="7" t="s">
        <v>132</v>
      </c>
      <c r="AZ1513" s="7" t="s">
        <v>132</v>
      </c>
      <c r="BA1513" s="7" t="s">
        <v>132</v>
      </c>
      <c r="BB1513" s="7" t="s">
        <v>132</v>
      </c>
      <c r="BC1513" s="7" t="s">
        <v>132</v>
      </c>
      <c r="BD1513" s="7" t="s">
        <v>132</v>
      </c>
      <c r="BE1513" s="7" t="s">
        <v>132</v>
      </c>
      <c r="BF1513" s="7" t="s">
        <v>132</v>
      </c>
      <c r="BG1513" s="7" t="s">
        <v>132</v>
      </c>
      <c r="BH1513" s="7" t="s">
        <v>132</v>
      </c>
      <c r="BI1513" s="7" t="s">
        <v>132</v>
      </c>
      <c r="BJ1513" s="7" t="s">
        <v>132</v>
      </c>
      <c r="BK1513" s="7"/>
    </row>
    <row r="1514" spans="1:63" s="603" customFormat="1" ht="36.75" customHeight="1">
      <c r="A1514" s="91" t="s">
        <v>132</v>
      </c>
      <c r="B1514" s="7" t="s">
        <v>132</v>
      </c>
      <c r="C1514" s="7" t="s">
        <v>132</v>
      </c>
      <c r="D1514" s="7" t="s">
        <v>132</v>
      </c>
      <c r="E1514" s="7" t="s">
        <v>132</v>
      </c>
      <c r="F1514" s="7" t="s">
        <v>132</v>
      </c>
      <c r="G1514" s="7" t="s">
        <v>132</v>
      </c>
      <c r="H1514" s="7" t="s">
        <v>132</v>
      </c>
      <c r="I1514" s="8" t="s">
        <v>3040</v>
      </c>
      <c r="J1514" s="7" t="s">
        <v>132</v>
      </c>
      <c r="K1514" s="7" t="s">
        <v>132</v>
      </c>
      <c r="L1514" s="7" t="s">
        <v>132</v>
      </c>
      <c r="M1514" s="7" t="s">
        <v>132</v>
      </c>
      <c r="N1514" s="7" t="s">
        <v>132</v>
      </c>
      <c r="O1514" s="7" t="s">
        <v>132</v>
      </c>
      <c r="P1514" s="102">
        <f>SUMIFS(Сумма_16,Филиал,"=ОАО*",ВД,"=5")</f>
        <v>0</v>
      </c>
      <c r="Q1514" s="102">
        <f>SUMIFS(Сумма_17,Филиал,"=ОАО*",ВД,"=5")</f>
        <v>0</v>
      </c>
      <c r="R1514" s="7" t="s">
        <v>132</v>
      </c>
      <c r="S1514" s="7" t="s">
        <v>132</v>
      </c>
      <c r="T1514" s="7" t="s">
        <v>132</v>
      </c>
      <c r="U1514" s="7" t="s">
        <v>132</v>
      </c>
      <c r="V1514" s="7" t="s">
        <v>132</v>
      </c>
      <c r="W1514" s="7" t="s">
        <v>132</v>
      </c>
      <c r="X1514" s="7" t="s">
        <v>132</v>
      </c>
      <c r="Y1514" s="102">
        <f>SUMIFS(Сумма_25,Филиал,"=ОАО*",ВД,"=5")</f>
        <v>0</v>
      </c>
      <c r="Z1514" s="102">
        <f>SUMIFS(Сумма_26,Филиал,"=ОАО*",ВД,"=5")</f>
        <v>0</v>
      </c>
      <c r="AA1514" s="225" t="s">
        <v>132</v>
      </c>
      <c r="AB1514" s="225" t="s">
        <v>132</v>
      </c>
      <c r="AC1514" s="102">
        <f>SUMIFS(Сумма_29,Филиал,"=ОАО*",ВД,"=5")</f>
        <v>0</v>
      </c>
      <c r="AD1514" s="102">
        <f>SUMIFS(Сумма,Филиал,"=ОАО*",ВД,"=5")</f>
        <v>0</v>
      </c>
      <c r="AE1514" s="7" t="s">
        <v>132</v>
      </c>
      <c r="AF1514" s="7" t="s">
        <v>132</v>
      </c>
      <c r="AG1514" s="7" t="s">
        <v>132</v>
      </c>
      <c r="AH1514" s="7" t="s">
        <v>132</v>
      </c>
      <c r="AI1514" s="7" t="s">
        <v>132</v>
      </c>
      <c r="AJ1514" s="7" t="s">
        <v>132</v>
      </c>
      <c r="AK1514" s="7" t="s">
        <v>132</v>
      </c>
      <c r="AL1514" s="7" t="s">
        <v>132</v>
      </c>
      <c r="AM1514" s="7" t="s">
        <v>132</v>
      </c>
      <c r="AN1514" s="7" t="s">
        <v>132</v>
      </c>
      <c r="AO1514" s="7" t="s">
        <v>132</v>
      </c>
      <c r="AP1514" s="7" t="s">
        <v>132</v>
      </c>
      <c r="AQ1514" s="7" t="s">
        <v>132</v>
      </c>
      <c r="AR1514" s="7" t="s">
        <v>132</v>
      </c>
      <c r="AS1514" s="7" t="s">
        <v>132</v>
      </c>
      <c r="AT1514" s="7" t="s">
        <v>132</v>
      </c>
      <c r="AU1514" s="7" t="s">
        <v>132</v>
      </c>
      <c r="AV1514" s="7" t="s">
        <v>132</v>
      </c>
      <c r="AW1514" s="7" t="s">
        <v>132</v>
      </c>
      <c r="AX1514" s="7" t="s">
        <v>132</v>
      </c>
      <c r="AY1514" s="7" t="s">
        <v>132</v>
      </c>
      <c r="AZ1514" s="7" t="s">
        <v>132</v>
      </c>
      <c r="BA1514" s="7" t="s">
        <v>132</v>
      </c>
      <c r="BB1514" s="7" t="s">
        <v>132</v>
      </c>
      <c r="BC1514" s="7" t="s">
        <v>132</v>
      </c>
      <c r="BD1514" s="7" t="s">
        <v>132</v>
      </c>
      <c r="BE1514" s="7" t="s">
        <v>132</v>
      </c>
      <c r="BF1514" s="7" t="s">
        <v>132</v>
      </c>
      <c r="BG1514" s="7" t="s">
        <v>132</v>
      </c>
      <c r="BH1514" s="7" t="s">
        <v>132</v>
      </c>
      <c r="BI1514" s="7" t="s">
        <v>132</v>
      </c>
      <c r="BJ1514" s="7" t="s">
        <v>132</v>
      </c>
      <c r="BK1514" s="7"/>
    </row>
    <row r="1515" spans="1:63" s="603" customFormat="1">
      <c r="A1515" s="91" t="s">
        <v>132</v>
      </c>
      <c r="B1515" s="7" t="s">
        <v>132</v>
      </c>
      <c r="C1515" s="7" t="s">
        <v>132</v>
      </c>
      <c r="D1515" s="7" t="s">
        <v>132</v>
      </c>
      <c r="E1515" s="7" t="s">
        <v>132</v>
      </c>
      <c r="F1515" s="7" t="s">
        <v>132</v>
      </c>
      <c r="G1515" s="7" t="s">
        <v>132</v>
      </c>
      <c r="H1515" s="7" t="s">
        <v>132</v>
      </c>
      <c r="I1515" s="8" t="s">
        <v>3041</v>
      </c>
      <c r="J1515" s="7" t="s">
        <v>132</v>
      </c>
      <c r="K1515" s="7" t="s">
        <v>132</v>
      </c>
      <c r="L1515" s="7" t="s">
        <v>132</v>
      </c>
      <c r="M1515" s="7" t="s">
        <v>132</v>
      </c>
      <c r="N1515" s="7" t="s">
        <v>132</v>
      </c>
      <c r="O1515" s="7" t="s">
        <v>132</v>
      </c>
      <c r="P1515" s="7" t="s">
        <v>132</v>
      </c>
      <c r="Q1515" s="7" t="s">
        <v>132</v>
      </c>
      <c r="R1515" s="7" t="s">
        <v>132</v>
      </c>
      <c r="S1515" s="7" t="s">
        <v>132</v>
      </c>
      <c r="T1515" s="7" t="s">
        <v>132</v>
      </c>
      <c r="U1515" s="7" t="s">
        <v>132</v>
      </c>
      <c r="V1515" s="7" t="s">
        <v>132</v>
      </c>
      <c r="W1515" s="7" t="s">
        <v>132</v>
      </c>
      <c r="X1515" s="7" t="s">
        <v>132</v>
      </c>
      <c r="Y1515" s="7" t="s">
        <v>132</v>
      </c>
      <c r="Z1515" s="7" t="s">
        <v>132</v>
      </c>
      <c r="AA1515" s="225" t="s">
        <v>132</v>
      </c>
      <c r="AB1515" s="225" t="s">
        <v>132</v>
      </c>
      <c r="AC1515" s="7" t="s">
        <v>132</v>
      </c>
      <c r="AD1515" s="7" t="s">
        <v>132</v>
      </c>
      <c r="AE1515" s="7" t="s">
        <v>132</v>
      </c>
      <c r="AF1515" s="7" t="s">
        <v>132</v>
      </c>
      <c r="AG1515" s="7" t="s">
        <v>132</v>
      </c>
      <c r="AH1515" s="7" t="s">
        <v>132</v>
      </c>
      <c r="AI1515" s="7" t="s">
        <v>132</v>
      </c>
      <c r="AJ1515" s="7" t="s">
        <v>132</v>
      </c>
      <c r="AK1515" s="7" t="s">
        <v>132</v>
      </c>
      <c r="AL1515" s="7" t="s">
        <v>132</v>
      </c>
      <c r="AM1515" s="7" t="s">
        <v>132</v>
      </c>
      <c r="AN1515" s="7" t="s">
        <v>132</v>
      </c>
      <c r="AO1515" s="7" t="s">
        <v>132</v>
      </c>
      <c r="AP1515" s="7" t="s">
        <v>132</v>
      </c>
      <c r="AQ1515" s="7" t="s">
        <v>132</v>
      </c>
      <c r="AR1515" s="7" t="s">
        <v>132</v>
      </c>
      <c r="AS1515" s="7" t="s">
        <v>132</v>
      </c>
      <c r="AT1515" s="7" t="s">
        <v>132</v>
      </c>
      <c r="AU1515" s="7" t="s">
        <v>132</v>
      </c>
      <c r="AV1515" s="7" t="s">
        <v>132</v>
      </c>
      <c r="AW1515" s="7" t="s">
        <v>132</v>
      </c>
      <c r="AX1515" s="7" t="s">
        <v>132</v>
      </c>
      <c r="AY1515" s="7" t="s">
        <v>132</v>
      </c>
      <c r="AZ1515" s="7" t="s">
        <v>132</v>
      </c>
      <c r="BA1515" s="7" t="s">
        <v>132</v>
      </c>
      <c r="BB1515" s="7" t="s">
        <v>132</v>
      </c>
      <c r="BC1515" s="7" t="s">
        <v>132</v>
      </c>
      <c r="BD1515" s="7" t="s">
        <v>132</v>
      </c>
      <c r="BE1515" s="7" t="s">
        <v>132</v>
      </c>
      <c r="BF1515" s="7" t="s">
        <v>132</v>
      </c>
      <c r="BG1515" s="7" t="s">
        <v>132</v>
      </c>
      <c r="BH1515" s="7" t="s">
        <v>132</v>
      </c>
      <c r="BI1515" s="7" t="s">
        <v>132</v>
      </c>
      <c r="BJ1515" s="7" t="s">
        <v>132</v>
      </c>
      <c r="BK1515" s="7"/>
    </row>
    <row r="1516" spans="1:63" s="603" customFormat="1">
      <c r="A1516" s="91" t="s">
        <v>132</v>
      </c>
      <c r="B1516" s="7" t="s">
        <v>132</v>
      </c>
      <c r="C1516" s="7" t="s">
        <v>132</v>
      </c>
      <c r="D1516" s="7" t="s">
        <v>132</v>
      </c>
      <c r="E1516" s="7" t="s">
        <v>132</v>
      </c>
      <c r="F1516" s="7" t="s">
        <v>132</v>
      </c>
      <c r="G1516" s="7" t="s">
        <v>132</v>
      </c>
      <c r="H1516" s="7" t="s">
        <v>132</v>
      </c>
      <c r="I1516" s="7" t="s">
        <v>132</v>
      </c>
      <c r="J1516" s="7" t="s">
        <v>132</v>
      </c>
      <c r="K1516" s="7" t="s">
        <v>132</v>
      </c>
      <c r="L1516" s="7" t="s">
        <v>132</v>
      </c>
      <c r="M1516" s="7" t="s">
        <v>132</v>
      </c>
      <c r="N1516" s="7" t="s">
        <v>132</v>
      </c>
      <c r="O1516" s="7" t="s">
        <v>132</v>
      </c>
      <c r="P1516" s="7" t="s">
        <v>132</v>
      </c>
      <c r="Q1516" s="7" t="s">
        <v>132</v>
      </c>
      <c r="R1516" s="7" t="s">
        <v>132</v>
      </c>
      <c r="S1516" s="7" t="s">
        <v>132</v>
      </c>
      <c r="T1516" s="7" t="s">
        <v>132</v>
      </c>
      <c r="U1516" s="7" t="s">
        <v>132</v>
      </c>
      <c r="V1516" s="7" t="s">
        <v>132</v>
      </c>
      <c r="W1516" s="7" t="s">
        <v>132</v>
      </c>
      <c r="X1516" s="7" t="s">
        <v>132</v>
      </c>
      <c r="Y1516" s="7" t="s">
        <v>132</v>
      </c>
      <c r="Z1516" s="7" t="s">
        <v>132</v>
      </c>
      <c r="AA1516" s="225" t="s">
        <v>132</v>
      </c>
      <c r="AB1516" s="225" t="s">
        <v>132</v>
      </c>
      <c r="AC1516" s="7" t="s">
        <v>132</v>
      </c>
      <c r="AD1516" s="7" t="s">
        <v>132</v>
      </c>
      <c r="AE1516" s="7" t="s">
        <v>132</v>
      </c>
      <c r="AF1516" s="7" t="s">
        <v>132</v>
      </c>
      <c r="AG1516" s="7" t="s">
        <v>132</v>
      </c>
      <c r="AH1516" s="7" t="s">
        <v>132</v>
      </c>
      <c r="AI1516" s="7" t="s">
        <v>132</v>
      </c>
      <c r="AJ1516" s="7" t="s">
        <v>132</v>
      </c>
      <c r="AK1516" s="7" t="s">
        <v>132</v>
      </c>
      <c r="AL1516" s="7" t="s">
        <v>132</v>
      </c>
      <c r="AM1516" s="7" t="s">
        <v>132</v>
      </c>
      <c r="AN1516" s="7" t="s">
        <v>132</v>
      </c>
      <c r="AO1516" s="7" t="s">
        <v>132</v>
      </c>
      <c r="AP1516" s="7" t="s">
        <v>132</v>
      </c>
      <c r="AQ1516" s="7" t="s">
        <v>132</v>
      </c>
      <c r="AR1516" s="7" t="s">
        <v>132</v>
      </c>
      <c r="AS1516" s="7" t="s">
        <v>132</v>
      </c>
      <c r="AT1516" s="7" t="s">
        <v>132</v>
      </c>
      <c r="AU1516" s="7" t="s">
        <v>132</v>
      </c>
      <c r="AV1516" s="7" t="s">
        <v>132</v>
      </c>
      <c r="AW1516" s="7" t="s">
        <v>132</v>
      </c>
      <c r="AX1516" s="7" t="s">
        <v>132</v>
      </c>
      <c r="AY1516" s="7" t="s">
        <v>132</v>
      </c>
      <c r="AZ1516" s="7" t="s">
        <v>132</v>
      </c>
      <c r="BA1516" s="7" t="s">
        <v>132</v>
      </c>
      <c r="BB1516" s="7" t="s">
        <v>132</v>
      </c>
      <c r="BC1516" s="7" t="s">
        <v>132</v>
      </c>
      <c r="BD1516" s="7" t="s">
        <v>132</v>
      </c>
      <c r="BE1516" s="7" t="s">
        <v>132</v>
      </c>
      <c r="BF1516" s="7" t="s">
        <v>132</v>
      </c>
      <c r="BG1516" s="7" t="s">
        <v>132</v>
      </c>
      <c r="BH1516" s="7" t="s">
        <v>132</v>
      </c>
      <c r="BI1516" s="7" t="s">
        <v>132</v>
      </c>
      <c r="BJ1516" s="7" t="s">
        <v>132</v>
      </c>
      <c r="BK1516" s="7"/>
    </row>
    <row r="1517" spans="1:63" s="287" customFormat="1" ht="93" customHeight="1">
      <c r="A1517" s="38">
        <v>6</v>
      </c>
      <c r="B1517" s="38" t="s">
        <v>930</v>
      </c>
      <c r="C1517" s="38" t="s">
        <v>83</v>
      </c>
      <c r="D1517" s="38" t="s">
        <v>931</v>
      </c>
      <c r="E1517" s="409" t="s">
        <v>176</v>
      </c>
      <c r="F1517" s="38">
        <v>74.14</v>
      </c>
      <c r="G1517" s="38">
        <v>7414</v>
      </c>
      <c r="H1517" s="11">
        <v>626060</v>
      </c>
      <c r="I1517" s="16" t="s">
        <v>932</v>
      </c>
      <c r="J1517" s="16" t="s">
        <v>352</v>
      </c>
      <c r="K1517" s="16" t="s">
        <v>352</v>
      </c>
      <c r="L1517" s="16" t="s">
        <v>180</v>
      </c>
      <c r="M1517" s="134" t="s">
        <v>5893</v>
      </c>
      <c r="N1517" s="16" t="s">
        <v>5894</v>
      </c>
      <c r="O1517" s="16" t="s">
        <v>167</v>
      </c>
      <c r="P1517" s="23">
        <v>7000</v>
      </c>
      <c r="Q1517" s="23">
        <f t="shared" ref="Q1517:Q1527" si="201">P1517*1.18</f>
        <v>8260</v>
      </c>
      <c r="R1517" s="23"/>
      <c r="S1517" s="29" t="s">
        <v>934</v>
      </c>
      <c r="T1517" s="38"/>
      <c r="U1517" s="38"/>
      <c r="V1517" s="38"/>
      <c r="W1517" s="38"/>
      <c r="X1517" s="38"/>
      <c r="Y1517" s="34">
        <v>7000</v>
      </c>
      <c r="Z1517" s="34">
        <f>Y1517*1.18</f>
        <v>8260</v>
      </c>
      <c r="AA1517" s="36" t="s">
        <v>132</v>
      </c>
      <c r="AB1517" s="36" t="s">
        <v>132</v>
      </c>
      <c r="AC1517" s="34">
        <v>7000</v>
      </c>
      <c r="AD1517" s="34">
        <f>AC1517*1.18</f>
        <v>8260</v>
      </c>
      <c r="AE1517" s="38" t="s">
        <v>173</v>
      </c>
      <c r="AF1517" s="38" t="s">
        <v>83</v>
      </c>
      <c r="AG1517" s="38" t="s">
        <v>83</v>
      </c>
      <c r="AH1517" s="38" t="s">
        <v>545</v>
      </c>
      <c r="AI1517" s="405">
        <v>41631</v>
      </c>
      <c r="AJ1517" s="51">
        <v>41676</v>
      </c>
      <c r="AK1517" s="60"/>
      <c r="AL1517" s="60"/>
      <c r="AM1517" s="60" t="s">
        <v>932</v>
      </c>
      <c r="AN1517" s="60" t="s">
        <v>171</v>
      </c>
      <c r="AO1517" s="11">
        <v>796</v>
      </c>
      <c r="AP1517" s="38" t="s">
        <v>419</v>
      </c>
      <c r="AQ1517" s="38">
        <v>1</v>
      </c>
      <c r="AR1517" s="38">
        <v>45.46</v>
      </c>
      <c r="AS1517" s="16" t="s">
        <v>92</v>
      </c>
      <c r="AT1517" s="51">
        <v>41676</v>
      </c>
      <c r="AU1517" s="51">
        <v>41676</v>
      </c>
      <c r="AV1517" s="53">
        <v>42064</v>
      </c>
      <c r="AW1517" s="38" t="s">
        <v>99</v>
      </c>
      <c r="AX1517" s="60"/>
      <c r="AY1517" s="135"/>
      <c r="AZ1517" s="60"/>
      <c r="BA1517" s="38"/>
      <c r="BB1517" s="38"/>
      <c r="BC1517" s="60"/>
      <c r="BD1517" s="60"/>
      <c r="BE1517" s="304"/>
      <c r="BF1517" s="304"/>
      <c r="BG1517" s="304"/>
      <c r="BH1517" s="304"/>
      <c r="BI1517" s="304"/>
      <c r="BJ1517" s="304"/>
      <c r="BK1517" s="304"/>
    </row>
    <row r="1518" spans="1:63" s="287" customFormat="1" ht="93.75" customHeight="1">
      <c r="A1518" s="38">
        <v>6</v>
      </c>
      <c r="B1518" s="38" t="s">
        <v>935</v>
      </c>
      <c r="C1518" s="38" t="s">
        <v>83</v>
      </c>
      <c r="D1518" s="38" t="s">
        <v>931</v>
      </c>
      <c r="E1518" s="409" t="s">
        <v>176</v>
      </c>
      <c r="F1518" s="38">
        <v>74.14</v>
      </c>
      <c r="G1518" s="38">
        <v>7414</v>
      </c>
      <c r="H1518" s="11">
        <v>626062</v>
      </c>
      <c r="I1518" s="16" t="s">
        <v>936</v>
      </c>
      <c r="J1518" s="16" t="s">
        <v>352</v>
      </c>
      <c r="K1518" s="16" t="s">
        <v>352</v>
      </c>
      <c r="L1518" s="16" t="s">
        <v>180</v>
      </c>
      <c r="M1518" s="134" t="s">
        <v>5893</v>
      </c>
      <c r="N1518" s="16" t="s">
        <v>5894</v>
      </c>
      <c r="O1518" s="16" t="s">
        <v>167</v>
      </c>
      <c r="P1518" s="23">
        <v>7000</v>
      </c>
      <c r="Q1518" s="23">
        <f t="shared" si="201"/>
        <v>8260</v>
      </c>
      <c r="R1518" s="23"/>
      <c r="S1518" s="29" t="s">
        <v>934</v>
      </c>
      <c r="T1518" s="38"/>
      <c r="U1518" s="38"/>
      <c r="V1518" s="38"/>
      <c r="W1518" s="38"/>
      <c r="X1518" s="38"/>
      <c r="Y1518" s="34">
        <v>7000</v>
      </c>
      <c r="Z1518" s="34">
        <f>Y1518*1.18</f>
        <v>8260</v>
      </c>
      <c r="AA1518" s="36" t="s">
        <v>132</v>
      </c>
      <c r="AB1518" s="36" t="s">
        <v>132</v>
      </c>
      <c r="AC1518" s="34">
        <v>7000</v>
      </c>
      <c r="AD1518" s="34">
        <f>AC1518*1.18</f>
        <v>8260</v>
      </c>
      <c r="AE1518" s="38" t="s">
        <v>173</v>
      </c>
      <c r="AF1518" s="38" t="s">
        <v>83</v>
      </c>
      <c r="AG1518" s="38" t="s">
        <v>83</v>
      </c>
      <c r="AH1518" s="38" t="s">
        <v>545</v>
      </c>
      <c r="AI1518" s="405">
        <v>41631</v>
      </c>
      <c r="AJ1518" s="51">
        <v>41676</v>
      </c>
      <c r="AK1518" s="60"/>
      <c r="AL1518" s="60"/>
      <c r="AM1518" s="60" t="s">
        <v>936</v>
      </c>
      <c r="AN1518" s="60" t="s">
        <v>171</v>
      </c>
      <c r="AO1518" s="11">
        <v>796</v>
      </c>
      <c r="AP1518" s="38" t="s">
        <v>419</v>
      </c>
      <c r="AQ1518" s="38">
        <v>1</v>
      </c>
      <c r="AR1518" s="38">
        <v>45.46</v>
      </c>
      <c r="AS1518" s="16" t="s">
        <v>92</v>
      </c>
      <c r="AT1518" s="51">
        <v>41676</v>
      </c>
      <c r="AU1518" s="51">
        <v>41676</v>
      </c>
      <c r="AV1518" s="53">
        <v>42064</v>
      </c>
      <c r="AW1518" s="38" t="s">
        <v>99</v>
      </c>
      <c r="AX1518" s="60"/>
      <c r="AY1518" s="135"/>
      <c r="AZ1518" s="60"/>
      <c r="BA1518" s="38"/>
      <c r="BB1518" s="38"/>
      <c r="BC1518" s="60"/>
      <c r="BD1518" s="60"/>
      <c r="BE1518" s="304"/>
      <c r="BF1518" s="304"/>
      <c r="BG1518" s="304"/>
      <c r="BH1518" s="304"/>
      <c r="BI1518" s="304"/>
      <c r="BJ1518" s="304"/>
      <c r="BK1518" s="304"/>
    </row>
    <row r="1519" spans="1:63" s="287" customFormat="1" ht="95.25" customHeight="1">
      <c r="A1519" s="38">
        <v>6</v>
      </c>
      <c r="B1519" s="38" t="s">
        <v>937</v>
      </c>
      <c r="C1519" s="38" t="s">
        <v>83</v>
      </c>
      <c r="D1519" s="38" t="s">
        <v>931</v>
      </c>
      <c r="E1519" s="409" t="s">
        <v>176</v>
      </c>
      <c r="F1519" s="38">
        <v>74.14</v>
      </c>
      <c r="G1519" s="38">
        <v>7414</v>
      </c>
      <c r="H1519" s="11">
        <v>626057</v>
      </c>
      <c r="I1519" s="16" t="s">
        <v>938</v>
      </c>
      <c r="J1519" s="16" t="s">
        <v>352</v>
      </c>
      <c r="K1519" s="16" t="s">
        <v>352</v>
      </c>
      <c r="L1519" s="16" t="s">
        <v>180</v>
      </c>
      <c r="M1519" s="134" t="s">
        <v>5893</v>
      </c>
      <c r="N1519" s="16" t="s">
        <v>5894</v>
      </c>
      <c r="O1519" s="16" t="s">
        <v>167</v>
      </c>
      <c r="P1519" s="23">
        <v>15000</v>
      </c>
      <c r="Q1519" s="23">
        <f t="shared" si="201"/>
        <v>17700</v>
      </c>
      <c r="R1519" s="23">
        <v>13559</v>
      </c>
      <c r="S1519" s="30" t="s">
        <v>168</v>
      </c>
      <c r="T1519" s="31">
        <v>1.0840000000000001</v>
      </c>
      <c r="U1519" s="31">
        <v>1.0509999999999999</v>
      </c>
      <c r="V1519" s="31">
        <v>1.0669999999999999</v>
      </c>
      <c r="W1519" s="31">
        <v>1.0529999999999999</v>
      </c>
      <c r="X1519" s="312">
        <f>T1519*U1519*V1519*W1519*0.9</f>
        <v>1.1520393097355999</v>
      </c>
      <c r="Y1519" s="34">
        <f>R1519*X1519</f>
        <v>15620.501000704999</v>
      </c>
      <c r="Z1519" s="34">
        <f>Y1519*1.18</f>
        <v>18432.191180831898</v>
      </c>
      <c r="AA1519" s="36" t="s">
        <v>132</v>
      </c>
      <c r="AB1519" s="36" t="s">
        <v>132</v>
      </c>
      <c r="AC1519" s="23">
        <v>15000</v>
      </c>
      <c r="AD1519" s="23">
        <f>AC1519*1.18</f>
        <v>17700</v>
      </c>
      <c r="AE1519" s="38" t="s">
        <v>169</v>
      </c>
      <c r="AF1519" s="38" t="s">
        <v>83</v>
      </c>
      <c r="AG1519" s="38" t="s">
        <v>83</v>
      </c>
      <c r="AH1519" s="38" t="s">
        <v>545</v>
      </c>
      <c r="AI1519" s="51">
        <v>41625</v>
      </c>
      <c r="AJ1519" s="51">
        <v>41685</v>
      </c>
      <c r="AK1519" s="60"/>
      <c r="AL1519" s="60"/>
      <c r="AM1519" s="60" t="s">
        <v>938</v>
      </c>
      <c r="AN1519" s="60" t="s">
        <v>171</v>
      </c>
      <c r="AO1519" s="11">
        <v>796</v>
      </c>
      <c r="AP1519" s="38" t="s">
        <v>419</v>
      </c>
      <c r="AQ1519" s="38">
        <v>1</v>
      </c>
      <c r="AR1519" s="38">
        <v>45.46</v>
      </c>
      <c r="AS1519" s="16" t="s">
        <v>92</v>
      </c>
      <c r="AT1519" s="52">
        <v>41705</v>
      </c>
      <c r="AU1519" s="52">
        <v>41705</v>
      </c>
      <c r="AV1519" s="51">
        <v>41739</v>
      </c>
      <c r="AW1519" s="38">
        <v>2014</v>
      </c>
      <c r="AX1519" s="60"/>
      <c r="AY1519" s="135"/>
      <c r="AZ1519" s="60"/>
      <c r="BA1519" s="38"/>
      <c r="BB1519" s="38"/>
      <c r="BC1519" s="60"/>
      <c r="BD1519" s="60"/>
      <c r="BE1519" s="304"/>
      <c r="BF1519" s="304"/>
      <c r="BG1519" s="304"/>
      <c r="BH1519" s="304"/>
      <c r="BI1519" s="304"/>
      <c r="BJ1519" s="304"/>
      <c r="BK1519" s="304"/>
    </row>
    <row r="1520" spans="1:63" s="266" customFormat="1" ht="225">
      <c r="A1520" s="38">
        <v>6</v>
      </c>
      <c r="B1520" s="38" t="s">
        <v>748</v>
      </c>
      <c r="C1520" s="60" t="s">
        <v>83</v>
      </c>
      <c r="D1520" s="60" t="s">
        <v>749</v>
      </c>
      <c r="E1520" s="60" t="s">
        <v>750</v>
      </c>
      <c r="F1520" s="38" t="s">
        <v>349</v>
      </c>
      <c r="G1520" s="38">
        <v>7413023</v>
      </c>
      <c r="H1520" s="63">
        <v>626017</v>
      </c>
      <c r="I1520" s="16" t="s">
        <v>751</v>
      </c>
      <c r="J1520" s="16" t="s">
        <v>752</v>
      </c>
      <c r="K1520" s="16" t="s">
        <v>752</v>
      </c>
      <c r="L1520" s="16" t="s">
        <v>180</v>
      </c>
      <c r="M1520" s="134" t="s">
        <v>5906</v>
      </c>
      <c r="N1520" s="16" t="s">
        <v>5907</v>
      </c>
      <c r="O1520" s="16" t="s">
        <v>753</v>
      </c>
      <c r="P1520" s="330">
        <f>3486</f>
        <v>3486</v>
      </c>
      <c r="Q1520" s="330">
        <f t="shared" si="201"/>
        <v>4113.4799999999996</v>
      </c>
      <c r="R1520" s="23"/>
      <c r="S1520" s="29"/>
      <c r="T1520" s="25"/>
      <c r="U1520" s="25"/>
      <c r="V1520" s="25"/>
      <c r="W1520" s="25"/>
      <c r="X1520" s="25"/>
      <c r="Y1520" s="23">
        <f>P1520</f>
        <v>3486</v>
      </c>
      <c r="Z1520" s="23">
        <f>Q1520</f>
        <v>4113.4799999999996</v>
      </c>
      <c r="AA1520" s="36" t="s">
        <v>132</v>
      </c>
      <c r="AB1520" s="36" t="s">
        <v>132</v>
      </c>
      <c r="AC1520" s="23">
        <v>3486</v>
      </c>
      <c r="AD1520" s="23">
        <f>Q1520</f>
        <v>4113.4799999999996</v>
      </c>
      <c r="AE1520" s="38" t="s">
        <v>97</v>
      </c>
      <c r="AF1520" s="38" t="s">
        <v>83</v>
      </c>
      <c r="AG1520" s="38" t="s">
        <v>83</v>
      </c>
      <c r="AH1520" s="38" t="s">
        <v>90</v>
      </c>
      <c r="AI1520" s="52">
        <v>41654</v>
      </c>
      <c r="AJ1520" s="52">
        <v>41690</v>
      </c>
      <c r="AK1520" s="60"/>
      <c r="AL1520" s="60"/>
      <c r="AM1520" s="60" t="s">
        <v>751</v>
      </c>
      <c r="AN1520" s="60" t="s">
        <v>754</v>
      </c>
      <c r="AO1520" s="63">
        <v>642</v>
      </c>
      <c r="AP1520" s="38" t="s">
        <v>762</v>
      </c>
      <c r="AQ1520" s="25">
        <v>1</v>
      </c>
      <c r="AR1520" s="25">
        <v>45</v>
      </c>
      <c r="AS1520" s="16" t="s">
        <v>763</v>
      </c>
      <c r="AT1520" s="52">
        <v>41710</v>
      </c>
      <c r="AU1520" s="52">
        <v>41710</v>
      </c>
      <c r="AV1520" s="52">
        <v>42124</v>
      </c>
      <c r="AW1520" s="38" t="s">
        <v>99</v>
      </c>
      <c r="AX1520" s="60" t="s">
        <v>953</v>
      </c>
      <c r="AY1520" s="135"/>
      <c r="AZ1520" s="60"/>
      <c r="BA1520" s="38" t="s">
        <v>96</v>
      </c>
      <c r="BB1520" s="38" t="s">
        <v>96</v>
      </c>
      <c r="BC1520" s="60" t="s">
        <v>96</v>
      </c>
      <c r="BD1520" s="60" t="s">
        <v>96</v>
      </c>
      <c r="BE1520" s="331" t="s">
        <v>96</v>
      </c>
      <c r="BF1520" s="331" t="s">
        <v>96</v>
      </c>
      <c r="BG1520" s="331" t="s">
        <v>96</v>
      </c>
      <c r="BH1520" s="331" t="s">
        <v>96</v>
      </c>
      <c r="BI1520" s="331" t="s">
        <v>96</v>
      </c>
      <c r="BJ1520" s="331" t="s">
        <v>96</v>
      </c>
      <c r="BK1520" s="331"/>
    </row>
    <row r="1521" spans="1:63" s="268" customFormat="1" ht="82.5" customHeight="1">
      <c r="A1521" s="38">
        <v>6</v>
      </c>
      <c r="B1521" s="72" t="s">
        <v>391</v>
      </c>
      <c r="C1521" s="72" t="s">
        <v>83</v>
      </c>
      <c r="D1521" s="72" t="s">
        <v>385</v>
      </c>
      <c r="E1521" s="72" t="s">
        <v>163</v>
      </c>
      <c r="F1521" s="410" t="s">
        <v>172</v>
      </c>
      <c r="G1521" s="72">
        <v>7423</v>
      </c>
      <c r="H1521" s="63">
        <v>626009</v>
      </c>
      <c r="I1521" s="16" t="s">
        <v>386</v>
      </c>
      <c r="J1521" s="16" t="s">
        <v>393</v>
      </c>
      <c r="K1521" s="16" t="s">
        <v>352</v>
      </c>
      <c r="L1521" s="16" t="s">
        <v>552</v>
      </c>
      <c r="M1521" s="134" t="s">
        <v>5904</v>
      </c>
      <c r="N1521" s="16" t="s">
        <v>5878</v>
      </c>
      <c r="O1521" s="16" t="s">
        <v>167</v>
      </c>
      <c r="P1521" s="23">
        <v>2600</v>
      </c>
      <c r="Q1521" s="23">
        <f t="shared" si="201"/>
        <v>3068</v>
      </c>
      <c r="R1521" s="411"/>
      <c r="S1521" s="412"/>
      <c r="T1521" s="251"/>
      <c r="U1521" s="251"/>
      <c r="V1521" s="251"/>
      <c r="W1521" s="251"/>
      <c r="X1521" s="251"/>
      <c r="Y1521" s="23">
        <v>2600</v>
      </c>
      <c r="Z1521" s="23">
        <f t="shared" ref="Z1521:Z1527" si="202">Y1521*1.18</f>
        <v>3068</v>
      </c>
      <c r="AA1521" s="36" t="s">
        <v>132</v>
      </c>
      <c r="AB1521" s="36" t="s">
        <v>132</v>
      </c>
      <c r="AC1521" s="23">
        <v>2600</v>
      </c>
      <c r="AD1521" s="23">
        <f t="shared" ref="AD1521:AD1527" si="203">AC1521*1.18</f>
        <v>3068</v>
      </c>
      <c r="AE1521" s="38" t="s">
        <v>173</v>
      </c>
      <c r="AF1521" s="38" t="s">
        <v>83</v>
      </c>
      <c r="AG1521" s="38" t="s">
        <v>83</v>
      </c>
      <c r="AH1521" s="38" t="s">
        <v>90</v>
      </c>
      <c r="AI1521" s="52">
        <v>41791</v>
      </c>
      <c r="AJ1521" s="52">
        <v>41830</v>
      </c>
      <c r="AK1521" s="413"/>
      <c r="AL1521" s="413"/>
      <c r="AM1521" s="60" t="s">
        <v>388</v>
      </c>
      <c r="AN1521" s="60" t="s">
        <v>171</v>
      </c>
      <c r="AO1521" s="63">
        <v>796</v>
      </c>
      <c r="AP1521" s="38" t="s">
        <v>256</v>
      </c>
      <c r="AQ1521" s="25">
        <v>1</v>
      </c>
      <c r="AR1521" s="38" t="s">
        <v>93</v>
      </c>
      <c r="AS1521" s="16" t="s">
        <v>92</v>
      </c>
      <c r="AT1521" s="52">
        <v>41850</v>
      </c>
      <c r="AU1521" s="52">
        <v>41850</v>
      </c>
      <c r="AV1521" s="52">
        <v>42735</v>
      </c>
      <c r="AW1521" s="328" t="s">
        <v>1789</v>
      </c>
      <c r="AX1521" s="413" t="s">
        <v>387</v>
      </c>
      <c r="AY1521" s="135"/>
      <c r="AZ1521" s="60"/>
      <c r="BA1521" s="251" t="s">
        <v>387</v>
      </c>
      <c r="BB1521" s="251" t="s">
        <v>387</v>
      </c>
      <c r="BC1521" s="413" t="s">
        <v>387</v>
      </c>
      <c r="BD1521" s="413" t="s">
        <v>387</v>
      </c>
      <c r="BE1521" s="414" t="s">
        <v>387</v>
      </c>
      <c r="BF1521" s="414" t="s">
        <v>387</v>
      </c>
      <c r="BG1521" s="414" t="s">
        <v>387</v>
      </c>
      <c r="BH1521" s="414" t="s">
        <v>387</v>
      </c>
      <c r="BI1521" s="414" t="s">
        <v>387</v>
      </c>
      <c r="BJ1521" s="414" t="s">
        <v>387</v>
      </c>
      <c r="BK1521" s="378"/>
    </row>
    <row r="1522" spans="1:63" s="268" customFormat="1" ht="131.25">
      <c r="A1522" s="38">
        <v>6</v>
      </c>
      <c r="B1522" s="72" t="s">
        <v>392</v>
      </c>
      <c r="C1522" s="72" t="s">
        <v>83</v>
      </c>
      <c r="D1522" s="72" t="s">
        <v>385</v>
      </c>
      <c r="E1522" s="72" t="s">
        <v>163</v>
      </c>
      <c r="F1522" s="410" t="s">
        <v>172</v>
      </c>
      <c r="G1522" s="72">
        <v>7423</v>
      </c>
      <c r="H1522" s="63">
        <v>626010</v>
      </c>
      <c r="I1522" s="16" t="s">
        <v>389</v>
      </c>
      <c r="J1522" s="16" t="s">
        <v>393</v>
      </c>
      <c r="K1522" s="16" t="s">
        <v>352</v>
      </c>
      <c r="L1522" s="16" t="s">
        <v>552</v>
      </c>
      <c r="M1522" s="134" t="s">
        <v>5905</v>
      </c>
      <c r="N1522" s="16" t="s">
        <v>5878</v>
      </c>
      <c r="O1522" s="16" t="s">
        <v>167</v>
      </c>
      <c r="P1522" s="23">
        <v>3200</v>
      </c>
      <c r="Q1522" s="23">
        <f t="shared" si="201"/>
        <v>3776</v>
      </c>
      <c r="R1522" s="411"/>
      <c r="S1522" s="412"/>
      <c r="T1522" s="251"/>
      <c r="U1522" s="251"/>
      <c r="V1522" s="251"/>
      <c r="W1522" s="251"/>
      <c r="X1522" s="251"/>
      <c r="Y1522" s="23">
        <v>3200</v>
      </c>
      <c r="Z1522" s="23">
        <f t="shared" si="202"/>
        <v>3776</v>
      </c>
      <c r="AA1522" s="36" t="s">
        <v>132</v>
      </c>
      <c r="AB1522" s="36" t="s">
        <v>132</v>
      </c>
      <c r="AC1522" s="23">
        <v>3200</v>
      </c>
      <c r="AD1522" s="23">
        <f t="shared" si="203"/>
        <v>3776</v>
      </c>
      <c r="AE1522" s="38" t="s">
        <v>173</v>
      </c>
      <c r="AF1522" s="38" t="s">
        <v>83</v>
      </c>
      <c r="AG1522" s="38" t="s">
        <v>83</v>
      </c>
      <c r="AH1522" s="38" t="s">
        <v>90</v>
      </c>
      <c r="AI1522" s="52">
        <v>41791</v>
      </c>
      <c r="AJ1522" s="52">
        <v>41830</v>
      </c>
      <c r="AK1522" s="413"/>
      <c r="AL1522" s="413"/>
      <c r="AM1522" s="60" t="s">
        <v>390</v>
      </c>
      <c r="AN1522" s="60" t="s">
        <v>171</v>
      </c>
      <c r="AO1522" s="63">
        <v>796</v>
      </c>
      <c r="AP1522" s="38" t="s">
        <v>256</v>
      </c>
      <c r="AQ1522" s="25">
        <v>1</v>
      </c>
      <c r="AR1522" s="38" t="s">
        <v>93</v>
      </c>
      <c r="AS1522" s="16" t="s">
        <v>92</v>
      </c>
      <c r="AT1522" s="52">
        <v>41850</v>
      </c>
      <c r="AU1522" s="52">
        <v>41850</v>
      </c>
      <c r="AV1522" s="52">
        <v>42735</v>
      </c>
      <c r="AW1522" s="328" t="s">
        <v>1789</v>
      </c>
      <c r="AX1522" s="413" t="s">
        <v>387</v>
      </c>
      <c r="AY1522" s="135"/>
      <c r="AZ1522" s="60"/>
      <c r="BA1522" s="251" t="s">
        <v>387</v>
      </c>
      <c r="BB1522" s="251" t="s">
        <v>387</v>
      </c>
      <c r="BC1522" s="413" t="s">
        <v>387</v>
      </c>
      <c r="BD1522" s="413" t="s">
        <v>387</v>
      </c>
      <c r="BE1522" s="414" t="s">
        <v>387</v>
      </c>
      <c r="BF1522" s="414" t="s">
        <v>387</v>
      </c>
      <c r="BG1522" s="414" t="s">
        <v>387</v>
      </c>
      <c r="BH1522" s="414" t="s">
        <v>387</v>
      </c>
      <c r="BI1522" s="414" t="s">
        <v>387</v>
      </c>
      <c r="BJ1522" s="414" t="s">
        <v>387</v>
      </c>
      <c r="BK1522" s="378"/>
    </row>
    <row r="1523" spans="1:63" s="268" customFormat="1" ht="75" customHeight="1">
      <c r="A1523" s="38">
        <v>6</v>
      </c>
      <c r="B1523" s="72" t="s">
        <v>350</v>
      </c>
      <c r="C1523" s="72" t="s">
        <v>83</v>
      </c>
      <c r="D1523" s="72" t="s">
        <v>928</v>
      </c>
      <c r="E1523" s="72" t="s">
        <v>348</v>
      </c>
      <c r="F1523" s="72" t="s">
        <v>349</v>
      </c>
      <c r="G1523" s="72">
        <v>7412</v>
      </c>
      <c r="H1523" s="11">
        <v>625939</v>
      </c>
      <c r="I1523" s="16" t="s">
        <v>351</v>
      </c>
      <c r="J1523" s="16" t="s">
        <v>352</v>
      </c>
      <c r="K1523" s="16" t="s">
        <v>352</v>
      </c>
      <c r="L1523" s="16" t="s">
        <v>180</v>
      </c>
      <c r="M1523" s="134">
        <v>20107071001</v>
      </c>
      <c r="N1523" s="16" t="s">
        <v>5963</v>
      </c>
      <c r="O1523" s="16" t="s">
        <v>353</v>
      </c>
      <c r="P1523" s="23">
        <v>6000</v>
      </c>
      <c r="Q1523" s="23">
        <f t="shared" si="201"/>
        <v>7080</v>
      </c>
      <c r="R1523" s="23"/>
      <c r="S1523" s="29"/>
      <c r="T1523" s="38"/>
      <c r="U1523" s="38"/>
      <c r="V1523" s="38"/>
      <c r="W1523" s="38"/>
      <c r="X1523" s="38"/>
      <c r="Y1523" s="34">
        <v>6000</v>
      </c>
      <c r="Z1523" s="34">
        <f t="shared" si="202"/>
        <v>7080</v>
      </c>
      <c r="AA1523" s="36" t="s">
        <v>132</v>
      </c>
      <c r="AB1523" s="36" t="s">
        <v>132</v>
      </c>
      <c r="AC1523" s="34">
        <v>6000</v>
      </c>
      <c r="AD1523" s="34">
        <f t="shared" si="203"/>
        <v>7080</v>
      </c>
      <c r="AE1523" s="38" t="s">
        <v>173</v>
      </c>
      <c r="AF1523" s="38" t="s">
        <v>83</v>
      </c>
      <c r="AG1523" s="38" t="s">
        <v>83</v>
      </c>
      <c r="AH1523" s="38" t="s">
        <v>90</v>
      </c>
      <c r="AI1523" s="52">
        <v>41654</v>
      </c>
      <c r="AJ1523" s="51">
        <v>41708</v>
      </c>
      <c r="AK1523" s="60"/>
      <c r="AL1523" s="60"/>
      <c r="AM1523" s="60" t="s">
        <v>354</v>
      </c>
      <c r="AN1523" s="60" t="s">
        <v>355</v>
      </c>
      <c r="AO1523" s="11">
        <v>796</v>
      </c>
      <c r="AP1523" s="38" t="s">
        <v>94</v>
      </c>
      <c r="AQ1523" s="38">
        <v>1</v>
      </c>
      <c r="AR1523" s="38">
        <v>45</v>
      </c>
      <c r="AS1523" s="16" t="s">
        <v>356</v>
      </c>
      <c r="AT1523" s="52">
        <v>41728</v>
      </c>
      <c r="AU1523" s="52">
        <v>41728</v>
      </c>
      <c r="AV1523" s="51">
        <v>42095</v>
      </c>
      <c r="AW1523" s="38" t="s">
        <v>99</v>
      </c>
      <c r="AX1523" s="60"/>
      <c r="AY1523" s="135"/>
      <c r="AZ1523" s="60"/>
      <c r="BA1523" s="38"/>
      <c r="BB1523" s="38"/>
      <c r="BC1523" s="60"/>
      <c r="BD1523" s="60"/>
      <c r="BE1523" s="378"/>
      <c r="BF1523" s="378"/>
      <c r="BG1523" s="378"/>
      <c r="BH1523" s="378"/>
      <c r="BI1523" s="378"/>
      <c r="BJ1523" s="378" t="s">
        <v>186</v>
      </c>
      <c r="BK1523" s="238"/>
    </row>
    <row r="1524" spans="1:63" s="268" customFormat="1" ht="75" customHeight="1">
      <c r="A1524" s="38">
        <v>6</v>
      </c>
      <c r="B1524" s="72" t="s">
        <v>357</v>
      </c>
      <c r="C1524" s="72" t="s">
        <v>83</v>
      </c>
      <c r="D1524" s="72" t="s">
        <v>928</v>
      </c>
      <c r="E1524" s="72" t="s">
        <v>348</v>
      </c>
      <c r="F1524" s="72" t="s">
        <v>349</v>
      </c>
      <c r="G1524" s="72">
        <v>741</v>
      </c>
      <c r="H1524" s="11">
        <v>625942</v>
      </c>
      <c r="I1524" s="16" t="s">
        <v>358</v>
      </c>
      <c r="J1524" s="16" t="s">
        <v>352</v>
      </c>
      <c r="K1524" s="16" t="s">
        <v>352</v>
      </c>
      <c r="L1524" s="16" t="s">
        <v>180</v>
      </c>
      <c r="M1524" s="134">
        <v>20107071001</v>
      </c>
      <c r="N1524" s="16" t="s">
        <v>5963</v>
      </c>
      <c r="O1524" s="16" t="s">
        <v>353</v>
      </c>
      <c r="P1524" s="23">
        <v>1000</v>
      </c>
      <c r="Q1524" s="23">
        <f t="shared" si="201"/>
        <v>1180</v>
      </c>
      <c r="R1524" s="23"/>
      <c r="S1524" s="29"/>
      <c r="T1524" s="38"/>
      <c r="U1524" s="38"/>
      <c r="V1524" s="38"/>
      <c r="W1524" s="38"/>
      <c r="X1524" s="38"/>
      <c r="Y1524" s="34">
        <v>1000</v>
      </c>
      <c r="Z1524" s="34">
        <f t="shared" si="202"/>
        <v>1180</v>
      </c>
      <c r="AA1524" s="36" t="s">
        <v>132</v>
      </c>
      <c r="AB1524" s="36" t="s">
        <v>132</v>
      </c>
      <c r="AC1524" s="34">
        <v>1000</v>
      </c>
      <c r="AD1524" s="34">
        <f t="shared" si="203"/>
        <v>1180</v>
      </c>
      <c r="AE1524" s="38" t="s">
        <v>173</v>
      </c>
      <c r="AF1524" s="38" t="s">
        <v>83</v>
      </c>
      <c r="AG1524" s="38" t="s">
        <v>83</v>
      </c>
      <c r="AH1524" s="38" t="s">
        <v>90</v>
      </c>
      <c r="AI1524" s="51">
        <v>41805</v>
      </c>
      <c r="AJ1524" s="51">
        <v>41852</v>
      </c>
      <c r="AK1524" s="60"/>
      <c r="AL1524" s="60"/>
      <c r="AM1524" s="60" t="s">
        <v>354</v>
      </c>
      <c r="AN1524" s="60" t="s">
        <v>355</v>
      </c>
      <c r="AO1524" s="11">
        <v>796</v>
      </c>
      <c r="AP1524" s="38" t="s">
        <v>94</v>
      </c>
      <c r="AQ1524" s="38">
        <v>1</v>
      </c>
      <c r="AR1524" s="38">
        <v>45</v>
      </c>
      <c r="AS1524" s="16" t="s">
        <v>356</v>
      </c>
      <c r="AT1524" s="52">
        <v>41872</v>
      </c>
      <c r="AU1524" s="78">
        <v>41872</v>
      </c>
      <c r="AV1524" s="51">
        <v>42217</v>
      </c>
      <c r="AW1524" s="38" t="s">
        <v>99</v>
      </c>
      <c r="AX1524" s="60"/>
      <c r="AY1524" s="135"/>
      <c r="AZ1524" s="60"/>
      <c r="BA1524" s="38"/>
      <c r="BB1524" s="38"/>
      <c r="BC1524" s="60"/>
      <c r="BD1524" s="60"/>
      <c r="BE1524" s="378"/>
      <c r="BF1524" s="378"/>
      <c r="BG1524" s="378"/>
      <c r="BH1524" s="378"/>
      <c r="BI1524" s="378"/>
      <c r="BJ1524" s="378" t="s">
        <v>186</v>
      </c>
      <c r="BK1524" s="238"/>
    </row>
    <row r="1525" spans="1:63" s="268" customFormat="1" ht="75" customHeight="1">
      <c r="A1525" s="38">
        <v>6</v>
      </c>
      <c r="B1525" s="72" t="s">
        <v>359</v>
      </c>
      <c r="C1525" s="72" t="s">
        <v>83</v>
      </c>
      <c r="D1525" s="72" t="s">
        <v>928</v>
      </c>
      <c r="E1525" s="72" t="s">
        <v>348</v>
      </c>
      <c r="F1525" s="72" t="s">
        <v>349</v>
      </c>
      <c r="G1525" s="72">
        <v>7412</v>
      </c>
      <c r="H1525" s="11">
        <v>625941</v>
      </c>
      <c r="I1525" s="16" t="s">
        <v>360</v>
      </c>
      <c r="J1525" s="16" t="s">
        <v>352</v>
      </c>
      <c r="K1525" s="16" t="s">
        <v>352</v>
      </c>
      <c r="L1525" s="16" t="s">
        <v>180</v>
      </c>
      <c r="M1525" s="134">
        <v>20107071001</v>
      </c>
      <c r="N1525" s="16" t="s">
        <v>5963</v>
      </c>
      <c r="O1525" s="16" t="s">
        <v>353</v>
      </c>
      <c r="P1525" s="23">
        <v>5000</v>
      </c>
      <c r="Q1525" s="23">
        <f t="shared" si="201"/>
        <v>5900</v>
      </c>
      <c r="R1525" s="23"/>
      <c r="S1525" s="29"/>
      <c r="T1525" s="38"/>
      <c r="U1525" s="38"/>
      <c r="V1525" s="38"/>
      <c r="W1525" s="38"/>
      <c r="X1525" s="38"/>
      <c r="Y1525" s="34">
        <v>5000</v>
      </c>
      <c r="Z1525" s="34">
        <f t="shared" si="202"/>
        <v>5900</v>
      </c>
      <c r="AA1525" s="36" t="s">
        <v>132</v>
      </c>
      <c r="AB1525" s="36" t="s">
        <v>132</v>
      </c>
      <c r="AC1525" s="34">
        <v>5000</v>
      </c>
      <c r="AD1525" s="34">
        <f t="shared" si="203"/>
        <v>5900</v>
      </c>
      <c r="AE1525" s="38" t="s">
        <v>173</v>
      </c>
      <c r="AF1525" s="38" t="s">
        <v>83</v>
      </c>
      <c r="AG1525" s="38" t="s">
        <v>83</v>
      </c>
      <c r="AH1525" s="38" t="s">
        <v>90</v>
      </c>
      <c r="AI1525" s="52">
        <v>41654</v>
      </c>
      <c r="AJ1525" s="51">
        <v>41708</v>
      </c>
      <c r="AK1525" s="60"/>
      <c r="AL1525" s="60"/>
      <c r="AM1525" s="60" t="s">
        <v>354</v>
      </c>
      <c r="AN1525" s="60" t="s">
        <v>355</v>
      </c>
      <c r="AO1525" s="11">
        <v>796</v>
      </c>
      <c r="AP1525" s="38" t="s">
        <v>94</v>
      </c>
      <c r="AQ1525" s="38">
        <v>1</v>
      </c>
      <c r="AR1525" s="38">
        <v>45</v>
      </c>
      <c r="AS1525" s="16" t="s">
        <v>356</v>
      </c>
      <c r="AT1525" s="52">
        <v>41728</v>
      </c>
      <c r="AU1525" s="52">
        <v>41728</v>
      </c>
      <c r="AV1525" s="51">
        <v>42095</v>
      </c>
      <c r="AW1525" s="38" t="s">
        <v>99</v>
      </c>
      <c r="AX1525" s="60"/>
      <c r="AY1525" s="135"/>
      <c r="AZ1525" s="60"/>
      <c r="BA1525" s="38"/>
      <c r="BB1525" s="38"/>
      <c r="BC1525" s="60"/>
      <c r="BD1525" s="60"/>
      <c r="BE1525" s="378"/>
      <c r="BF1525" s="378"/>
      <c r="BG1525" s="378"/>
      <c r="BH1525" s="378"/>
      <c r="BI1525" s="378"/>
      <c r="BJ1525" s="378" t="s">
        <v>186</v>
      </c>
      <c r="BK1525" s="238"/>
    </row>
    <row r="1526" spans="1:63" s="268" customFormat="1" ht="150">
      <c r="A1526" s="63">
        <v>6</v>
      </c>
      <c r="B1526" s="72" t="s">
        <v>174</v>
      </c>
      <c r="C1526" s="72" t="s">
        <v>83</v>
      </c>
      <c r="D1526" s="72" t="s">
        <v>175</v>
      </c>
      <c r="E1526" s="409" t="s">
        <v>176</v>
      </c>
      <c r="F1526" s="38" t="s">
        <v>177</v>
      </c>
      <c r="G1526" s="38" t="s">
        <v>178</v>
      </c>
      <c r="H1526" s="63">
        <v>625999</v>
      </c>
      <c r="I1526" s="16" t="s">
        <v>179</v>
      </c>
      <c r="J1526" s="16" t="s">
        <v>181</v>
      </c>
      <c r="K1526" s="16" t="s">
        <v>181</v>
      </c>
      <c r="L1526" s="16" t="s">
        <v>180</v>
      </c>
      <c r="M1526" s="16">
        <v>20105061501</v>
      </c>
      <c r="N1526" s="16" t="s">
        <v>5886</v>
      </c>
      <c r="O1526" s="16" t="s">
        <v>182</v>
      </c>
      <c r="P1526" s="23">
        <v>5000</v>
      </c>
      <c r="Q1526" s="23">
        <f t="shared" si="201"/>
        <v>5900</v>
      </c>
      <c r="R1526" s="23"/>
      <c r="S1526" s="29"/>
      <c r="T1526" s="25"/>
      <c r="U1526" s="25"/>
      <c r="V1526" s="25"/>
      <c r="W1526" s="25"/>
      <c r="X1526" s="25"/>
      <c r="Y1526" s="23">
        <v>5000</v>
      </c>
      <c r="Z1526" s="23">
        <f t="shared" si="202"/>
        <v>5900</v>
      </c>
      <c r="AA1526" s="36" t="s">
        <v>132</v>
      </c>
      <c r="AB1526" s="36" t="s">
        <v>132</v>
      </c>
      <c r="AC1526" s="23">
        <v>5000</v>
      </c>
      <c r="AD1526" s="23">
        <f t="shared" si="203"/>
        <v>5900</v>
      </c>
      <c r="AE1526" s="38" t="s">
        <v>173</v>
      </c>
      <c r="AF1526" s="38" t="s">
        <v>83</v>
      </c>
      <c r="AG1526" s="38" t="s">
        <v>83</v>
      </c>
      <c r="AH1526" s="38" t="s">
        <v>90</v>
      </c>
      <c r="AI1526" s="52">
        <v>41636</v>
      </c>
      <c r="AJ1526" s="51">
        <v>41681</v>
      </c>
      <c r="AK1526" s="60"/>
      <c r="AL1526" s="60"/>
      <c r="AM1526" s="60" t="s">
        <v>184</v>
      </c>
      <c r="AN1526" s="60" t="s">
        <v>171</v>
      </c>
      <c r="AO1526" s="11">
        <v>796</v>
      </c>
      <c r="AP1526" s="38" t="s">
        <v>94</v>
      </c>
      <c r="AQ1526" s="25">
        <v>1</v>
      </c>
      <c r="AR1526" s="25" t="s">
        <v>93</v>
      </c>
      <c r="AS1526" s="16" t="s">
        <v>185</v>
      </c>
      <c r="AT1526" s="52">
        <v>41701</v>
      </c>
      <c r="AU1526" s="52">
        <v>41701</v>
      </c>
      <c r="AV1526" s="52">
        <v>41820</v>
      </c>
      <c r="AW1526" s="38">
        <v>2014</v>
      </c>
      <c r="AX1526" s="60"/>
      <c r="AY1526" s="135"/>
      <c r="AZ1526" s="60"/>
      <c r="BA1526" s="38" t="s">
        <v>183</v>
      </c>
      <c r="BB1526" s="38" t="s">
        <v>183</v>
      </c>
      <c r="BC1526" s="60" t="s">
        <v>183</v>
      </c>
      <c r="BD1526" s="60" t="s">
        <v>183</v>
      </c>
      <c r="BE1526" s="331" t="s">
        <v>183</v>
      </c>
      <c r="BF1526" s="331" t="s">
        <v>183</v>
      </c>
      <c r="BG1526" s="331" t="s">
        <v>183</v>
      </c>
      <c r="BH1526" s="331" t="s">
        <v>183</v>
      </c>
      <c r="BI1526" s="331" t="s">
        <v>183</v>
      </c>
      <c r="BJ1526" s="331" t="s">
        <v>183</v>
      </c>
      <c r="BK1526" s="331"/>
    </row>
    <row r="1527" spans="1:63" s="268" customFormat="1" ht="120" customHeight="1">
      <c r="A1527" s="47">
        <v>6</v>
      </c>
      <c r="B1527" s="38" t="s">
        <v>161</v>
      </c>
      <c r="C1527" s="60" t="s">
        <v>83</v>
      </c>
      <c r="D1527" s="60" t="s">
        <v>162</v>
      </c>
      <c r="E1527" s="72" t="s">
        <v>163</v>
      </c>
      <c r="F1527" s="38" t="s">
        <v>164</v>
      </c>
      <c r="G1527" s="38">
        <v>7414</v>
      </c>
      <c r="H1527" s="11">
        <v>625944</v>
      </c>
      <c r="I1527" s="20" t="s">
        <v>165</v>
      </c>
      <c r="J1527" s="16" t="s">
        <v>499</v>
      </c>
      <c r="K1527" s="16" t="s">
        <v>499</v>
      </c>
      <c r="L1527" s="16" t="s">
        <v>180</v>
      </c>
      <c r="M1527" s="332" t="s">
        <v>5895</v>
      </c>
      <c r="N1527" s="20" t="s">
        <v>5896</v>
      </c>
      <c r="O1527" s="20" t="s">
        <v>167</v>
      </c>
      <c r="P1527" s="27">
        <v>8500</v>
      </c>
      <c r="Q1527" s="27">
        <f t="shared" si="201"/>
        <v>10030</v>
      </c>
      <c r="R1527" s="27">
        <v>7400</v>
      </c>
      <c r="S1527" s="30" t="s">
        <v>168</v>
      </c>
      <c r="T1527" s="31">
        <v>1.0840000000000001</v>
      </c>
      <c r="U1527" s="31">
        <v>1.0509999999999999</v>
      </c>
      <c r="V1527" s="31">
        <v>1.0669999999999999</v>
      </c>
      <c r="W1527" s="31">
        <v>1.0529999999999999</v>
      </c>
      <c r="X1527" s="32">
        <f>T1527*U1527*V1527*W1527*0.9</f>
        <v>1.1520393097355999</v>
      </c>
      <c r="Y1527" s="39">
        <f>R1527*X1527</f>
        <v>8525.0908920434395</v>
      </c>
      <c r="Z1527" s="39">
        <f t="shared" si="202"/>
        <v>10059.607252611258</v>
      </c>
      <c r="AA1527" s="36" t="s">
        <v>132</v>
      </c>
      <c r="AB1527" s="36" t="s">
        <v>132</v>
      </c>
      <c r="AC1527" s="39">
        <v>8500</v>
      </c>
      <c r="AD1527" s="39">
        <f t="shared" si="203"/>
        <v>10030</v>
      </c>
      <c r="AE1527" s="38" t="s">
        <v>169</v>
      </c>
      <c r="AF1527" s="38" t="s">
        <v>83</v>
      </c>
      <c r="AG1527" s="38" t="s">
        <v>83</v>
      </c>
      <c r="AH1527" s="38" t="s">
        <v>90</v>
      </c>
      <c r="AI1527" s="51">
        <v>41548</v>
      </c>
      <c r="AJ1527" s="51">
        <v>41609</v>
      </c>
      <c r="AK1527" s="333"/>
      <c r="AL1527" s="333"/>
      <c r="AM1527" s="60" t="s">
        <v>170</v>
      </c>
      <c r="AN1527" s="60" t="s">
        <v>171</v>
      </c>
      <c r="AO1527" s="11">
        <v>796</v>
      </c>
      <c r="AP1527" s="38" t="s">
        <v>94</v>
      </c>
      <c r="AQ1527" s="47">
        <v>1</v>
      </c>
      <c r="AR1527" s="38" t="s">
        <v>93</v>
      </c>
      <c r="AS1527" s="16" t="s">
        <v>92</v>
      </c>
      <c r="AT1527" s="51">
        <v>41640</v>
      </c>
      <c r="AU1527" s="51">
        <v>41640</v>
      </c>
      <c r="AV1527" s="224">
        <v>41912</v>
      </c>
      <c r="AW1527" s="38">
        <v>2014</v>
      </c>
      <c r="AX1527" s="333"/>
      <c r="AY1527" s="135"/>
      <c r="AZ1527" s="60"/>
      <c r="BA1527" s="47" t="s">
        <v>132</v>
      </c>
      <c r="BB1527" s="47" t="s">
        <v>132</v>
      </c>
      <c r="BC1527" s="333" t="s">
        <v>132</v>
      </c>
      <c r="BD1527" s="333" t="s">
        <v>132</v>
      </c>
      <c r="BE1527" s="334" t="s">
        <v>132</v>
      </c>
      <c r="BF1527" s="334" t="s">
        <v>132</v>
      </c>
      <c r="BG1527" s="334" t="s">
        <v>132</v>
      </c>
      <c r="BH1527" s="334" t="s">
        <v>132</v>
      </c>
      <c r="BI1527" s="334" t="s">
        <v>132</v>
      </c>
      <c r="BJ1527" s="334" t="s">
        <v>132</v>
      </c>
      <c r="BK1527" s="334"/>
    </row>
    <row r="1528" spans="1:63" s="268" customFormat="1" ht="123" customHeight="1">
      <c r="A1528" s="47">
        <v>6</v>
      </c>
      <c r="B1528" s="38" t="s">
        <v>3815</v>
      </c>
      <c r="C1528" s="60" t="s">
        <v>83</v>
      </c>
      <c r="D1528" s="60" t="s">
        <v>3828</v>
      </c>
      <c r="E1528" s="60" t="s">
        <v>750</v>
      </c>
      <c r="F1528" s="38">
        <v>65</v>
      </c>
      <c r="G1528" s="38" t="s">
        <v>1092</v>
      </c>
      <c r="H1528" s="11">
        <v>626038</v>
      </c>
      <c r="I1528" s="20" t="s">
        <v>3808</v>
      </c>
      <c r="J1528" s="16" t="s">
        <v>949</v>
      </c>
      <c r="K1528" s="16" t="s">
        <v>949</v>
      </c>
      <c r="L1528" s="16" t="s">
        <v>88</v>
      </c>
      <c r="M1528" s="20">
        <v>20107071002</v>
      </c>
      <c r="N1528" s="20" t="s">
        <v>5878</v>
      </c>
      <c r="O1528" s="20" t="s">
        <v>3833</v>
      </c>
      <c r="P1528" s="27">
        <v>1700</v>
      </c>
      <c r="Q1528" s="27">
        <f>P1528*1.18</f>
        <v>2006</v>
      </c>
      <c r="R1528" s="27"/>
      <c r="S1528" s="30"/>
      <c r="T1528" s="31"/>
      <c r="U1528" s="31"/>
      <c r="V1528" s="31"/>
      <c r="W1528" s="31"/>
      <c r="X1528" s="32"/>
      <c r="Y1528" s="27">
        <v>1700</v>
      </c>
      <c r="Z1528" s="27">
        <f>Y1528*1.18</f>
        <v>2006</v>
      </c>
      <c r="AA1528" s="36" t="s">
        <v>132</v>
      </c>
      <c r="AB1528" s="36" t="s">
        <v>132</v>
      </c>
      <c r="AC1528" s="27">
        <v>1700</v>
      </c>
      <c r="AD1528" s="27">
        <f>AC1528*1.18</f>
        <v>2006</v>
      </c>
      <c r="AE1528" s="38" t="s">
        <v>173</v>
      </c>
      <c r="AF1528" s="38" t="s">
        <v>83</v>
      </c>
      <c r="AG1528" s="38" t="s">
        <v>83</v>
      </c>
      <c r="AH1528" s="38" t="s">
        <v>90</v>
      </c>
      <c r="AI1528" s="51">
        <v>41761</v>
      </c>
      <c r="AJ1528" s="51">
        <v>41806</v>
      </c>
      <c r="AK1528" s="333"/>
      <c r="AL1528" s="333"/>
      <c r="AM1528" s="60" t="s">
        <v>3817</v>
      </c>
      <c r="AN1528" s="60" t="s">
        <v>171</v>
      </c>
      <c r="AO1528" s="11">
        <v>796</v>
      </c>
      <c r="AP1528" s="38" t="s">
        <v>3254</v>
      </c>
      <c r="AQ1528" s="47">
        <v>1</v>
      </c>
      <c r="AR1528" s="38" t="s">
        <v>2980</v>
      </c>
      <c r="AS1528" s="29" t="s">
        <v>3373</v>
      </c>
      <c r="AT1528" s="52">
        <v>41821</v>
      </c>
      <c r="AU1528" s="52">
        <v>41821</v>
      </c>
      <c r="AV1528" s="52">
        <v>42185</v>
      </c>
      <c r="AW1528" s="38" t="s">
        <v>99</v>
      </c>
      <c r="AX1528" s="333"/>
      <c r="AY1528" s="135"/>
      <c r="AZ1528" s="60"/>
      <c r="BA1528" s="47"/>
      <c r="BB1528" s="47"/>
      <c r="BC1528" s="333"/>
      <c r="BD1528" s="333"/>
      <c r="BE1528" s="334"/>
      <c r="BF1528" s="334"/>
      <c r="BG1528" s="334"/>
      <c r="BH1528" s="334"/>
      <c r="BI1528" s="334"/>
      <c r="BJ1528" s="334"/>
      <c r="BK1528" s="334"/>
    </row>
    <row r="1529" spans="1:63" s="268" customFormat="1" ht="147" customHeight="1">
      <c r="A1529" s="47">
        <v>6</v>
      </c>
      <c r="B1529" s="38" t="s">
        <v>3818</v>
      </c>
      <c r="C1529" s="60" t="s">
        <v>83</v>
      </c>
      <c r="D1529" s="60" t="s">
        <v>3828</v>
      </c>
      <c r="E1529" s="60" t="s">
        <v>750</v>
      </c>
      <c r="F1529" s="38">
        <v>65</v>
      </c>
      <c r="G1529" s="38" t="s">
        <v>1092</v>
      </c>
      <c r="H1529" s="11">
        <v>626040</v>
      </c>
      <c r="I1529" s="20" t="s">
        <v>3809</v>
      </c>
      <c r="J1529" s="16" t="s">
        <v>949</v>
      </c>
      <c r="K1529" s="16" t="s">
        <v>949</v>
      </c>
      <c r="L1529" s="16" t="s">
        <v>88</v>
      </c>
      <c r="M1529" s="20" t="s">
        <v>3816</v>
      </c>
      <c r="N1529" s="20" t="s">
        <v>5878</v>
      </c>
      <c r="O1529" s="20" t="s">
        <v>3833</v>
      </c>
      <c r="P1529" s="27">
        <v>1000</v>
      </c>
      <c r="Q1529" s="27">
        <f>P1529*1.18</f>
        <v>1180</v>
      </c>
      <c r="R1529" s="27"/>
      <c r="S1529" s="30"/>
      <c r="T1529" s="31"/>
      <c r="U1529" s="31"/>
      <c r="V1529" s="31"/>
      <c r="W1529" s="31"/>
      <c r="X1529" s="32"/>
      <c r="Y1529" s="27">
        <v>1000</v>
      </c>
      <c r="Z1529" s="27">
        <f>Y1529*1.18</f>
        <v>1180</v>
      </c>
      <c r="AA1529" s="36" t="s">
        <v>132</v>
      </c>
      <c r="AB1529" s="36" t="s">
        <v>132</v>
      </c>
      <c r="AC1529" s="27">
        <v>1000</v>
      </c>
      <c r="AD1529" s="27">
        <f>AC1529*1.18</f>
        <v>1180</v>
      </c>
      <c r="AE1529" s="38" t="s">
        <v>173</v>
      </c>
      <c r="AF1529" s="38" t="s">
        <v>83</v>
      </c>
      <c r="AG1529" s="38" t="s">
        <v>83</v>
      </c>
      <c r="AH1529" s="38" t="s">
        <v>90</v>
      </c>
      <c r="AI1529" s="51">
        <v>41853</v>
      </c>
      <c r="AJ1529" s="51">
        <v>41898</v>
      </c>
      <c r="AK1529" s="333"/>
      <c r="AL1529" s="333"/>
      <c r="AM1529" s="60" t="s">
        <v>3819</v>
      </c>
      <c r="AN1529" s="60" t="s">
        <v>171</v>
      </c>
      <c r="AO1529" s="11">
        <v>796</v>
      </c>
      <c r="AP1529" s="38" t="s">
        <v>3254</v>
      </c>
      <c r="AQ1529" s="47">
        <v>1</v>
      </c>
      <c r="AR1529" s="38" t="s">
        <v>2980</v>
      </c>
      <c r="AS1529" s="29" t="s">
        <v>3373</v>
      </c>
      <c r="AT1529" s="52">
        <v>41913</v>
      </c>
      <c r="AU1529" s="52">
        <v>41913</v>
      </c>
      <c r="AV1529" s="52">
        <v>42277</v>
      </c>
      <c r="AW1529" s="38" t="s">
        <v>99</v>
      </c>
      <c r="AX1529" s="333"/>
      <c r="AY1529" s="135"/>
      <c r="AZ1529" s="60"/>
      <c r="BA1529" s="47"/>
      <c r="BB1529" s="47"/>
      <c r="BC1529" s="333"/>
      <c r="BD1529" s="333"/>
      <c r="BE1529" s="334"/>
      <c r="BF1529" s="334"/>
      <c r="BG1529" s="334"/>
      <c r="BH1529" s="334"/>
      <c r="BI1529" s="334"/>
      <c r="BJ1529" s="334"/>
      <c r="BK1529" s="334"/>
    </row>
    <row r="1530" spans="1:63" s="268" customFormat="1" ht="147" customHeight="1">
      <c r="A1530" s="47">
        <v>6</v>
      </c>
      <c r="B1530" s="38" t="s">
        <v>4146</v>
      </c>
      <c r="C1530" s="60" t="s">
        <v>83</v>
      </c>
      <c r="D1530" s="60" t="s">
        <v>928</v>
      </c>
      <c r="E1530" s="60" t="s">
        <v>348</v>
      </c>
      <c r="F1530" s="38" t="s">
        <v>349</v>
      </c>
      <c r="G1530" s="38">
        <v>7412</v>
      </c>
      <c r="H1530" s="11">
        <v>625943</v>
      </c>
      <c r="I1530" s="20" t="s">
        <v>4147</v>
      </c>
      <c r="J1530" s="16" t="s">
        <v>352</v>
      </c>
      <c r="K1530" s="16" t="s">
        <v>352</v>
      </c>
      <c r="L1530" s="16" t="s">
        <v>180</v>
      </c>
      <c r="M1530" s="20">
        <v>20107071001</v>
      </c>
      <c r="N1530" s="20" t="s">
        <v>5963</v>
      </c>
      <c r="O1530" s="20" t="s">
        <v>353</v>
      </c>
      <c r="P1530" s="27">
        <v>0</v>
      </c>
      <c r="Q1530" s="27">
        <v>0</v>
      </c>
      <c r="R1530" s="27"/>
      <c r="S1530" s="30"/>
      <c r="T1530" s="31"/>
      <c r="U1530" s="31"/>
      <c r="V1530" s="31"/>
      <c r="W1530" s="31"/>
      <c r="X1530" s="32"/>
      <c r="Y1530" s="39">
        <v>0</v>
      </c>
      <c r="Z1530" s="39">
        <v>0</v>
      </c>
      <c r="AA1530" s="36" t="s">
        <v>132</v>
      </c>
      <c r="AB1530" s="36" t="s">
        <v>132</v>
      </c>
      <c r="AC1530" s="39">
        <v>0</v>
      </c>
      <c r="AD1530" s="39">
        <v>0</v>
      </c>
      <c r="AE1530" s="38" t="s">
        <v>169</v>
      </c>
      <c r="AF1530" s="72" t="s">
        <v>83</v>
      </c>
      <c r="AG1530" s="72" t="s">
        <v>83</v>
      </c>
      <c r="AH1530" s="38" t="s">
        <v>90</v>
      </c>
      <c r="AI1530" s="51">
        <v>41722</v>
      </c>
      <c r="AJ1530" s="51">
        <v>41810</v>
      </c>
      <c r="AK1530" s="333"/>
      <c r="AL1530" s="333"/>
      <c r="AM1530" s="60" t="s">
        <v>4148</v>
      </c>
      <c r="AN1530" s="60" t="s">
        <v>355</v>
      </c>
      <c r="AO1530" s="11">
        <v>796</v>
      </c>
      <c r="AP1530" s="38" t="s">
        <v>94</v>
      </c>
      <c r="AQ1530" s="47">
        <v>1</v>
      </c>
      <c r="AR1530" s="38">
        <v>45</v>
      </c>
      <c r="AS1530" s="16" t="s">
        <v>356</v>
      </c>
      <c r="AT1530" s="52">
        <v>41830</v>
      </c>
      <c r="AU1530" s="52">
        <v>41830</v>
      </c>
      <c r="AV1530" s="52">
        <v>42186</v>
      </c>
      <c r="AW1530" s="38" t="s">
        <v>99</v>
      </c>
      <c r="AX1530" s="333"/>
      <c r="AY1530" s="135"/>
      <c r="AZ1530" s="60"/>
      <c r="BA1530" s="47"/>
      <c r="BB1530" s="47"/>
      <c r="BC1530" s="333"/>
      <c r="BD1530" s="333"/>
      <c r="BE1530" s="334"/>
      <c r="BF1530" s="334"/>
      <c r="BG1530" s="334"/>
      <c r="BH1530" s="334"/>
      <c r="BI1530" s="334"/>
      <c r="BJ1530" s="334"/>
      <c r="BK1530" s="334"/>
    </row>
    <row r="1531" spans="1:63" s="603" customFormat="1">
      <c r="A1531" s="91" t="s">
        <v>132</v>
      </c>
      <c r="B1531" s="7" t="s">
        <v>132</v>
      </c>
      <c r="C1531" s="7" t="s">
        <v>132</v>
      </c>
      <c r="D1531" s="7" t="s">
        <v>132</v>
      </c>
      <c r="E1531" s="7" t="s">
        <v>132</v>
      </c>
      <c r="F1531" s="7" t="s">
        <v>132</v>
      </c>
      <c r="G1531" s="7" t="s">
        <v>132</v>
      </c>
      <c r="H1531" s="7" t="s">
        <v>132</v>
      </c>
      <c r="I1531" s="7" t="s">
        <v>132</v>
      </c>
      <c r="J1531" s="7" t="s">
        <v>132</v>
      </c>
      <c r="K1531" s="7" t="s">
        <v>132</v>
      </c>
      <c r="L1531" s="7" t="s">
        <v>132</v>
      </c>
      <c r="M1531" s="7" t="s">
        <v>132</v>
      </c>
      <c r="N1531" s="7" t="s">
        <v>132</v>
      </c>
      <c r="O1531" s="7" t="s">
        <v>132</v>
      </c>
      <c r="P1531" s="7" t="s">
        <v>132</v>
      </c>
      <c r="Q1531" s="7" t="s">
        <v>132</v>
      </c>
      <c r="R1531" s="7" t="s">
        <v>132</v>
      </c>
      <c r="S1531" s="7" t="s">
        <v>132</v>
      </c>
      <c r="T1531" s="7" t="s">
        <v>132</v>
      </c>
      <c r="U1531" s="7" t="s">
        <v>132</v>
      </c>
      <c r="V1531" s="7" t="s">
        <v>132</v>
      </c>
      <c r="W1531" s="7" t="s">
        <v>132</v>
      </c>
      <c r="X1531" s="7" t="s">
        <v>132</v>
      </c>
      <c r="Y1531" s="7" t="s">
        <v>132</v>
      </c>
      <c r="Z1531" s="7" t="s">
        <v>132</v>
      </c>
      <c r="AA1531" s="225" t="s">
        <v>132</v>
      </c>
      <c r="AB1531" s="225" t="s">
        <v>132</v>
      </c>
      <c r="AC1531" s="7" t="s">
        <v>132</v>
      </c>
      <c r="AD1531" s="7" t="s">
        <v>132</v>
      </c>
      <c r="AE1531" s="7" t="s">
        <v>132</v>
      </c>
      <c r="AF1531" s="7" t="s">
        <v>132</v>
      </c>
      <c r="AG1531" s="7" t="s">
        <v>132</v>
      </c>
      <c r="AH1531" s="7" t="s">
        <v>132</v>
      </c>
      <c r="AI1531" s="7" t="s">
        <v>132</v>
      </c>
      <c r="AJ1531" s="7" t="s">
        <v>132</v>
      </c>
      <c r="AK1531" s="7" t="s">
        <v>132</v>
      </c>
      <c r="AL1531" s="7" t="s">
        <v>132</v>
      </c>
      <c r="AM1531" s="7" t="s">
        <v>132</v>
      </c>
      <c r="AN1531" s="7" t="s">
        <v>132</v>
      </c>
      <c r="AO1531" s="7" t="s">
        <v>132</v>
      </c>
      <c r="AP1531" s="7" t="s">
        <v>132</v>
      </c>
      <c r="AQ1531" s="7" t="s">
        <v>132</v>
      </c>
      <c r="AR1531" s="7" t="s">
        <v>132</v>
      </c>
      <c r="AS1531" s="7" t="s">
        <v>132</v>
      </c>
      <c r="AT1531" s="7" t="s">
        <v>132</v>
      </c>
      <c r="AU1531" s="7" t="s">
        <v>132</v>
      </c>
      <c r="AV1531" s="7" t="s">
        <v>132</v>
      </c>
      <c r="AW1531" s="7" t="s">
        <v>132</v>
      </c>
      <c r="AX1531" s="7" t="s">
        <v>132</v>
      </c>
      <c r="AY1531" s="7" t="s">
        <v>132</v>
      </c>
      <c r="AZ1531" s="7" t="s">
        <v>132</v>
      </c>
      <c r="BA1531" s="7" t="s">
        <v>132</v>
      </c>
      <c r="BB1531" s="7" t="s">
        <v>132</v>
      </c>
      <c r="BC1531" s="7" t="s">
        <v>132</v>
      </c>
      <c r="BD1531" s="7" t="s">
        <v>132</v>
      </c>
      <c r="BE1531" s="7" t="s">
        <v>132</v>
      </c>
      <c r="BF1531" s="7" t="s">
        <v>132</v>
      </c>
      <c r="BG1531" s="7" t="s">
        <v>132</v>
      </c>
      <c r="BH1531" s="7" t="s">
        <v>132</v>
      </c>
      <c r="BI1531" s="7" t="s">
        <v>132</v>
      </c>
      <c r="BJ1531" s="7" t="s">
        <v>132</v>
      </c>
      <c r="BK1531" s="7"/>
    </row>
    <row r="1532" spans="1:63" s="603" customFormat="1" ht="36.75" customHeight="1">
      <c r="A1532" s="91" t="s">
        <v>132</v>
      </c>
      <c r="B1532" s="7" t="s">
        <v>132</v>
      </c>
      <c r="C1532" s="7" t="s">
        <v>132</v>
      </c>
      <c r="D1532" s="7" t="s">
        <v>132</v>
      </c>
      <c r="E1532" s="7" t="s">
        <v>132</v>
      </c>
      <c r="F1532" s="7" t="s">
        <v>132</v>
      </c>
      <c r="G1532" s="7" t="s">
        <v>132</v>
      </c>
      <c r="H1532" s="7" t="s">
        <v>132</v>
      </c>
      <c r="I1532" s="8" t="s">
        <v>3042</v>
      </c>
      <c r="J1532" s="7" t="s">
        <v>132</v>
      </c>
      <c r="K1532" s="7" t="s">
        <v>132</v>
      </c>
      <c r="L1532" s="7" t="s">
        <v>132</v>
      </c>
      <c r="M1532" s="7" t="s">
        <v>132</v>
      </c>
      <c r="N1532" s="7" t="s">
        <v>132</v>
      </c>
      <c r="O1532" s="7" t="s">
        <v>132</v>
      </c>
      <c r="P1532" s="102">
        <f>SUMIFS(Сумма_16,Филиал,"=ОАО*",ВД,"=6")</f>
        <v>66486</v>
      </c>
      <c r="Q1532" s="102">
        <f>SUMIFS(Сумма_17,Филиал,"=ОАО*",ВД,"=6")</f>
        <v>78453.48</v>
      </c>
      <c r="R1532" s="7" t="s">
        <v>132</v>
      </c>
      <c r="S1532" s="7" t="s">
        <v>132</v>
      </c>
      <c r="T1532" s="7" t="s">
        <v>132</v>
      </c>
      <c r="U1532" s="7" t="s">
        <v>132</v>
      </c>
      <c r="V1532" s="7" t="s">
        <v>132</v>
      </c>
      <c r="W1532" s="7" t="s">
        <v>132</v>
      </c>
      <c r="X1532" s="7" t="s">
        <v>132</v>
      </c>
      <c r="Y1532" s="102">
        <f>SUMIFS(Сумма_25,Филиал,"=ОАО*",ВД,"=6")</f>
        <v>67131.591892748431</v>
      </c>
      <c r="Z1532" s="102">
        <f>SUMIFS(Сумма_26,Филиал,"=ОАО*",ВД,"=6")</f>
        <v>79215.278433443149</v>
      </c>
      <c r="AA1532" s="225" t="s">
        <v>132</v>
      </c>
      <c r="AB1532" s="225" t="s">
        <v>132</v>
      </c>
      <c r="AC1532" s="102">
        <f>SUMIFS(Сумма_29,Филиал,"=ОАО*",ВД,"=6")</f>
        <v>66486</v>
      </c>
      <c r="AD1532" s="102">
        <f>SUMIFS(Сумма,Филиал,"=ОАО*",ВД,"=6")</f>
        <v>78453.48</v>
      </c>
      <c r="AE1532" s="7" t="s">
        <v>132</v>
      </c>
      <c r="AF1532" s="7" t="s">
        <v>132</v>
      </c>
      <c r="AG1532" s="7" t="s">
        <v>132</v>
      </c>
      <c r="AH1532" s="7" t="s">
        <v>132</v>
      </c>
      <c r="AI1532" s="7" t="s">
        <v>132</v>
      </c>
      <c r="AJ1532" s="7" t="s">
        <v>132</v>
      </c>
      <c r="AK1532" s="7" t="s">
        <v>132</v>
      </c>
      <c r="AL1532" s="7" t="s">
        <v>132</v>
      </c>
      <c r="AM1532" s="7" t="s">
        <v>132</v>
      </c>
      <c r="AN1532" s="7" t="s">
        <v>132</v>
      </c>
      <c r="AO1532" s="7" t="s">
        <v>132</v>
      </c>
      <c r="AP1532" s="7" t="s">
        <v>132</v>
      </c>
      <c r="AQ1532" s="7" t="s">
        <v>132</v>
      </c>
      <c r="AR1532" s="7" t="s">
        <v>132</v>
      </c>
      <c r="AS1532" s="7" t="s">
        <v>132</v>
      </c>
      <c r="AT1532" s="7" t="s">
        <v>132</v>
      </c>
      <c r="AU1532" s="7" t="s">
        <v>132</v>
      </c>
      <c r="AV1532" s="7" t="s">
        <v>132</v>
      </c>
      <c r="AW1532" s="7" t="s">
        <v>132</v>
      </c>
      <c r="AX1532" s="7" t="s">
        <v>132</v>
      </c>
      <c r="AY1532" s="7" t="s">
        <v>132</v>
      </c>
      <c r="AZ1532" s="7" t="s">
        <v>132</v>
      </c>
      <c r="BA1532" s="7" t="s">
        <v>132</v>
      </c>
      <c r="BB1532" s="7" t="s">
        <v>132</v>
      </c>
      <c r="BC1532" s="7" t="s">
        <v>132</v>
      </c>
      <c r="BD1532" s="7" t="s">
        <v>132</v>
      </c>
      <c r="BE1532" s="7" t="s">
        <v>132</v>
      </c>
      <c r="BF1532" s="7" t="s">
        <v>132</v>
      </c>
      <c r="BG1532" s="7" t="s">
        <v>132</v>
      </c>
      <c r="BH1532" s="7" t="s">
        <v>132</v>
      </c>
      <c r="BI1532" s="7" t="s">
        <v>132</v>
      </c>
      <c r="BJ1532" s="7" t="s">
        <v>132</v>
      </c>
      <c r="BK1532" s="7"/>
    </row>
    <row r="1533" spans="1:63" s="603" customFormat="1">
      <c r="A1533" s="91" t="s">
        <v>132</v>
      </c>
      <c r="B1533" s="7" t="s">
        <v>132</v>
      </c>
      <c r="C1533" s="7" t="s">
        <v>132</v>
      </c>
      <c r="D1533" s="7" t="s">
        <v>132</v>
      </c>
      <c r="E1533" s="7" t="s">
        <v>132</v>
      </c>
      <c r="F1533" s="7" t="s">
        <v>132</v>
      </c>
      <c r="G1533" s="7" t="s">
        <v>132</v>
      </c>
      <c r="H1533" s="7" t="s">
        <v>132</v>
      </c>
      <c r="I1533" s="8" t="s">
        <v>3043</v>
      </c>
      <c r="J1533" s="7" t="s">
        <v>132</v>
      </c>
      <c r="K1533" s="7" t="s">
        <v>132</v>
      </c>
      <c r="L1533" s="7" t="s">
        <v>132</v>
      </c>
      <c r="M1533" s="7" t="s">
        <v>132</v>
      </c>
      <c r="N1533" s="7" t="s">
        <v>132</v>
      </c>
      <c r="O1533" s="7" t="s">
        <v>132</v>
      </c>
      <c r="P1533" s="7" t="s">
        <v>132</v>
      </c>
      <c r="Q1533" s="7" t="s">
        <v>132</v>
      </c>
      <c r="R1533" s="7" t="s">
        <v>132</v>
      </c>
      <c r="S1533" s="7" t="s">
        <v>132</v>
      </c>
      <c r="T1533" s="7" t="s">
        <v>132</v>
      </c>
      <c r="U1533" s="7" t="s">
        <v>132</v>
      </c>
      <c r="V1533" s="7" t="s">
        <v>132</v>
      </c>
      <c r="W1533" s="7" t="s">
        <v>132</v>
      </c>
      <c r="X1533" s="7" t="s">
        <v>132</v>
      </c>
      <c r="Y1533" s="7" t="s">
        <v>132</v>
      </c>
      <c r="Z1533" s="7" t="s">
        <v>132</v>
      </c>
      <c r="AA1533" s="225" t="s">
        <v>132</v>
      </c>
      <c r="AB1533" s="225" t="s">
        <v>132</v>
      </c>
      <c r="AC1533" s="7" t="s">
        <v>132</v>
      </c>
      <c r="AD1533" s="7" t="s">
        <v>132</v>
      </c>
      <c r="AE1533" s="7" t="s">
        <v>132</v>
      </c>
      <c r="AF1533" s="7" t="s">
        <v>132</v>
      </c>
      <c r="AG1533" s="7" t="s">
        <v>132</v>
      </c>
      <c r="AH1533" s="7" t="s">
        <v>132</v>
      </c>
      <c r="AI1533" s="7" t="s">
        <v>132</v>
      </c>
      <c r="AJ1533" s="7" t="s">
        <v>132</v>
      </c>
      <c r="AK1533" s="7" t="s">
        <v>132</v>
      </c>
      <c r="AL1533" s="7" t="s">
        <v>132</v>
      </c>
      <c r="AM1533" s="7" t="s">
        <v>132</v>
      </c>
      <c r="AN1533" s="7" t="s">
        <v>132</v>
      </c>
      <c r="AO1533" s="7" t="s">
        <v>132</v>
      </c>
      <c r="AP1533" s="7" t="s">
        <v>132</v>
      </c>
      <c r="AQ1533" s="7" t="s">
        <v>132</v>
      </c>
      <c r="AR1533" s="7" t="s">
        <v>132</v>
      </c>
      <c r="AS1533" s="7" t="s">
        <v>132</v>
      </c>
      <c r="AT1533" s="7" t="s">
        <v>132</v>
      </c>
      <c r="AU1533" s="7" t="s">
        <v>132</v>
      </c>
      <c r="AV1533" s="7" t="s">
        <v>132</v>
      </c>
      <c r="AW1533" s="7" t="s">
        <v>132</v>
      </c>
      <c r="AX1533" s="7" t="s">
        <v>132</v>
      </c>
      <c r="AY1533" s="7" t="s">
        <v>132</v>
      </c>
      <c r="AZ1533" s="7" t="s">
        <v>132</v>
      </c>
      <c r="BA1533" s="7" t="s">
        <v>132</v>
      </c>
      <c r="BB1533" s="7" t="s">
        <v>132</v>
      </c>
      <c r="BC1533" s="7" t="s">
        <v>132</v>
      </c>
      <c r="BD1533" s="7" t="s">
        <v>132</v>
      </c>
      <c r="BE1533" s="7" t="s">
        <v>132</v>
      </c>
      <c r="BF1533" s="7" t="s">
        <v>132</v>
      </c>
      <c r="BG1533" s="7" t="s">
        <v>132</v>
      </c>
      <c r="BH1533" s="7" t="s">
        <v>132</v>
      </c>
      <c r="BI1533" s="7" t="s">
        <v>132</v>
      </c>
      <c r="BJ1533" s="7" t="s">
        <v>132</v>
      </c>
      <c r="BK1533" s="7"/>
    </row>
    <row r="1534" spans="1:63" s="603" customFormat="1">
      <c r="A1534" s="91" t="s">
        <v>132</v>
      </c>
      <c r="B1534" s="7" t="s">
        <v>132</v>
      </c>
      <c r="C1534" s="7" t="s">
        <v>132</v>
      </c>
      <c r="D1534" s="7" t="s">
        <v>132</v>
      </c>
      <c r="E1534" s="7" t="s">
        <v>132</v>
      </c>
      <c r="F1534" s="7" t="s">
        <v>132</v>
      </c>
      <c r="G1534" s="7" t="s">
        <v>132</v>
      </c>
      <c r="H1534" s="7" t="s">
        <v>132</v>
      </c>
      <c r="I1534" s="7" t="s">
        <v>132</v>
      </c>
      <c r="J1534" s="7" t="s">
        <v>132</v>
      </c>
      <c r="K1534" s="7" t="s">
        <v>132</v>
      </c>
      <c r="L1534" s="7" t="s">
        <v>132</v>
      </c>
      <c r="M1534" s="7" t="s">
        <v>132</v>
      </c>
      <c r="N1534" s="7" t="s">
        <v>132</v>
      </c>
      <c r="O1534" s="7" t="s">
        <v>132</v>
      </c>
      <c r="P1534" s="7" t="s">
        <v>132</v>
      </c>
      <c r="Q1534" s="7" t="s">
        <v>132</v>
      </c>
      <c r="R1534" s="7" t="s">
        <v>132</v>
      </c>
      <c r="S1534" s="7" t="s">
        <v>132</v>
      </c>
      <c r="T1534" s="7" t="s">
        <v>132</v>
      </c>
      <c r="U1534" s="7" t="s">
        <v>132</v>
      </c>
      <c r="V1534" s="7" t="s">
        <v>132</v>
      </c>
      <c r="W1534" s="7" t="s">
        <v>132</v>
      </c>
      <c r="X1534" s="7" t="s">
        <v>132</v>
      </c>
      <c r="Y1534" s="7" t="s">
        <v>132</v>
      </c>
      <c r="Z1534" s="7" t="s">
        <v>132</v>
      </c>
      <c r="AA1534" s="225" t="s">
        <v>132</v>
      </c>
      <c r="AB1534" s="225" t="s">
        <v>132</v>
      </c>
      <c r="AC1534" s="7" t="s">
        <v>132</v>
      </c>
      <c r="AD1534" s="7" t="s">
        <v>132</v>
      </c>
      <c r="AE1534" s="7" t="s">
        <v>132</v>
      </c>
      <c r="AF1534" s="7" t="s">
        <v>132</v>
      </c>
      <c r="AG1534" s="7" t="s">
        <v>132</v>
      </c>
      <c r="AH1534" s="7" t="s">
        <v>132</v>
      </c>
      <c r="AI1534" s="7" t="s">
        <v>132</v>
      </c>
      <c r="AJ1534" s="7" t="s">
        <v>132</v>
      </c>
      <c r="AK1534" s="7" t="s">
        <v>132</v>
      </c>
      <c r="AL1534" s="7" t="s">
        <v>132</v>
      </c>
      <c r="AM1534" s="7" t="s">
        <v>132</v>
      </c>
      <c r="AN1534" s="7" t="s">
        <v>132</v>
      </c>
      <c r="AO1534" s="7" t="s">
        <v>132</v>
      </c>
      <c r="AP1534" s="7" t="s">
        <v>132</v>
      </c>
      <c r="AQ1534" s="7" t="s">
        <v>132</v>
      </c>
      <c r="AR1534" s="7" t="s">
        <v>132</v>
      </c>
      <c r="AS1534" s="7" t="s">
        <v>132</v>
      </c>
      <c r="AT1534" s="7" t="s">
        <v>132</v>
      </c>
      <c r="AU1534" s="7" t="s">
        <v>132</v>
      </c>
      <c r="AV1534" s="7" t="s">
        <v>132</v>
      </c>
      <c r="AW1534" s="7" t="s">
        <v>132</v>
      </c>
      <c r="AX1534" s="7" t="s">
        <v>132</v>
      </c>
      <c r="AY1534" s="7" t="s">
        <v>132</v>
      </c>
      <c r="AZ1534" s="7" t="s">
        <v>132</v>
      </c>
      <c r="BA1534" s="7" t="s">
        <v>132</v>
      </c>
      <c r="BB1534" s="7" t="s">
        <v>132</v>
      </c>
      <c r="BC1534" s="7" t="s">
        <v>132</v>
      </c>
      <c r="BD1534" s="7" t="s">
        <v>132</v>
      </c>
      <c r="BE1534" s="7" t="s">
        <v>132</v>
      </c>
      <c r="BF1534" s="7" t="s">
        <v>132</v>
      </c>
      <c r="BG1534" s="7" t="s">
        <v>132</v>
      </c>
      <c r="BH1534" s="7" t="s">
        <v>132</v>
      </c>
      <c r="BI1534" s="7" t="s">
        <v>132</v>
      </c>
      <c r="BJ1534" s="7" t="s">
        <v>132</v>
      </c>
      <c r="BK1534" s="7"/>
    </row>
    <row r="1535" spans="1:63" s="268" customFormat="1" ht="84" customHeight="1">
      <c r="A1535" s="47">
        <v>7</v>
      </c>
      <c r="B1535" s="38" t="s">
        <v>101</v>
      </c>
      <c r="C1535" s="60" t="s">
        <v>83</v>
      </c>
      <c r="D1535" s="60" t="s">
        <v>100</v>
      </c>
      <c r="E1535" s="60" t="s">
        <v>84</v>
      </c>
      <c r="F1535" s="60" t="s">
        <v>85</v>
      </c>
      <c r="G1535" s="60">
        <v>7499000</v>
      </c>
      <c r="H1535" s="11">
        <v>625843</v>
      </c>
      <c r="I1535" s="20" t="s">
        <v>95</v>
      </c>
      <c r="J1535" s="16" t="s">
        <v>87</v>
      </c>
      <c r="K1535" s="16" t="s">
        <v>87</v>
      </c>
      <c r="L1535" s="16" t="s">
        <v>88</v>
      </c>
      <c r="M1535" s="134" t="s">
        <v>4723</v>
      </c>
      <c r="N1535" s="458" t="s">
        <v>5878</v>
      </c>
      <c r="O1535" s="20" t="s">
        <v>4105</v>
      </c>
      <c r="P1535" s="27">
        <v>0</v>
      </c>
      <c r="Q1535" s="27">
        <v>0</v>
      </c>
      <c r="R1535" s="27"/>
      <c r="S1535" s="30"/>
      <c r="T1535" s="47"/>
      <c r="U1535" s="47"/>
      <c r="V1535" s="47"/>
      <c r="W1535" s="47"/>
      <c r="X1535" s="47"/>
      <c r="Y1535" s="39">
        <v>0</v>
      </c>
      <c r="Z1535" s="39">
        <v>0</v>
      </c>
      <c r="AA1535" s="36" t="s">
        <v>132</v>
      </c>
      <c r="AB1535" s="36" t="s">
        <v>132</v>
      </c>
      <c r="AC1535" s="39">
        <v>0</v>
      </c>
      <c r="AD1535" s="39">
        <v>0</v>
      </c>
      <c r="AE1535" s="38" t="s">
        <v>97</v>
      </c>
      <c r="AF1535" s="38" t="s">
        <v>83</v>
      </c>
      <c r="AG1535" s="38" t="s">
        <v>83</v>
      </c>
      <c r="AH1535" s="38" t="s">
        <v>90</v>
      </c>
      <c r="AI1535" s="52">
        <f>AJ1535-60</f>
        <v>41653</v>
      </c>
      <c r="AJ1535" s="51">
        <v>41713</v>
      </c>
      <c r="AK1535" s="333"/>
      <c r="AL1535" s="333"/>
      <c r="AM1535" s="60" t="s">
        <v>87</v>
      </c>
      <c r="AN1535" s="60" t="s">
        <v>98</v>
      </c>
      <c r="AO1535" s="11">
        <v>796</v>
      </c>
      <c r="AP1535" s="38" t="s">
        <v>94</v>
      </c>
      <c r="AQ1535" s="47">
        <v>1</v>
      </c>
      <c r="AR1535" s="38" t="s">
        <v>93</v>
      </c>
      <c r="AS1535" s="16" t="s">
        <v>92</v>
      </c>
      <c r="AT1535" s="52">
        <v>41733</v>
      </c>
      <c r="AU1535" s="52">
        <v>41733</v>
      </c>
      <c r="AV1535" s="224">
        <v>42094</v>
      </c>
      <c r="AW1535" s="38" t="s">
        <v>99</v>
      </c>
      <c r="AX1535" s="333"/>
      <c r="AY1535" s="135"/>
      <c r="AZ1535" s="60"/>
      <c r="BA1535" s="47" t="s">
        <v>132</v>
      </c>
      <c r="BB1535" s="47" t="s">
        <v>132</v>
      </c>
      <c r="BC1535" s="333" t="s">
        <v>132</v>
      </c>
      <c r="BD1535" s="333" t="s">
        <v>132</v>
      </c>
      <c r="BE1535" s="334" t="s">
        <v>132</v>
      </c>
      <c r="BF1535" s="334" t="s">
        <v>132</v>
      </c>
      <c r="BG1535" s="334" t="s">
        <v>132</v>
      </c>
      <c r="BH1535" s="334" t="s">
        <v>132</v>
      </c>
      <c r="BI1535" s="334" t="s">
        <v>132</v>
      </c>
      <c r="BJ1535" s="334" t="s">
        <v>132</v>
      </c>
      <c r="BK1535" s="334"/>
    </row>
    <row r="1536" spans="1:63" s="268" customFormat="1" ht="63" customHeight="1">
      <c r="A1536" s="47">
        <v>7</v>
      </c>
      <c r="B1536" s="38" t="s">
        <v>102</v>
      </c>
      <c r="C1536" s="60" t="s">
        <v>83</v>
      </c>
      <c r="D1536" s="60" t="s">
        <v>100</v>
      </c>
      <c r="E1536" s="60" t="s">
        <v>84</v>
      </c>
      <c r="F1536" s="60" t="s">
        <v>85</v>
      </c>
      <c r="G1536" s="60">
        <v>7499000</v>
      </c>
      <c r="H1536" s="11">
        <v>625849</v>
      </c>
      <c r="I1536" s="16" t="s">
        <v>86</v>
      </c>
      <c r="J1536" s="16" t="s">
        <v>87</v>
      </c>
      <c r="K1536" s="16" t="s">
        <v>87</v>
      </c>
      <c r="L1536" s="16" t="s">
        <v>88</v>
      </c>
      <c r="M1536" s="134" t="s">
        <v>4723</v>
      </c>
      <c r="N1536" s="458" t="s">
        <v>5878</v>
      </c>
      <c r="O1536" s="16" t="s">
        <v>89</v>
      </c>
      <c r="P1536" s="23">
        <v>84.745000000000005</v>
      </c>
      <c r="Q1536" s="23">
        <f t="shared" ref="Q1536:Q1565" si="204">P1536*1.18</f>
        <v>99.999099999999999</v>
      </c>
      <c r="R1536" s="23"/>
      <c r="S1536" s="29"/>
      <c r="T1536" s="47"/>
      <c r="U1536" s="47"/>
      <c r="V1536" s="47"/>
      <c r="W1536" s="47"/>
      <c r="X1536" s="47"/>
      <c r="Y1536" s="23">
        <v>84.745000000000005</v>
      </c>
      <c r="Z1536" s="23">
        <f t="shared" ref="Z1536:Z1565" si="205">Y1536*1.18</f>
        <v>99.999099999999999</v>
      </c>
      <c r="AA1536" s="36" t="s">
        <v>132</v>
      </c>
      <c r="AB1536" s="36" t="s">
        <v>132</v>
      </c>
      <c r="AC1536" s="23">
        <v>84.745000000000005</v>
      </c>
      <c r="AD1536" s="23">
        <f t="shared" ref="AD1536:AD1565" si="206">AC1536*1.18</f>
        <v>99.999099999999999</v>
      </c>
      <c r="AE1536" s="38" t="s">
        <v>1775</v>
      </c>
      <c r="AF1536" s="38" t="s">
        <v>83</v>
      </c>
      <c r="AG1536" s="38" t="s">
        <v>83</v>
      </c>
      <c r="AH1536" s="38" t="s">
        <v>90</v>
      </c>
      <c r="AI1536" s="405">
        <v>41631</v>
      </c>
      <c r="AJ1536" s="51">
        <v>41669</v>
      </c>
      <c r="AK1536" s="60"/>
      <c r="AL1536" s="60"/>
      <c r="AM1536" s="60" t="s">
        <v>87</v>
      </c>
      <c r="AN1536" s="60" t="s">
        <v>91</v>
      </c>
      <c r="AO1536" s="11">
        <v>796</v>
      </c>
      <c r="AP1536" s="38" t="s">
        <v>94</v>
      </c>
      <c r="AQ1536" s="47">
        <v>1</v>
      </c>
      <c r="AR1536" s="38" t="s">
        <v>93</v>
      </c>
      <c r="AS1536" s="16" t="s">
        <v>92</v>
      </c>
      <c r="AT1536" s="52">
        <v>41689</v>
      </c>
      <c r="AU1536" s="52">
        <v>41689</v>
      </c>
      <c r="AV1536" s="51">
        <v>41699</v>
      </c>
      <c r="AW1536" s="38">
        <v>2014</v>
      </c>
      <c r="AX1536" s="60"/>
      <c r="AY1536" s="135"/>
      <c r="AZ1536" s="60"/>
      <c r="BA1536" s="47" t="s">
        <v>132</v>
      </c>
      <c r="BB1536" s="47" t="s">
        <v>132</v>
      </c>
      <c r="BC1536" s="333" t="s">
        <v>132</v>
      </c>
      <c r="BD1536" s="333" t="s">
        <v>132</v>
      </c>
      <c r="BE1536" s="334" t="s">
        <v>132</v>
      </c>
      <c r="BF1536" s="334" t="s">
        <v>132</v>
      </c>
      <c r="BG1536" s="334" t="s">
        <v>132</v>
      </c>
      <c r="BH1536" s="334" t="s">
        <v>132</v>
      </c>
      <c r="BI1536" s="334" t="s">
        <v>132</v>
      </c>
      <c r="BJ1536" s="334" t="s">
        <v>132</v>
      </c>
      <c r="BK1536" s="246"/>
    </row>
    <row r="1537" spans="1:63" s="268" customFormat="1" ht="131.25">
      <c r="A1537" s="47">
        <v>7</v>
      </c>
      <c r="B1537" s="38" t="s">
        <v>103</v>
      </c>
      <c r="C1537" s="60" t="s">
        <v>83</v>
      </c>
      <c r="D1537" s="60" t="s">
        <v>100</v>
      </c>
      <c r="E1537" s="60" t="s">
        <v>84</v>
      </c>
      <c r="F1537" s="60" t="s">
        <v>85</v>
      </c>
      <c r="G1537" s="60">
        <v>7499000</v>
      </c>
      <c r="H1537" s="11">
        <v>625850</v>
      </c>
      <c r="I1537" s="16" t="s">
        <v>86</v>
      </c>
      <c r="J1537" s="16" t="s">
        <v>87</v>
      </c>
      <c r="K1537" s="16" t="s">
        <v>87</v>
      </c>
      <c r="L1537" s="16" t="s">
        <v>88</v>
      </c>
      <c r="M1537" s="134" t="s">
        <v>4723</v>
      </c>
      <c r="N1537" s="458" t="s">
        <v>5878</v>
      </c>
      <c r="O1537" s="16" t="s">
        <v>89</v>
      </c>
      <c r="P1537" s="23">
        <v>84.745000000000005</v>
      </c>
      <c r="Q1537" s="23">
        <f t="shared" si="204"/>
        <v>99.999099999999999</v>
      </c>
      <c r="R1537" s="27"/>
      <c r="S1537" s="29"/>
      <c r="T1537" s="47"/>
      <c r="U1537" s="47"/>
      <c r="V1537" s="47"/>
      <c r="W1537" s="47"/>
      <c r="X1537" s="47"/>
      <c r="Y1537" s="23">
        <v>84.745000000000005</v>
      </c>
      <c r="Z1537" s="23">
        <f t="shared" si="205"/>
        <v>99.999099999999999</v>
      </c>
      <c r="AA1537" s="36" t="s">
        <v>132</v>
      </c>
      <c r="AB1537" s="36" t="s">
        <v>132</v>
      </c>
      <c r="AC1537" s="23">
        <v>84.745000000000005</v>
      </c>
      <c r="AD1537" s="23">
        <f t="shared" si="206"/>
        <v>99.999099999999999</v>
      </c>
      <c r="AE1537" s="38" t="s">
        <v>1775</v>
      </c>
      <c r="AF1537" s="38" t="s">
        <v>83</v>
      </c>
      <c r="AG1537" s="38" t="s">
        <v>83</v>
      </c>
      <c r="AH1537" s="38" t="s">
        <v>90</v>
      </c>
      <c r="AI1537" s="51">
        <v>41650</v>
      </c>
      <c r="AJ1537" s="51">
        <v>41695</v>
      </c>
      <c r="AK1537" s="60"/>
      <c r="AL1537" s="60"/>
      <c r="AM1537" s="60" t="s">
        <v>87</v>
      </c>
      <c r="AN1537" s="60" t="s">
        <v>91</v>
      </c>
      <c r="AO1537" s="11">
        <v>796</v>
      </c>
      <c r="AP1537" s="38" t="s">
        <v>94</v>
      </c>
      <c r="AQ1537" s="47">
        <v>1</v>
      </c>
      <c r="AR1537" s="38" t="s">
        <v>93</v>
      </c>
      <c r="AS1537" s="16" t="s">
        <v>92</v>
      </c>
      <c r="AT1537" s="52">
        <v>41715</v>
      </c>
      <c r="AU1537" s="52">
        <v>41715</v>
      </c>
      <c r="AV1537" s="51">
        <v>41729</v>
      </c>
      <c r="AW1537" s="38">
        <v>2014</v>
      </c>
      <c r="AX1537" s="60"/>
      <c r="AY1537" s="135"/>
      <c r="AZ1537" s="60"/>
      <c r="BA1537" s="47" t="s">
        <v>132</v>
      </c>
      <c r="BB1537" s="47" t="s">
        <v>132</v>
      </c>
      <c r="BC1537" s="333" t="s">
        <v>132</v>
      </c>
      <c r="BD1537" s="333" t="s">
        <v>132</v>
      </c>
      <c r="BE1537" s="334" t="s">
        <v>132</v>
      </c>
      <c r="BF1537" s="334" t="s">
        <v>132</v>
      </c>
      <c r="BG1537" s="334" t="s">
        <v>132</v>
      </c>
      <c r="BH1537" s="334" t="s">
        <v>132</v>
      </c>
      <c r="BI1537" s="334" t="s">
        <v>132</v>
      </c>
      <c r="BJ1537" s="334" t="s">
        <v>132</v>
      </c>
      <c r="BK1537" s="246"/>
    </row>
    <row r="1538" spans="1:63" s="268" customFormat="1" ht="131.25">
      <c r="A1538" s="47">
        <v>7</v>
      </c>
      <c r="B1538" s="38" t="s">
        <v>104</v>
      </c>
      <c r="C1538" s="60" t="s">
        <v>83</v>
      </c>
      <c r="D1538" s="60" t="s">
        <v>100</v>
      </c>
      <c r="E1538" s="60" t="s">
        <v>84</v>
      </c>
      <c r="F1538" s="60" t="s">
        <v>85</v>
      </c>
      <c r="G1538" s="60">
        <v>7499000</v>
      </c>
      <c r="H1538" s="11">
        <v>625857</v>
      </c>
      <c r="I1538" s="16" t="s">
        <v>86</v>
      </c>
      <c r="J1538" s="16" t="s">
        <v>87</v>
      </c>
      <c r="K1538" s="16" t="s">
        <v>87</v>
      </c>
      <c r="L1538" s="16" t="s">
        <v>88</v>
      </c>
      <c r="M1538" s="134" t="s">
        <v>4723</v>
      </c>
      <c r="N1538" s="458" t="s">
        <v>5878</v>
      </c>
      <c r="O1538" s="16" t="s">
        <v>89</v>
      </c>
      <c r="P1538" s="23">
        <v>169.49</v>
      </c>
      <c r="Q1538" s="23">
        <f t="shared" si="204"/>
        <v>199.9982</v>
      </c>
      <c r="R1538" s="23"/>
      <c r="S1538" s="29"/>
      <c r="T1538" s="47"/>
      <c r="U1538" s="47"/>
      <c r="V1538" s="47"/>
      <c r="W1538" s="47"/>
      <c r="X1538" s="47"/>
      <c r="Y1538" s="34">
        <v>169.49</v>
      </c>
      <c r="Z1538" s="34">
        <f t="shared" si="205"/>
        <v>199.9982</v>
      </c>
      <c r="AA1538" s="36" t="s">
        <v>132</v>
      </c>
      <c r="AB1538" s="36" t="s">
        <v>132</v>
      </c>
      <c r="AC1538" s="34">
        <v>169.49</v>
      </c>
      <c r="AD1538" s="34">
        <f t="shared" si="206"/>
        <v>199.9982</v>
      </c>
      <c r="AE1538" s="38" t="s">
        <v>1775</v>
      </c>
      <c r="AF1538" s="38" t="s">
        <v>83</v>
      </c>
      <c r="AG1538" s="38" t="s">
        <v>83</v>
      </c>
      <c r="AH1538" s="38" t="s">
        <v>90</v>
      </c>
      <c r="AI1538" s="51">
        <v>41650</v>
      </c>
      <c r="AJ1538" s="51">
        <v>41695</v>
      </c>
      <c r="AK1538" s="60"/>
      <c r="AL1538" s="60"/>
      <c r="AM1538" s="60" t="s">
        <v>87</v>
      </c>
      <c r="AN1538" s="60" t="s">
        <v>91</v>
      </c>
      <c r="AO1538" s="11">
        <v>796</v>
      </c>
      <c r="AP1538" s="38" t="s">
        <v>94</v>
      </c>
      <c r="AQ1538" s="47">
        <v>1</v>
      </c>
      <c r="AR1538" s="38" t="s">
        <v>93</v>
      </c>
      <c r="AS1538" s="16" t="s">
        <v>92</v>
      </c>
      <c r="AT1538" s="52">
        <v>41715</v>
      </c>
      <c r="AU1538" s="52">
        <v>41715</v>
      </c>
      <c r="AV1538" s="51">
        <v>41729</v>
      </c>
      <c r="AW1538" s="38">
        <v>2014</v>
      </c>
      <c r="AX1538" s="60"/>
      <c r="AY1538" s="135"/>
      <c r="AZ1538" s="60"/>
      <c r="BA1538" s="47" t="s">
        <v>132</v>
      </c>
      <c r="BB1538" s="47" t="s">
        <v>132</v>
      </c>
      <c r="BC1538" s="333" t="s">
        <v>132</v>
      </c>
      <c r="BD1538" s="333" t="s">
        <v>132</v>
      </c>
      <c r="BE1538" s="334" t="s">
        <v>132</v>
      </c>
      <c r="BF1538" s="334" t="s">
        <v>132</v>
      </c>
      <c r="BG1538" s="334" t="s">
        <v>132</v>
      </c>
      <c r="BH1538" s="334" t="s">
        <v>132</v>
      </c>
      <c r="BI1538" s="334" t="s">
        <v>132</v>
      </c>
      <c r="BJ1538" s="334" t="s">
        <v>132</v>
      </c>
      <c r="BK1538" s="246"/>
    </row>
    <row r="1539" spans="1:63" s="268" customFormat="1" ht="131.25">
      <c r="A1539" s="47">
        <v>7</v>
      </c>
      <c r="B1539" s="38" t="s">
        <v>105</v>
      </c>
      <c r="C1539" s="60" t="s">
        <v>83</v>
      </c>
      <c r="D1539" s="60" t="s">
        <v>100</v>
      </c>
      <c r="E1539" s="60" t="s">
        <v>84</v>
      </c>
      <c r="F1539" s="60" t="s">
        <v>85</v>
      </c>
      <c r="G1539" s="60">
        <v>7499000</v>
      </c>
      <c r="H1539" s="11">
        <v>625858</v>
      </c>
      <c r="I1539" s="16" t="s">
        <v>86</v>
      </c>
      <c r="J1539" s="16" t="s">
        <v>87</v>
      </c>
      <c r="K1539" s="16" t="s">
        <v>87</v>
      </c>
      <c r="L1539" s="16" t="s">
        <v>88</v>
      </c>
      <c r="M1539" s="134" t="s">
        <v>4723</v>
      </c>
      <c r="N1539" s="458" t="s">
        <v>5878</v>
      </c>
      <c r="O1539" s="16" t="s">
        <v>89</v>
      </c>
      <c r="P1539" s="23">
        <v>169.49</v>
      </c>
      <c r="Q1539" s="23">
        <f t="shared" si="204"/>
        <v>199.9982</v>
      </c>
      <c r="R1539" s="27"/>
      <c r="S1539" s="29"/>
      <c r="T1539" s="47"/>
      <c r="U1539" s="47"/>
      <c r="V1539" s="47"/>
      <c r="W1539" s="47"/>
      <c r="X1539" s="47"/>
      <c r="Y1539" s="34">
        <v>169.49</v>
      </c>
      <c r="Z1539" s="34">
        <f t="shared" si="205"/>
        <v>199.9982</v>
      </c>
      <c r="AA1539" s="36" t="s">
        <v>132</v>
      </c>
      <c r="AB1539" s="36" t="s">
        <v>132</v>
      </c>
      <c r="AC1539" s="34">
        <v>169.49</v>
      </c>
      <c r="AD1539" s="34">
        <f t="shared" si="206"/>
        <v>199.9982</v>
      </c>
      <c r="AE1539" s="38" t="s">
        <v>1775</v>
      </c>
      <c r="AF1539" s="38" t="s">
        <v>83</v>
      </c>
      <c r="AG1539" s="38" t="s">
        <v>83</v>
      </c>
      <c r="AH1539" s="38" t="s">
        <v>90</v>
      </c>
      <c r="AI1539" s="51">
        <v>41650</v>
      </c>
      <c r="AJ1539" s="51">
        <v>41695</v>
      </c>
      <c r="AK1539" s="60"/>
      <c r="AL1539" s="60"/>
      <c r="AM1539" s="60" t="s">
        <v>87</v>
      </c>
      <c r="AN1539" s="60" t="s">
        <v>91</v>
      </c>
      <c r="AO1539" s="11">
        <v>796</v>
      </c>
      <c r="AP1539" s="38" t="s">
        <v>94</v>
      </c>
      <c r="AQ1539" s="47">
        <v>1</v>
      </c>
      <c r="AR1539" s="38" t="s">
        <v>93</v>
      </c>
      <c r="AS1539" s="16" t="s">
        <v>92</v>
      </c>
      <c r="AT1539" s="52">
        <v>41715</v>
      </c>
      <c r="AU1539" s="52">
        <v>41715</v>
      </c>
      <c r="AV1539" s="51">
        <v>41729</v>
      </c>
      <c r="AW1539" s="38">
        <v>2014</v>
      </c>
      <c r="AX1539" s="60"/>
      <c r="AY1539" s="135"/>
      <c r="AZ1539" s="60"/>
      <c r="BA1539" s="47" t="s">
        <v>132</v>
      </c>
      <c r="BB1539" s="47" t="s">
        <v>132</v>
      </c>
      <c r="BC1539" s="333" t="s">
        <v>132</v>
      </c>
      <c r="BD1539" s="333" t="s">
        <v>132</v>
      </c>
      <c r="BE1539" s="334" t="s">
        <v>132</v>
      </c>
      <c r="BF1539" s="334" t="s">
        <v>132</v>
      </c>
      <c r="BG1539" s="334" t="s">
        <v>132</v>
      </c>
      <c r="BH1539" s="334" t="s">
        <v>132</v>
      </c>
      <c r="BI1539" s="334" t="s">
        <v>132</v>
      </c>
      <c r="BJ1539" s="334" t="s">
        <v>132</v>
      </c>
      <c r="BK1539" s="246"/>
    </row>
    <row r="1540" spans="1:63" s="268" customFormat="1" ht="131.25">
      <c r="A1540" s="47">
        <v>7</v>
      </c>
      <c r="B1540" s="38" t="s">
        <v>106</v>
      </c>
      <c r="C1540" s="60" t="s">
        <v>83</v>
      </c>
      <c r="D1540" s="60" t="s">
        <v>100</v>
      </c>
      <c r="E1540" s="60" t="s">
        <v>84</v>
      </c>
      <c r="F1540" s="60" t="s">
        <v>85</v>
      </c>
      <c r="G1540" s="60">
        <v>7499000</v>
      </c>
      <c r="H1540" s="11">
        <v>625859</v>
      </c>
      <c r="I1540" s="16" t="s">
        <v>86</v>
      </c>
      <c r="J1540" s="16" t="s">
        <v>87</v>
      </c>
      <c r="K1540" s="16" t="s">
        <v>87</v>
      </c>
      <c r="L1540" s="16" t="s">
        <v>88</v>
      </c>
      <c r="M1540" s="134" t="s">
        <v>4723</v>
      </c>
      <c r="N1540" s="458" t="s">
        <v>5878</v>
      </c>
      <c r="O1540" s="16" t="s">
        <v>89</v>
      </c>
      <c r="P1540" s="23">
        <v>254.24</v>
      </c>
      <c r="Q1540" s="23">
        <f t="shared" si="204"/>
        <v>300.00319999999999</v>
      </c>
      <c r="R1540" s="23"/>
      <c r="S1540" s="29"/>
      <c r="T1540" s="47"/>
      <c r="U1540" s="47"/>
      <c r="V1540" s="47"/>
      <c r="W1540" s="47"/>
      <c r="X1540" s="47"/>
      <c r="Y1540" s="34">
        <v>254.24</v>
      </c>
      <c r="Z1540" s="34">
        <f t="shared" si="205"/>
        <v>300.00319999999999</v>
      </c>
      <c r="AA1540" s="36" t="s">
        <v>132</v>
      </c>
      <c r="AB1540" s="36" t="s">
        <v>132</v>
      </c>
      <c r="AC1540" s="34">
        <v>254.24</v>
      </c>
      <c r="AD1540" s="34">
        <f t="shared" si="206"/>
        <v>300.00319999999999</v>
      </c>
      <c r="AE1540" s="38" t="s">
        <v>1775</v>
      </c>
      <c r="AF1540" s="38" t="s">
        <v>83</v>
      </c>
      <c r="AG1540" s="38" t="s">
        <v>83</v>
      </c>
      <c r="AH1540" s="38" t="s">
        <v>90</v>
      </c>
      <c r="AI1540" s="51">
        <v>41650</v>
      </c>
      <c r="AJ1540" s="51">
        <v>41695</v>
      </c>
      <c r="AK1540" s="60"/>
      <c r="AL1540" s="60"/>
      <c r="AM1540" s="60" t="s">
        <v>87</v>
      </c>
      <c r="AN1540" s="60" t="s">
        <v>91</v>
      </c>
      <c r="AO1540" s="11">
        <v>796</v>
      </c>
      <c r="AP1540" s="38" t="s">
        <v>94</v>
      </c>
      <c r="AQ1540" s="47">
        <v>1</v>
      </c>
      <c r="AR1540" s="38" t="s">
        <v>93</v>
      </c>
      <c r="AS1540" s="16" t="s">
        <v>92</v>
      </c>
      <c r="AT1540" s="52">
        <v>41715</v>
      </c>
      <c r="AU1540" s="52">
        <v>41715</v>
      </c>
      <c r="AV1540" s="51">
        <v>41729</v>
      </c>
      <c r="AW1540" s="38">
        <v>2014</v>
      </c>
      <c r="AX1540" s="60"/>
      <c r="AY1540" s="135"/>
      <c r="AZ1540" s="60"/>
      <c r="BA1540" s="47" t="s">
        <v>132</v>
      </c>
      <c r="BB1540" s="47" t="s">
        <v>132</v>
      </c>
      <c r="BC1540" s="333" t="s">
        <v>132</v>
      </c>
      <c r="BD1540" s="333" t="s">
        <v>132</v>
      </c>
      <c r="BE1540" s="334" t="s">
        <v>132</v>
      </c>
      <c r="BF1540" s="334" t="s">
        <v>132</v>
      </c>
      <c r="BG1540" s="334" t="s">
        <v>132</v>
      </c>
      <c r="BH1540" s="334" t="s">
        <v>132</v>
      </c>
      <c r="BI1540" s="334" t="s">
        <v>132</v>
      </c>
      <c r="BJ1540" s="334" t="s">
        <v>132</v>
      </c>
      <c r="BK1540" s="246"/>
    </row>
    <row r="1541" spans="1:63" s="268" customFormat="1" ht="131.25">
      <c r="A1541" s="47">
        <v>7</v>
      </c>
      <c r="B1541" s="38" t="s">
        <v>107</v>
      </c>
      <c r="C1541" s="60" t="s">
        <v>83</v>
      </c>
      <c r="D1541" s="60" t="s">
        <v>100</v>
      </c>
      <c r="E1541" s="60" t="s">
        <v>84</v>
      </c>
      <c r="F1541" s="60" t="s">
        <v>85</v>
      </c>
      <c r="G1541" s="60">
        <v>7499000</v>
      </c>
      <c r="H1541" s="11">
        <v>625860</v>
      </c>
      <c r="I1541" s="16" t="s">
        <v>86</v>
      </c>
      <c r="J1541" s="16" t="s">
        <v>87</v>
      </c>
      <c r="K1541" s="16" t="s">
        <v>87</v>
      </c>
      <c r="L1541" s="16" t="s">
        <v>88</v>
      </c>
      <c r="M1541" s="134" t="s">
        <v>4723</v>
      </c>
      <c r="N1541" s="458" t="s">
        <v>5878</v>
      </c>
      <c r="O1541" s="16" t="s">
        <v>89</v>
      </c>
      <c r="P1541" s="23">
        <v>254.24</v>
      </c>
      <c r="Q1541" s="23">
        <f t="shared" si="204"/>
        <v>300.00319999999999</v>
      </c>
      <c r="R1541" s="27"/>
      <c r="S1541" s="29"/>
      <c r="T1541" s="47"/>
      <c r="U1541" s="47"/>
      <c r="V1541" s="47"/>
      <c r="W1541" s="47"/>
      <c r="X1541" s="47"/>
      <c r="Y1541" s="34">
        <v>254.24</v>
      </c>
      <c r="Z1541" s="34">
        <f t="shared" si="205"/>
        <v>300.00319999999999</v>
      </c>
      <c r="AA1541" s="36" t="s">
        <v>132</v>
      </c>
      <c r="AB1541" s="36" t="s">
        <v>132</v>
      </c>
      <c r="AC1541" s="34">
        <v>254.24</v>
      </c>
      <c r="AD1541" s="34">
        <f t="shared" si="206"/>
        <v>300.00319999999999</v>
      </c>
      <c r="AE1541" s="38" t="s">
        <v>1775</v>
      </c>
      <c r="AF1541" s="38" t="s">
        <v>83</v>
      </c>
      <c r="AG1541" s="38" t="s">
        <v>83</v>
      </c>
      <c r="AH1541" s="38" t="s">
        <v>90</v>
      </c>
      <c r="AI1541" s="51">
        <v>41650</v>
      </c>
      <c r="AJ1541" s="51">
        <v>41695</v>
      </c>
      <c r="AK1541" s="60"/>
      <c r="AL1541" s="60"/>
      <c r="AM1541" s="60" t="s">
        <v>87</v>
      </c>
      <c r="AN1541" s="60" t="s">
        <v>91</v>
      </c>
      <c r="AO1541" s="11">
        <v>796</v>
      </c>
      <c r="AP1541" s="38" t="s">
        <v>94</v>
      </c>
      <c r="AQ1541" s="47">
        <v>1</v>
      </c>
      <c r="AR1541" s="38" t="s">
        <v>93</v>
      </c>
      <c r="AS1541" s="16" t="s">
        <v>92</v>
      </c>
      <c r="AT1541" s="52">
        <v>41715</v>
      </c>
      <c r="AU1541" s="52">
        <v>41715</v>
      </c>
      <c r="AV1541" s="51">
        <v>41729</v>
      </c>
      <c r="AW1541" s="38">
        <v>2014</v>
      </c>
      <c r="AX1541" s="60"/>
      <c r="AY1541" s="135"/>
      <c r="AZ1541" s="60"/>
      <c r="BA1541" s="47" t="s">
        <v>132</v>
      </c>
      <c r="BB1541" s="47" t="s">
        <v>132</v>
      </c>
      <c r="BC1541" s="333" t="s">
        <v>132</v>
      </c>
      <c r="BD1541" s="333" t="s">
        <v>132</v>
      </c>
      <c r="BE1541" s="334" t="s">
        <v>132</v>
      </c>
      <c r="BF1541" s="334" t="s">
        <v>132</v>
      </c>
      <c r="BG1541" s="334" t="s">
        <v>132</v>
      </c>
      <c r="BH1541" s="334" t="s">
        <v>132</v>
      </c>
      <c r="BI1541" s="334" t="s">
        <v>132</v>
      </c>
      <c r="BJ1541" s="334" t="s">
        <v>132</v>
      </c>
      <c r="BK1541" s="246"/>
    </row>
    <row r="1542" spans="1:63" s="268" customFormat="1" ht="131.25">
      <c r="A1542" s="47">
        <v>7</v>
      </c>
      <c r="B1542" s="38" t="s">
        <v>108</v>
      </c>
      <c r="C1542" s="60" t="s">
        <v>83</v>
      </c>
      <c r="D1542" s="60" t="s">
        <v>100</v>
      </c>
      <c r="E1542" s="60" t="s">
        <v>84</v>
      </c>
      <c r="F1542" s="60" t="s">
        <v>85</v>
      </c>
      <c r="G1542" s="60">
        <v>7499000</v>
      </c>
      <c r="H1542" s="11">
        <v>625861</v>
      </c>
      <c r="I1542" s="16" t="s">
        <v>86</v>
      </c>
      <c r="J1542" s="16" t="s">
        <v>87</v>
      </c>
      <c r="K1542" s="16" t="s">
        <v>87</v>
      </c>
      <c r="L1542" s="16" t="s">
        <v>88</v>
      </c>
      <c r="M1542" s="134" t="s">
        <v>4723</v>
      </c>
      <c r="N1542" s="458" t="s">
        <v>5878</v>
      </c>
      <c r="O1542" s="16" t="s">
        <v>89</v>
      </c>
      <c r="P1542" s="23">
        <v>254.24</v>
      </c>
      <c r="Q1542" s="23">
        <f t="shared" si="204"/>
        <v>300.00319999999999</v>
      </c>
      <c r="R1542" s="23"/>
      <c r="S1542" s="29"/>
      <c r="T1542" s="47"/>
      <c r="U1542" s="47"/>
      <c r="V1542" s="47"/>
      <c r="W1542" s="47"/>
      <c r="X1542" s="47"/>
      <c r="Y1542" s="34">
        <v>254.24</v>
      </c>
      <c r="Z1542" s="34">
        <f t="shared" si="205"/>
        <v>300.00319999999999</v>
      </c>
      <c r="AA1542" s="36" t="s">
        <v>132</v>
      </c>
      <c r="AB1542" s="36" t="s">
        <v>132</v>
      </c>
      <c r="AC1542" s="34">
        <v>254.24</v>
      </c>
      <c r="AD1542" s="34">
        <f t="shared" si="206"/>
        <v>300.00319999999999</v>
      </c>
      <c r="AE1542" s="38" t="s">
        <v>1775</v>
      </c>
      <c r="AF1542" s="38" t="s">
        <v>83</v>
      </c>
      <c r="AG1542" s="38" t="s">
        <v>83</v>
      </c>
      <c r="AH1542" s="38" t="s">
        <v>90</v>
      </c>
      <c r="AI1542" s="51">
        <v>41650</v>
      </c>
      <c r="AJ1542" s="51">
        <v>41695</v>
      </c>
      <c r="AK1542" s="60"/>
      <c r="AL1542" s="60"/>
      <c r="AM1542" s="60" t="s">
        <v>87</v>
      </c>
      <c r="AN1542" s="60" t="s">
        <v>91</v>
      </c>
      <c r="AO1542" s="11">
        <v>796</v>
      </c>
      <c r="AP1542" s="38" t="s">
        <v>94</v>
      </c>
      <c r="AQ1542" s="47">
        <v>1</v>
      </c>
      <c r="AR1542" s="38" t="s">
        <v>93</v>
      </c>
      <c r="AS1542" s="16" t="s">
        <v>92</v>
      </c>
      <c r="AT1542" s="52">
        <v>41715</v>
      </c>
      <c r="AU1542" s="52">
        <v>41715</v>
      </c>
      <c r="AV1542" s="51">
        <v>41729</v>
      </c>
      <c r="AW1542" s="38">
        <v>2014</v>
      </c>
      <c r="AX1542" s="60"/>
      <c r="AY1542" s="135"/>
      <c r="AZ1542" s="60"/>
      <c r="BA1542" s="47" t="s">
        <v>132</v>
      </c>
      <c r="BB1542" s="47" t="s">
        <v>132</v>
      </c>
      <c r="BC1542" s="333" t="s">
        <v>132</v>
      </c>
      <c r="BD1542" s="333" t="s">
        <v>132</v>
      </c>
      <c r="BE1542" s="334" t="s">
        <v>132</v>
      </c>
      <c r="BF1542" s="334" t="s">
        <v>132</v>
      </c>
      <c r="BG1542" s="334" t="s">
        <v>132</v>
      </c>
      <c r="BH1542" s="334" t="s">
        <v>132</v>
      </c>
      <c r="BI1542" s="334" t="s">
        <v>132</v>
      </c>
      <c r="BJ1542" s="334" t="s">
        <v>132</v>
      </c>
      <c r="BK1542" s="246"/>
    </row>
    <row r="1543" spans="1:63" s="268" customFormat="1" ht="131.25">
      <c r="A1543" s="47">
        <v>7</v>
      </c>
      <c r="B1543" s="38" t="s">
        <v>109</v>
      </c>
      <c r="C1543" s="60" t="s">
        <v>83</v>
      </c>
      <c r="D1543" s="60" t="s">
        <v>100</v>
      </c>
      <c r="E1543" s="60" t="s">
        <v>84</v>
      </c>
      <c r="F1543" s="60" t="s">
        <v>85</v>
      </c>
      <c r="G1543" s="60">
        <v>7499000</v>
      </c>
      <c r="H1543" s="11">
        <v>625862</v>
      </c>
      <c r="I1543" s="16" t="s">
        <v>86</v>
      </c>
      <c r="J1543" s="16" t="s">
        <v>87</v>
      </c>
      <c r="K1543" s="16" t="s">
        <v>87</v>
      </c>
      <c r="L1543" s="16" t="s">
        <v>88</v>
      </c>
      <c r="M1543" s="134" t="s">
        <v>4723</v>
      </c>
      <c r="N1543" s="458" t="s">
        <v>5878</v>
      </c>
      <c r="O1543" s="16" t="s">
        <v>89</v>
      </c>
      <c r="P1543" s="23">
        <v>423.73</v>
      </c>
      <c r="Q1543" s="23">
        <f t="shared" si="204"/>
        <v>500.00139999999999</v>
      </c>
      <c r="R1543" s="27"/>
      <c r="S1543" s="29"/>
      <c r="T1543" s="47"/>
      <c r="U1543" s="47"/>
      <c r="V1543" s="47"/>
      <c r="W1543" s="47"/>
      <c r="X1543" s="47"/>
      <c r="Y1543" s="34">
        <v>423.73</v>
      </c>
      <c r="Z1543" s="34">
        <f t="shared" si="205"/>
        <v>500.00139999999999</v>
      </c>
      <c r="AA1543" s="36" t="s">
        <v>132</v>
      </c>
      <c r="AB1543" s="36" t="s">
        <v>132</v>
      </c>
      <c r="AC1543" s="34">
        <v>423.73</v>
      </c>
      <c r="AD1543" s="34">
        <f t="shared" si="206"/>
        <v>500.00139999999999</v>
      </c>
      <c r="AE1543" s="38" t="s">
        <v>1775</v>
      </c>
      <c r="AF1543" s="38" t="s">
        <v>83</v>
      </c>
      <c r="AG1543" s="38" t="s">
        <v>83</v>
      </c>
      <c r="AH1543" s="38" t="s">
        <v>90</v>
      </c>
      <c r="AI1543" s="51">
        <v>41650</v>
      </c>
      <c r="AJ1543" s="51">
        <v>41695</v>
      </c>
      <c r="AK1543" s="60"/>
      <c r="AL1543" s="60"/>
      <c r="AM1543" s="60" t="s">
        <v>87</v>
      </c>
      <c r="AN1543" s="60" t="s">
        <v>91</v>
      </c>
      <c r="AO1543" s="11">
        <v>796</v>
      </c>
      <c r="AP1543" s="38" t="s">
        <v>94</v>
      </c>
      <c r="AQ1543" s="47">
        <v>1</v>
      </c>
      <c r="AR1543" s="38" t="s">
        <v>93</v>
      </c>
      <c r="AS1543" s="16" t="s">
        <v>92</v>
      </c>
      <c r="AT1543" s="52">
        <v>41715</v>
      </c>
      <c r="AU1543" s="52">
        <v>41715</v>
      </c>
      <c r="AV1543" s="51">
        <v>41729</v>
      </c>
      <c r="AW1543" s="38">
        <v>2014</v>
      </c>
      <c r="AX1543" s="60"/>
      <c r="AY1543" s="135"/>
      <c r="AZ1543" s="60"/>
      <c r="BA1543" s="47" t="s">
        <v>132</v>
      </c>
      <c r="BB1543" s="47" t="s">
        <v>132</v>
      </c>
      <c r="BC1543" s="333" t="s">
        <v>132</v>
      </c>
      <c r="BD1543" s="333" t="s">
        <v>132</v>
      </c>
      <c r="BE1543" s="334" t="s">
        <v>132</v>
      </c>
      <c r="BF1543" s="334" t="s">
        <v>132</v>
      </c>
      <c r="BG1543" s="334" t="s">
        <v>132</v>
      </c>
      <c r="BH1543" s="334" t="s">
        <v>132</v>
      </c>
      <c r="BI1543" s="334" t="s">
        <v>132</v>
      </c>
      <c r="BJ1543" s="334" t="s">
        <v>132</v>
      </c>
      <c r="BK1543" s="246"/>
    </row>
    <row r="1544" spans="1:63" s="268" customFormat="1" ht="131.25">
      <c r="A1544" s="47">
        <v>7</v>
      </c>
      <c r="B1544" s="38" t="s">
        <v>110</v>
      </c>
      <c r="C1544" s="60" t="s">
        <v>83</v>
      </c>
      <c r="D1544" s="60" t="s">
        <v>100</v>
      </c>
      <c r="E1544" s="60" t="s">
        <v>84</v>
      </c>
      <c r="F1544" s="60" t="s">
        <v>85</v>
      </c>
      <c r="G1544" s="60">
        <v>7499000</v>
      </c>
      <c r="H1544" s="11">
        <v>625863</v>
      </c>
      <c r="I1544" s="16" t="s">
        <v>86</v>
      </c>
      <c r="J1544" s="16" t="s">
        <v>87</v>
      </c>
      <c r="K1544" s="16" t="s">
        <v>87</v>
      </c>
      <c r="L1544" s="16" t="s">
        <v>88</v>
      </c>
      <c r="M1544" s="134" t="s">
        <v>4723</v>
      </c>
      <c r="N1544" s="458" t="s">
        <v>5878</v>
      </c>
      <c r="O1544" s="16" t="s">
        <v>89</v>
      </c>
      <c r="P1544" s="23">
        <v>423.73</v>
      </c>
      <c r="Q1544" s="23">
        <f t="shared" si="204"/>
        <v>500.00139999999999</v>
      </c>
      <c r="R1544" s="23"/>
      <c r="S1544" s="29"/>
      <c r="T1544" s="47"/>
      <c r="U1544" s="47"/>
      <c r="V1544" s="47"/>
      <c r="W1544" s="47"/>
      <c r="X1544" s="47"/>
      <c r="Y1544" s="34">
        <v>423.73</v>
      </c>
      <c r="Z1544" s="34">
        <f t="shared" si="205"/>
        <v>500.00139999999999</v>
      </c>
      <c r="AA1544" s="36" t="s">
        <v>132</v>
      </c>
      <c r="AB1544" s="36" t="s">
        <v>132</v>
      </c>
      <c r="AC1544" s="34">
        <v>423.73</v>
      </c>
      <c r="AD1544" s="34">
        <f t="shared" si="206"/>
        <v>500.00139999999999</v>
      </c>
      <c r="AE1544" s="38" t="s">
        <v>1775</v>
      </c>
      <c r="AF1544" s="38" t="s">
        <v>83</v>
      </c>
      <c r="AG1544" s="38" t="s">
        <v>83</v>
      </c>
      <c r="AH1544" s="38" t="s">
        <v>90</v>
      </c>
      <c r="AI1544" s="51">
        <v>41650</v>
      </c>
      <c r="AJ1544" s="51">
        <v>41695</v>
      </c>
      <c r="AK1544" s="60"/>
      <c r="AL1544" s="60"/>
      <c r="AM1544" s="60" t="s">
        <v>87</v>
      </c>
      <c r="AN1544" s="60" t="s">
        <v>91</v>
      </c>
      <c r="AO1544" s="11">
        <v>796</v>
      </c>
      <c r="AP1544" s="38" t="s">
        <v>94</v>
      </c>
      <c r="AQ1544" s="47">
        <v>1</v>
      </c>
      <c r="AR1544" s="38" t="s">
        <v>93</v>
      </c>
      <c r="AS1544" s="16" t="s">
        <v>92</v>
      </c>
      <c r="AT1544" s="52">
        <v>41715</v>
      </c>
      <c r="AU1544" s="52">
        <v>41715</v>
      </c>
      <c r="AV1544" s="51">
        <v>41729</v>
      </c>
      <c r="AW1544" s="38">
        <v>2014</v>
      </c>
      <c r="AX1544" s="60"/>
      <c r="AY1544" s="135"/>
      <c r="AZ1544" s="60"/>
      <c r="BA1544" s="47" t="s">
        <v>132</v>
      </c>
      <c r="BB1544" s="47" t="s">
        <v>132</v>
      </c>
      <c r="BC1544" s="333" t="s">
        <v>132</v>
      </c>
      <c r="BD1544" s="333" t="s">
        <v>132</v>
      </c>
      <c r="BE1544" s="334" t="s">
        <v>132</v>
      </c>
      <c r="BF1544" s="334" t="s">
        <v>132</v>
      </c>
      <c r="BG1544" s="334" t="s">
        <v>132</v>
      </c>
      <c r="BH1544" s="334" t="s">
        <v>132</v>
      </c>
      <c r="BI1544" s="334" t="s">
        <v>132</v>
      </c>
      <c r="BJ1544" s="334" t="s">
        <v>132</v>
      </c>
      <c r="BK1544" s="246"/>
    </row>
    <row r="1545" spans="1:63" s="268" customFormat="1" ht="131.25">
      <c r="A1545" s="47">
        <v>7</v>
      </c>
      <c r="B1545" s="38" t="s">
        <v>111</v>
      </c>
      <c r="C1545" s="60" t="s">
        <v>83</v>
      </c>
      <c r="D1545" s="60" t="s">
        <v>100</v>
      </c>
      <c r="E1545" s="60" t="s">
        <v>84</v>
      </c>
      <c r="F1545" s="60" t="s">
        <v>85</v>
      </c>
      <c r="G1545" s="60">
        <v>7499000</v>
      </c>
      <c r="H1545" s="11">
        <v>625864</v>
      </c>
      <c r="I1545" s="16" t="s">
        <v>86</v>
      </c>
      <c r="J1545" s="16" t="s">
        <v>87</v>
      </c>
      <c r="K1545" s="16" t="s">
        <v>87</v>
      </c>
      <c r="L1545" s="16" t="s">
        <v>88</v>
      </c>
      <c r="M1545" s="134" t="s">
        <v>4723</v>
      </c>
      <c r="N1545" s="458" t="s">
        <v>5878</v>
      </c>
      <c r="O1545" s="16" t="s">
        <v>89</v>
      </c>
      <c r="P1545" s="23">
        <v>84.745000000000005</v>
      </c>
      <c r="Q1545" s="23">
        <f t="shared" si="204"/>
        <v>99.999099999999999</v>
      </c>
      <c r="R1545" s="27"/>
      <c r="S1545" s="29"/>
      <c r="T1545" s="47"/>
      <c r="U1545" s="47"/>
      <c r="V1545" s="47"/>
      <c r="W1545" s="47"/>
      <c r="X1545" s="47"/>
      <c r="Y1545" s="23">
        <v>84.745000000000005</v>
      </c>
      <c r="Z1545" s="23">
        <f t="shared" si="205"/>
        <v>99.999099999999999</v>
      </c>
      <c r="AA1545" s="36" t="s">
        <v>132</v>
      </c>
      <c r="AB1545" s="36" t="s">
        <v>132</v>
      </c>
      <c r="AC1545" s="23">
        <v>84.745000000000005</v>
      </c>
      <c r="AD1545" s="23">
        <f t="shared" si="206"/>
        <v>99.999099999999999</v>
      </c>
      <c r="AE1545" s="38" t="s">
        <v>1775</v>
      </c>
      <c r="AF1545" s="38" t="s">
        <v>83</v>
      </c>
      <c r="AG1545" s="38" t="s">
        <v>83</v>
      </c>
      <c r="AH1545" s="38" t="s">
        <v>90</v>
      </c>
      <c r="AI1545" s="51">
        <v>41739</v>
      </c>
      <c r="AJ1545" s="51">
        <v>41784</v>
      </c>
      <c r="AK1545" s="60"/>
      <c r="AL1545" s="60"/>
      <c r="AM1545" s="60" t="s">
        <v>87</v>
      </c>
      <c r="AN1545" s="60" t="s">
        <v>91</v>
      </c>
      <c r="AO1545" s="11">
        <v>796</v>
      </c>
      <c r="AP1545" s="38" t="s">
        <v>94</v>
      </c>
      <c r="AQ1545" s="47">
        <v>1</v>
      </c>
      <c r="AR1545" s="38" t="s">
        <v>93</v>
      </c>
      <c r="AS1545" s="16" t="s">
        <v>92</v>
      </c>
      <c r="AT1545" s="52">
        <v>41804</v>
      </c>
      <c r="AU1545" s="52">
        <v>41804</v>
      </c>
      <c r="AV1545" s="52">
        <v>41820</v>
      </c>
      <c r="AW1545" s="38">
        <v>2014</v>
      </c>
      <c r="AX1545" s="60"/>
      <c r="AY1545" s="135"/>
      <c r="AZ1545" s="60"/>
      <c r="BA1545" s="47" t="s">
        <v>132</v>
      </c>
      <c r="BB1545" s="47" t="s">
        <v>132</v>
      </c>
      <c r="BC1545" s="333" t="s">
        <v>132</v>
      </c>
      <c r="BD1545" s="333" t="s">
        <v>132</v>
      </c>
      <c r="BE1545" s="334" t="s">
        <v>132</v>
      </c>
      <c r="BF1545" s="334" t="s">
        <v>132</v>
      </c>
      <c r="BG1545" s="334" t="s">
        <v>132</v>
      </c>
      <c r="BH1545" s="334" t="s">
        <v>132</v>
      </c>
      <c r="BI1545" s="334" t="s">
        <v>132</v>
      </c>
      <c r="BJ1545" s="334" t="s">
        <v>132</v>
      </c>
      <c r="BK1545" s="246"/>
    </row>
    <row r="1546" spans="1:63" s="268" customFormat="1" ht="131.25">
      <c r="A1546" s="47">
        <v>7</v>
      </c>
      <c r="B1546" s="38" t="s">
        <v>112</v>
      </c>
      <c r="C1546" s="60" t="s">
        <v>83</v>
      </c>
      <c r="D1546" s="60" t="s">
        <v>100</v>
      </c>
      <c r="E1546" s="60" t="s">
        <v>84</v>
      </c>
      <c r="F1546" s="60" t="s">
        <v>85</v>
      </c>
      <c r="G1546" s="60">
        <v>7499000</v>
      </c>
      <c r="H1546" s="11">
        <v>625865</v>
      </c>
      <c r="I1546" s="16" t="s">
        <v>86</v>
      </c>
      <c r="J1546" s="16" t="s">
        <v>87</v>
      </c>
      <c r="K1546" s="16" t="s">
        <v>87</v>
      </c>
      <c r="L1546" s="16" t="s">
        <v>88</v>
      </c>
      <c r="M1546" s="134" t="s">
        <v>4723</v>
      </c>
      <c r="N1546" s="458" t="s">
        <v>5878</v>
      </c>
      <c r="O1546" s="16" t="s">
        <v>89</v>
      </c>
      <c r="P1546" s="23">
        <v>84.745000000000005</v>
      </c>
      <c r="Q1546" s="23">
        <f t="shared" si="204"/>
        <v>99.999099999999999</v>
      </c>
      <c r="R1546" s="23"/>
      <c r="S1546" s="29"/>
      <c r="T1546" s="47"/>
      <c r="U1546" s="47"/>
      <c r="V1546" s="47"/>
      <c r="W1546" s="47"/>
      <c r="X1546" s="47"/>
      <c r="Y1546" s="23">
        <v>84.745000000000005</v>
      </c>
      <c r="Z1546" s="23">
        <f t="shared" si="205"/>
        <v>99.999099999999999</v>
      </c>
      <c r="AA1546" s="36" t="s">
        <v>132</v>
      </c>
      <c r="AB1546" s="36" t="s">
        <v>132</v>
      </c>
      <c r="AC1546" s="23">
        <v>84.745000000000005</v>
      </c>
      <c r="AD1546" s="23">
        <f t="shared" si="206"/>
        <v>99.999099999999999</v>
      </c>
      <c r="AE1546" s="38" t="s">
        <v>1775</v>
      </c>
      <c r="AF1546" s="38" t="s">
        <v>83</v>
      </c>
      <c r="AG1546" s="38" t="s">
        <v>83</v>
      </c>
      <c r="AH1546" s="38" t="s">
        <v>90</v>
      </c>
      <c r="AI1546" s="51">
        <v>41739</v>
      </c>
      <c r="AJ1546" s="51">
        <v>41784</v>
      </c>
      <c r="AK1546" s="60"/>
      <c r="AL1546" s="60"/>
      <c r="AM1546" s="60" t="s">
        <v>87</v>
      </c>
      <c r="AN1546" s="60" t="s">
        <v>91</v>
      </c>
      <c r="AO1546" s="11">
        <v>796</v>
      </c>
      <c r="AP1546" s="38" t="s">
        <v>94</v>
      </c>
      <c r="AQ1546" s="47">
        <v>1</v>
      </c>
      <c r="AR1546" s="38" t="s">
        <v>93</v>
      </c>
      <c r="AS1546" s="16" t="s">
        <v>92</v>
      </c>
      <c r="AT1546" s="52">
        <v>41804</v>
      </c>
      <c r="AU1546" s="52">
        <v>41804</v>
      </c>
      <c r="AV1546" s="52">
        <v>41820</v>
      </c>
      <c r="AW1546" s="38">
        <v>2014</v>
      </c>
      <c r="AX1546" s="60"/>
      <c r="AY1546" s="135"/>
      <c r="AZ1546" s="60"/>
      <c r="BA1546" s="47" t="s">
        <v>132</v>
      </c>
      <c r="BB1546" s="47" t="s">
        <v>132</v>
      </c>
      <c r="BC1546" s="333" t="s">
        <v>132</v>
      </c>
      <c r="BD1546" s="333" t="s">
        <v>132</v>
      </c>
      <c r="BE1546" s="334" t="s">
        <v>132</v>
      </c>
      <c r="BF1546" s="334" t="s">
        <v>132</v>
      </c>
      <c r="BG1546" s="334" t="s">
        <v>132</v>
      </c>
      <c r="BH1546" s="334" t="s">
        <v>132</v>
      </c>
      <c r="BI1546" s="334" t="s">
        <v>132</v>
      </c>
      <c r="BJ1546" s="334" t="s">
        <v>132</v>
      </c>
      <c r="BK1546" s="246"/>
    </row>
    <row r="1547" spans="1:63" s="268" customFormat="1" ht="131.25">
      <c r="A1547" s="47">
        <v>7</v>
      </c>
      <c r="B1547" s="38" t="s">
        <v>113</v>
      </c>
      <c r="C1547" s="60" t="s">
        <v>83</v>
      </c>
      <c r="D1547" s="60" t="s">
        <v>100</v>
      </c>
      <c r="E1547" s="60" t="s">
        <v>84</v>
      </c>
      <c r="F1547" s="60" t="s">
        <v>85</v>
      </c>
      <c r="G1547" s="60">
        <v>7499000</v>
      </c>
      <c r="H1547" s="11">
        <v>625866</v>
      </c>
      <c r="I1547" s="16" t="s">
        <v>86</v>
      </c>
      <c r="J1547" s="16" t="s">
        <v>87</v>
      </c>
      <c r="K1547" s="16" t="s">
        <v>87</v>
      </c>
      <c r="L1547" s="16" t="s">
        <v>88</v>
      </c>
      <c r="M1547" s="134" t="s">
        <v>4723</v>
      </c>
      <c r="N1547" s="458" t="s">
        <v>5878</v>
      </c>
      <c r="O1547" s="16" t="s">
        <v>89</v>
      </c>
      <c r="P1547" s="23">
        <v>169.49</v>
      </c>
      <c r="Q1547" s="23">
        <f t="shared" si="204"/>
        <v>199.9982</v>
      </c>
      <c r="R1547" s="27"/>
      <c r="S1547" s="29"/>
      <c r="T1547" s="47"/>
      <c r="U1547" s="47"/>
      <c r="V1547" s="47"/>
      <c r="W1547" s="47"/>
      <c r="X1547" s="47"/>
      <c r="Y1547" s="34">
        <v>169.49</v>
      </c>
      <c r="Z1547" s="34">
        <f t="shared" si="205"/>
        <v>199.9982</v>
      </c>
      <c r="AA1547" s="36" t="s">
        <v>132</v>
      </c>
      <c r="AB1547" s="36" t="s">
        <v>132</v>
      </c>
      <c r="AC1547" s="34">
        <v>169.49</v>
      </c>
      <c r="AD1547" s="34">
        <f t="shared" si="206"/>
        <v>199.9982</v>
      </c>
      <c r="AE1547" s="38" t="s">
        <v>1775</v>
      </c>
      <c r="AF1547" s="38" t="s">
        <v>83</v>
      </c>
      <c r="AG1547" s="38" t="s">
        <v>83</v>
      </c>
      <c r="AH1547" s="38" t="s">
        <v>90</v>
      </c>
      <c r="AI1547" s="51">
        <v>41739</v>
      </c>
      <c r="AJ1547" s="51">
        <v>41784</v>
      </c>
      <c r="AK1547" s="60"/>
      <c r="AL1547" s="60"/>
      <c r="AM1547" s="60" t="s">
        <v>87</v>
      </c>
      <c r="AN1547" s="60" t="s">
        <v>91</v>
      </c>
      <c r="AO1547" s="11">
        <v>796</v>
      </c>
      <c r="AP1547" s="38" t="s">
        <v>94</v>
      </c>
      <c r="AQ1547" s="47">
        <v>1</v>
      </c>
      <c r="AR1547" s="38" t="s">
        <v>93</v>
      </c>
      <c r="AS1547" s="16" t="s">
        <v>92</v>
      </c>
      <c r="AT1547" s="52">
        <v>41804</v>
      </c>
      <c r="AU1547" s="52">
        <v>41804</v>
      </c>
      <c r="AV1547" s="52">
        <v>41820</v>
      </c>
      <c r="AW1547" s="38">
        <v>2014</v>
      </c>
      <c r="AX1547" s="60"/>
      <c r="AY1547" s="135"/>
      <c r="AZ1547" s="60"/>
      <c r="BA1547" s="47" t="s">
        <v>132</v>
      </c>
      <c r="BB1547" s="47" t="s">
        <v>132</v>
      </c>
      <c r="BC1547" s="333" t="s">
        <v>132</v>
      </c>
      <c r="BD1547" s="333" t="s">
        <v>132</v>
      </c>
      <c r="BE1547" s="334" t="s">
        <v>132</v>
      </c>
      <c r="BF1547" s="334" t="s">
        <v>132</v>
      </c>
      <c r="BG1547" s="334" t="s">
        <v>132</v>
      </c>
      <c r="BH1547" s="334" t="s">
        <v>132</v>
      </c>
      <c r="BI1547" s="334" t="s">
        <v>132</v>
      </c>
      <c r="BJ1547" s="334" t="s">
        <v>132</v>
      </c>
      <c r="BK1547" s="246"/>
    </row>
    <row r="1548" spans="1:63" s="268" customFormat="1" ht="131.25">
      <c r="A1548" s="47">
        <v>7</v>
      </c>
      <c r="B1548" s="38" t="s">
        <v>114</v>
      </c>
      <c r="C1548" s="60" t="s">
        <v>83</v>
      </c>
      <c r="D1548" s="60" t="s">
        <v>100</v>
      </c>
      <c r="E1548" s="60" t="s">
        <v>84</v>
      </c>
      <c r="F1548" s="60" t="s">
        <v>85</v>
      </c>
      <c r="G1548" s="60">
        <v>7499000</v>
      </c>
      <c r="H1548" s="11">
        <v>625867</v>
      </c>
      <c r="I1548" s="16" t="s">
        <v>86</v>
      </c>
      <c r="J1548" s="16" t="s">
        <v>87</v>
      </c>
      <c r="K1548" s="16" t="s">
        <v>87</v>
      </c>
      <c r="L1548" s="16" t="s">
        <v>88</v>
      </c>
      <c r="M1548" s="134" t="s">
        <v>4723</v>
      </c>
      <c r="N1548" s="458" t="s">
        <v>5878</v>
      </c>
      <c r="O1548" s="16" t="s">
        <v>89</v>
      </c>
      <c r="P1548" s="23">
        <v>254.24</v>
      </c>
      <c r="Q1548" s="23">
        <f t="shared" si="204"/>
        <v>300.00319999999999</v>
      </c>
      <c r="R1548" s="23"/>
      <c r="S1548" s="29"/>
      <c r="T1548" s="47"/>
      <c r="U1548" s="47"/>
      <c r="V1548" s="47"/>
      <c r="W1548" s="47"/>
      <c r="X1548" s="47"/>
      <c r="Y1548" s="34">
        <v>254.24</v>
      </c>
      <c r="Z1548" s="34">
        <f t="shared" si="205"/>
        <v>300.00319999999999</v>
      </c>
      <c r="AA1548" s="36" t="s">
        <v>132</v>
      </c>
      <c r="AB1548" s="36" t="s">
        <v>132</v>
      </c>
      <c r="AC1548" s="34">
        <v>254.24</v>
      </c>
      <c r="AD1548" s="34">
        <f t="shared" si="206"/>
        <v>300.00319999999999</v>
      </c>
      <c r="AE1548" s="38" t="s">
        <v>1775</v>
      </c>
      <c r="AF1548" s="38" t="s">
        <v>83</v>
      </c>
      <c r="AG1548" s="38" t="s">
        <v>83</v>
      </c>
      <c r="AH1548" s="38" t="s">
        <v>90</v>
      </c>
      <c r="AI1548" s="51">
        <v>41739</v>
      </c>
      <c r="AJ1548" s="51">
        <v>41784</v>
      </c>
      <c r="AK1548" s="60"/>
      <c r="AL1548" s="60"/>
      <c r="AM1548" s="60" t="s">
        <v>87</v>
      </c>
      <c r="AN1548" s="60" t="s">
        <v>91</v>
      </c>
      <c r="AO1548" s="11">
        <v>796</v>
      </c>
      <c r="AP1548" s="38" t="s">
        <v>94</v>
      </c>
      <c r="AQ1548" s="47">
        <v>1</v>
      </c>
      <c r="AR1548" s="38" t="s">
        <v>93</v>
      </c>
      <c r="AS1548" s="16" t="s">
        <v>92</v>
      </c>
      <c r="AT1548" s="52">
        <v>41804</v>
      </c>
      <c r="AU1548" s="52">
        <v>41804</v>
      </c>
      <c r="AV1548" s="52">
        <v>41820</v>
      </c>
      <c r="AW1548" s="38">
        <v>2014</v>
      </c>
      <c r="AX1548" s="60"/>
      <c r="AY1548" s="135"/>
      <c r="AZ1548" s="60"/>
      <c r="BA1548" s="47" t="s">
        <v>132</v>
      </c>
      <c r="BB1548" s="47" t="s">
        <v>132</v>
      </c>
      <c r="BC1548" s="333" t="s">
        <v>132</v>
      </c>
      <c r="BD1548" s="333" t="s">
        <v>132</v>
      </c>
      <c r="BE1548" s="334" t="s">
        <v>132</v>
      </c>
      <c r="BF1548" s="334" t="s">
        <v>132</v>
      </c>
      <c r="BG1548" s="334" t="s">
        <v>132</v>
      </c>
      <c r="BH1548" s="334" t="s">
        <v>132</v>
      </c>
      <c r="BI1548" s="334" t="s">
        <v>132</v>
      </c>
      <c r="BJ1548" s="334" t="s">
        <v>132</v>
      </c>
      <c r="BK1548" s="246"/>
    </row>
    <row r="1549" spans="1:63" s="268" customFormat="1" ht="131.25">
      <c r="A1549" s="47">
        <v>7</v>
      </c>
      <c r="B1549" s="38" t="s">
        <v>115</v>
      </c>
      <c r="C1549" s="60" t="s">
        <v>83</v>
      </c>
      <c r="D1549" s="60" t="s">
        <v>100</v>
      </c>
      <c r="E1549" s="60" t="s">
        <v>84</v>
      </c>
      <c r="F1549" s="60" t="s">
        <v>85</v>
      </c>
      <c r="G1549" s="60">
        <v>7499000</v>
      </c>
      <c r="H1549" s="11">
        <v>625868</v>
      </c>
      <c r="I1549" s="16" t="s">
        <v>86</v>
      </c>
      <c r="J1549" s="16" t="s">
        <v>87</v>
      </c>
      <c r="K1549" s="16" t="s">
        <v>87</v>
      </c>
      <c r="L1549" s="16" t="s">
        <v>88</v>
      </c>
      <c r="M1549" s="134" t="s">
        <v>4723</v>
      </c>
      <c r="N1549" s="458" t="s">
        <v>5878</v>
      </c>
      <c r="O1549" s="16" t="s">
        <v>89</v>
      </c>
      <c r="P1549" s="23">
        <v>254.24</v>
      </c>
      <c r="Q1549" s="23">
        <f t="shared" si="204"/>
        <v>300.00319999999999</v>
      </c>
      <c r="R1549" s="27"/>
      <c r="S1549" s="29"/>
      <c r="T1549" s="47"/>
      <c r="U1549" s="47"/>
      <c r="V1549" s="47"/>
      <c r="W1549" s="47"/>
      <c r="X1549" s="47"/>
      <c r="Y1549" s="34">
        <v>254.24</v>
      </c>
      <c r="Z1549" s="34">
        <f t="shared" si="205"/>
        <v>300.00319999999999</v>
      </c>
      <c r="AA1549" s="36" t="s">
        <v>132</v>
      </c>
      <c r="AB1549" s="36" t="s">
        <v>132</v>
      </c>
      <c r="AC1549" s="34">
        <v>254.24</v>
      </c>
      <c r="AD1549" s="34">
        <f t="shared" si="206"/>
        <v>300.00319999999999</v>
      </c>
      <c r="AE1549" s="38" t="s">
        <v>1775</v>
      </c>
      <c r="AF1549" s="38" t="s">
        <v>83</v>
      </c>
      <c r="AG1549" s="38" t="s">
        <v>83</v>
      </c>
      <c r="AH1549" s="38" t="s">
        <v>90</v>
      </c>
      <c r="AI1549" s="51">
        <v>41739</v>
      </c>
      <c r="AJ1549" s="51">
        <v>41784</v>
      </c>
      <c r="AK1549" s="60"/>
      <c r="AL1549" s="60"/>
      <c r="AM1549" s="60" t="s">
        <v>87</v>
      </c>
      <c r="AN1549" s="60" t="s">
        <v>91</v>
      </c>
      <c r="AO1549" s="11">
        <v>796</v>
      </c>
      <c r="AP1549" s="38" t="s">
        <v>94</v>
      </c>
      <c r="AQ1549" s="47">
        <v>1</v>
      </c>
      <c r="AR1549" s="38" t="s">
        <v>93</v>
      </c>
      <c r="AS1549" s="16" t="s">
        <v>92</v>
      </c>
      <c r="AT1549" s="52">
        <v>41804</v>
      </c>
      <c r="AU1549" s="52">
        <v>41804</v>
      </c>
      <c r="AV1549" s="52">
        <v>41820</v>
      </c>
      <c r="AW1549" s="38">
        <v>2014</v>
      </c>
      <c r="AX1549" s="60"/>
      <c r="AY1549" s="135"/>
      <c r="AZ1549" s="60"/>
      <c r="BA1549" s="47" t="s">
        <v>132</v>
      </c>
      <c r="BB1549" s="47" t="s">
        <v>132</v>
      </c>
      <c r="BC1549" s="333" t="s">
        <v>132</v>
      </c>
      <c r="BD1549" s="333" t="s">
        <v>132</v>
      </c>
      <c r="BE1549" s="334" t="s">
        <v>132</v>
      </c>
      <c r="BF1549" s="334" t="s">
        <v>132</v>
      </c>
      <c r="BG1549" s="334" t="s">
        <v>132</v>
      </c>
      <c r="BH1549" s="334" t="s">
        <v>132</v>
      </c>
      <c r="BI1549" s="334" t="s">
        <v>132</v>
      </c>
      <c r="BJ1549" s="334" t="s">
        <v>132</v>
      </c>
      <c r="BK1549" s="246"/>
    </row>
    <row r="1550" spans="1:63" s="268" customFormat="1" ht="131.25">
      <c r="A1550" s="47">
        <v>7</v>
      </c>
      <c r="B1550" s="38" t="s">
        <v>116</v>
      </c>
      <c r="C1550" s="60" t="s">
        <v>83</v>
      </c>
      <c r="D1550" s="60" t="s">
        <v>100</v>
      </c>
      <c r="E1550" s="60" t="s">
        <v>84</v>
      </c>
      <c r="F1550" s="60" t="s">
        <v>85</v>
      </c>
      <c r="G1550" s="60">
        <v>7499000</v>
      </c>
      <c r="H1550" s="11">
        <v>625869</v>
      </c>
      <c r="I1550" s="16" t="s">
        <v>86</v>
      </c>
      <c r="J1550" s="16" t="s">
        <v>87</v>
      </c>
      <c r="K1550" s="16" t="s">
        <v>87</v>
      </c>
      <c r="L1550" s="16" t="s">
        <v>88</v>
      </c>
      <c r="M1550" s="134" t="s">
        <v>4723</v>
      </c>
      <c r="N1550" s="458" t="s">
        <v>5878</v>
      </c>
      <c r="O1550" s="16" t="s">
        <v>89</v>
      </c>
      <c r="P1550" s="23">
        <v>423.73</v>
      </c>
      <c r="Q1550" s="23">
        <f t="shared" si="204"/>
        <v>500.00139999999999</v>
      </c>
      <c r="R1550" s="23"/>
      <c r="S1550" s="29"/>
      <c r="T1550" s="47"/>
      <c r="U1550" s="47"/>
      <c r="V1550" s="47"/>
      <c r="W1550" s="47"/>
      <c r="X1550" s="47"/>
      <c r="Y1550" s="34">
        <v>423.73</v>
      </c>
      <c r="Z1550" s="34">
        <f t="shared" si="205"/>
        <v>500.00139999999999</v>
      </c>
      <c r="AA1550" s="36" t="s">
        <v>132</v>
      </c>
      <c r="AB1550" s="36" t="s">
        <v>132</v>
      </c>
      <c r="AC1550" s="34">
        <v>423.73</v>
      </c>
      <c r="AD1550" s="34">
        <f t="shared" si="206"/>
        <v>500.00139999999999</v>
      </c>
      <c r="AE1550" s="38" t="s">
        <v>1775</v>
      </c>
      <c r="AF1550" s="38" t="s">
        <v>83</v>
      </c>
      <c r="AG1550" s="38" t="s">
        <v>83</v>
      </c>
      <c r="AH1550" s="38" t="s">
        <v>90</v>
      </c>
      <c r="AI1550" s="51">
        <v>41739</v>
      </c>
      <c r="AJ1550" s="51">
        <v>41784</v>
      </c>
      <c r="AK1550" s="60"/>
      <c r="AL1550" s="60"/>
      <c r="AM1550" s="60" t="s">
        <v>87</v>
      </c>
      <c r="AN1550" s="60" t="s">
        <v>91</v>
      </c>
      <c r="AO1550" s="11">
        <v>796</v>
      </c>
      <c r="AP1550" s="38" t="s">
        <v>94</v>
      </c>
      <c r="AQ1550" s="47">
        <v>1</v>
      </c>
      <c r="AR1550" s="38" t="s">
        <v>93</v>
      </c>
      <c r="AS1550" s="16" t="s">
        <v>92</v>
      </c>
      <c r="AT1550" s="52">
        <v>41804</v>
      </c>
      <c r="AU1550" s="52">
        <v>41804</v>
      </c>
      <c r="AV1550" s="52">
        <v>41820</v>
      </c>
      <c r="AW1550" s="38">
        <v>2014</v>
      </c>
      <c r="AX1550" s="60"/>
      <c r="AY1550" s="135"/>
      <c r="AZ1550" s="60"/>
      <c r="BA1550" s="47" t="s">
        <v>132</v>
      </c>
      <c r="BB1550" s="47" t="s">
        <v>132</v>
      </c>
      <c r="BC1550" s="333" t="s">
        <v>132</v>
      </c>
      <c r="BD1550" s="333" t="s">
        <v>132</v>
      </c>
      <c r="BE1550" s="334" t="s">
        <v>132</v>
      </c>
      <c r="BF1550" s="334" t="s">
        <v>132</v>
      </c>
      <c r="BG1550" s="334" t="s">
        <v>132</v>
      </c>
      <c r="BH1550" s="334" t="s">
        <v>132</v>
      </c>
      <c r="BI1550" s="334" t="s">
        <v>132</v>
      </c>
      <c r="BJ1550" s="334" t="s">
        <v>132</v>
      </c>
      <c r="BK1550" s="246"/>
    </row>
    <row r="1551" spans="1:63" s="268" customFormat="1" ht="131.25">
      <c r="A1551" s="47">
        <v>7</v>
      </c>
      <c r="B1551" s="38" t="s">
        <v>117</v>
      </c>
      <c r="C1551" s="60" t="s">
        <v>83</v>
      </c>
      <c r="D1551" s="60" t="s">
        <v>100</v>
      </c>
      <c r="E1551" s="60" t="s">
        <v>84</v>
      </c>
      <c r="F1551" s="60" t="s">
        <v>85</v>
      </c>
      <c r="G1551" s="60">
        <v>7499000</v>
      </c>
      <c r="H1551" s="11">
        <v>625870</v>
      </c>
      <c r="I1551" s="16" t="s">
        <v>86</v>
      </c>
      <c r="J1551" s="16" t="s">
        <v>87</v>
      </c>
      <c r="K1551" s="16" t="s">
        <v>87</v>
      </c>
      <c r="L1551" s="16" t="s">
        <v>88</v>
      </c>
      <c r="M1551" s="134" t="s">
        <v>4723</v>
      </c>
      <c r="N1551" s="458" t="s">
        <v>5878</v>
      </c>
      <c r="O1551" s="16" t="s">
        <v>89</v>
      </c>
      <c r="P1551" s="23">
        <v>423.73</v>
      </c>
      <c r="Q1551" s="23">
        <f t="shared" si="204"/>
        <v>500.00139999999999</v>
      </c>
      <c r="R1551" s="27"/>
      <c r="S1551" s="29"/>
      <c r="T1551" s="47"/>
      <c r="U1551" s="47"/>
      <c r="V1551" s="47"/>
      <c r="W1551" s="47"/>
      <c r="X1551" s="47"/>
      <c r="Y1551" s="34">
        <v>423.73</v>
      </c>
      <c r="Z1551" s="34">
        <f t="shared" si="205"/>
        <v>500.00139999999999</v>
      </c>
      <c r="AA1551" s="36" t="s">
        <v>132</v>
      </c>
      <c r="AB1551" s="36" t="s">
        <v>132</v>
      </c>
      <c r="AC1551" s="34">
        <v>423.73</v>
      </c>
      <c r="AD1551" s="34">
        <f t="shared" si="206"/>
        <v>500.00139999999999</v>
      </c>
      <c r="AE1551" s="38" t="s">
        <v>1775</v>
      </c>
      <c r="AF1551" s="38" t="s">
        <v>83</v>
      </c>
      <c r="AG1551" s="38" t="s">
        <v>83</v>
      </c>
      <c r="AH1551" s="38" t="s">
        <v>90</v>
      </c>
      <c r="AI1551" s="51">
        <v>41739</v>
      </c>
      <c r="AJ1551" s="51">
        <v>41784</v>
      </c>
      <c r="AK1551" s="60"/>
      <c r="AL1551" s="60"/>
      <c r="AM1551" s="60" t="s">
        <v>87</v>
      </c>
      <c r="AN1551" s="60" t="s">
        <v>91</v>
      </c>
      <c r="AO1551" s="11">
        <v>796</v>
      </c>
      <c r="AP1551" s="38" t="s">
        <v>94</v>
      </c>
      <c r="AQ1551" s="47">
        <v>1</v>
      </c>
      <c r="AR1551" s="38" t="s">
        <v>93</v>
      </c>
      <c r="AS1551" s="16" t="s">
        <v>92</v>
      </c>
      <c r="AT1551" s="52">
        <v>41804</v>
      </c>
      <c r="AU1551" s="52">
        <v>41804</v>
      </c>
      <c r="AV1551" s="52">
        <v>41820</v>
      </c>
      <c r="AW1551" s="38">
        <v>2014</v>
      </c>
      <c r="AX1551" s="60"/>
      <c r="AY1551" s="135"/>
      <c r="AZ1551" s="60"/>
      <c r="BA1551" s="47" t="s">
        <v>132</v>
      </c>
      <c r="BB1551" s="47" t="s">
        <v>132</v>
      </c>
      <c r="BC1551" s="333" t="s">
        <v>132</v>
      </c>
      <c r="BD1551" s="333" t="s">
        <v>132</v>
      </c>
      <c r="BE1551" s="334" t="s">
        <v>132</v>
      </c>
      <c r="BF1551" s="334" t="s">
        <v>132</v>
      </c>
      <c r="BG1551" s="334" t="s">
        <v>132</v>
      </c>
      <c r="BH1551" s="334" t="s">
        <v>132</v>
      </c>
      <c r="BI1551" s="334" t="s">
        <v>132</v>
      </c>
      <c r="BJ1551" s="334" t="s">
        <v>132</v>
      </c>
      <c r="BK1551" s="246"/>
    </row>
    <row r="1552" spans="1:63" s="268" customFormat="1" ht="131.25">
      <c r="A1552" s="47">
        <v>7</v>
      </c>
      <c r="B1552" s="38" t="s">
        <v>118</v>
      </c>
      <c r="C1552" s="60" t="s">
        <v>83</v>
      </c>
      <c r="D1552" s="60" t="s">
        <v>100</v>
      </c>
      <c r="E1552" s="60" t="s">
        <v>84</v>
      </c>
      <c r="F1552" s="60" t="s">
        <v>85</v>
      </c>
      <c r="G1552" s="60">
        <v>7499000</v>
      </c>
      <c r="H1552" s="11">
        <v>625871</v>
      </c>
      <c r="I1552" s="16" t="s">
        <v>86</v>
      </c>
      <c r="J1552" s="16" t="s">
        <v>87</v>
      </c>
      <c r="K1552" s="16" t="s">
        <v>87</v>
      </c>
      <c r="L1552" s="16" t="s">
        <v>88</v>
      </c>
      <c r="M1552" s="134" t="s">
        <v>4723</v>
      </c>
      <c r="N1552" s="458" t="s">
        <v>5878</v>
      </c>
      <c r="O1552" s="16" t="s">
        <v>89</v>
      </c>
      <c r="P1552" s="23">
        <v>423.73</v>
      </c>
      <c r="Q1552" s="23">
        <f t="shared" si="204"/>
        <v>500.00139999999999</v>
      </c>
      <c r="R1552" s="23"/>
      <c r="S1552" s="29"/>
      <c r="T1552" s="47"/>
      <c r="U1552" s="47"/>
      <c r="V1552" s="47"/>
      <c r="W1552" s="47"/>
      <c r="X1552" s="47"/>
      <c r="Y1552" s="34">
        <v>423.73</v>
      </c>
      <c r="Z1552" s="34">
        <f t="shared" si="205"/>
        <v>500.00139999999999</v>
      </c>
      <c r="AA1552" s="36" t="s">
        <v>132</v>
      </c>
      <c r="AB1552" s="36" t="s">
        <v>132</v>
      </c>
      <c r="AC1552" s="34">
        <v>423.73</v>
      </c>
      <c r="AD1552" s="34">
        <f t="shared" si="206"/>
        <v>500.00139999999999</v>
      </c>
      <c r="AE1552" s="38" t="s">
        <v>1775</v>
      </c>
      <c r="AF1552" s="38" t="s">
        <v>83</v>
      </c>
      <c r="AG1552" s="38" t="s">
        <v>83</v>
      </c>
      <c r="AH1552" s="38" t="s">
        <v>90</v>
      </c>
      <c r="AI1552" s="51">
        <v>41739</v>
      </c>
      <c r="AJ1552" s="51">
        <v>41784</v>
      </c>
      <c r="AK1552" s="60"/>
      <c r="AL1552" s="60"/>
      <c r="AM1552" s="60" t="s">
        <v>87</v>
      </c>
      <c r="AN1552" s="60" t="s">
        <v>91</v>
      </c>
      <c r="AO1552" s="11">
        <v>796</v>
      </c>
      <c r="AP1552" s="38" t="s">
        <v>94</v>
      </c>
      <c r="AQ1552" s="47">
        <v>1</v>
      </c>
      <c r="AR1552" s="38" t="s">
        <v>93</v>
      </c>
      <c r="AS1552" s="16" t="s">
        <v>92</v>
      </c>
      <c r="AT1552" s="52">
        <v>41804</v>
      </c>
      <c r="AU1552" s="52">
        <v>41804</v>
      </c>
      <c r="AV1552" s="52">
        <v>41820</v>
      </c>
      <c r="AW1552" s="38">
        <v>2014</v>
      </c>
      <c r="AX1552" s="60"/>
      <c r="AY1552" s="135"/>
      <c r="AZ1552" s="60"/>
      <c r="BA1552" s="47" t="s">
        <v>132</v>
      </c>
      <c r="BB1552" s="47" t="s">
        <v>132</v>
      </c>
      <c r="BC1552" s="333" t="s">
        <v>132</v>
      </c>
      <c r="BD1552" s="333" t="s">
        <v>132</v>
      </c>
      <c r="BE1552" s="334" t="s">
        <v>132</v>
      </c>
      <c r="BF1552" s="334" t="s">
        <v>132</v>
      </c>
      <c r="BG1552" s="334" t="s">
        <v>132</v>
      </c>
      <c r="BH1552" s="334" t="s">
        <v>132</v>
      </c>
      <c r="BI1552" s="334" t="s">
        <v>132</v>
      </c>
      <c r="BJ1552" s="334" t="s">
        <v>132</v>
      </c>
      <c r="BK1552" s="246"/>
    </row>
    <row r="1553" spans="1:63" s="268" customFormat="1" ht="131.25">
      <c r="A1553" s="47">
        <v>7</v>
      </c>
      <c r="B1553" s="38" t="s">
        <v>119</v>
      </c>
      <c r="C1553" s="60" t="s">
        <v>83</v>
      </c>
      <c r="D1553" s="60" t="s">
        <v>100</v>
      </c>
      <c r="E1553" s="60" t="s">
        <v>84</v>
      </c>
      <c r="F1553" s="60" t="s">
        <v>85</v>
      </c>
      <c r="G1553" s="60">
        <v>7499000</v>
      </c>
      <c r="H1553" s="11">
        <v>625872</v>
      </c>
      <c r="I1553" s="16" t="s">
        <v>86</v>
      </c>
      <c r="J1553" s="16" t="s">
        <v>87</v>
      </c>
      <c r="K1553" s="16" t="s">
        <v>87</v>
      </c>
      <c r="L1553" s="16" t="s">
        <v>88</v>
      </c>
      <c r="M1553" s="134" t="s">
        <v>4723</v>
      </c>
      <c r="N1553" s="458" t="s">
        <v>5878</v>
      </c>
      <c r="O1553" s="16" t="s">
        <v>89</v>
      </c>
      <c r="P1553" s="23">
        <v>847.46</v>
      </c>
      <c r="Q1553" s="23">
        <f t="shared" si="204"/>
        <v>1000.0028</v>
      </c>
      <c r="R1553" s="27"/>
      <c r="S1553" s="29"/>
      <c r="T1553" s="47"/>
      <c r="U1553" s="47"/>
      <c r="V1553" s="47"/>
      <c r="W1553" s="47"/>
      <c r="X1553" s="47"/>
      <c r="Y1553" s="34">
        <v>847.46</v>
      </c>
      <c r="Z1553" s="34">
        <f t="shared" si="205"/>
        <v>1000.0028</v>
      </c>
      <c r="AA1553" s="36" t="s">
        <v>132</v>
      </c>
      <c r="AB1553" s="36" t="s">
        <v>132</v>
      </c>
      <c r="AC1553" s="34">
        <v>847.46</v>
      </c>
      <c r="AD1553" s="34">
        <f t="shared" si="206"/>
        <v>1000.0028</v>
      </c>
      <c r="AE1553" s="38" t="s">
        <v>1775</v>
      </c>
      <c r="AF1553" s="38" t="s">
        <v>83</v>
      </c>
      <c r="AG1553" s="38" t="s">
        <v>83</v>
      </c>
      <c r="AH1553" s="38" t="s">
        <v>90</v>
      </c>
      <c r="AI1553" s="51">
        <v>41739</v>
      </c>
      <c r="AJ1553" s="51">
        <v>41784</v>
      </c>
      <c r="AK1553" s="60"/>
      <c r="AL1553" s="60"/>
      <c r="AM1553" s="60" t="s">
        <v>87</v>
      </c>
      <c r="AN1553" s="60" t="s">
        <v>91</v>
      </c>
      <c r="AO1553" s="11">
        <v>796</v>
      </c>
      <c r="AP1553" s="38" t="s">
        <v>94</v>
      </c>
      <c r="AQ1553" s="47">
        <v>1</v>
      </c>
      <c r="AR1553" s="38" t="s">
        <v>93</v>
      </c>
      <c r="AS1553" s="16" t="s">
        <v>92</v>
      </c>
      <c r="AT1553" s="52">
        <v>41804</v>
      </c>
      <c r="AU1553" s="52">
        <v>41804</v>
      </c>
      <c r="AV1553" s="52">
        <v>41820</v>
      </c>
      <c r="AW1553" s="38">
        <v>2014</v>
      </c>
      <c r="AX1553" s="60"/>
      <c r="AY1553" s="135"/>
      <c r="AZ1553" s="60"/>
      <c r="BA1553" s="47" t="s">
        <v>132</v>
      </c>
      <c r="BB1553" s="47" t="s">
        <v>132</v>
      </c>
      <c r="BC1553" s="333" t="s">
        <v>132</v>
      </c>
      <c r="BD1553" s="333" t="s">
        <v>132</v>
      </c>
      <c r="BE1553" s="334" t="s">
        <v>132</v>
      </c>
      <c r="BF1553" s="334" t="s">
        <v>132</v>
      </c>
      <c r="BG1553" s="334" t="s">
        <v>132</v>
      </c>
      <c r="BH1553" s="334" t="s">
        <v>132</v>
      </c>
      <c r="BI1553" s="334" t="s">
        <v>132</v>
      </c>
      <c r="BJ1553" s="334" t="s">
        <v>132</v>
      </c>
      <c r="BK1553" s="246"/>
    </row>
    <row r="1554" spans="1:63" s="268" customFormat="1" ht="131.25">
      <c r="A1554" s="47">
        <v>7</v>
      </c>
      <c r="B1554" s="38" t="s">
        <v>120</v>
      </c>
      <c r="C1554" s="60" t="s">
        <v>83</v>
      </c>
      <c r="D1554" s="60" t="s">
        <v>100</v>
      </c>
      <c r="E1554" s="60" t="s">
        <v>84</v>
      </c>
      <c r="F1554" s="60" t="s">
        <v>85</v>
      </c>
      <c r="G1554" s="60">
        <v>7499000</v>
      </c>
      <c r="H1554" s="11">
        <v>625873</v>
      </c>
      <c r="I1554" s="16" t="s">
        <v>86</v>
      </c>
      <c r="J1554" s="16" t="s">
        <v>87</v>
      </c>
      <c r="K1554" s="16" t="s">
        <v>87</v>
      </c>
      <c r="L1554" s="16" t="s">
        <v>88</v>
      </c>
      <c r="M1554" s="134" t="s">
        <v>4723</v>
      </c>
      <c r="N1554" s="458" t="s">
        <v>5878</v>
      </c>
      <c r="O1554" s="16" t="s">
        <v>89</v>
      </c>
      <c r="P1554" s="23">
        <v>84.745000000000005</v>
      </c>
      <c r="Q1554" s="23">
        <f t="shared" si="204"/>
        <v>99.999099999999999</v>
      </c>
      <c r="R1554" s="23"/>
      <c r="S1554" s="29"/>
      <c r="T1554" s="47"/>
      <c r="U1554" s="47"/>
      <c r="V1554" s="47"/>
      <c r="W1554" s="47"/>
      <c r="X1554" s="47"/>
      <c r="Y1554" s="23">
        <v>84.745000000000005</v>
      </c>
      <c r="Z1554" s="23">
        <f t="shared" si="205"/>
        <v>99.999099999999999</v>
      </c>
      <c r="AA1554" s="36" t="s">
        <v>132</v>
      </c>
      <c r="AB1554" s="36" t="s">
        <v>132</v>
      </c>
      <c r="AC1554" s="23">
        <v>84.745000000000005</v>
      </c>
      <c r="AD1554" s="23">
        <f t="shared" si="206"/>
        <v>99.999099999999999</v>
      </c>
      <c r="AE1554" s="38" t="s">
        <v>1775</v>
      </c>
      <c r="AF1554" s="38" t="s">
        <v>83</v>
      </c>
      <c r="AG1554" s="38" t="s">
        <v>83</v>
      </c>
      <c r="AH1554" s="38" t="s">
        <v>90</v>
      </c>
      <c r="AI1554" s="51">
        <v>41831</v>
      </c>
      <c r="AJ1554" s="51">
        <v>41876</v>
      </c>
      <c r="AK1554" s="60"/>
      <c r="AL1554" s="60"/>
      <c r="AM1554" s="60" t="s">
        <v>87</v>
      </c>
      <c r="AN1554" s="60" t="s">
        <v>91</v>
      </c>
      <c r="AO1554" s="11">
        <v>796</v>
      </c>
      <c r="AP1554" s="38" t="s">
        <v>94</v>
      </c>
      <c r="AQ1554" s="47">
        <v>1</v>
      </c>
      <c r="AR1554" s="38" t="s">
        <v>93</v>
      </c>
      <c r="AS1554" s="16" t="s">
        <v>92</v>
      </c>
      <c r="AT1554" s="52">
        <v>41896</v>
      </c>
      <c r="AU1554" s="52">
        <v>41896</v>
      </c>
      <c r="AV1554" s="224">
        <v>41912</v>
      </c>
      <c r="AW1554" s="38">
        <v>2014</v>
      </c>
      <c r="AX1554" s="60"/>
      <c r="AY1554" s="135"/>
      <c r="AZ1554" s="60"/>
      <c r="BA1554" s="47" t="s">
        <v>132</v>
      </c>
      <c r="BB1554" s="47" t="s">
        <v>132</v>
      </c>
      <c r="BC1554" s="333" t="s">
        <v>132</v>
      </c>
      <c r="BD1554" s="333" t="s">
        <v>132</v>
      </c>
      <c r="BE1554" s="334" t="s">
        <v>132</v>
      </c>
      <c r="BF1554" s="334" t="s">
        <v>132</v>
      </c>
      <c r="BG1554" s="334" t="s">
        <v>132</v>
      </c>
      <c r="BH1554" s="334" t="s">
        <v>132</v>
      </c>
      <c r="BI1554" s="334" t="s">
        <v>132</v>
      </c>
      <c r="BJ1554" s="334" t="s">
        <v>132</v>
      </c>
      <c r="BK1554" s="246"/>
    </row>
    <row r="1555" spans="1:63" s="268" customFormat="1" ht="131.25">
      <c r="A1555" s="47">
        <v>7</v>
      </c>
      <c r="B1555" s="38" t="s">
        <v>121</v>
      </c>
      <c r="C1555" s="60" t="s">
        <v>83</v>
      </c>
      <c r="D1555" s="60" t="s">
        <v>100</v>
      </c>
      <c r="E1555" s="60" t="s">
        <v>84</v>
      </c>
      <c r="F1555" s="60" t="s">
        <v>85</v>
      </c>
      <c r="G1555" s="60">
        <v>7499000</v>
      </c>
      <c r="H1555" s="11">
        <v>625874</v>
      </c>
      <c r="I1555" s="16" t="s">
        <v>86</v>
      </c>
      <c r="J1555" s="16" t="s">
        <v>87</v>
      </c>
      <c r="K1555" s="16" t="s">
        <v>87</v>
      </c>
      <c r="L1555" s="16" t="s">
        <v>88</v>
      </c>
      <c r="M1555" s="134" t="s">
        <v>4723</v>
      </c>
      <c r="N1555" s="458" t="s">
        <v>5878</v>
      </c>
      <c r="O1555" s="16" t="s">
        <v>89</v>
      </c>
      <c r="P1555" s="23">
        <v>84.745000000000005</v>
      </c>
      <c r="Q1555" s="23">
        <f t="shared" si="204"/>
        <v>99.999099999999999</v>
      </c>
      <c r="R1555" s="27"/>
      <c r="S1555" s="29"/>
      <c r="T1555" s="47"/>
      <c r="U1555" s="47"/>
      <c r="V1555" s="47"/>
      <c r="W1555" s="47"/>
      <c r="X1555" s="47"/>
      <c r="Y1555" s="23">
        <v>84.745000000000005</v>
      </c>
      <c r="Z1555" s="23">
        <f t="shared" si="205"/>
        <v>99.999099999999999</v>
      </c>
      <c r="AA1555" s="36" t="s">
        <v>132</v>
      </c>
      <c r="AB1555" s="36" t="s">
        <v>132</v>
      </c>
      <c r="AC1555" s="23">
        <v>84.745000000000005</v>
      </c>
      <c r="AD1555" s="23">
        <f t="shared" si="206"/>
        <v>99.999099999999999</v>
      </c>
      <c r="AE1555" s="38" t="s">
        <v>1775</v>
      </c>
      <c r="AF1555" s="38" t="s">
        <v>83</v>
      </c>
      <c r="AG1555" s="38" t="s">
        <v>83</v>
      </c>
      <c r="AH1555" s="38" t="s">
        <v>90</v>
      </c>
      <c r="AI1555" s="51">
        <v>41831</v>
      </c>
      <c r="AJ1555" s="51">
        <v>41876</v>
      </c>
      <c r="AK1555" s="60"/>
      <c r="AL1555" s="60"/>
      <c r="AM1555" s="60" t="s">
        <v>87</v>
      </c>
      <c r="AN1555" s="60" t="s">
        <v>91</v>
      </c>
      <c r="AO1555" s="11">
        <v>796</v>
      </c>
      <c r="AP1555" s="38" t="s">
        <v>94</v>
      </c>
      <c r="AQ1555" s="47">
        <v>1</v>
      </c>
      <c r="AR1555" s="38" t="s">
        <v>93</v>
      </c>
      <c r="AS1555" s="16" t="s">
        <v>92</v>
      </c>
      <c r="AT1555" s="52">
        <v>41896</v>
      </c>
      <c r="AU1555" s="52">
        <v>41896</v>
      </c>
      <c r="AV1555" s="224">
        <v>41912</v>
      </c>
      <c r="AW1555" s="38">
        <v>2014</v>
      </c>
      <c r="AX1555" s="60"/>
      <c r="AY1555" s="135"/>
      <c r="AZ1555" s="60"/>
      <c r="BA1555" s="47" t="s">
        <v>132</v>
      </c>
      <c r="BB1555" s="47" t="s">
        <v>132</v>
      </c>
      <c r="BC1555" s="333" t="s">
        <v>132</v>
      </c>
      <c r="BD1555" s="333" t="s">
        <v>132</v>
      </c>
      <c r="BE1555" s="334" t="s">
        <v>132</v>
      </c>
      <c r="BF1555" s="334" t="s">
        <v>132</v>
      </c>
      <c r="BG1555" s="334" t="s">
        <v>132</v>
      </c>
      <c r="BH1555" s="334" t="s">
        <v>132</v>
      </c>
      <c r="BI1555" s="334" t="s">
        <v>132</v>
      </c>
      <c r="BJ1555" s="334" t="s">
        <v>132</v>
      </c>
      <c r="BK1555" s="246"/>
    </row>
    <row r="1556" spans="1:63" s="268" customFormat="1" ht="131.25">
      <c r="A1556" s="47">
        <v>7</v>
      </c>
      <c r="B1556" s="38" t="s">
        <v>122</v>
      </c>
      <c r="C1556" s="60" t="s">
        <v>83</v>
      </c>
      <c r="D1556" s="60" t="s">
        <v>100</v>
      </c>
      <c r="E1556" s="60" t="s">
        <v>84</v>
      </c>
      <c r="F1556" s="60" t="s">
        <v>85</v>
      </c>
      <c r="G1556" s="60">
        <v>7499000</v>
      </c>
      <c r="H1556" s="11">
        <v>625875</v>
      </c>
      <c r="I1556" s="16" t="s">
        <v>86</v>
      </c>
      <c r="J1556" s="16" t="s">
        <v>87</v>
      </c>
      <c r="K1556" s="16" t="s">
        <v>87</v>
      </c>
      <c r="L1556" s="16" t="s">
        <v>88</v>
      </c>
      <c r="M1556" s="134" t="s">
        <v>4723</v>
      </c>
      <c r="N1556" s="458" t="s">
        <v>5878</v>
      </c>
      <c r="O1556" s="16" t="s">
        <v>89</v>
      </c>
      <c r="P1556" s="23">
        <v>169.49</v>
      </c>
      <c r="Q1556" s="23">
        <f t="shared" si="204"/>
        <v>199.9982</v>
      </c>
      <c r="R1556" s="23"/>
      <c r="S1556" s="29"/>
      <c r="T1556" s="47"/>
      <c r="U1556" s="47"/>
      <c r="V1556" s="47"/>
      <c r="W1556" s="47"/>
      <c r="X1556" s="47"/>
      <c r="Y1556" s="34">
        <v>169.49</v>
      </c>
      <c r="Z1556" s="34">
        <f t="shared" si="205"/>
        <v>199.9982</v>
      </c>
      <c r="AA1556" s="36" t="s">
        <v>132</v>
      </c>
      <c r="AB1556" s="36" t="s">
        <v>132</v>
      </c>
      <c r="AC1556" s="34">
        <v>169.49</v>
      </c>
      <c r="AD1556" s="34">
        <f t="shared" si="206"/>
        <v>199.9982</v>
      </c>
      <c r="AE1556" s="38" t="s">
        <v>1775</v>
      </c>
      <c r="AF1556" s="38" t="s">
        <v>83</v>
      </c>
      <c r="AG1556" s="38" t="s">
        <v>83</v>
      </c>
      <c r="AH1556" s="38" t="s">
        <v>90</v>
      </c>
      <c r="AI1556" s="51">
        <v>41831</v>
      </c>
      <c r="AJ1556" s="51">
        <v>41876</v>
      </c>
      <c r="AK1556" s="60"/>
      <c r="AL1556" s="60"/>
      <c r="AM1556" s="60" t="s">
        <v>87</v>
      </c>
      <c r="AN1556" s="60" t="s">
        <v>91</v>
      </c>
      <c r="AO1556" s="11">
        <v>796</v>
      </c>
      <c r="AP1556" s="38" t="s">
        <v>94</v>
      </c>
      <c r="AQ1556" s="47">
        <v>1</v>
      </c>
      <c r="AR1556" s="38" t="s">
        <v>93</v>
      </c>
      <c r="AS1556" s="16" t="s">
        <v>92</v>
      </c>
      <c r="AT1556" s="52">
        <v>41896</v>
      </c>
      <c r="AU1556" s="52">
        <v>41896</v>
      </c>
      <c r="AV1556" s="224">
        <v>41912</v>
      </c>
      <c r="AW1556" s="38">
        <v>2014</v>
      </c>
      <c r="AX1556" s="60"/>
      <c r="AY1556" s="135"/>
      <c r="AZ1556" s="60"/>
      <c r="BA1556" s="47" t="s">
        <v>132</v>
      </c>
      <c r="BB1556" s="47" t="s">
        <v>132</v>
      </c>
      <c r="BC1556" s="333" t="s">
        <v>132</v>
      </c>
      <c r="BD1556" s="333" t="s">
        <v>132</v>
      </c>
      <c r="BE1556" s="334" t="s">
        <v>132</v>
      </c>
      <c r="BF1556" s="334" t="s">
        <v>132</v>
      </c>
      <c r="BG1556" s="334" t="s">
        <v>132</v>
      </c>
      <c r="BH1556" s="334" t="s">
        <v>132</v>
      </c>
      <c r="BI1556" s="334" t="s">
        <v>132</v>
      </c>
      <c r="BJ1556" s="334" t="s">
        <v>132</v>
      </c>
      <c r="BK1556" s="246"/>
    </row>
    <row r="1557" spans="1:63" s="268" customFormat="1" ht="131.25">
      <c r="A1557" s="47">
        <v>7</v>
      </c>
      <c r="B1557" s="38" t="s">
        <v>123</v>
      </c>
      <c r="C1557" s="60" t="s">
        <v>83</v>
      </c>
      <c r="D1557" s="60" t="s">
        <v>100</v>
      </c>
      <c r="E1557" s="60" t="s">
        <v>84</v>
      </c>
      <c r="F1557" s="60" t="s">
        <v>85</v>
      </c>
      <c r="G1557" s="60">
        <v>7499000</v>
      </c>
      <c r="H1557" s="11">
        <v>625876</v>
      </c>
      <c r="I1557" s="16" t="s">
        <v>86</v>
      </c>
      <c r="J1557" s="16" t="s">
        <v>87</v>
      </c>
      <c r="K1557" s="16" t="s">
        <v>87</v>
      </c>
      <c r="L1557" s="16" t="s">
        <v>88</v>
      </c>
      <c r="M1557" s="134" t="s">
        <v>4723</v>
      </c>
      <c r="N1557" s="458" t="s">
        <v>5878</v>
      </c>
      <c r="O1557" s="16" t="s">
        <v>89</v>
      </c>
      <c r="P1557" s="23">
        <v>169.49</v>
      </c>
      <c r="Q1557" s="23">
        <f t="shared" si="204"/>
        <v>199.9982</v>
      </c>
      <c r="R1557" s="27"/>
      <c r="S1557" s="29"/>
      <c r="T1557" s="47"/>
      <c r="U1557" s="47"/>
      <c r="V1557" s="47"/>
      <c r="W1557" s="47"/>
      <c r="X1557" s="47"/>
      <c r="Y1557" s="34">
        <v>169.49</v>
      </c>
      <c r="Z1557" s="34">
        <f t="shared" si="205"/>
        <v>199.9982</v>
      </c>
      <c r="AA1557" s="36" t="s">
        <v>132</v>
      </c>
      <c r="AB1557" s="36" t="s">
        <v>132</v>
      </c>
      <c r="AC1557" s="34">
        <v>169.49</v>
      </c>
      <c r="AD1557" s="34">
        <f t="shared" si="206"/>
        <v>199.9982</v>
      </c>
      <c r="AE1557" s="38" t="s">
        <v>1775</v>
      </c>
      <c r="AF1557" s="38" t="s">
        <v>83</v>
      </c>
      <c r="AG1557" s="38" t="s">
        <v>83</v>
      </c>
      <c r="AH1557" s="38" t="s">
        <v>90</v>
      </c>
      <c r="AI1557" s="51">
        <v>41831</v>
      </c>
      <c r="AJ1557" s="51">
        <v>41876</v>
      </c>
      <c r="AK1557" s="60"/>
      <c r="AL1557" s="60"/>
      <c r="AM1557" s="60" t="s">
        <v>87</v>
      </c>
      <c r="AN1557" s="60" t="s">
        <v>91</v>
      </c>
      <c r="AO1557" s="11">
        <v>796</v>
      </c>
      <c r="AP1557" s="38" t="s">
        <v>94</v>
      </c>
      <c r="AQ1557" s="47">
        <v>1</v>
      </c>
      <c r="AR1557" s="38" t="s">
        <v>93</v>
      </c>
      <c r="AS1557" s="16" t="s">
        <v>92</v>
      </c>
      <c r="AT1557" s="52">
        <v>41896</v>
      </c>
      <c r="AU1557" s="52">
        <v>41896</v>
      </c>
      <c r="AV1557" s="224">
        <v>41912</v>
      </c>
      <c r="AW1557" s="38">
        <v>2014</v>
      </c>
      <c r="AX1557" s="60"/>
      <c r="AY1557" s="135"/>
      <c r="AZ1557" s="60"/>
      <c r="BA1557" s="47" t="s">
        <v>132</v>
      </c>
      <c r="BB1557" s="47" t="s">
        <v>132</v>
      </c>
      <c r="BC1557" s="333" t="s">
        <v>132</v>
      </c>
      <c r="BD1557" s="333" t="s">
        <v>132</v>
      </c>
      <c r="BE1557" s="334" t="s">
        <v>132</v>
      </c>
      <c r="BF1557" s="334" t="s">
        <v>132</v>
      </c>
      <c r="BG1557" s="334" t="s">
        <v>132</v>
      </c>
      <c r="BH1557" s="334" t="s">
        <v>132</v>
      </c>
      <c r="BI1557" s="334" t="s">
        <v>132</v>
      </c>
      <c r="BJ1557" s="334" t="s">
        <v>132</v>
      </c>
      <c r="BK1557" s="246"/>
    </row>
    <row r="1558" spans="1:63" s="268" customFormat="1" ht="131.25">
      <c r="A1558" s="47">
        <v>7</v>
      </c>
      <c r="B1558" s="38" t="s">
        <v>124</v>
      </c>
      <c r="C1558" s="60" t="s">
        <v>83</v>
      </c>
      <c r="D1558" s="60" t="s">
        <v>100</v>
      </c>
      <c r="E1558" s="60" t="s">
        <v>84</v>
      </c>
      <c r="F1558" s="60" t="s">
        <v>85</v>
      </c>
      <c r="G1558" s="60">
        <v>7499000</v>
      </c>
      <c r="H1558" s="11">
        <v>625877</v>
      </c>
      <c r="I1558" s="16" t="s">
        <v>86</v>
      </c>
      <c r="J1558" s="16" t="s">
        <v>87</v>
      </c>
      <c r="K1558" s="16" t="s">
        <v>87</v>
      </c>
      <c r="L1558" s="16" t="s">
        <v>88</v>
      </c>
      <c r="M1558" s="134" t="s">
        <v>4723</v>
      </c>
      <c r="N1558" s="458" t="s">
        <v>5878</v>
      </c>
      <c r="O1558" s="16" t="s">
        <v>89</v>
      </c>
      <c r="P1558" s="23">
        <v>254.24</v>
      </c>
      <c r="Q1558" s="23">
        <f t="shared" si="204"/>
        <v>300.00319999999999</v>
      </c>
      <c r="R1558" s="23"/>
      <c r="S1558" s="29"/>
      <c r="T1558" s="47"/>
      <c r="U1558" s="47"/>
      <c r="V1558" s="47"/>
      <c r="W1558" s="47"/>
      <c r="X1558" s="47"/>
      <c r="Y1558" s="34">
        <v>254.24</v>
      </c>
      <c r="Z1558" s="34">
        <f t="shared" si="205"/>
        <v>300.00319999999999</v>
      </c>
      <c r="AA1558" s="36" t="s">
        <v>132</v>
      </c>
      <c r="AB1558" s="36" t="s">
        <v>132</v>
      </c>
      <c r="AC1558" s="34">
        <v>254.24</v>
      </c>
      <c r="AD1558" s="34">
        <f t="shared" si="206"/>
        <v>300.00319999999999</v>
      </c>
      <c r="AE1558" s="38" t="s">
        <v>1775</v>
      </c>
      <c r="AF1558" s="38" t="s">
        <v>83</v>
      </c>
      <c r="AG1558" s="38" t="s">
        <v>83</v>
      </c>
      <c r="AH1558" s="38" t="s">
        <v>90</v>
      </c>
      <c r="AI1558" s="51">
        <v>41831</v>
      </c>
      <c r="AJ1558" s="51">
        <v>41876</v>
      </c>
      <c r="AK1558" s="60"/>
      <c r="AL1558" s="60"/>
      <c r="AM1558" s="60" t="s">
        <v>87</v>
      </c>
      <c r="AN1558" s="60" t="s">
        <v>91</v>
      </c>
      <c r="AO1558" s="11">
        <v>796</v>
      </c>
      <c r="AP1558" s="38" t="s">
        <v>94</v>
      </c>
      <c r="AQ1558" s="47">
        <v>1</v>
      </c>
      <c r="AR1558" s="38" t="s">
        <v>93</v>
      </c>
      <c r="AS1558" s="16" t="s">
        <v>92</v>
      </c>
      <c r="AT1558" s="52">
        <v>41896</v>
      </c>
      <c r="AU1558" s="52">
        <v>41896</v>
      </c>
      <c r="AV1558" s="224">
        <v>41912</v>
      </c>
      <c r="AW1558" s="38">
        <v>2014</v>
      </c>
      <c r="AX1558" s="60"/>
      <c r="AY1558" s="135"/>
      <c r="AZ1558" s="60"/>
      <c r="BA1558" s="47" t="s">
        <v>132</v>
      </c>
      <c r="BB1558" s="47" t="s">
        <v>132</v>
      </c>
      <c r="BC1558" s="333" t="s">
        <v>132</v>
      </c>
      <c r="BD1558" s="333" t="s">
        <v>132</v>
      </c>
      <c r="BE1558" s="334" t="s">
        <v>132</v>
      </c>
      <c r="BF1558" s="334" t="s">
        <v>132</v>
      </c>
      <c r="BG1558" s="334" t="s">
        <v>132</v>
      </c>
      <c r="BH1558" s="334" t="s">
        <v>132</v>
      </c>
      <c r="BI1558" s="334" t="s">
        <v>132</v>
      </c>
      <c r="BJ1558" s="334" t="s">
        <v>132</v>
      </c>
      <c r="BK1558" s="246"/>
    </row>
    <row r="1559" spans="1:63" s="268" customFormat="1" ht="131.25">
      <c r="A1559" s="47">
        <v>7</v>
      </c>
      <c r="B1559" s="38" t="s">
        <v>125</v>
      </c>
      <c r="C1559" s="60" t="s">
        <v>83</v>
      </c>
      <c r="D1559" s="60" t="s">
        <v>100</v>
      </c>
      <c r="E1559" s="60" t="s">
        <v>84</v>
      </c>
      <c r="F1559" s="60" t="s">
        <v>85</v>
      </c>
      <c r="G1559" s="60">
        <v>7499000</v>
      </c>
      <c r="H1559" s="11">
        <v>625878</v>
      </c>
      <c r="I1559" s="16" t="s">
        <v>86</v>
      </c>
      <c r="J1559" s="16" t="s">
        <v>87</v>
      </c>
      <c r="K1559" s="16" t="s">
        <v>87</v>
      </c>
      <c r="L1559" s="16" t="s">
        <v>88</v>
      </c>
      <c r="M1559" s="134" t="s">
        <v>4723</v>
      </c>
      <c r="N1559" s="458" t="s">
        <v>5878</v>
      </c>
      <c r="O1559" s="16" t="s">
        <v>89</v>
      </c>
      <c r="P1559" s="23">
        <v>254.24</v>
      </c>
      <c r="Q1559" s="23">
        <f t="shared" si="204"/>
        <v>300.00319999999999</v>
      </c>
      <c r="R1559" s="27"/>
      <c r="S1559" s="29"/>
      <c r="T1559" s="47"/>
      <c r="U1559" s="47"/>
      <c r="V1559" s="47"/>
      <c r="W1559" s="47"/>
      <c r="X1559" s="47"/>
      <c r="Y1559" s="34">
        <v>254.24</v>
      </c>
      <c r="Z1559" s="34">
        <f t="shared" si="205"/>
        <v>300.00319999999999</v>
      </c>
      <c r="AA1559" s="36" t="s">
        <v>132</v>
      </c>
      <c r="AB1559" s="36" t="s">
        <v>132</v>
      </c>
      <c r="AC1559" s="34">
        <v>254.24</v>
      </c>
      <c r="AD1559" s="34">
        <f t="shared" si="206"/>
        <v>300.00319999999999</v>
      </c>
      <c r="AE1559" s="38" t="s">
        <v>1775</v>
      </c>
      <c r="AF1559" s="38" t="s">
        <v>83</v>
      </c>
      <c r="AG1559" s="38" t="s">
        <v>83</v>
      </c>
      <c r="AH1559" s="38" t="s">
        <v>90</v>
      </c>
      <c r="AI1559" s="51">
        <v>41831</v>
      </c>
      <c r="AJ1559" s="51">
        <v>41876</v>
      </c>
      <c r="AK1559" s="60"/>
      <c r="AL1559" s="60"/>
      <c r="AM1559" s="60" t="s">
        <v>87</v>
      </c>
      <c r="AN1559" s="60" t="s">
        <v>91</v>
      </c>
      <c r="AO1559" s="11">
        <v>796</v>
      </c>
      <c r="AP1559" s="38" t="s">
        <v>94</v>
      </c>
      <c r="AQ1559" s="47">
        <v>1</v>
      </c>
      <c r="AR1559" s="38" t="s">
        <v>93</v>
      </c>
      <c r="AS1559" s="16" t="s">
        <v>92</v>
      </c>
      <c r="AT1559" s="52">
        <v>41896</v>
      </c>
      <c r="AU1559" s="52">
        <v>41896</v>
      </c>
      <c r="AV1559" s="224">
        <v>41912</v>
      </c>
      <c r="AW1559" s="38">
        <v>2014</v>
      </c>
      <c r="AX1559" s="60"/>
      <c r="AY1559" s="135"/>
      <c r="AZ1559" s="60"/>
      <c r="BA1559" s="47" t="s">
        <v>132</v>
      </c>
      <c r="BB1559" s="47" t="s">
        <v>132</v>
      </c>
      <c r="BC1559" s="333" t="s">
        <v>132</v>
      </c>
      <c r="BD1559" s="333" t="s">
        <v>132</v>
      </c>
      <c r="BE1559" s="334" t="s">
        <v>132</v>
      </c>
      <c r="BF1559" s="334" t="s">
        <v>132</v>
      </c>
      <c r="BG1559" s="334" t="s">
        <v>132</v>
      </c>
      <c r="BH1559" s="334" t="s">
        <v>132</v>
      </c>
      <c r="BI1559" s="334" t="s">
        <v>132</v>
      </c>
      <c r="BJ1559" s="334" t="s">
        <v>132</v>
      </c>
      <c r="BK1559" s="246"/>
    </row>
    <row r="1560" spans="1:63" s="268" customFormat="1" ht="131.25">
      <c r="A1560" s="47">
        <v>7</v>
      </c>
      <c r="B1560" s="38" t="s">
        <v>126</v>
      </c>
      <c r="C1560" s="60" t="s">
        <v>83</v>
      </c>
      <c r="D1560" s="60" t="s">
        <v>100</v>
      </c>
      <c r="E1560" s="60" t="s">
        <v>84</v>
      </c>
      <c r="F1560" s="60" t="s">
        <v>85</v>
      </c>
      <c r="G1560" s="60">
        <v>7499000</v>
      </c>
      <c r="H1560" s="11">
        <v>625879</v>
      </c>
      <c r="I1560" s="16" t="s">
        <v>86</v>
      </c>
      <c r="J1560" s="16" t="s">
        <v>87</v>
      </c>
      <c r="K1560" s="16" t="s">
        <v>87</v>
      </c>
      <c r="L1560" s="16" t="s">
        <v>88</v>
      </c>
      <c r="M1560" s="134" t="s">
        <v>4723</v>
      </c>
      <c r="N1560" s="458" t="s">
        <v>5878</v>
      </c>
      <c r="O1560" s="16" t="s">
        <v>89</v>
      </c>
      <c r="P1560" s="23">
        <v>254.24</v>
      </c>
      <c r="Q1560" s="23">
        <f t="shared" si="204"/>
        <v>300.00319999999999</v>
      </c>
      <c r="R1560" s="23"/>
      <c r="S1560" s="29"/>
      <c r="T1560" s="47"/>
      <c r="U1560" s="47"/>
      <c r="V1560" s="47"/>
      <c r="W1560" s="47"/>
      <c r="X1560" s="47"/>
      <c r="Y1560" s="34">
        <v>254.24</v>
      </c>
      <c r="Z1560" s="34">
        <f t="shared" si="205"/>
        <v>300.00319999999999</v>
      </c>
      <c r="AA1560" s="36" t="s">
        <v>132</v>
      </c>
      <c r="AB1560" s="36" t="s">
        <v>132</v>
      </c>
      <c r="AC1560" s="34">
        <v>254.24</v>
      </c>
      <c r="AD1560" s="34">
        <f t="shared" si="206"/>
        <v>300.00319999999999</v>
      </c>
      <c r="AE1560" s="38" t="s">
        <v>1775</v>
      </c>
      <c r="AF1560" s="38" t="s">
        <v>83</v>
      </c>
      <c r="AG1560" s="38" t="s">
        <v>83</v>
      </c>
      <c r="AH1560" s="38" t="s">
        <v>90</v>
      </c>
      <c r="AI1560" s="51">
        <v>41831</v>
      </c>
      <c r="AJ1560" s="51">
        <v>41876</v>
      </c>
      <c r="AK1560" s="60"/>
      <c r="AL1560" s="60"/>
      <c r="AM1560" s="60" t="s">
        <v>87</v>
      </c>
      <c r="AN1560" s="60" t="s">
        <v>91</v>
      </c>
      <c r="AO1560" s="11">
        <v>796</v>
      </c>
      <c r="AP1560" s="38" t="s">
        <v>94</v>
      </c>
      <c r="AQ1560" s="47">
        <v>1</v>
      </c>
      <c r="AR1560" s="38" t="s">
        <v>93</v>
      </c>
      <c r="AS1560" s="16" t="s">
        <v>92</v>
      </c>
      <c r="AT1560" s="52">
        <v>41896</v>
      </c>
      <c r="AU1560" s="52">
        <v>41896</v>
      </c>
      <c r="AV1560" s="224">
        <v>41912</v>
      </c>
      <c r="AW1560" s="38">
        <v>2014</v>
      </c>
      <c r="AX1560" s="60"/>
      <c r="AY1560" s="135"/>
      <c r="AZ1560" s="60"/>
      <c r="BA1560" s="47" t="s">
        <v>132</v>
      </c>
      <c r="BB1560" s="47" t="s">
        <v>132</v>
      </c>
      <c r="BC1560" s="333" t="s">
        <v>132</v>
      </c>
      <c r="BD1560" s="333" t="s">
        <v>132</v>
      </c>
      <c r="BE1560" s="334" t="s">
        <v>132</v>
      </c>
      <c r="BF1560" s="334" t="s">
        <v>132</v>
      </c>
      <c r="BG1560" s="334" t="s">
        <v>132</v>
      </c>
      <c r="BH1560" s="334" t="s">
        <v>132</v>
      </c>
      <c r="BI1560" s="334" t="s">
        <v>132</v>
      </c>
      <c r="BJ1560" s="334" t="s">
        <v>132</v>
      </c>
      <c r="BK1560" s="246"/>
    </row>
    <row r="1561" spans="1:63" s="268" customFormat="1" ht="131.25">
      <c r="A1561" s="47">
        <v>7</v>
      </c>
      <c r="B1561" s="38" t="s">
        <v>127</v>
      </c>
      <c r="C1561" s="60" t="s">
        <v>83</v>
      </c>
      <c r="D1561" s="60" t="s">
        <v>100</v>
      </c>
      <c r="E1561" s="60" t="s">
        <v>84</v>
      </c>
      <c r="F1561" s="60" t="s">
        <v>85</v>
      </c>
      <c r="G1561" s="60">
        <v>7499000</v>
      </c>
      <c r="H1561" s="11">
        <v>625880</v>
      </c>
      <c r="I1561" s="16" t="s">
        <v>86</v>
      </c>
      <c r="J1561" s="16" t="s">
        <v>87</v>
      </c>
      <c r="K1561" s="16" t="s">
        <v>87</v>
      </c>
      <c r="L1561" s="16" t="s">
        <v>88</v>
      </c>
      <c r="M1561" s="134" t="s">
        <v>4723</v>
      </c>
      <c r="N1561" s="458" t="s">
        <v>5878</v>
      </c>
      <c r="O1561" s="16" t="s">
        <v>89</v>
      </c>
      <c r="P1561" s="23">
        <v>423.73</v>
      </c>
      <c r="Q1561" s="23">
        <f t="shared" si="204"/>
        <v>500.00139999999999</v>
      </c>
      <c r="R1561" s="27"/>
      <c r="S1561" s="29"/>
      <c r="T1561" s="47"/>
      <c r="U1561" s="47"/>
      <c r="V1561" s="47"/>
      <c r="W1561" s="47"/>
      <c r="X1561" s="47"/>
      <c r="Y1561" s="34">
        <v>423.73</v>
      </c>
      <c r="Z1561" s="34">
        <f t="shared" si="205"/>
        <v>500.00139999999999</v>
      </c>
      <c r="AA1561" s="36" t="s">
        <v>132</v>
      </c>
      <c r="AB1561" s="36" t="s">
        <v>132</v>
      </c>
      <c r="AC1561" s="34">
        <v>423.73</v>
      </c>
      <c r="AD1561" s="34">
        <f t="shared" si="206"/>
        <v>500.00139999999999</v>
      </c>
      <c r="AE1561" s="38" t="s">
        <v>1775</v>
      </c>
      <c r="AF1561" s="38" t="s">
        <v>83</v>
      </c>
      <c r="AG1561" s="38" t="s">
        <v>83</v>
      </c>
      <c r="AH1561" s="38" t="s">
        <v>90</v>
      </c>
      <c r="AI1561" s="51">
        <v>41831</v>
      </c>
      <c r="AJ1561" s="51">
        <v>41876</v>
      </c>
      <c r="AK1561" s="60"/>
      <c r="AL1561" s="60"/>
      <c r="AM1561" s="60" t="s">
        <v>87</v>
      </c>
      <c r="AN1561" s="60" t="s">
        <v>91</v>
      </c>
      <c r="AO1561" s="11">
        <v>796</v>
      </c>
      <c r="AP1561" s="38" t="s">
        <v>94</v>
      </c>
      <c r="AQ1561" s="47">
        <v>1</v>
      </c>
      <c r="AR1561" s="38" t="s">
        <v>93</v>
      </c>
      <c r="AS1561" s="16" t="s">
        <v>92</v>
      </c>
      <c r="AT1561" s="52">
        <v>41896</v>
      </c>
      <c r="AU1561" s="52">
        <v>41896</v>
      </c>
      <c r="AV1561" s="224">
        <v>41912</v>
      </c>
      <c r="AW1561" s="38">
        <v>2014</v>
      </c>
      <c r="AX1561" s="60"/>
      <c r="AY1561" s="135"/>
      <c r="AZ1561" s="60"/>
      <c r="BA1561" s="47" t="s">
        <v>132</v>
      </c>
      <c r="BB1561" s="47" t="s">
        <v>132</v>
      </c>
      <c r="BC1561" s="333" t="s">
        <v>132</v>
      </c>
      <c r="BD1561" s="333" t="s">
        <v>132</v>
      </c>
      <c r="BE1561" s="334" t="s">
        <v>132</v>
      </c>
      <c r="BF1561" s="334" t="s">
        <v>132</v>
      </c>
      <c r="BG1561" s="334" t="s">
        <v>132</v>
      </c>
      <c r="BH1561" s="334" t="s">
        <v>132</v>
      </c>
      <c r="BI1561" s="334" t="s">
        <v>132</v>
      </c>
      <c r="BJ1561" s="334" t="s">
        <v>132</v>
      </c>
      <c r="BK1561" s="246"/>
    </row>
    <row r="1562" spans="1:63" s="268" customFormat="1" ht="131.25">
      <c r="A1562" s="47">
        <v>7</v>
      </c>
      <c r="B1562" s="38" t="s">
        <v>128</v>
      </c>
      <c r="C1562" s="60" t="s">
        <v>83</v>
      </c>
      <c r="D1562" s="60" t="s">
        <v>100</v>
      </c>
      <c r="E1562" s="60" t="s">
        <v>84</v>
      </c>
      <c r="F1562" s="60" t="s">
        <v>85</v>
      </c>
      <c r="G1562" s="60">
        <v>7499000</v>
      </c>
      <c r="H1562" s="11">
        <v>625881</v>
      </c>
      <c r="I1562" s="16" t="s">
        <v>86</v>
      </c>
      <c r="J1562" s="16" t="s">
        <v>87</v>
      </c>
      <c r="K1562" s="16" t="s">
        <v>87</v>
      </c>
      <c r="L1562" s="16" t="s">
        <v>88</v>
      </c>
      <c r="M1562" s="134" t="s">
        <v>4723</v>
      </c>
      <c r="N1562" s="458" t="s">
        <v>5878</v>
      </c>
      <c r="O1562" s="16" t="s">
        <v>89</v>
      </c>
      <c r="P1562" s="23">
        <v>84.745000000000005</v>
      </c>
      <c r="Q1562" s="23">
        <f t="shared" si="204"/>
        <v>99.999099999999999</v>
      </c>
      <c r="R1562" s="23"/>
      <c r="S1562" s="29"/>
      <c r="T1562" s="47"/>
      <c r="U1562" s="47"/>
      <c r="V1562" s="47"/>
      <c r="W1562" s="47"/>
      <c r="X1562" s="47"/>
      <c r="Y1562" s="23">
        <v>84.745000000000005</v>
      </c>
      <c r="Z1562" s="23">
        <f t="shared" si="205"/>
        <v>99.999099999999999</v>
      </c>
      <c r="AA1562" s="36" t="s">
        <v>132</v>
      </c>
      <c r="AB1562" s="36" t="s">
        <v>132</v>
      </c>
      <c r="AC1562" s="23">
        <v>84.745000000000005</v>
      </c>
      <c r="AD1562" s="23">
        <f t="shared" si="206"/>
        <v>99.999099999999999</v>
      </c>
      <c r="AE1562" s="38" t="s">
        <v>1775</v>
      </c>
      <c r="AF1562" s="38" t="s">
        <v>83</v>
      </c>
      <c r="AG1562" s="38" t="s">
        <v>83</v>
      </c>
      <c r="AH1562" s="38" t="s">
        <v>90</v>
      </c>
      <c r="AI1562" s="51">
        <v>41923</v>
      </c>
      <c r="AJ1562" s="51">
        <v>41968</v>
      </c>
      <c r="AK1562" s="60"/>
      <c r="AL1562" s="60"/>
      <c r="AM1562" s="60" t="s">
        <v>87</v>
      </c>
      <c r="AN1562" s="60" t="s">
        <v>91</v>
      </c>
      <c r="AO1562" s="11">
        <v>796</v>
      </c>
      <c r="AP1562" s="38" t="s">
        <v>94</v>
      </c>
      <c r="AQ1562" s="47">
        <v>1</v>
      </c>
      <c r="AR1562" s="38" t="s">
        <v>93</v>
      </c>
      <c r="AS1562" s="16" t="s">
        <v>92</v>
      </c>
      <c r="AT1562" s="52">
        <v>41988</v>
      </c>
      <c r="AU1562" s="52">
        <v>41988</v>
      </c>
      <c r="AV1562" s="52">
        <v>42004</v>
      </c>
      <c r="AW1562" s="38">
        <v>2014</v>
      </c>
      <c r="AX1562" s="60"/>
      <c r="AY1562" s="135"/>
      <c r="AZ1562" s="60"/>
      <c r="BA1562" s="47" t="s">
        <v>132</v>
      </c>
      <c r="BB1562" s="47" t="s">
        <v>132</v>
      </c>
      <c r="BC1562" s="333" t="s">
        <v>132</v>
      </c>
      <c r="BD1562" s="333" t="s">
        <v>132</v>
      </c>
      <c r="BE1562" s="334" t="s">
        <v>132</v>
      </c>
      <c r="BF1562" s="334" t="s">
        <v>132</v>
      </c>
      <c r="BG1562" s="334" t="s">
        <v>132</v>
      </c>
      <c r="BH1562" s="334" t="s">
        <v>132</v>
      </c>
      <c r="BI1562" s="334" t="s">
        <v>132</v>
      </c>
      <c r="BJ1562" s="334" t="s">
        <v>132</v>
      </c>
      <c r="BK1562" s="246"/>
    </row>
    <row r="1563" spans="1:63" s="268" customFormat="1" ht="131.25">
      <c r="A1563" s="47">
        <v>7</v>
      </c>
      <c r="B1563" s="38" t="s">
        <v>129</v>
      </c>
      <c r="C1563" s="60" t="s">
        <v>83</v>
      </c>
      <c r="D1563" s="60" t="s">
        <v>100</v>
      </c>
      <c r="E1563" s="60" t="s">
        <v>84</v>
      </c>
      <c r="F1563" s="60" t="s">
        <v>85</v>
      </c>
      <c r="G1563" s="60">
        <v>7499000</v>
      </c>
      <c r="H1563" s="11">
        <v>625882</v>
      </c>
      <c r="I1563" s="16" t="s">
        <v>86</v>
      </c>
      <c r="J1563" s="16" t="s">
        <v>87</v>
      </c>
      <c r="K1563" s="16" t="s">
        <v>87</v>
      </c>
      <c r="L1563" s="16" t="s">
        <v>88</v>
      </c>
      <c r="M1563" s="134" t="s">
        <v>4723</v>
      </c>
      <c r="N1563" s="458" t="s">
        <v>5878</v>
      </c>
      <c r="O1563" s="16" t="s">
        <v>89</v>
      </c>
      <c r="P1563" s="23">
        <v>84.745000000000005</v>
      </c>
      <c r="Q1563" s="23">
        <f t="shared" si="204"/>
        <v>99.999099999999999</v>
      </c>
      <c r="R1563" s="27"/>
      <c r="S1563" s="29"/>
      <c r="T1563" s="47"/>
      <c r="U1563" s="47"/>
      <c r="V1563" s="47"/>
      <c r="W1563" s="47"/>
      <c r="X1563" s="47"/>
      <c r="Y1563" s="23">
        <v>84.745000000000005</v>
      </c>
      <c r="Z1563" s="23">
        <f t="shared" si="205"/>
        <v>99.999099999999999</v>
      </c>
      <c r="AA1563" s="36" t="s">
        <v>132</v>
      </c>
      <c r="AB1563" s="36" t="s">
        <v>132</v>
      </c>
      <c r="AC1563" s="23">
        <v>84.745000000000005</v>
      </c>
      <c r="AD1563" s="23">
        <f t="shared" si="206"/>
        <v>99.999099999999999</v>
      </c>
      <c r="AE1563" s="38" t="s">
        <v>1775</v>
      </c>
      <c r="AF1563" s="38" t="s">
        <v>83</v>
      </c>
      <c r="AG1563" s="38" t="s">
        <v>83</v>
      </c>
      <c r="AH1563" s="38" t="s">
        <v>90</v>
      </c>
      <c r="AI1563" s="51">
        <v>41923</v>
      </c>
      <c r="AJ1563" s="51">
        <v>41968</v>
      </c>
      <c r="AK1563" s="60"/>
      <c r="AL1563" s="60"/>
      <c r="AM1563" s="60" t="s">
        <v>87</v>
      </c>
      <c r="AN1563" s="60" t="s">
        <v>91</v>
      </c>
      <c r="AO1563" s="11">
        <v>796</v>
      </c>
      <c r="AP1563" s="38" t="s">
        <v>94</v>
      </c>
      <c r="AQ1563" s="47">
        <v>1</v>
      </c>
      <c r="AR1563" s="38" t="s">
        <v>93</v>
      </c>
      <c r="AS1563" s="16" t="s">
        <v>92</v>
      </c>
      <c r="AT1563" s="52">
        <v>41988</v>
      </c>
      <c r="AU1563" s="52">
        <v>41988</v>
      </c>
      <c r="AV1563" s="52">
        <v>42004</v>
      </c>
      <c r="AW1563" s="38">
        <v>2014</v>
      </c>
      <c r="AX1563" s="60"/>
      <c r="AY1563" s="135"/>
      <c r="AZ1563" s="60"/>
      <c r="BA1563" s="47" t="s">
        <v>132</v>
      </c>
      <c r="BB1563" s="47" t="s">
        <v>132</v>
      </c>
      <c r="BC1563" s="333" t="s">
        <v>132</v>
      </c>
      <c r="BD1563" s="333" t="s">
        <v>132</v>
      </c>
      <c r="BE1563" s="334" t="s">
        <v>132</v>
      </c>
      <c r="BF1563" s="334" t="s">
        <v>132</v>
      </c>
      <c r="BG1563" s="334" t="s">
        <v>132</v>
      </c>
      <c r="BH1563" s="334" t="s">
        <v>132</v>
      </c>
      <c r="BI1563" s="334" t="s">
        <v>132</v>
      </c>
      <c r="BJ1563" s="334" t="s">
        <v>132</v>
      </c>
      <c r="BK1563" s="246"/>
    </row>
    <row r="1564" spans="1:63" s="268" customFormat="1" ht="131.25">
      <c r="A1564" s="47">
        <v>7</v>
      </c>
      <c r="B1564" s="38" t="s">
        <v>130</v>
      </c>
      <c r="C1564" s="60" t="s">
        <v>83</v>
      </c>
      <c r="D1564" s="60" t="s">
        <v>100</v>
      </c>
      <c r="E1564" s="60" t="s">
        <v>84</v>
      </c>
      <c r="F1564" s="60" t="s">
        <v>85</v>
      </c>
      <c r="G1564" s="60">
        <v>7499000</v>
      </c>
      <c r="H1564" s="11">
        <v>625883</v>
      </c>
      <c r="I1564" s="16" t="s">
        <v>86</v>
      </c>
      <c r="J1564" s="16" t="s">
        <v>87</v>
      </c>
      <c r="K1564" s="16" t="s">
        <v>87</v>
      </c>
      <c r="L1564" s="16" t="s">
        <v>88</v>
      </c>
      <c r="M1564" s="16">
        <v>20105061402</v>
      </c>
      <c r="N1564" s="458" t="s">
        <v>5878</v>
      </c>
      <c r="O1564" s="16" t="s">
        <v>89</v>
      </c>
      <c r="P1564" s="23">
        <v>254.24</v>
      </c>
      <c r="Q1564" s="23">
        <f t="shared" si="204"/>
        <v>300.00319999999999</v>
      </c>
      <c r="R1564" s="23"/>
      <c r="S1564" s="29"/>
      <c r="T1564" s="47"/>
      <c r="U1564" s="47"/>
      <c r="V1564" s="47"/>
      <c r="W1564" s="47"/>
      <c r="X1564" s="47"/>
      <c r="Y1564" s="34">
        <v>254.24</v>
      </c>
      <c r="Z1564" s="34">
        <f t="shared" si="205"/>
        <v>300.00319999999999</v>
      </c>
      <c r="AA1564" s="36" t="s">
        <v>132</v>
      </c>
      <c r="AB1564" s="36" t="s">
        <v>132</v>
      </c>
      <c r="AC1564" s="34">
        <v>254.24</v>
      </c>
      <c r="AD1564" s="34">
        <f t="shared" si="206"/>
        <v>300.00319999999999</v>
      </c>
      <c r="AE1564" s="38" t="s">
        <v>1775</v>
      </c>
      <c r="AF1564" s="38" t="s">
        <v>83</v>
      </c>
      <c r="AG1564" s="38" t="s">
        <v>83</v>
      </c>
      <c r="AH1564" s="38" t="s">
        <v>90</v>
      </c>
      <c r="AI1564" s="51">
        <v>41923</v>
      </c>
      <c r="AJ1564" s="51">
        <v>41968</v>
      </c>
      <c r="AK1564" s="60"/>
      <c r="AL1564" s="60"/>
      <c r="AM1564" s="60" t="s">
        <v>87</v>
      </c>
      <c r="AN1564" s="60" t="s">
        <v>91</v>
      </c>
      <c r="AO1564" s="11">
        <v>796</v>
      </c>
      <c r="AP1564" s="38" t="s">
        <v>94</v>
      </c>
      <c r="AQ1564" s="47">
        <v>1</v>
      </c>
      <c r="AR1564" s="38" t="s">
        <v>93</v>
      </c>
      <c r="AS1564" s="16" t="s">
        <v>92</v>
      </c>
      <c r="AT1564" s="52">
        <v>41988</v>
      </c>
      <c r="AU1564" s="52">
        <v>41988</v>
      </c>
      <c r="AV1564" s="52">
        <v>42004</v>
      </c>
      <c r="AW1564" s="38">
        <v>2014</v>
      </c>
      <c r="AX1564" s="60"/>
      <c r="AY1564" s="135"/>
      <c r="AZ1564" s="60"/>
      <c r="BA1564" s="47" t="s">
        <v>132</v>
      </c>
      <c r="BB1564" s="47" t="s">
        <v>132</v>
      </c>
      <c r="BC1564" s="333" t="s">
        <v>132</v>
      </c>
      <c r="BD1564" s="333" t="s">
        <v>132</v>
      </c>
      <c r="BE1564" s="334" t="s">
        <v>132</v>
      </c>
      <c r="BF1564" s="334" t="s">
        <v>132</v>
      </c>
      <c r="BG1564" s="334" t="s">
        <v>132</v>
      </c>
      <c r="BH1564" s="334" t="s">
        <v>132</v>
      </c>
      <c r="BI1564" s="334" t="s">
        <v>132</v>
      </c>
      <c r="BJ1564" s="334" t="s">
        <v>132</v>
      </c>
      <c r="BK1564" s="246"/>
    </row>
    <row r="1565" spans="1:63" s="268" customFormat="1" ht="131.25">
      <c r="A1565" s="47">
        <v>7</v>
      </c>
      <c r="B1565" s="38" t="s">
        <v>131</v>
      </c>
      <c r="C1565" s="60" t="s">
        <v>83</v>
      </c>
      <c r="D1565" s="60" t="s">
        <v>100</v>
      </c>
      <c r="E1565" s="60" t="s">
        <v>84</v>
      </c>
      <c r="F1565" s="60" t="s">
        <v>85</v>
      </c>
      <c r="G1565" s="60">
        <v>7499000</v>
      </c>
      <c r="H1565" s="11">
        <v>625884</v>
      </c>
      <c r="I1565" s="16" t="s">
        <v>86</v>
      </c>
      <c r="J1565" s="16" t="s">
        <v>87</v>
      </c>
      <c r="K1565" s="16" t="s">
        <v>87</v>
      </c>
      <c r="L1565" s="16" t="s">
        <v>88</v>
      </c>
      <c r="M1565" s="16">
        <v>20105061402</v>
      </c>
      <c r="N1565" s="458" t="s">
        <v>5878</v>
      </c>
      <c r="O1565" s="16" t="s">
        <v>89</v>
      </c>
      <c r="P1565" s="23">
        <v>847.46</v>
      </c>
      <c r="Q1565" s="23">
        <f t="shared" si="204"/>
        <v>1000.0028</v>
      </c>
      <c r="R1565" s="27"/>
      <c r="S1565" s="29"/>
      <c r="T1565" s="47"/>
      <c r="U1565" s="47"/>
      <c r="V1565" s="47"/>
      <c r="W1565" s="47"/>
      <c r="X1565" s="47"/>
      <c r="Y1565" s="34">
        <v>847.46</v>
      </c>
      <c r="Z1565" s="34">
        <f t="shared" si="205"/>
        <v>1000.0028</v>
      </c>
      <c r="AA1565" s="36" t="s">
        <v>132</v>
      </c>
      <c r="AB1565" s="36" t="s">
        <v>132</v>
      </c>
      <c r="AC1565" s="34">
        <v>847.46</v>
      </c>
      <c r="AD1565" s="34">
        <f t="shared" si="206"/>
        <v>1000.0028</v>
      </c>
      <c r="AE1565" s="38" t="s">
        <v>1775</v>
      </c>
      <c r="AF1565" s="38" t="s">
        <v>83</v>
      </c>
      <c r="AG1565" s="38" t="s">
        <v>83</v>
      </c>
      <c r="AH1565" s="38" t="s">
        <v>90</v>
      </c>
      <c r="AI1565" s="51">
        <v>41923</v>
      </c>
      <c r="AJ1565" s="51">
        <v>41968</v>
      </c>
      <c r="AK1565" s="60"/>
      <c r="AL1565" s="60"/>
      <c r="AM1565" s="60" t="s">
        <v>87</v>
      </c>
      <c r="AN1565" s="60" t="s">
        <v>91</v>
      </c>
      <c r="AO1565" s="11">
        <v>796</v>
      </c>
      <c r="AP1565" s="38" t="s">
        <v>94</v>
      </c>
      <c r="AQ1565" s="47">
        <v>1</v>
      </c>
      <c r="AR1565" s="38" t="s">
        <v>93</v>
      </c>
      <c r="AS1565" s="16" t="s">
        <v>92</v>
      </c>
      <c r="AT1565" s="52">
        <v>41988</v>
      </c>
      <c r="AU1565" s="52">
        <v>41988</v>
      </c>
      <c r="AV1565" s="52">
        <v>42004</v>
      </c>
      <c r="AW1565" s="38">
        <v>2014</v>
      </c>
      <c r="AX1565" s="60"/>
      <c r="AY1565" s="135"/>
      <c r="AZ1565" s="60"/>
      <c r="BA1565" s="47" t="s">
        <v>132</v>
      </c>
      <c r="BB1565" s="47" t="s">
        <v>132</v>
      </c>
      <c r="BC1565" s="333" t="s">
        <v>132</v>
      </c>
      <c r="BD1565" s="333" t="s">
        <v>132</v>
      </c>
      <c r="BE1565" s="334" t="s">
        <v>132</v>
      </c>
      <c r="BF1565" s="334" t="s">
        <v>132</v>
      </c>
      <c r="BG1565" s="334" t="s">
        <v>132</v>
      </c>
      <c r="BH1565" s="334" t="s">
        <v>132</v>
      </c>
      <c r="BI1565" s="334" t="s">
        <v>132</v>
      </c>
      <c r="BJ1565" s="334" t="s">
        <v>132</v>
      </c>
      <c r="BK1565" s="246"/>
    </row>
    <row r="1566" spans="1:63" s="603" customFormat="1">
      <c r="A1566" s="91" t="s">
        <v>132</v>
      </c>
      <c r="B1566" s="7" t="s">
        <v>132</v>
      </c>
      <c r="C1566" s="7" t="s">
        <v>132</v>
      </c>
      <c r="D1566" s="7" t="s">
        <v>132</v>
      </c>
      <c r="E1566" s="7" t="s">
        <v>132</v>
      </c>
      <c r="F1566" s="7" t="s">
        <v>132</v>
      </c>
      <c r="G1566" s="7" t="s">
        <v>132</v>
      </c>
      <c r="H1566" s="7" t="s">
        <v>132</v>
      </c>
      <c r="I1566" s="7" t="s">
        <v>132</v>
      </c>
      <c r="J1566" s="7" t="s">
        <v>132</v>
      </c>
      <c r="K1566" s="7" t="s">
        <v>132</v>
      </c>
      <c r="L1566" s="7" t="s">
        <v>132</v>
      </c>
      <c r="M1566" s="7" t="s">
        <v>132</v>
      </c>
      <c r="N1566" s="7" t="s">
        <v>132</v>
      </c>
      <c r="O1566" s="7" t="s">
        <v>132</v>
      </c>
      <c r="P1566" s="7" t="s">
        <v>132</v>
      </c>
      <c r="Q1566" s="7" t="s">
        <v>132</v>
      </c>
      <c r="R1566" s="7" t="s">
        <v>132</v>
      </c>
      <c r="S1566" s="7" t="s">
        <v>132</v>
      </c>
      <c r="T1566" s="7" t="s">
        <v>132</v>
      </c>
      <c r="U1566" s="7" t="s">
        <v>132</v>
      </c>
      <c r="V1566" s="7" t="s">
        <v>132</v>
      </c>
      <c r="W1566" s="7" t="s">
        <v>132</v>
      </c>
      <c r="X1566" s="7" t="s">
        <v>132</v>
      </c>
      <c r="Y1566" s="7" t="s">
        <v>132</v>
      </c>
      <c r="Z1566" s="7" t="s">
        <v>132</v>
      </c>
      <c r="AA1566" s="225" t="s">
        <v>132</v>
      </c>
      <c r="AB1566" s="225" t="s">
        <v>132</v>
      </c>
      <c r="AC1566" s="7" t="s">
        <v>132</v>
      </c>
      <c r="AD1566" s="7" t="s">
        <v>132</v>
      </c>
      <c r="AE1566" s="7" t="s">
        <v>132</v>
      </c>
      <c r="AF1566" s="7" t="s">
        <v>132</v>
      </c>
      <c r="AG1566" s="7" t="s">
        <v>132</v>
      </c>
      <c r="AH1566" s="7" t="s">
        <v>132</v>
      </c>
      <c r="AI1566" s="7" t="s">
        <v>132</v>
      </c>
      <c r="AJ1566" s="7" t="s">
        <v>132</v>
      </c>
      <c r="AK1566" s="7" t="s">
        <v>132</v>
      </c>
      <c r="AL1566" s="7" t="s">
        <v>132</v>
      </c>
      <c r="AM1566" s="7" t="s">
        <v>132</v>
      </c>
      <c r="AN1566" s="7" t="s">
        <v>132</v>
      </c>
      <c r="AO1566" s="7" t="s">
        <v>132</v>
      </c>
      <c r="AP1566" s="7" t="s">
        <v>132</v>
      </c>
      <c r="AQ1566" s="7" t="s">
        <v>132</v>
      </c>
      <c r="AR1566" s="7" t="s">
        <v>132</v>
      </c>
      <c r="AS1566" s="7" t="s">
        <v>132</v>
      </c>
      <c r="AT1566" s="7" t="s">
        <v>132</v>
      </c>
      <c r="AU1566" s="7" t="s">
        <v>132</v>
      </c>
      <c r="AV1566" s="7" t="s">
        <v>132</v>
      </c>
      <c r="AW1566" s="7" t="s">
        <v>132</v>
      </c>
      <c r="AX1566" s="7" t="s">
        <v>132</v>
      </c>
      <c r="AY1566" s="7" t="s">
        <v>132</v>
      </c>
      <c r="AZ1566" s="7" t="s">
        <v>132</v>
      </c>
      <c r="BA1566" s="7" t="s">
        <v>132</v>
      </c>
      <c r="BB1566" s="7" t="s">
        <v>132</v>
      </c>
      <c r="BC1566" s="7" t="s">
        <v>132</v>
      </c>
      <c r="BD1566" s="7" t="s">
        <v>132</v>
      </c>
      <c r="BE1566" s="7" t="s">
        <v>132</v>
      </c>
      <c r="BF1566" s="7" t="s">
        <v>132</v>
      </c>
      <c r="BG1566" s="7" t="s">
        <v>132</v>
      </c>
      <c r="BH1566" s="7" t="s">
        <v>132</v>
      </c>
      <c r="BI1566" s="7" t="s">
        <v>132</v>
      </c>
      <c r="BJ1566" s="7" t="s">
        <v>132</v>
      </c>
      <c r="BK1566" s="7"/>
    </row>
    <row r="1567" spans="1:63" s="603" customFormat="1" ht="36.75" customHeight="1">
      <c r="A1567" s="91" t="s">
        <v>132</v>
      </c>
      <c r="B1567" s="7" t="s">
        <v>132</v>
      </c>
      <c r="C1567" s="7" t="s">
        <v>132</v>
      </c>
      <c r="D1567" s="7" t="s">
        <v>132</v>
      </c>
      <c r="E1567" s="7" t="s">
        <v>132</v>
      </c>
      <c r="F1567" s="7" t="s">
        <v>132</v>
      </c>
      <c r="G1567" s="7" t="s">
        <v>132</v>
      </c>
      <c r="H1567" s="7" t="s">
        <v>132</v>
      </c>
      <c r="I1567" s="8" t="s">
        <v>3044</v>
      </c>
      <c r="J1567" s="7" t="s">
        <v>132</v>
      </c>
      <c r="K1567" s="7" t="s">
        <v>132</v>
      </c>
      <c r="L1567" s="7" t="s">
        <v>132</v>
      </c>
      <c r="M1567" s="190" t="s">
        <v>132</v>
      </c>
      <c r="N1567" s="7" t="s">
        <v>132</v>
      </c>
      <c r="O1567" s="7" t="s">
        <v>132</v>
      </c>
      <c r="P1567" s="102">
        <f>SUMIFS(Сумма_16,Филиал,"=ОАО*",ВД,"=7")</f>
        <v>8050.8699999999981</v>
      </c>
      <c r="Q1567" s="102">
        <f>SUMIFS(Сумма_17,Филиал,"=ОАО*",ВД,"=7")</f>
        <v>9500.0265999999992</v>
      </c>
      <c r="R1567" s="7" t="s">
        <v>132</v>
      </c>
      <c r="S1567" s="7" t="s">
        <v>132</v>
      </c>
      <c r="T1567" s="7" t="s">
        <v>132</v>
      </c>
      <c r="U1567" s="7" t="s">
        <v>132</v>
      </c>
      <c r="V1567" s="7" t="s">
        <v>132</v>
      </c>
      <c r="W1567" s="7" t="s">
        <v>132</v>
      </c>
      <c r="X1567" s="7" t="s">
        <v>132</v>
      </c>
      <c r="Y1567" s="102">
        <f>SUMIFS(Сумма_25,Филиал,"=ОАО*",ВД,"=7")</f>
        <v>8050.8699999999981</v>
      </c>
      <c r="Z1567" s="102">
        <f>SUMIFS(Сумма_26,Филиал,"=ОАО*",ВД,"=7")</f>
        <v>9500.0265999999992</v>
      </c>
      <c r="AA1567" s="225" t="s">
        <v>132</v>
      </c>
      <c r="AB1567" s="225" t="s">
        <v>132</v>
      </c>
      <c r="AC1567" s="102">
        <f>SUMIFS(Сумма_29,Филиал,"=ОАО*",ВД,"=7")</f>
        <v>8050.8699999999981</v>
      </c>
      <c r="AD1567" s="102">
        <f>SUMIFS(Сумма,Филиал,"=ОАО*",ВД,"=7")</f>
        <v>9500.0265999999992</v>
      </c>
      <c r="AE1567" s="7" t="s">
        <v>132</v>
      </c>
      <c r="AF1567" s="7" t="s">
        <v>132</v>
      </c>
      <c r="AG1567" s="7" t="s">
        <v>132</v>
      </c>
      <c r="AH1567" s="7" t="s">
        <v>132</v>
      </c>
      <c r="AI1567" s="7" t="s">
        <v>132</v>
      </c>
      <c r="AJ1567" s="7" t="s">
        <v>132</v>
      </c>
      <c r="AK1567" s="7" t="s">
        <v>132</v>
      </c>
      <c r="AL1567" s="7" t="s">
        <v>132</v>
      </c>
      <c r="AM1567" s="7" t="s">
        <v>132</v>
      </c>
      <c r="AN1567" s="7" t="s">
        <v>132</v>
      </c>
      <c r="AO1567" s="7" t="s">
        <v>132</v>
      </c>
      <c r="AP1567" s="7" t="s">
        <v>132</v>
      </c>
      <c r="AQ1567" s="7" t="s">
        <v>132</v>
      </c>
      <c r="AR1567" s="7" t="s">
        <v>132</v>
      </c>
      <c r="AS1567" s="7" t="s">
        <v>132</v>
      </c>
      <c r="AT1567" s="7" t="s">
        <v>132</v>
      </c>
      <c r="AU1567" s="7" t="s">
        <v>132</v>
      </c>
      <c r="AV1567" s="7" t="s">
        <v>132</v>
      </c>
      <c r="AW1567" s="7" t="s">
        <v>132</v>
      </c>
      <c r="AX1567" s="7" t="s">
        <v>132</v>
      </c>
      <c r="AY1567" s="7" t="s">
        <v>132</v>
      </c>
      <c r="AZ1567" s="7" t="s">
        <v>132</v>
      </c>
      <c r="BA1567" s="7" t="s">
        <v>132</v>
      </c>
      <c r="BB1567" s="7" t="s">
        <v>132</v>
      </c>
      <c r="BC1567" s="7" t="s">
        <v>132</v>
      </c>
      <c r="BD1567" s="7" t="s">
        <v>132</v>
      </c>
      <c r="BE1567" s="7" t="s">
        <v>132</v>
      </c>
      <c r="BF1567" s="7" t="s">
        <v>132</v>
      </c>
      <c r="BG1567" s="7" t="s">
        <v>132</v>
      </c>
      <c r="BH1567" s="7" t="s">
        <v>132</v>
      </c>
      <c r="BI1567" s="7" t="s">
        <v>132</v>
      </c>
      <c r="BJ1567" s="7" t="s">
        <v>132</v>
      </c>
      <c r="BK1567" s="7"/>
    </row>
    <row r="1568" spans="1:63" s="603" customFormat="1">
      <c r="A1568" s="91" t="s">
        <v>132</v>
      </c>
      <c r="B1568" s="7" t="s">
        <v>132</v>
      </c>
      <c r="C1568" s="7" t="s">
        <v>132</v>
      </c>
      <c r="D1568" s="7" t="s">
        <v>132</v>
      </c>
      <c r="E1568" s="7" t="s">
        <v>132</v>
      </c>
      <c r="F1568" s="7" t="s">
        <v>132</v>
      </c>
      <c r="G1568" s="7" t="s">
        <v>132</v>
      </c>
      <c r="H1568" s="7" t="s">
        <v>132</v>
      </c>
      <c r="I1568" s="8" t="s">
        <v>3045</v>
      </c>
      <c r="J1568" s="7" t="s">
        <v>132</v>
      </c>
      <c r="K1568" s="7" t="s">
        <v>132</v>
      </c>
      <c r="L1568" s="7" t="s">
        <v>132</v>
      </c>
      <c r="M1568" s="190" t="s">
        <v>132</v>
      </c>
      <c r="N1568" s="7" t="s">
        <v>132</v>
      </c>
      <c r="O1568" s="7" t="s">
        <v>132</v>
      </c>
      <c r="P1568" s="7" t="s">
        <v>132</v>
      </c>
      <c r="Q1568" s="7" t="s">
        <v>132</v>
      </c>
      <c r="R1568" s="7" t="s">
        <v>132</v>
      </c>
      <c r="S1568" s="7" t="s">
        <v>132</v>
      </c>
      <c r="T1568" s="7" t="s">
        <v>132</v>
      </c>
      <c r="U1568" s="7" t="s">
        <v>132</v>
      </c>
      <c r="V1568" s="7" t="s">
        <v>132</v>
      </c>
      <c r="W1568" s="7" t="s">
        <v>132</v>
      </c>
      <c r="X1568" s="7" t="s">
        <v>132</v>
      </c>
      <c r="Y1568" s="7" t="s">
        <v>132</v>
      </c>
      <c r="Z1568" s="7" t="s">
        <v>132</v>
      </c>
      <c r="AA1568" s="225" t="s">
        <v>132</v>
      </c>
      <c r="AB1568" s="225" t="s">
        <v>132</v>
      </c>
      <c r="AC1568" s="7" t="s">
        <v>132</v>
      </c>
      <c r="AD1568" s="7" t="s">
        <v>132</v>
      </c>
      <c r="AE1568" s="7" t="s">
        <v>132</v>
      </c>
      <c r="AF1568" s="7" t="s">
        <v>132</v>
      </c>
      <c r="AG1568" s="7" t="s">
        <v>132</v>
      </c>
      <c r="AH1568" s="7" t="s">
        <v>132</v>
      </c>
      <c r="AI1568" s="7" t="s">
        <v>132</v>
      </c>
      <c r="AJ1568" s="7" t="s">
        <v>132</v>
      </c>
      <c r="AK1568" s="7" t="s">
        <v>132</v>
      </c>
      <c r="AL1568" s="7" t="s">
        <v>132</v>
      </c>
      <c r="AM1568" s="7" t="s">
        <v>132</v>
      </c>
      <c r="AN1568" s="7" t="s">
        <v>132</v>
      </c>
      <c r="AO1568" s="7" t="s">
        <v>132</v>
      </c>
      <c r="AP1568" s="7" t="s">
        <v>132</v>
      </c>
      <c r="AQ1568" s="7" t="s">
        <v>132</v>
      </c>
      <c r="AR1568" s="7" t="s">
        <v>132</v>
      </c>
      <c r="AS1568" s="7" t="s">
        <v>132</v>
      </c>
      <c r="AT1568" s="7" t="s">
        <v>132</v>
      </c>
      <c r="AU1568" s="7" t="s">
        <v>132</v>
      </c>
      <c r="AV1568" s="7" t="s">
        <v>132</v>
      </c>
      <c r="AW1568" s="7" t="s">
        <v>132</v>
      </c>
      <c r="AX1568" s="7" t="s">
        <v>132</v>
      </c>
      <c r="AY1568" s="7" t="s">
        <v>132</v>
      </c>
      <c r="AZ1568" s="7" t="s">
        <v>132</v>
      </c>
      <c r="BA1568" s="7" t="s">
        <v>132</v>
      </c>
      <c r="BB1568" s="7" t="s">
        <v>132</v>
      </c>
      <c r="BC1568" s="7" t="s">
        <v>132</v>
      </c>
      <c r="BD1568" s="7" t="s">
        <v>132</v>
      </c>
      <c r="BE1568" s="7" t="s">
        <v>132</v>
      </c>
      <c r="BF1568" s="7" t="s">
        <v>132</v>
      </c>
      <c r="BG1568" s="7" t="s">
        <v>132</v>
      </c>
      <c r="BH1568" s="7" t="s">
        <v>132</v>
      </c>
      <c r="BI1568" s="7" t="s">
        <v>132</v>
      </c>
      <c r="BJ1568" s="7" t="s">
        <v>132</v>
      </c>
      <c r="BK1568" s="7"/>
    </row>
    <row r="1569" spans="1:63" s="603" customFormat="1">
      <c r="A1569" s="91" t="s">
        <v>132</v>
      </c>
      <c r="B1569" s="7" t="s">
        <v>132</v>
      </c>
      <c r="C1569" s="7" t="s">
        <v>132</v>
      </c>
      <c r="D1569" s="7" t="s">
        <v>132</v>
      </c>
      <c r="E1569" s="7" t="s">
        <v>132</v>
      </c>
      <c r="F1569" s="7" t="s">
        <v>132</v>
      </c>
      <c r="G1569" s="7" t="s">
        <v>132</v>
      </c>
      <c r="H1569" s="7" t="s">
        <v>132</v>
      </c>
      <c r="I1569" s="7" t="s">
        <v>132</v>
      </c>
      <c r="J1569" s="7" t="s">
        <v>132</v>
      </c>
      <c r="K1569" s="7" t="s">
        <v>132</v>
      </c>
      <c r="L1569" s="7" t="s">
        <v>132</v>
      </c>
      <c r="M1569" s="190" t="s">
        <v>132</v>
      </c>
      <c r="N1569" s="7" t="s">
        <v>132</v>
      </c>
      <c r="O1569" s="7" t="s">
        <v>132</v>
      </c>
      <c r="P1569" s="7" t="s">
        <v>132</v>
      </c>
      <c r="Q1569" s="7" t="s">
        <v>132</v>
      </c>
      <c r="R1569" s="7" t="s">
        <v>132</v>
      </c>
      <c r="S1569" s="7" t="s">
        <v>132</v>
      </c>
      <c r="T1569" s="7" t="s">
        <v>132</v>
      </c>
      <c r="U1569" s="7" t="s">
        <v>132</v>
      </c>
      <c r="V1569" s="7" t="s">
        <v>132</v>
      </c>
      <c r="W1569" s="7" t="s">
        <v>132</v>
      </c>
      <c r="X1569" s="7" t="s">
        <v>132</v>
      </c>
      <c r="Y1569" s="7" t="s">
        <v>132</v>
      </c>
      <c r="Z1569" s="7" t="s">
        <v>132</v>
      </c>
      <c r="AA1569" s="225" t="s">
        <v>132</v>
      </c>
      <c r="AB1569" s="225" t="s">
        <v>132</v>
      </c>
      <c r="AC1569" s="7" t="s">
        <v>132</v>
      </c>
      <c r="AD1569" s="7" t="s">
        <v>132</v>
      </c>
      <c r="AE1569" s="7" t="s">
        <v>132</v>
      </c>
      <c r="AF1569" s="7" t="s">
        <v>132</v>
      </c>
      <c r="AG1569" s="7" t="s">
        <v>132</v>
      </c>
      <c r="AH1569" s="7" t="s">
        <v>132</v>
      </c>
      <c r="AI1569" s="7" t="s">
        <v>132</v>
      </c>
      <c r="AJ1569" s="7" t="s">
        <v>132</v>
      </c>
      <c r="AK1569" s="7" t="s">
        <v>132</v>
      </c>
      <c r="AL1569" s="7" t="s">
        <v>132</v>
      </c>
      <c r="AM1569" s="7" t="s">
        <v>132</v>
      </c>
      <c r="AN1569" s="7" t="s">
        <v>132</v>
      </c>
      <c r="AO1569" s="7" t="s">
        <v>132</v>
      </c>
      <c r="AP1569" s="7" t="s">
        <v>132</v>
      </c>
      <c r="AQ1569" s="7" t="s">
        <v>132</v>
      </c>
      <c r="AR1569" s="7" t="s">
        <v>132</v>
      </c>
      <c r="AS1569" s="7" t="s">
        <v>132</v>
      </c>
      <c r="AT1569" s="7" t="s">
        <v>132</v>
      </c>
      <c r="AU1569" s="7" t="s">
        <v>132</v>
      </c>
      <c r="AV1569" s="7" t="s">
        <v>132</v>
      </c>
      <c r="AW1569" s="7" t="s">
        <v>132</v>
      </c>
      <c r="AX1569" s="7" t="s">
        <v>132</v>
      </c>
      <c r="AY1569" s="7" t="s">
        <v>132</v>
      </c>
      <c r="AZ1569" s="7" t="s">
        <v>132</v>
      </c>
      <c r="BA1569" s="7" t="s">
        <v>132</v>
      </c>
      <c r="BB1569" s="7" t="s">
        <v>132</v>
      </c>
      <c r="BC1569" s="7" t="s">
        <v>132</v>
      </c>
      <c r="BD1569" s="7" t="s">
        <v>132</v>
      </c>
      <c r="BE1569" s="7" t="s">
        <v>132</v>
      </c>
      <c r="BF1569" s="7" t="s">
        <v>132</v>
      </c>
      <c r="BG1569" s="7" t="s">
        <v>132</v>
      </c>
      <c r="BH1569" s="7" t="s">
        <v>132</v>
      </c>
      <c r="BI1569" s="7" t="s">
        <v>132</v>
      </c>
      <c r="BJ1569" s="7" t="s">
        <v>132</v>
      </c>
      <c r="BK1569" s="7"/>
    </row>
    <row r="1570" spans="1:63" s="268" customFormat="1" ht="75">
      <c r="A1570" s="25">
        <v>8</v>
      </c>
      <c r="B1570" s="38" t="s">
        <v>670</v>
      </c>
      <c r="C1570" s="38" t="s">
        <v>83</v>
      </c>
      <c r="D1570" s="16" t="s">
        <v>671</v>
      </c>
      <c r="E1570" s="38" t="s">
        <v>250</v>
      </c>
      <c r="F1570" s="72" t="s">
        <v>672</v>
      </c>
      <c r="G1570" s="72">
        <v>9311520</v>
      </c>
      <c r="H1570" s="63">
        <v>813102</v>
      </c>
      <c r="I1570" s="16" t="s">
        <v>4290</v>
      </c>
      <c r="J1570" s="16" t="s">
        <v>674</v>
      </c>
      <c r="K1570" s="16" t="s">
        <v>674</v>
      </c>
      <c r="L1570" s="16" t="s">
        <v>180</v>
      </c>
      <c r="M1570" s="191" t="s">
        <v>675</v>
      </c>
      <c r="N1570" s="459" t="s">
        <v>5868</v>
      </c>
      <c r="O1570" s="16" t="s">
        <v>541</v>
      </c>
      <c r="P1570" s="23">
        <v>1533.692</v>
      </c>
      <c r="Q1570" s="23">
        <f t="shared" ref="Q1570:Q1595" si="207">P1570*1.18</f>
        <v>1809.7565599999998</v>
      </c>
      <c r="R1570" s="23"/>
      <c r="S1570" s="29"/>
      <c r="T1570" s="132"/>
      <c r="U1570" s="132"/>
      <c r="V1570" s="132"/>
      <c r="W1570" s="132"/>
      <c r="X1570" s="25"/>
      <c r="Y1570" s="23">
        <v>1533.692</v>
      </c>
      <c r="Z1570" s="23">
        <f t="shared" ref="Z1570:Z1595" si="208">Y1570*1.18</f>
        <v>1809.7565599999998</v>
      </c>
      <c r="AA1570" s="36" t="s">
        <v>132</v>
      </c>
      <c r="AB1570" s="36" t="s">
        <v>132</v>
      </c>
      <c r="AC1570" s="23">
        <v>1533.692</v>
      </c>
      <c r="AD1570" s="23">
        <v>1809.7565599999998</v>
      </c>
      <c r="AE1570" s="38" t="s">
        <v>173</v>
      </c>
      <c r="AF1570" s="38" t="s">
        <v>83</v>
      </c>
      <c r="AG1570" s="38" t="s">
        <v>83</v>
      </c>
      <c r="AH1570" s="38" t="s">
        <v>545</v>
      </c>
      <c r="AI1570" s="52">
        <v>41575</v>
      </c>
      <c r="AJ1570" s="52">
        <v>41620</v>
      </c>
      <c r="AK1570" s="60"/>
      <c r="AL1570" s="60"/>
      <c r="AM1570" s="60" t="s">
        <v>673</v>
      </c>
      <c r="AN1570" s="60" t="s">
        <v>353</v>
      </c>
      <c r="AO1570" s="64">
        <v>796</v>
      </c>
      <c r="AP1570" s="38" t="s">
        <v>419</v>
      </c>
      <c r="AQ1570" s="256" t="s">
        <v>677</v>
      </c>
      <c r="AR1570" s="38">
        <v>46200</v>
      </c>
      <c r="AS1570" s="16" t="s">
        <v>605</v>
      </c>
      <c r="AT1570" s="51">
        <v>41640</v>
      </c>
      <c r="AU1570" s="51">
        <v>41640</v>
      </c>
      <c r="AV1570" s="52">
        <v>42004</v>
      </c>
      <c r="AW1570" s="38">
        <v>2014</v>
      </c>
      <c r="AX1570" s="60"/>
      <c r="AY1570" s="135"/>
      <c r="AZ1570" s="60"/>
      <c r="BA1570" s="38"/>
      <c r="BB1570" s="38"/>
      <c r="BC1570" s="60"/>
      <c r="BD1570" s="60"/>
      <c r="BE1570" s="415"/>
      <c r="BF1570" s="415"/>
      <c r="BG1570" s="415"/>
      <c r="BH1570" s="415"/>
      <c r="BI1570" s="415"/>
      <c r="BJ1570" s="415"/>
      <c r="BK1570" s="415"/>
    </row>
    <row r="1571" spans="1:63" s="268" customFormat="1" ht="75">
      <c r="A1571" s="25">
        <v>8</v>
      </c>
      <c r="B1571" s="38" t="s">
        <v>678</v>
      </c>
      <c r="C1571" s="38" t="s">
        <v>83</v>
      </c>
      <c r="D1571" s="16" t="s">
        <v>671</v>
      </c>
      <c r="E1571" s="38" t="s">
        <v>250</v>
      </c>
      <c r="F1571" s="72" t="s">
        <v>679</v>
      </c>
      <c r="G1571" s="72">
        <v>1554210</v>
      </c>
      <c r="H1571" s="63">
        <v>813151</v>
      </c>
      <c r="I1571" s="16" t="s">
        <v>4291</v>
      </c>
      <c r="J1571" s="16" t="s">
        <v>674</v>
      </c>
      <c r="K1571" s="16" t="s">
        <v>674</v>
      </c>
      <c r="L1571" s="16" t="s">
        <v>180</v>
      </c>
      <c r="M1571" s="191" t="s">
        <v>675</v>
      </c>
      <c r="N1571" s="459" t="s">
        <v>5868</v>
      </c>
      <c r="O1571" s="16" t="s">
        <v>541</v>
      </c>
      <c r="P1571" s="23">
        <v>1500</v>
      </c>
      <c r="Q1571" s="23">
        <f t="shared" si="207"/>
        <v>1770</v>
      </c>
      <c r="R1571" s="23"/>
      <c r="S1571" s="29"/>
      <c r="T1571" s="132"/>
      <c r="U1571" s="132"/>
      <c r="V1571" s="132"/>
      <c r="W1571" s="132"/>
      <c r="X1571" s="25"/>
      <c r="Y1571" s="23">
        <v>1500</v>
      </c>
      <c r="Z1571" s="23">
        <f t="shared" si="208"/>
        <v>1770</v>
      </c>
      <c r="AA1571" s="36" t="s">
        <v>132</v>
      </c>
      <c r="AB1571" s="36" t="s">
        <v>132</v>
      </c>
      <c r="AC1571" s="23">
        <v>1500</v>
      </c>
      <c r="AD1571" s="23">
        <v>1770</v>
      </c>
      <c r="AE1571" s="38" t="s">
        <v>173</v>
      </c>
      <c r="AF1571" s="38" t="s">
        <v>83</v>
      </c>
      <c r="AG1571" s="38" t="s">
        <v>83</v>
      </c>
      <c r="AH1571" s="38" t="s">
        <v>545</v>
      </c>
      <c r="AI1571" s="52">
        <v>41575</v>
      </c>
      <c r="AJ1571" s="52">
        <v>41620</v>
      </c>
      <c r="AK1571" s="60"/>
      <c r="AL1571" s="60"/>
      <c r="AM1571" s="60" t="s">
        <v>680</v>
      </c>
      <c r="AN1571" s="60" t="s">
        <v>353</v>
      </c>
      <c r="AO1571" s="63">
        <v>796</v>
      </c>
      <c r="AP1571" s="38" t="s">
        <v>419</v>
      </c>
      <c r="AQ1571" s="256">
        <v>9517</v>
      </c>
      <c r="AR1571" s="38">
        <v>46200</v>
      </c>
      <c r="AS1571" s="16" t="s">
        <v>681</v>
      </c>
      <c r="AT1571" s="51">
        <v>41640</v>
      </c>
      <c r="AU1571" s="51">
        <v>41640</v>
      </c>
      <c r="AV1571" s="52">
        <v>42004</v>
      </c>
      <c r="AW1571" s="38">
        <v>2014</v>
      </c>
      <c r="AX1571" s="60"/>
      <c r="AY1571" s="135"/>
      <c r="AZ1571" s="60"/>
      <c r="BA1571" s="38"/>
      <c r="BB1571" s="38"/>
      <c r="BC1571" s="60"/>
      <c r="BD1571" s="60"/>
      <c r="BE1571" s="238"/>
      <c r="BF1571" s="238"/>
      <c r="BG1571" s="238"/>
      <c r="BH1571" s="238"/>
      <c r="BI1571" s="238"/>
      <c r="BJ1571" s="238"/>
      <c r="BK1571" s="238"/>
    </row>
    <row r="1572" spans="1:63" s="268" customFormat="1" ht="93.75" customHeight="1">
      <c r="A1572" s="25">
        <v>8</v>
      </c>
      <c r="B1572" s="38" t="s">
        <v>682</v>
      </c>
      <c r="C1572" s="38" t="s">
        <v>83</v>
      </c>
      <c r="D1572" s="16" t="s">
        <v>683</v>
      </c>
      <c r="E1572" s="38" t="s">
        <v>250</v>
      </c>
      <c r="F1572" s="72" t="s">
        <v>502</v>
      </c>
      <c r="G1572" s="38">
        <v>7310000</v>
      </c>
      <c r="H1572" s="63">
        <v>813136</v>
      </c>
      <c r="I1572" s="16" t="s">
        <v>684</v>
      </c>
      <c r="J1572" s="16" t="s">
        <v>685</v>
      </c>
      <c r="K1572" s="16" t="s">
        <v>685</v>
      </c>
      <c r="L1572" s="16" t="s">
        <v>180</v>
      </c>
      <c r="M1572" s="134" t="s">
        <v>686</v>
      </c>
      <c r="N1572" s="16" t="s">
        <v>5925</v>
      </c>
      <c r="O1572" s="16" t="s">
        <v>541</v>
      </c>
      <c r="P1572" s="23">
        <v>1631.4</v>
      </c>
      <c r="Q1572" s="23">
        <f t="shared" si="207"/>
        <v>1925.0519999999999</v>
      </c>
      <c r="R1572" s="23">
        <v>1483.0508500000001</v>
      </c>
      <c r="S1572" s="29"/>
      <c r="T1572" s="73" t="s">
        <v>4106</v>
      </c>
      <c r="U1572" s="73" t="s">
        <v>4107</v>
      </c>
      <c r="V1572" s="73" t="s">
        <v>4108</v>
      </c>
      <c r="W1572" s="73" t="s">
        <v>4109</v>
      </c>
      <c r="X1572" s="25">
        <v>0.9</v>
      </c>
      <c r="Y1572" s="23">
        <v>1708.53288</v>
      </c>
      <c r="Z1572" s="23">
        <f t="shared" si="208"/>
        <v>2016.0687983999999</v>
      </c>
      <c r="AA1572" s="36" t="s">
        <v>132</v>
      </c>
      <c r="AB1572" s="36" t="s">
        <v>132</v>
      </c>
      <c r="AC1572" s="23">
        <v>1631.4</v>
      </c>
      <c r="AD1572" s="23">
        <v>1925.0519999999999</v>
      </c>
      <c r="AE1572" s="38" t="s">
        <v>173</v>
      </c>
      <c r="AF1572" s="38" t="s">
        <v>83</v>
      </c>
      <c r="AG1572" s="38" t="s">
        <v>83</v>
      </c>
      <c r="AH1572" s="38" t="s">
        <v>90</v>
      </c>
      <c r="AI1572" s="52">
        <v>41575</v>
      </c>
      <c r="AJ1572" s="52">
        <v>41620</v>
      </c>
      <c r="AK1572" s="60"/>
      <c r="AL1572" s="60"/>
      <c r="AM1572" s="60" t="s">
        <v>684</v>
      </c>
      <c r="AN1572" s="60" t="s">
        <v>353</v>
      </c>
      <c r="AO1572" s="64">
        <v>796</v>
      </c>
      <c r="AP1572" s="38" t="s">
        <v>419</v>
      </c>
      <c r="AQ1572" s="23">
        <v>16</v>
      </c>
      <c r="AR1572" s="38">
        <v>46200</v>
      </c>
      <c r="AS1572" s="16" t="s">
        <v>605</v>
      </c>
      <c r="AT1572" s="52">
        <v>41649</v>
      </c>
      <c r="AU1572" s="52">
        <v>41649</v>
      </c>
      <c r="AV1572" s="52">
        <v>42004</v>
      </c>
      <c r="AW1572" s="38">
        <v>2014</v>
      </c>
      <c r="AX1572" s="60"/>
      <c r="AY1572" s="135"/>
      <c r="AZ1572" s="60"/>
      <c r="BA1572" s="38"/>
      <c r="BB1572" s="38"/>
      <c r="BC1572" s="60"/>
      <c r="BD1572" s="60"/>
      <c r="BE1572" s="415"/>
      <c r="BF1572" s="415"/>
      <c r="BG1572" s="415"/>
      <c r="BH1572" s="415"/>
      <c r="BI1572" s="415"/>
      <c r="BJ1572" s="415"/>
      <c r="BK1572" s="415"/>
    </row>
    <row r="1573" spans="1:63" s="268" customFormat="1" ht="94.5" customHeight="1">
      <c r="A1573" s="25">
        <v>8</v>
      </c>
      <c r="B1573" s="38" t="s">
        <v>698</v>
      </c>
      <c r="C1573" s="38" t="s">
        <v>83</v>
      </c>
      <c r="D1573" s="16" t="s">
        <v>688</v>
      </c>
      <c r="E1573" s="38" t="s">
        <v>250</v>
      </c>
      <c r="F1573" s="29" t="s">
        <v>689</v>
      </c>
      <c r="G1573" s="38">
        <v>6420090</v>
      </c>
      <c r="H1573" s="63">
        <v>813068</v>
      </c>
      <c r="I1573" s="16" t="s">
        <v>699</v>
      </c>
      <c r="J1573" s="16" t="s">
        <v>286</v>
      </c>
      <c r="K1573" s="16" t="s">
        <v>286</v>
      </c>
      <c r="L1573" s="16" t="s">
        <v>180</v>
      </c>
      <c r="M1573" s="95" t="s">
        <v>690</v>
      </c>
      <c r="N1573" s="15" t="s">
        <v>592</v>
      </c>
      <c r="O1573" s="16" t="s">
        <v>692</v>
      </c>
      <c r="P1573" s="23">
        <v>1612.99</v>
      </c>
      <c r="Q1573" s="23">
        <f t="shared" si="207"/>
        <v>1903.3281999999999</v>
      </c>
      <c r="R1573" s="23"/>
      <c r="S1573" s="29"/>
      <c r="T1573" s="25"/>
      <c r="U1573" s="33"/>
      <c r="V1573" s="33"/>
      <c r="W1573" s="33"/>
      <c r="X1573" s="25"/>
      <c r="Y1573" s="23">
        <v>1612.99</v>
      </c>
      <c r="Z1573" s="34">
        <f t="shared" si="208"/>
        <v>1903.3281999999999</v>
      </c>
      <c r="AA1573" s="36" t="s">
        <v>132</v>
      </c>
      <c r="AB1573" s="36" t="s">
        <v>132</v>
      </c>
      <c r="AC1573" s="23">
        <v>1612.99</v>
      </c>
      <c r="AD1573" s="34">
        <f t="shared" ref="AD1573:AD1587" si="209">AC1573*1.18</f>
        <v>1903.3281999999999</v>
      </c>
      <c r="AE1573" s="38" t="s">
        <v>173</v>
      </c>
      <c r="AF1573" s="38" t="s">
        <v>83</v>
      </c>
      <c r="AG1573" s="38" t="s">
        <v>83</v>
      </c>
      <c r="AH1573" s="38" t="s">
        <v>90</v>
      </c>
      <c r="AI1573" s="335">
        <v>41625</v>
      </c>
      <c r="AJ1573" s="51">
        <v>41670</v>
      </c>
      <c r="AK1573" s="60"/>
      <c r="AL1573" s="60"/>
      <c r="AM1573" s="60" t="s">
        <v>699</v>
      </c>
      <c r="AN1573" s="60" t="s">
        <v>353</v>
      </c>
      <c r="AO1573" s="63">
        <v>254</v>
      </c>
      <c r="AP1573" s="38" t="s">
        <v>700</v>
      </c>
      <c r="AQ1573" s="23" t="s">
        <v>701</v>
      </c>
      <c r="AR1573" s="25" t="s">
        <v>694</v>
      </c>
      <c r="AS1573" s="16" t="s">
        <v>547</v>
      </c>
      <c r="AT1573" s="52">
        <v>41690</v>
      </c>
      <c r="AU1573" s="248">
        <v>41690</v>
      </c>
      <c r="AV1573" s="52">
        <v>42004</v>
      </c>
      <c r="AW1573" s="38">
        <v>2014</v>
      </c>
      <c r="AX1573" s="60"/>
      <c r="AY1573" s="135"/>
      <c r="AZ1573" s="60"/>
      <c r="BA1573" s="38"/>
      <c r="BB1573" s="38"/>
      <c r="BC1573" s="60"/>
      <c r="BD1573" s="60"/>
      <c r="BE1573" s="238"/>
      <c r="BF1573" s="238"/>
      <c r="BG1573" s="238"/>
      <c r="BH1573" s="238"/>
      <c r="BI1573" s="238"/>
      <c r="BJ1573" s="238"/>
      <c r="BK1573" s="238"/>
    </row>
    <row r="1574" spans="1:63" s="268" customFormat="1" ht="94.5" customHeight="1">
      <c r="A1574" s="25">
        <v>8</v>
      </c>
      <c r="B1574" s="38" t="s">
        <v>705</v>
      </c>
      <c r="C1574" s="38" t="s">
        <v>83</v>
      </c>
      <c r="D1574" s="16" t="s">
        <v>688</v>
      </c>
      <c r="E1574" s="38" t="s">
        <v>250</v>
      </c>
      <c r="F1574" s="29" t="s">
        <v>689</v>
      </c>
      <c r="G1574" s="38">
        <v>6420090</v>
      </c>
      <c r="H1574" s="63">
        <v>813079</v>
      </c>
      <c r="I1574" s="16" t="s">
        <v>706</v>
      </c>
      <c r="J1574" s="16" t="s">
        <v>286</v>
      </c>
      <c r="K1574" s="16" t="s">
        <v>286</v>
      </c>
      <c r="L1574" s="16" t="s">
        <v>180</v>
      </c>
      <c r="M1574" s="95" t="s">
        <v>690</v>
      </c>
      <c r="N1574" s="15" t="s">
        <v>592</v>
      </c>
      <c r="O1574" s="16" t="s">
        <v>692</v>
      </c>
      <c r="P1574" s="23">
        <v>1009.1</v>
      </c>
      <c r="Q1574" s="23">
        <f t="shared" si="207"/>
        <v>1190.7380000000001</v>
      </c>
      <c r="R1574" s="23"/>
      <c r="S1574" s="29"/>
      <c r="T1574" s="25"/>
      <c r="U1574" s="33"/>
      <c r="V1574" s="33"/>
      <c r="W1574" s="33"/>
      <c r="X1574" s="25"/>
      <c r="Y1574" s="23">
        <v>1009.1</v>
      </c>
      <c r="Z1574" s="34">
        <f t="shared" si="208"/>
        <v>1190.7380000000001</v>
      </c>
      <c r="AA1574" s="36" t="s">
        <v>132</v>
      </c>
      <c r="AB1574" s="36" t="s">
        <v>132</v>
      </c>
      <c r="AC1574" s="23">
        <v>1009.1</v>
      </c>
      <c r="AD1574" s="34">
        <f t="shared" si="209"/>
        <v>1190.7380000000001</v>
      </c>
      <c r="AE1574" s="38" t="s">
        <v>173</v>
      </c>
      <c r="AF1574" s="38" t="s">
        <v>83</v>
      </c>
      <c r="AG1574" s="38" t="s">
        <v>83</v>
      </c>
      <c r="AH1574" s="38" t="s">
        <v>90</v>
      </c>
      <c r="AI1574" s="335">
        <v>41625</v>
      </c>
      <c r="AJ1574" s="51">
        <v>41670</v>
      </c>
      <c r="AK1574" s="60"/>
      <c r="AL1574" s="60"/>
      <c r="AM1574" s="60" t="s">
        <v>706</v>
      </c>
      <c r="AN1574" s="60" t="s">
        <v>353</v>
      </c>
      <c r="AO1574" s="63">
        <v>256</v>
      </c>
      <c r="AP1574" s="38" t="s">
        <v>707</v>
      </c>
      <c r="AQ1574" s="34" t="s">
        <v>708</v>
      </c>
      <c r="AR1574" s="25" t="s">
        <v>694</v>
      </c>
      <c r="AS1574" s="16" t="s">
        <v>547</v>
      </c>
      <c r="AT1574" s="52">
        <v>41690</v>
      </c>
      <c r="AU1574" s="248">
        <v>41690</v>
      </c>
      <c r="AV1574" s="52">
        <v>42004</v>
      </c>
      <c r="AW1574" s="38">
        <v>2014</v>
      </c>
      <c r="AX1574" s="60"/>
      <c r="AY1574" s="135"/>
      <c r="AZ1574" s="60"/>
      <c r="BA1574" s="38"/>
      <c r="BB1574" s="38"/>
      <c r="BC1574" s="60"/>
      <c r="BD1574" s="60"/>
      <c r="BE1574" s="238"/>
      <c r="BF1574" s="238"/>
      <c r="BG1574" s="238"/>
      <c r="BH1574" s="238"/>
      <c r="BI1574" s="238"/>
      <c r="BJ1574" s="238"/>
      <c r="BK1574" s="238"/>
    </row>
    <row r="1575" spans="1:63" s="268" customFormat="1" ht="93.75" customHeight="1">
      <c r="A1575" s="25">
        <v>8</v>
      </c>
      <c r="B1575" s="38" t="s">
        <v>709</v>
      </c>
      <c r="C1575" s="38" t="s">
        <v>83</v>
      </c>
      <c r="D1575" s="16" t="s">
        <v>688</v>
      </c>
      <c r="E1575" s="38" t="s">
        <v>250</v>
      </c>
      <c r="F1575" s="29" t="s">
        <v>689</v>
      </c>
      <c r="G1575" s="38">
        <v>6420090</v>
      </c>
      <c r="H1575" s="63">
        <v>813082</v>
      </c>
      <c r="I1575" s="16" t="s">
        <v>710</v>
      </c>
      <c r="J1575" s="16" t="s">
        <v>286</v>
      </c>
      <c r="K1575" s="16" t="s">
        <v>286</v>
      </c>
      <c r="L1575" s="16" t="s">
        <v>180</v>
      </c>
      <c r="M1575" s="95" t="s">
        <v>690</v>
      </c>
      <c r="N1575" s="15" t="s">
        <v>592</v>
      </c>
      <c r="O1575" s="16" t="s">
        <v>692</v>
      </c>
      <c r="P1575" s="23">
        <v>1112</v>
      </c>
      <c r="Q1575" s="23">
        <f t="shared" si="207"/>
        <v>1312.1599999999999</v>
      </c>
      <c r="R1575" s="23"/>
      <c r="S1575" s="29"/>
      <c r="T1575" s="25"/>
      <c r="U1575" s="33"/>
      <c r="V1575" s="33"/>
      <c r="W1575" s="33"/>
      <c r="X1575" s="25"/>
      <c r="Y1575" s="23">
        <v>1112</v>
      </c>
      <c r="Z1575" s="34">
        <f t="shared" si="208"/>
        <v>1312.1599999999999</v>
      </c>
      <c r="AA1575" s="36" t="s">
        <v>132</v>
      </c>
      <c r="AB1575" s="36" t="s">
        <v>132</v>
      </c>
      <c r="AC1575" s="23">
        <v>1112</v>
      </c>
      <c r="AD1575" s="34">
        <f t="shared" si="209"/>
        <v>1312.1599999999999</v>
      </c>
      <c r="AE1575" s="38" t="s">
        <v>280</v>
      </c>
      <c r="AF1575" s="38" t="s">
        <v>83</v>
      </c>
      <c r="AG1575" s="38" t="s">
        <v>83</v>
      </c>
      <c r="AH1575" s="38" t="s">
        <v>219</v>
      </c>
      <c r="AI1575" s="97">
        <v>41625</v>
      </c>
      <c r="AJ1575" s="52">
        <v>41625</v>
      </c>
      <c r="AK1575" s="358" t="s">
        <v>5847</v>
      </c>
      <c r="AL1575" s="60" t="s">
        <v>711</v>
      </c>
      <c r="AM1575" s="60" t="s">
        <v>710</v>
      </c>
      <c r="AN1575" s="60" t="s">
        <v>353</v>
      </c>
      <c r="AO1575" s="63">
        <v>796</v>
      </c>
      <c r="AP1575" s="38" t="s">
        <v>368</v>
      </c>
      <c r="AQ1575" s="34">
        <v>30</v>
      </c>
      <c r="AR1575" s="25" t="s">
        <v>694</v>
      </c>
      <c r="AS1575" s="16" t="s">
        <v>547</v>
      </c>
      <c r="AT1575" s="52">
        <v>41645</v>
      </c>
      <c r="AU1575" s="248">
        <v>41645</v>
      </c>
      <c r="AV1575" s="52">
        <v>42004</v>
      </c>
      <c r="AW1575" s="38">
        <v>2014</v>
      </c>
      <c r="AX1575" s="60"/>
      <c r="AY1575" s="135"/>
      <c r="AZ1575" s="60"/>
      <c r="BA1575" s="38"/>
      <c r="BB1575" s="38"/>
      <c r="BC1575" s="60"/>
      <c r="BD1575" s="60"/>
      <c r="BE1575" s="238"/>
      <c r="BF1575" s="238"/>
      <c r="BG1575" s="238"/>
      <c r="BH1575" s="238"/>
      <c r="BI1575" s="238"/>
      <c r="BJ1575" s="238"/>
      <c r="BK1575" s="238"/>
    </row>
    <row r="1576" spans="1:63" s="268" customFormat="1" ht="99" customHeight="1">
      <c r="A1576" s="25">
        <v>8</v>
      </c>
      <c r="B1576" s="38" t="s">
        <v>728</v>
      </c>
      <c r="C1576" s="38" t="s">
        <v>83</v>
      </c>
      <c r="D1576" s="16" t="s">
        <v>688</v>
      </c>
      <c r="E1576" s="38" t="s">
        <v>250</v>
      </c>
      <c r="F1576" s="29" t="s">
        <v>689</v>
      </c>
      <c r="G1576" s="38">
        <v>6420090</v>
      </c>
      <c r="H1576" s="63">
        <v>813101</v>
      </c>
      <c r="I1576" s="16" t="s">
        <v>729</v>
      </c>
      <c r="J1576" s="16" t="s">
        <v>716</v>
      </c>
      <c r="K1576" s="16" t="s">
        <v>716</v>
      </c>
      <c r="L1576" s="16" t="s">
        <v>180</v>
      </c>
      <c r="M1576" s="95" t="s">
        <v>690</v>
      </c>
      <c r="N1576" s="15" t="s">
        <v>592</v>
      </c>
      <c r="O1576" s="16" t="s">
        <v>692</v>
      </c>
      <c r="P1576" s="23">
        <v>2731</v>
      </c>
      <c r="Q1576" s="23">
        <f t="shared" si="207"/>
        <v>3222.58</v>
      </c>
      <c r="R1576" s="23"/>
      <c r="S1576" s="29"/>
      <c r="T1576" s="38"/>
      <c r="U1576" s="33"/>
      <c r="V1576" s="33"/>
      <c r="W1576" s="33"/>
      <c r="X1576" s="25"/>
      <c r="Y1576" s="23">
        <v>2731</v>
      </c>
      <c r="Z1576" s="34">
        <f t="shared" si="208"/>
        <v>3222.58</v>
      </c>
      <c r="AA1576" s="36" t="s">
        <v>132</v>
      </c>
      <c r="AB1576" s="36" t="s">
        <v>132</v>
      </c>
      <c r="AC1576" s="23">
        <v>2731</v>
      </c>
      <c r="AD1576" s="34">
        <f t="shared" si="209"/>
        <v>3222.58</v>
      </c>
      <c r="AE1576" s="38" t="s">
        <v>173</v>
      </c>
      <c r="AF1576" s="38" t="s">
        <v>83</v>
      </c>
      <c r="AG1576" s="38" t="s">
        <v>83</v>
      </c>
      <c r="AH1576" s="38" t="s">
        <v>90</v>
      </c>
      <c r="AI1576" s="335">
        <v>41625</v>
      </c>
      <c r="AJ1576" s="51">
        <v>41670</v>
      </c>
      <c r="AK1576" s="60"/>
      <c r="AL1576" s="60"/>
      <c r="AM1576" s="60" t="s">
        <v>729</v>
      </c>
      <c r="AN1576" s="60" t="s">
        <v>353</v>
      </c>
      <c r="AO1576" s="63">
        <v>257</v>
      </c>
      <c r="AP1576" s="38" t="s">
        <v>693</v>
      </c>
      <c r="AQ1576" s="34">
        <v>8</v>
      </c>
      <c r="AR1576" s="38">
        <v>46200</v>
      </c>
      <c r="AS1576" s="16" t="s">
        <v>721</v>
      </c>
      <c r="AT1576" s="52">
        <v>41690</v>
      </c>
      <c r="AU1576" s="248">
        <v>41690</v>
      </c>
      <c r="AV1576" s="52">
        <v>42004</v>
      </c>
      <c r="AW1576" s="38">
        <v>2014</v>
      </c>
      <c r="AX1576" s="60"/>
      <c r="AY1576" s="135"/>
      <c r="AZ1576" s="60"/>
      <c r="BA1576" s="38"/>
      <c r="BB1576" s="38"/>
      <c r="BC1576" s="60"/>
      <c r="BD1576" s="60"/>
      <c r="BE1576" s="238"/>
      <c r="BF1576" s="238"/>
      <c r="BG1576" s="238"/>
      <c r="BH1576" s="238"/>
      <c r="BI1576" s="238"/>
      <c r="BJ1576" s="238"/>
      <c r="BK1576" s="238"/>
    </row>
    <row r="1577" spans="1:63" s="268" customFormat="1" ht="104.25" customHeight="1">
      <c r="A1577" s="25">
        <v>8</v>
      </c>
      <c r="B1577" s="38" t="s">
        <v>730</v>
      </c>
      <c r="C1577" s="38" t="s">
        <v>83</v>
      </c>
      <c r="D1577" s="16" t="s">
        <v>688</v>
      </c>
      <c r="E1577" s="38" t="s">
        <v>250</v>
      </c>
      <c r="F1577" s="29" t="s">
        <v>689</v>
      </c>
      <c r="G1577" s="38">
        <v>6420090</v>
      </c>
      <c r="H1577" s="63">
        <v>813107</v>
      </c>
      <c r="I1577" s="16" t="s">
        <v>318</v>
      </c>
      <c r="J1577" s="16" t="s">
        <v>286</v>
      </c>
      <c r="K1577" s="16" t="s">
        <v>286</v>
      </c>
      <c r="L1577" s="16" t="s">
        <v>180</v>
      </c>
      <c r="M1577" s="95" t="s">
        <v>690</v>
      </c>
      <c r="N1577" s="15" t="s">
        <v>592</v>
      </c>
      <c r="O1577" s="16" t="s">
        <v>692</v>
      </c>
      <c r="P1577" s="23">
        <v>2633.5</v>
      </c>
      <c r="Q1577" s="23">
        <f t="shared" si="207"/>
        <v>3107.5299999999997</v>
      </c>
      <c r="R1577" s="23"/>
      <c r="S1577" s="29"/>
      <c r="T1577" s="38"/>
      <c r="U1577" s="33"/>
      <c r="V1577" s="33"/>
      <c r="W1577" s="33"/>
      <c r="X1577" s="25"/>
      <c r="Y1577" s="23">
        <v>2633.5</v>
      </c>
      <c r="Z1577" s="34">
        <f t="shared" si="208"/>
        <v>3107.5299999999997</v>
      </c>
      <c r="AA1577" s="36" t="s">
        <v>132</v>
      </c>
      <c r="AB1577" s="36" t="s">
        <v>132</v>
      </c>
      <c r="AC1577" s="23">
        <v>2633.5</v>
      </c>
      <c r="AD1577" s="34">
        <f t="shared" si="209"/>
        <v>3107.5299999999997</v>
      </c>
      <c r="AE1577" s="38" t="s">
        <v>173</v>
      </c>
      <c r="AF1577" s="38" t="s">
        <v>83</v>
      </c>
      <c r="AG1577" s="38" t="s">
        <v>83</v>
      </c>
      <c r="AH1577" s="38" t="s">
        <v>90</v>
      </c>
      <c r="AI1577" s="335">
        <v>41625</v>
      </c>
      <c r="AJ1577" s="51">
        <v>41670</v>
      </c>
      <c r="AK1577" s="60"/>
      <c r="AL1577" s="60"/>
      <c r="AM1577" s="60" t="s">
        <v>318</v>
      </c>
      <c r="AN1577" s="60" t="s">
        <v>353</v>
      </c>
      <c r="AO1577" s="63">
        <v>257</v>
      </c>
      <c r="AP1577" s="38" t="s">
        <v>731</v>
      </c>
      <c r="AQ1577" s="34">
        <v>7</v>
      </c>
      <c r="AR1577" s="38">
        <v>46200</v>
      </c>
      <c r="AS1577" s="16" t="s">
        <v>605</v>
      </c>
      <c r="AT1577" s="52">
        <v>41690</v>
      </c>
      <c r="AU1577" s="248">
        <v>41690</v>
      </c>
      <c r="AV1577" s="52">
        <v>42004</v>
      </c>
      <c r="AW1577" s="38">
        <v>2014</v>
      </c>
      <c r="AX1577" s="60"/>
      <c r="AY1577" s="135"/>
      <c r="AZ1577" s="60"/>
      <c r="BA1577" s="38"/>
      <c r="BB1577" s="38"/>
      <c r="BC1577" s="60"/>
      <c r="BD1577" s="60"/>
      <c r="BE1577" s="238"/>
      <c r="BF1577" s="238"/>
      <c r="BG1577" s="238"/>
      <c r="BH1577" s="238"/>
      <c r="BI1577" s="238"/>
      <c r="BJ1577" s="238"/>
      <c r="BK1577" s="238"/>
    </row>
    <row r="1578" spans="1:63" s="268" customFormat="1" ht="131.25">
      <c r="A1578" s="25">
        <v>8</v>
      </c>
      <c r="B1578" s="38" t="s">
        <v>733</v>
      </c>
      <c r="C1578" s="38" t="s">
        <v>83</v>
      </c>
      <c r="D1578" s="29" t="s">
        <v>734</v>
      </c>
      <c r="E1578" s="38" t="s">
        <v>190</v>
      </c>
      <c r="F1578" s="38" t="s">
        <v>267</v>
      </c>
      <c r="G1578" s="38">
        <v>7493050</v>
      </c>
      <c r="H1578" s="63">
        <v>813063</v>
      </c>
      <c r="I1578" s="16" t="s">
        <v>735</v>
      </c>
      <c r="J1578" s="16" t="s">
        <v>736</v>
      </c>
      <c r="K1578" s="16" t="s">
        <v>736</v>
      </c>
      <c r="L1578" s="16" t="s">
        <v>180</v>
      </c>
      <c r="M1578" s="332" t="s">
        <v>270</v>
      </c>
      <c r="N1578" s="16" t="s">
        <v>5882</v>
      </c>
      <c r="O1578" s="16" t="s">
        <v>541</v>
      </c>
      <c r="P1578" s="23">
        <v>23589.272730000001</v>
      </c>
      <c r="Q1578" s="23">
        <f t="shared" si="207"/>
        <v>27835.341821399998</v>
      </c>
      <c r="R1578" s="23"/>
      <c r="S1578" s="29"/>
      <c r="T1578" s="73"/>
      <c r="U1578" s="73"/>
      <c r="V1578" s="73"/>
      <c r="W1578" s="73"/>
      <c r="X1578" s="73"/>
      <c r="Y1578" s="23">
        <v>23589.272730000001</v>
      </c>
      <c r="Z1578" s="23">
        <f t="shared" si="208"/>
        <v>27835.341821399998</v>
      </c>
      <c r="AA1578" s="36" t="s">
        <v>132</v>
      </c>
      <c r="AB1578" s="36" t="s">
        <v>132</v>
      </c>
      <c r="AC1578" s="23">
        <v>23589.272730000001</v>
      </c>
      <c r="AD1578" s="23">
        <f t="shared" si="209"/>
        <v>27835.341821399998</v>
      </c>
      <c r="AE1578" s="38" t="s">
        <v>169</v>
      </c>
      <c r="AF1578" s="38" t="s">
        <v>83</v>
      </c>
      <c r="AG1578" s="38" t="s">
        <v>83</v>
      </c>
      <c r="AH1578" s="38" t="s">
        <v>545</v>
      </c>
      <c r="AI1578" s="52">
        <v>41574</v>
      </c>
      <c r="AJ1578" s="52">
        <v>41634</v>
      </c>
      <c r="AK1578" s="60"/>
      <c r="AL1578" s="60"/>
      <c r="AM1578" s="60" t="s">
        <v>735</v>
      </c>
      <c r="AN1578" s="60" t="s">
        <v>353</v>
      </c>
      <c r="AO1578" s="64">
        <v>55</v>
      </c>
      <c r="AP1578" s="38" t="s">
        <v>737</v>
      </c>
      <c r="AQ1578" s="23">
        <v>125528</v>
      </c>
      <c r="AR1578" s="25">
        <v>45268554000</v>
      </c>
      <c r="AS1578" s="16" t="s">
        <v>547</v>
      </c>
      <c r="AT1578" s="52">
        <v>41654</v>
      </c>
      <c r="AU1578" s="52">
        <v>41671</v>
      </c>
      <c r="AV1578" s="52">
        <v>42035</v>
      </c>
      <c r="AW1578" s="38" t="s">
        <v>99</v>
      </c>
      <c r="AX1578" s="60"/>
      <c r="AY1578" s="135"/>
      <c r="AZ1578" s="60"/>
      <c r="BA1578" s="38"/>
      <c r="BB1578" s="38"/>
      <c r="BC1578" s="60"/>
      <c r="BD1578" s="60"/>
      <c r="BE1578" s="416"/>
      <c r="BF1578" s="416"/>
      <c r="BG1578" s="416"/>
      <c r="BH1578" s="416"/>
      <c r="BI1578" s="416"/>
      <c r="BJ1578" s="416"/>
      <c r="BK1578" s="417"/>
    </row>
    <row r="1579" spans="1:63" s="608" customFormat="1" ht="75">
      <c r="A1579" s="25">
        <v>8</v>
      </c>
      <c r="B1579" s="29" t="s">
        <v>739</v>
      </c>
      <c r="C1579" s="38" t="s">
        <v>83</v>
      </c>
      <c r="D1579" s="16" t="s">
        <v>740</v>
      </c>
      <c r="E1579" s="72" t="s">
        <v>214</v>
      </c>
      <c r="F1579" s="72" t="s">
        <v>741</v>
      </c>
      <c r="G1579" s="72">
        <v>7523000</v>
      </c>
      <c r="H1579" s="63">
        <v>813150</v>
      </c>
      <c r="I1579" s="16" t="s">
        <v>4182</v>
      </c>
      <c r="J1579" s="16" t="s">
        <v>220</v>
      </c>
      <c r="K1579" s="16" t="s">
        <v>220</v>
      </c>
      <c r="L1579" s="16" t="s">
        <v>180</v>
      </c>
      <c r="M1579" s="95" t="s">
        <v>743</v>
      </c>
      <c r="N1579" s="15" t="s">
        <v>220</v>
      </c>
      <c r="O1579" s="16" t="s">
        <v>541</v>
      </c>
      <c r="P1579" s="23">
        <v>1113.9184</v>
      </c>
      <c r="Q1579" s="23">
        <f t="shared" si="207"/>
        <v>1314.423712</v>
      </c>
      <c r="R1579" s="23"/>
      <c r="S1579" s="29"/>
      <c r="T1579" s="23"/>
      <c r="U1579" s="23"/>
      <c r="V1579" s="23"/>
      <c r="W1579" s="23"/>
      <c r="X1579" s="23"/>
      <c r="Y1579" s="23">
        <v>1113.9184</v>
      </c>
      <c r="Z1579" s="23">
        <f t="shared" si="208"/>
        <v>1314.423712</v>
      </c>
      <c r="AA1579" s="36" t="s">
        <v>132</v>
      </c>
      <c r="AB1579" s="36" t="s">
        <v>132</v>
      </c>
      <c r="AC1579" s="23">
        <v>1113.9184</v>
      </c>
      <c r="AD1579" s="23">
        <f t="shared" si="209"/>
        <v>1314.423712</v>
      </c>
      <c r="AE1579" s="38" t="s">
        <v>173</v>
      </c>
      <c r="AF1579" s="38" t="s">
        <v>83</v>
      </c>
      <c r="AG1579" s="38" t="s">
        <v>83</v>
      </c>
      <c r="AH1579" s="38" t="s">
        <v>545</v>
      </c>
      <c r="AI1579" s="52">
        <v>41575</v>
      </c>
      <c r="AJ1579" s="52">
        <v>41620</v>
      </c>
      <c r="AK1579" s="60"/>
      <c r="AL1579" s="60"/>
      <c r="AM1579" s="16" t="s">
        <v>742</v>
      </c>
      <c r="AN1579" s="16" t="s">
        <v>171</v>
      </c>
      <c r="AO1579" s="64">
        <v>796</v>
      </c>
      <c r="AP1579" s="38" t="s">
        <v>419</v>
      </c>
      <c r="AQ1579" s="23">
        <v>12</v>
      </c>
      <c r="AR1579" s="38">
        <v>46200</v>
      </c>
      <c r="AS1579" s="16" t="s">
        <v>605</v>
      </c>
      <c r="AT1579" s="51">
        <v>41640</v>
      </c>
      <c r="AU1579" s="51">
        <v>41640</v>
      </c>
      <c r="AV1579" s="52">
        <v>42004</v>
      </c>
      <c r="AW1579" s="38">
        <v>2014</v>
      </c>
      <c r="AX1579" s="60"/>
      <c r="AY1579" s="135"/>
      <c r="AZ1579" s="60"/>
      <c r="BA1579" s="38"/>
      <c r="BB1579" s="38"/>
      <c r="BC1579" s="60"/>
      <c r="BD1579" s="60"/>
      <c r="BE1579" s="415"/>
      <c r="BF1579" s="415"/>
      <c r="BG1579" s="415"/>
      <c r="BH1579" s="415"/>
      <c r="BI1579" s="415"/>
      <c r="BJ1579" s="415"/>
      <c r="BK1579" s="415"/>
    </row>
    <row r="1580" spans="1:63" s="268" customFormat="1" ht="93.75">
      <c r="A1580" s="25">
        <v>8</v>
      </c>
      <c r="B1580" s="29" t="s">
        <v>745</v>
      </c>
      <c r="C1580" s="38" t="s">
        <v>83</v>
      </c>
      <c r="D1580" s="16" t="s">
        <v>740</v>
      </c>
      <c r="E1580" s="72" t="s">
        <v>214</v>
      </c>
      <c r="F1580" s="72" t="s">
        <v>746</v>
      </c>
      <c r="G1580" s="72">
        <v>7523000</v>
      </c>
      <c r="H1580" s="63">
        <v>813152</v>
      </c>
      <c r="I1580" s="16" t="s">
        <v>747</v>
      </c>
      <c r="J1580" s="16" t="s">
        <v>220</v>
      </c>
      <c r="K1580" s="16" t="s">
        <v>220</v>
      </c>
      <c r="L1580" s="16" t="s">
        <v>180</v>
      </c>
      <c r="M1580" s="95" t="s">
        <v>743</v>
      </c>
      <c r="N1580" s="15" t="s">
        <v>220</v>
      </c>
      <c r="O1580" s="16" t="s">
        <v>541</v>
      </c>
      <c r="P1580" s="23">
        <v>2833.37399</v>
      </c>
      <c r="Q1580" s="23">
        <f t="shared" si="207"/>
        <v>3343.3813081999997</v>
      </c>
      <c r="R1580" s="23"/>
      <c r="S1580" s="29"/>
      <c r="T1580" s="23"/>
      <c r="U1580" s="23"/>
      <c r="V1580" s="23"/>
      <c r="W1580" s="23"/>
      <c r="X1580" s="23"/>
      <c r="Y1580" s="23">
        <v>2833.37399</v>
      </c>
      <c r="Z1580" s="23">
        <f t="shared" si="208"/>
        <v>3343.3813081999997</v>
      </c>
      <c r="AA1580" s="36" t="s">
        <v>132</v>
      </c>
      <c r="AB1580" s="36" t="s">
        <v>132</v>
      </c>
      <c r="AC1580" s="23">
        <v>2833.37399</v>
      </c>
      <c r="AD1580" s="23">
        <f t="shared" si="209"/>
        <v>3343.3813081999997</v>
      </c>
      <c r="AE1580" s="38" t="s">
        <v>173</v>
      </c>
      <c r="AF1580" s="38" t="s">
        <v>83</v>
      </c>
      <c r="AG1580" s="38" t="s">
        <v>83</v>
      </c>
      <c r="AH1580" s="38" t="s">
        <v>545</v>
      </c>
      <c r="AI1580" s="52">
        <v>41879</v>
      </c>
      <c r="AJ1580" s="52">
        <v>41924</v>
      </c>
      <c r="AK1580" s="60"/>
      <c r="AL1580" s="60"/>
      <c r="AM1580" s="60" t="s">
        <v>747</v>
      </c>
      <c r="AN1580" s="16" t="s">
        <v>171</v>
      </c>
      <c r="AO1580" s="64">
        <v>796</v>
      </c>
      <c r="AP1580" s="38" t="s">
        <v>419</v>
      </c>
      <c r="AQ1580" s="25">
        <v>38</v>
      </c>
      <c r="AR1580" s="38">
        <v>46200</v>
      </c>
      <c r="AS1580" s="16" t="s">
        <v>605</v>
      </c>
      <c r="AT1580" s="53">
        <v>41944</v>
      </c>
      <c r="AU1580" s="52">
        <v>41944</v>
      </c>
      <c r="AV1580" s="52">
        <v>42308</v>
      </c>
      <c r="AW1580" s="38" t="s">
        <v>99</v>
      </c>
      <c r="AX1580" s="60"/>
      <c r="AY1580" s="135"/>
      <c r="AZ1580" s="60"/>
      <c r="BA1580" s="38"/>
      <c r="BB1580" s="38"/>
      <c r="BC1580" s="60"/>
      <c r="BD1580" s="60"/>
      <c r="BE1580" s="238"/>
      <c r="BF1580" s="238"/>
      <c r="BG1580" s="238"/>
      <c r="BH1580" s="238"/>
      <c r="BI1580" s="238"/>
      <c r="BJ1580" s="238"/>
      <c r="BK1580" s="238"/>
    </row>
    <row r="1581" spans="1:63" s="268" customFormat="1" ht="44.25" customHeight="1">
      <c r="A1581" s="25">
        <v>8</v>
      </c>
      <c r="B1581" s="38" t="s">
        <v>249</v>
      </c>
      <c r="C1581" s="38" t="s">
        <v>83</v>
      </c>
      <c r="D1581" s="38" t="s">
        <v>590</v>
      </c>
      <c r="E1581" s="38" t="s">
        <v>250</v>
      </c>
      <c r="F1581" s="38" t="s">
        <v>251</v>
      </c>
      <c r="G1581" s="38">
        <v>7525050</v>
      </c>
      <c r="H1581" s="63">
        <v>822070</v>
      </c>
      <c r="I1581" s="16" t="s">
        <v>252</v>
      </c>
      <c r="J1581" s="16" t="s">
        <v>253</v>
      </c>
      <c r="K1581" s="16" t="s">
        <v>253</v>
      </c>
      <c r="L1581" s="16" t="s">
        <v>180</v>
      </c>
      <c r="M1581" s="134" t="s">
        <v>686</v>
      </c>
      <c r="N1581" s="16" t="s">
        <v>687</v>
      </c>
      <c r="O1581" s="16" t="s">
        <v>254</v>
      </c>
      <c r="P1581" s="23">
        <v>4765</v>
      </c>
      <c r="Q1581" s="23">
        <f t="shared" si="207"/>
        <v>5622.7</v>
      </c>
      <c r="R1581" s="23">
        <v>4130</v>
      </c>
      <c r="S1581" s="29" t="s">
        <v>255</v>
      </c>
      <c r="T1581" s="25">
        <v>1.0840000000000001</v>
      </c>
      <c r="U1581" s="25">
        <v>1.0509999999999999</v>
      </c>
      <c r="V1581" s="25">
        <v>1.0669999999999999</v>
      </c>
      <c r="W1581" s="25">
        <v>1.0529999999999999</v>
      </c>
      <c r="X1581" s="25">
        <v>0.9</v>
      </c>
      <c r="Y1581" s="23">
        <f>R1581*X1581*T1581*U1581*V1581*W1581</f>
        <v>4757.9223492080273</v>
      </c>
      <c r="Z1581" s="23">
        <f t="shared" si="208"/>
        <v>5614.3483720654722</v>
      </c>
      <c r="AA1581" s="36" t="s">
        <v>132</v>
      </c>
      <c r="AB1581" s="36" t="s">
        <v>132</v>
      </c>
      <c r="AC1581" s="23">
        <v>4765</v>
      </c>
      <c r="AD1581" s="23">
        <f t="shared" si="209"/>
        <v>5622.7</v>
      </c>
      <c r="AE1581" s="38" t="s">
        <v>173</v>
      </c>
      <c r="AF1581" s="38" t="s">
        <v>83</v>
      </c>
      <c r="AG1581" s="38" t="s">
        <v>83</v>
      </c>
      <c r="AH1581" s="45" t="s">
        <v>90</v>
      </c>
      <c r="AI1581" s="52">
        <v>41593</v>
      </c>
      <c r="AJ1581" s="52">
        <v>41655</v>
      </c>
      <c r="AK1581" s="60"/>
      <c r="AL1581" s="60"/>
      <c r="AM1581" s="60" t="s">
        <v>252</v>
      </c>
      <c r="AN1581" s="60" t="s">
        <v>171</v>
      </c>
      <c r="AO1581" s="63">
        <v>796</v>
      </c>
      <c r="AP1581" s="38" t="s">
        <v>256</v>
      </c>
      <c r="AQ1581" s="38" t="s">
        <v>257</v>
      </c>
      <c r="AR1581" s="25">
        <v>46460</v>
      </c>
      <c r="AS1581" s="16" t="s">
        <v>258</v>
      </c>
      <c r="AT1581" s="52">
        <v>41680</v>
      </c>
      <c r="AU1581" s="52">
        <v>41680</v>
      </c>
      <c r="AV1581" s="52">
        <v>42000</v>
      </c>
      <c r="AW1581" s="38">
        <v>2014</v>
      </c>
      <c r="AX1581" s="60"/>
      <c r="AY1581" s="135"/>
      <c r="AZ1581" s="60"/>
      <c r="BA1581" s="38"/>
      <c r="BB1581" s="38"/>
      <c r="BC1581" s="60"/>
      <c r="BD1581" s="60"/>
      <c r="BE1581" s="238"/>
      <c r="BF1581" s="238"/>
      <c r="BG1581" s="238"/>
      <c r="BH1581" s="238"/>
      <c r="BI1581" s="238"/>
      <c r="BJ1581" s="238"/>
      <c r="BK1581" s="238"/>
    </row>
    <row r="1582" spans="1:63" s="268" customFormat="1" ht="93.75">
      <c r="A1582" s="25">
        <v>8</v>
      </c>
      <c r="B1582" s="38" t="s">
        <v>259</v>
      </c>
      <c r="C1582" s="38" t="s">
        <v>83</v>
      </c>
      <c r="D1582" s="38" t="s">
        <v>591</v>
      </c>
      <c r="E1582" s="60" t="s">
        <v>260</v>
      </c>
      <c r="F1582" s="38" t="s">
        <v>261</v>
      </c>
      <c r="G1582" s="38">
        <v>3190020</v>
      </c>
      <c r="H1582" s="63">
        <v>825073</v>
      </c>
      <c r="I1582" s="16" t="s">
        <v>262</v>
      </c>
      <c r="J1582" s="16" t="s">
        <v>263</v>
      </c>
      <c r="K1582" s="16" t="s">
        <v>263</v>
      </c>
      <c r="L1582" s="16" t="s">
        <v>180</v>
      </c>
      <c r="M1582" s="134" t="s">
        <v>743</v>
      </c>
      <c r="N1582" s="15" t="s">
        <v>220</v>
      </c>
      <c r="O1582" s="16" t="s">
        <v>264</v>
      </c>
      <c r="P1582" s="23">
        <v>5382</v>
      </c>
      <c r="Q1582" s="23">
        <f t="shared" si="207"/>
        <v>6350.7599999999993</v>
      </c>
      <c r="R1582" s="23"/>
      <c r="S1582" s="29"/>
      <c r="T1582" s="25"/>
      <c r="U1582" s="25"/>
      <c r="V1582" s="25"/>
      <c r="W1582" s="25"/>
      <c r="X1582" s="25"/>
      <c r="Y1582" s="23">
        <v>5382</v>
      </c>
      <c r="Z1582" s="23">
        <f t="shared" si="208"/>
        <v>6350.7599999999993</v>
      </c>
      <c r="AA1582" s="36" t="s">
        <v>132</v>
      </c>
      <c r="AB1582" s="36" t="s">
        <v>132</v>
      </c>
      <c r="AC1582" s="23">
        <v>5382</v>
      </c>
      <c r="AD1582" s="23">
        <f t="shared" si="209"/>
        <v>6350.7599999999993</v>
      </c>
      <c r="AE1582" s="38" t="s">
        <v>173</v>
      </c>
      <c r="AF1582" s="38" t="s">
        <v>83</v>
      </c>
      <c r="AG1582" s="38" t="s">
        <v>83</v>
      </c>
      <c r="AH1582" s="45" t="s">
        <v>90</v>
      </c>
      <c r="AI1582" s="52">
        <v>41821</v>
      </c>
      <c r="AJ1582" s="52">
        <v>41883</v>
      </c>
      <c r="AK1582" s="60"/>
      <c r="AL1582" s="60"/>
      <c r="AM1582" s="60" t="s">
        <v>262</v>
      </c>
      <c r="AN1582" s="60" t="s">
        <v>171</v>
      </c>
      <c r="AO1582" s="63">
        <v>796</v>
      </c>
      <c r="AP1582" s="38" t="s">
        <v>256</v>
      </c>
      <c r="AQ1582" s="25" t="s">
        <v>265</v>
      </c>
      <c r="AR1582" s="25">
        <v>46460</v>
      </c>
      <c r="AS1582" s="16" t="s">
        <v>258</v>
      </c>
      <c r="AT1582" s="52">
        <v>41903</v>
      </c>
      <c r="AU1582" s="52">
        <v>41903</v>
      </c>
      <c r="AV1582" s="52">
        <v>42277</v>
      </c>
      <c r="AW1582" s="38" t="s">
        <v>99</v>
      </c>
      <c r="AX1582" s="60"/>
      <c r="AY1582" s="135"/>
      <c r="AZ1582" s="60"/>
      <c r="BA1582" s="38"/>
      <c r="BB1582" s="38"/>
      <c r="BC1582" s="60"/>
      <c r="BD1582" s="60"/>
      <c r="BE1582" s="238"/>
      <c r="BF1582" s="238"/>
      <c r="BG1582" s="238"/>
      <c r="BH1582" s="238"/>
      <c r="BI1582" s="238"/>
      <c r="BJ1582" s="238"/>
      <c r="BK1582" s="238"/>
    </row>
    <row r="1583" spans="1:63" s="268" customFormat="1" ht="393.75">
      <c r="A1583" s="25">
        <v>8</v>
      </c>
      <c r="B1583" s="38" t="s">
        <v>266</v>
      </c>
      <c r="C1583" s="38" t="s">
        <v>83</v>
      </c>
      <c r="D1583" s="38" t="s">
        <v>587</v>
      </c>
      <c r="E1583" s="38" t="s">
        <v>190</v>
      </c>
      <c r="F1583" s="45" t="s">
        <v>267</v>
      </c>
      <c r="G1583" s="38">
        <v>7493000</v>
      </c>
      <c r="H1583" s="63">
        <v>825072</v>
      </c>
      <c r="I1583" s="16" t="s">
        <v>268</v>
      </c>
      <c r="J1583" s="16" t="s">
        <v>269</v>
      </c>
      <c r="K1583" s="16" t="s">
        <v>269</v>
      </c>
      <c r="L1583" s="16" t="s">
        <v>180</v>
      </c>
      <c r="M1583" s="134" t="s">
        <v>270</v>
      </c>
      <c r="N1583" s="16" t="s">
        <v>5882</v>
      </c>
      <c r="O1583" s="16" t="s">
        <v>271</v>
      </c>
      <c r="P1583" s="23">
        <v>30500</v>
      </c>
      <c r="Q1583" s="23">
        <f t="shared" si="207"/>
        <v>35990</v>
      </c>
      <c r="R1583" s="23"/>
      <c r="S1583" s="29"/>
      <c r="T1583" s="25"/>
      <c r="U1583" s="25"/>
      <c r="V1583" s="25"/>
      <c r="W1583" s="25"/>
      <c r="X1583" s="25"/>
      <c r="Y1583" s="23">
        <v>30500</v>
      </c>
      <c r="Z1583" s="23">
        <f t="shared" si="208"/>
        <v>35990</v>
      </c>
      <c r="AA1583" s="36" t="s">
        <v>132</v>
      </c>
      <c r="AB1583" s="36" t="s">
        <v>132</v>
      </c>
      <c r="AC1583" s="23">
        <v>30500</v>
      </c>
      <c r="AD1583" s="23">
        <f t="shared" si="209"/>
        <v>35990</v>
      </c>
      <c r="AE1583" s="38" t="s">
        <v>169</v>
      </c>
      <c r="AF1583" s="38" t="s">
        <v>83</v>
      </c>
      <c r="AG1583" s="38" t="s">
        <v>83</v>
      </c>
      <c r="AH1583" s="45" t="s">
        <v>90</v>
      </c>
      <c r="AI1583" s="405">
        <v>41631</v>
      </c>
      <c r="AJ1583" s="51">
        <v>41691</v>
      </c>
      <c r="AK1583" s="60"/>
      <c r="AL1583" s="60"/>
      <c r="AM1583" s="60" t="s">
        <v>268</v>
      </c>
      <c r="AN1583" s="60" t="s">
        <v>171</v>
      </c>
      <c r="AO1583" s="64">
        <v>55</v>
      </c>
      <c r="AP1583" s="38" t="s">
        <v>272</v>
      </c>
      <c r="AQ1583" s="38" t="s">
        <v>273</v>
      </c>
      <c r="AR1583" s="25">
        <v>46460</v>
      </c>
      <c r="AS1583" s="16" t="s">
        <v>258</v>
      </c>
      <c r="AT1583" s="52">
        <v>41698</v>
      </c>
      <c r="AU1583" s="52">
        <v>41698</v>
      </c>
      <c r="AV1583" s="52">
        <v>42063</v>
      </c>
      <c r="AW1583" s="38" t="s">
        <v>99</v>
      </c>
      <c r="AX1583" s="60"/>
      <c r="AY1583" s="135"/>
      <c r="AZ1583" s="60"/>
      <c r="BA1583" s="38"/>
      <c r="BB1583" s="38"/>
      <c r="BC1583" s="60"/>
      <c r="BD1583" s="60"/>
      <c r="BE1583" s="238"/>
      <c r="BF1583" s="238"/>
      <c r="BG1583" s="238"/>
      <c r="BH1583" s="238"/>
      <c r="BI1583" s="238"/>
      <c r="BJ1583" s="238"/>
      <c r="BK1583" s="238"/>
    </row>
    <row r="1584" spans="1:63" s="268" customFormat="1" ht="92.25" customHeight="1">
      <c r="A1584" s="25">
        <v>8</v>
      </c>
      <c r="B1584" s="38" t="s">
        <v>308</v>
      </c>
      <c r="C1584" s="38" t="s">
        <v>83</v>
      </c>
      <c r="D1584" s="38" t="s">
        <v>589</v>
      </c>
      <c r="E1584" s="38" t="s">
        <v>250</v>
      </c>
      <c r="F1584" s="38" t="s">
        <v>284</v>
      </c>
      <c r="G1584" s="38">
        <v>6420000</v>
      </c>
      <c r="H1584" s="63">
        <v>825087</v>
      </c>
      <c r="I1584" s="16" t="s">
        <v>309</v>
      </c>
      <c r="J1584" s="16" t="s">
        <v>286</v>
      </c>
      <c r="K1584" s="16" t="s">
        <v>286</v>
      </c>
      <c r="L1584" s="16" t="s">
        <v>180</v>
      </c>
      <c r="M1584" s="134" t="s">
        <v>1345</v>
      </c>
      <c r="N1584" s="16" t="s">
        <v>592</v>
      </c>
      <c r="O1584" s="16" t="s">
        <v>593</v>
      </c>
      <c r="P1584" s="23">
        <v>572.35199999999998</v>
      </c>
      <c r="Q1584" s="23">
        <f t="shared" si="207"/>
        <v>675.37535999999989</v>
      </c>
      <c r="R1584" s="23"/>
      <c r="S1584" s="29"/>
      <c r="T1584" s="25"/>
      <c r="U1584" s="25"/>
      <c r="V1584" s="25"/>
      <c r="W1584" s="25"/>
      <c r="X1584" s="25"/>
      <c r="Y1584" s="23">
        <v>572.35199999999998</v>
      </c>
      <c r="Z1584" s="23">
        <f t="shared" si="208"/>
        <v>675.37535999999989</v>
      </c>
      <c r="AA1584" s="36" t="s">
        <v>132</v>
      </c>
      <c r="AB1584" s="36" t="s">
        <v>132</v>
      </c>
      <c r="AC1584" s="23">
        <v>572.35199999999998</v>
      </c>
      <c r="AD1584" s="23">
        <f t="shared" si="209"/>
        <v>675.37535999999989</v>
      </c>
      <c r="AE1584" s="38" t="s">
        <v>173</v>
      </c>
      <c r="AF1584" s="38" t="s">
        <v>83</v>
      </c>
      <c r="AG1584" s="38" t="s">
        <v>83</v>
      </c>
      <c r="AH1584" s="38" t="s">
        <v>90</v>
      </c>
      <c r="AI1584" s="97">
        <v>41625</v>
      </c>
      <c r="AJ1584" s="51">
        <v>41670</v>
      </c>
      <c r="AK1584" s="93"/>
      <c r="AL1584" s="60"/>
      <c r="AM1584" s="60" t="s">
        <v>309</v>
      </c>
      <c r="AN1584" s="60" t="s">
        <v>171</v>
      </c>
      <c r="AO1584" s="63">
        <v>796</v>
      </c>
      <c r="AP1584" s="38" t="s">
        <v>256</v>
      </c>
      <c r="AQ1584" s="38" t="s">
        <v>310</v>
      </c>
      <c r="AR1584" s="25">
        <v>46460</v>
      </c>
      <c r="AS1584" s="16" t="s">
        <v>258</v>
      </c>
      <c r="AT1584" s="52">
        <v>41690</v>
      </c>
      <c r="AU1584" s="52">
        <v>41690</v>
      </c>
      <c r="AV1584" s="52">
        <v>42004</v>
      </c>
      <c r="AW1584" s="38">
        <v>2014</v>
      </c>
      <c r="AX1584" s="60"/>
      <c r="AY1584" s="135"/>
      <c r="AZ1584" s="60"/>
      <c r="BA1584" s="38"/>
      <c r="BB1584" s="38"/>
      <c r="BC1584" s="60"/>
      <c r="BD1584" s="60"/>
      <c r="BE1584" s="238"/>
      <c r="BF1584" s="238"/>
      <c r="BG1584" s="238"/>
      <c r="BH1584" s="238"/>
      <c r="BI1584" s="238"/>
      <c r="BJ1584" s="238"/>
      <c r="BK1584" s="238"/>
    </row>
    <row r="1585" spans="1:63" s="268" customFormat="1" ht="84" customHeight="1">
      <c r="A1585" s="25">
        <v>8</v>
      </c>
      <c r="B1585" s="38" t="s">
        <v>311</v>
      </c>
      <c r="C1585" s="38" t="s">
        <v>83</v>
      </c>
      <c r="D1585" s="38" t="s">
        <v>589</v>
      </c>
      <c r="E1585" s="38" t="s">
        <v>250</v>
      </c>
      <c r="F1585" s="38" t="s">
        <v>284</v>
      </c>
      <c r="G1585" s="38">
        <v>6420000</v>
      </c>
      <c r="H1585" s="63">
        <v>825088</v>
      </c>
      <c r="I1585" s="16" t="s">
        <v>312</v>
      </c>
      <c r="J1585" s="16" t="s">
        <v>286</v>
      </c>
      <c r="K1585" s="16" t="s">
        <v>286</v>
      </c>
      <c r="L1585" s="16" t="s">
        <v>180</v>
      </c>
      <c r="M1585" s="134" t="s">
        <v>1345</v>
      </c>
      <c r="N1585" s="16" t="s">
        <v>592</v>
      </c>
      <c r="O1585" s="16" t="s">
        <v>594</v>
      </c>
      <c r="P1585" s="23">
        <v>496.8</v>
      </c>
      <c r="Q1585" s="23">
        <f t="shared" si="207"/>
        <v>586.22399999999993</v>
      </c>
      <c r="R1585" s="23"/>
      <c r="S1585" s="29"/>
      <c r="T1585" s="25"/>
      <c r="U1585" s="25"/>
      <c r="V1585" s="25"/>
      <c r="W1585" s="25"/>
      <c r="X1585" s="25"/>
      <c r="Y1585" s="23">
        <v>496.8</v>
      </c>
      <c r="Z1585" s="23">
        <f t="shared" si="208"/>
        <v>586.22399999999993</v>
      </c>
      <c r="AA1585" s="36" t="s">
        <v>132</v>
      </c>
      <c r="AB1585" s="36" t="s">
        <v>132</v>
      </c>
      <c r="AC1585" s="23">
        <v>496.8</v>
      </c>
      <c r="AD1585" s="23">
        <f t="shared" si="209"/>
        <v>586.22399999999993</v>
      </c>
      <c r="AE1585" s="38" t="s">
        <v>173</v>
      </c>
      <c r="AF1585" s="38" t="s">
        <v>83</v>
      </c>
      <c r="AG1585" s="38" t="s">
        <v>83</v>
      </c>
      <c r="AH1585" s="38" t="s">
        <v>90</v>
      </c>
      <c r="AI1585" s="97">
        <v>41625</v>
      </c>
      <c r="AJ1585" s="51">
        <v>41670</v>
      </c>
      <c r="AK1585" s="93"/>
      <c r="AL1585" s="60"/>
      <c r="AM1585" s="60" t="s">
        <v>312</v>
      </c>
      <c r="AN1585" s="60" t="s">
        <v>171</v>
      </c>
      <c r="AO1585" s="63">
        <v>796</v>
      </c>
      <c r="AP1585" s="38" t="s">
        <v>256</v>
      </c>
      <c r="AQ1585" s="38" t="s">
        <v>313</v>
      </c>
      <c r="AR1585" s="25">
        <v>46460</v>
      </c>
      <c r="AS1585" s="16" t="s">
        <v>258</v>
      </c>
      <c r="AT1585" s="52">
        <v>41690</v>
      </c>
      <c r="AU1585" s="52">
        <v>41690</v>
      </c>
      <c r="AV1585" s="52">
        <v>42004</v>
      </c>
      <c r="AW1585" s="38">
        <v>2014</v>
      </c>
      <c r="AX1585" s="60"/>
      <c r="AY1585" s="135"/>
      <c r="AZ1585" s="60"/>
      <c r="BA1585" s="38"/>
      <c r="BB1585" s="38"/>
      <c r="BC1585" s="60"/>
      <c r="BD1585" s="60"/>
      <c r="BE1585" s="238"/>
      <c r="BF1585" s="238"/>
      <c r="BG1585" s="238"/>
      <c r="BH1585" s="238"/>
      <c r="BI1585" s="238"/>
      <c r="BJ1585" s="238"/>
      <c r="BK1585" s="238"/>
    </row>
    <row r="1586" spans="1:63" s="268" customFormat="1" ht="78" customHeight="1">
      <c r="A1586" s="25">
        <v>8</v>
      </c>
      <c r="B1586" s="38" t="s">
        <v>314</v>
      </c>
      <c r="C1586" s="38" t="s">
        <v>83</v>
      </c>
      <c r="D1586" s="38" t="s">
        <v>589</v>
      </c>
      <c r="E1586" s="38" t="s">
        <v>250</v>
      </c>
      <c r="F1586" s="38" t="s">
        <v>284</v>
      </c>
      <c r="G1586" s="38">
        <v>6420000</v>
      </c>
      <c r="H1586" s="63">
        <v>825090</v>
      </c>
      <c r="I1586" s="16" t="s">
        <v>315</v>
      </c>
      <c r="J1586" s="16" t="s">
        <v>286</v>
      </c>
      <c r="K1586" s="16" t="s">
        <v>286</v>
      </c>
      <c r="L1586" s="16" t="s">
        <v>180</v>
      </c>
      <c r="M1586" s="134" t="s">
        <v>1345</v>
      </c>
      <c r="N1586" s="16" t="s">
        <v>592</v>
      </c>
      <c r="O1586" s="16" t="s">
        <v>594</v>
      </c>
      <c r="P1586" s="23">
        <v>3413.7244799999999</v>
      </c>
      <c r="Q1586" s="23">
        <f t="shared" si="207"/>
        <v>4028.1948863999996</v>
      </c>
      <c r="R1586" s="23"/>
      <c r="S1586" s="29"/>
      <c r="T1586" s="25"/>
      <c r="U1586" s="25"/>
      <c r="V1586" s="25"/>
      <c r="W1586" s="25"/>
      <c r="X1586" s="25"/>
      <c r="Y1586" s="23">
        <v>3413.7244799999999</v>
      </c>
      <c r="Z1586" s="23">
        <f t="shared" si="208"/>
        <v>4028.1948863999996</v>
      </c>
      <c r="AA1586" s="36" t="s">
        <v>132</v>
      </c>
      <c r="AB1586" s="36" t="s">
        <v>132</v>
      </c>
      <c r="AC1586" s="23">
        <v>3413.7244799999999</v>
      </c>
      <c r="AD1586" s="23">
        <f t="shared" si="209"/>
        <v>4028.1948863999996</v>
      </c>
      <c r="AE1586" s="38" t="s">
        <v>173</v>
      </c>
      <c r="AF1586" s="38" t="s">
        <v>83</v>
      </c>
      <c r="AG1586" s="38" t="s">
        <v>83</v>
      </c>
      <c r="AH1586" s="38" t="s">
        <v>90</v>
      </c>
      <c r="AI1586" s="97">
        <v>41625</v>
      </c>
      <c r="AJ1586" s="51">
        <v>41670</v>
      </c>
      <c r="AK1586" s="93"/>
      <c r="AL1586" s="60"/>
      <c r="AM1586" s="60" t="s">
        <v>315</v>
      </c>
      <c r="AN1586" s="60" t="s">
        <v>171</v>
      </c>
      <c r="AO1586" s="63">
        <v>796</v>
      </c>
      <c r="AP1586" s="38" t="s">
        <v>256</v>
      </c>
      <c r="AQ1586" s="38" t="s">
        <v>316</v>
      </c>
      <c r="AR1586" s="25">
        <v>46460</v>
      </c>
      <c r="AS1586" s="16" t="s">
        <v>258</v>
      </c>
      <c r="AT1586" s="52">
        <v>41690</v>
      </c>
      <c r="AU1586" s="52">
        <v>41690</v>
      </c>
      <c r="AV1586" s="52">
        <v>42004</v>
      </c>
      <c r="AW1586" s="38">
        <v>2014</v>
      </c>
      <c r="AX1586" s="60"/>
      <c r="AY1586" s="135"/>
      <c r="AZ1586" s="60"/>
      <c r="BA1586" s="38"/>
      <c r="BB1586" s="38"/>
      <c r="BC1586" s="60"/>
      <c r="BD1586" s="60"/>
      <c r="BE1586" s="238"/>
      <c r="BF1586" s="238"/>
      <c r="BG1586" s="238"/>
      <c r="BH1586" s="238"/>
      <c r="BI1586" s="238"/>
      <c r="BJ1586" s="238"/>
      <c r="BK1586" s="238"/>
    </row>
    <row r="1587" spans="1:63" s="268" customFormat="1" ht="81" customHeight="1">
      <c r="A1587" s="25">
        <v>8</v>
      </c>
      <c r="B1587" s="38" t="s">
        <v>317</v>
      </c>
      <c r="C1587" s="38" t="s">
        <v>83</v>
      </c>
      <c r="D1587" s="38" t="s">
        <v>589</v>
      </c>
      <c r="E1587" s="38" t="s">
        <v>250</v>
      </c>
      <c r="F1587" s="38" t="s">
        <v>284</v>
      </c>
      <c r="G1587" s="38">
        <v>6420000</v>
      </c>
      <c r="H1587" s="63">
        <v>825091</v>
      </c>
      <c r="I1587" s="16" t="s">
        <v>318</v>
      </c>
      <c r="J1587" s="16" t="s">
        <v>286</v>
      </c>
      <c r="K1587" s="16" t="s">
        <v>286</v>
      </c>
      <c r="L1587" s="16" t="s">
        <v>180</v>
      </c>
      <c r="M1587" s="134" t="s">
        <v>1345</v>
      </c>
      <c r="N1587" s="16" t="s">
        <v>592</v>
      </c>
      <c r="O1587" s="16" t="s">
        <v>595</v>
      </c>
      <c r="P1587" s="23">
        <v>771.63528000000008</v>
      </c>
      <c r="Q1587" s="23">
        <f t="shared" si="207"/>
        <v>910.52963040000009</v>
      </c>
      <c r="R1587" s="23"/>
      <c r="S1587" s="29"/>
      <c r="T1587" s="25"/>
      <c r="U1587" s="25"/>
      <c r="V1587" s="25"/>
      <c r="W1587" s="25"/>
      <c r="X1587" s="25"/>
      <c r="Y1587" s="23">
        <v>771.63528000000008</v>
      </c>
      <c r="Z1587" s="23">
        <f t="shared" si="208"/>
        <v>910.52963040000009</v>
      </c>
      <c r="AA1587" s="36" t="s">
        <v>132</v>
      </c>
      <c r="AB1587" s="36" t="s">
        <v>132</v>
      </c>
      <c r="AC1587" s="23">
        <v>771.63528000000008</v>
      </c>
      <c r="AD1587" s="23">
        <f t="shared" si="209"/>
        <v>910.52963040000009</v>
      </c>
      <c r="AE1587" s="38" t="s">
        <v>173</v>
      </c>
      <c r="AF1587" s="38" t="s">
        <v>83</v>
      </c>
      <c r="AG1587" s="38" t="s">
        <v>83</v>
      </c>
      <c r="AH1587" s="38" t="s">
        <v>90</v>
      </c>
      <c r="AI1587" s="97">
        <v>41625</v>
      </c>
      <c r="AJ1587" s="51">
        <v>41670</v>
      </c>
      <c r="AK1587" s="93"/>
      <c r="AL1587" s="60"/>
      <c r="AM1587" s="60" t="s">
        <v>318</v>
      </c>
      <c r="AN1587" s="60" t="s">
        <v>171</v>
      </c>
      <c r="AO1587" s="63">
        <v>796</v>
      </c>
      <c r="AP1587" s="38" t="s">
        <v>256</v>
      </c>
      <c r="AQ1587" s="38" t="s">
        <v>319</v>
      </c>
      <c r="AR1587" s="25">
        <v>46460</v>
      </c>
      <c r="AS1587" s="16" t="s">
        <v>258</v>
      </c>
      <c r="AT1587" s="52">
        <v>41690</v>
      </c>
      <c r="AU1587" s="52">
        <v>41690</v>
      </c>
      <c r="AV1587" s="52">
        <v>42004</v>
      </c>
      <c r="AW1587" s="38">
        <v>2014</v>
      </c>
      <c r="AX1587" s="60"/>
      <c r="AY1587" s="135"/>
      <c r="AZ1587" s="60"/>
      <c r="BA1587" s="38"/>
      <c r="BB1587" s="38"/>
      <c r="BC1587" s="60"/>
      <c r="BD1587" s="60"/>
      <c r="BE1587" s="238"/>
      <c r="BF1587" s="238"/>
      <c r="BG1587" s="238"/>
      <c r="BH1587" s="238"/>
      <c r="BI1587" s="238"/>
      <c r="BJ1587" s="238"/>
      <c r="BK1587" s="238"/>
    </row>
    <row r="1588" spans="1:63" s="609" customFormat="1" ht="92.25" customHeight="1">
      <c r="A1588" s="25">
        <v>8</v>
      </c>
      <c r="B1588" s="60" t="s">
        <v>3168</v>
      </c>
      <c r="C1588" s="60" t="s">
        <v>83</v>
      </c>
      <c r="D1588" s="60" t="s">
        <v>3169</v>
      </c>
      <c r="E1588" s="38" t="s">
        <v>190</v>
      </c>
      <c r="F1588" s="72" t="s">
        <v>1550</v>
      </c>
      <c r="G1588" s="60">
        <v>7493090</v>
      </c>
      <c r="H1588" s="63">
        <v>842545</v>
      </c>
      <c r="I1588" s="255" t="s">
        <v>3170</v>
      </c>
      <c r="J1588" s="16" t="s">
        <v>736</v>
      </c>
      <c r="K1588" s="16" t="s">
        <v>1552</v>
      </c>
      <c r="L1588" s="16" t="s">
        <v>180</v>
      </c>
      <c r="M1588" s="134" t="s">
        <v>270</v>
      </c>
      <c r="N1588" s="16" t="s">
        <v>5882</v>
      </c>
      <c r="O1588" s="16" t="s">
        <v>960</v>
      </c>
      <c r="P1588" s="418">
        <v>29216.03</v>
      </c>
      <c r="Q1588" s="418">
        <f t="shared" si="207"/>
        <v>34474.915399999998</v>
      </c>
      <c r="R1588" s="23"/>
      <c r="S1588" s="29"/>
      <c r="T1588" s="132"/>
      <c r="U1588" s="132"/>
      <c r="V1588" s="132"/>
      <c r="W1588" s="132"/>
      <c r="X1588" s="418"/>
      <c r="Y1588" s="23">
        <v>29216.03</v>
      </c>
      <c r="Z1588" s="23">
        <f t="shared" si="208"/>
        <v>34474.915399999998</v>
      </c>
      <c r="AA1588" s="36" t="s">
        <v>132</v>
      </c>
      <c r="AB1588" s="36" t="s">
        <v>132</v>
      </c>
      <c r="AC1588" s="23">
        <v>29216.03</v>
      </c>
      <c r="AD1588" s="23">
        <f>Q1588</f>
        <v>34474.915399999998</v>
      </c>
      <c r="AE1588" s="38" t="s">
        <v>169</v>
      </c>
      <c r="AF1588" s="38" t="s">
        <v>83</v>
      </c>
      <c r="AG1588" s="96" t="s">
        <v>83</v>
      </c>
      <c r="AH1588" s="38" t="s">
        <v>90</v>
      </c>
      <c r="AI1588" s="52">
        <v>41791</v>
      </c>
      <c r="AJ1588" s="52">
        <v>41851</v>
      </c>
      <c r="AK1588" s="60"/>
      <c r="AL1588" s="60"/>
      <c r="AM1588" s="62" t="str">
        <f>I1588</f>
        <v>Уборка помещений ; уборка территорий (производственных помещений и территорий ВЭС)</v>
      </c>
      <c r="AN1588" s="62" t="s">
        <v>171</v>
      </c>
      <c r="AO1588" s="63">
        <v>796</v>
      </c>
      <c r="AP1588" s="38" t="s">
        <v>419</v>
      </c>
      <c r="AQ1588" s="25">
        <v>1</v>
      </c>
      <c r="AR1588" s="25" t="s">
        <v>3171</v>
      </c>
      <c r="AS1588" s="255" t="s">
        <v>605</v>
      </c>
      <c r="AT1588" s="52">
        <v>41871</v>
      </c>
      <c r="AU1588" s="52">
        <v>41871</v>
      </c>
      <c r="AV1588" s="52">
        <v>42239</v>
      </c>
      <c r="AW1588" s="38" t="s">
        <v>99</v>
      </c>
      <c r="AX1588" s="60"/>
      <c r="AY1588" s="135"/>
      <c r="AZ1588" s="60"/>
      <c r="BA1588" s="38" t="s">
        <v>96</v>
      </c>
      <c r="BB1588" s="38" t="s">
        <v>96</v>
      </c>
      <c r="BC1588" s="60" t="s">
        <v>96</v>
      </c>
      <c r="BD1588" s="60" t="s">
        <v>96</v>
      </c>
      <c r="BE1588" s="331" t="s">
        <v>96</v>
      </c>
      <c r="BF1588" s="331" t="s">
        <v>96</v>
      </c>
      <c r="BG1588" s="331" t="s">
        <v>96</v>
      </c>
      <c r="BH1588" s="331" t="s">
        <v>96</v>
      </c>
      <c r="BI1588" s="331" t="s">
        <v>96</v>
      </c>
      <c r="BJ1588" s="331" t="s">
        <v>96</v>
      </c>
      <c r="BK1588" s="419"/>
    </row>
    <row r="1589" spans="1:63" s="609" customFormat="1" ht="103.5" customHeight="1">
      <c r="A1589" s="25">
        <v>8</v>
      </c>
      <c r="B1589" s="60" t="s">
        <v>3172</v>
      </c>
      <c r="C1589" s="60" t="s">
        <v>83</v>
      </c>
      <c r="D1589" s="60" t="s">
        <v>3169</v>
      </c>
      <c r="E1589" s="38" t="s">
        <v>190</v>
      </c>
      <c r="F1589" s="60" t="s">
        <v>3173</v>
      </c>
      <c r="G1589" s="62" t="s">
        <v>3174</v>
      </c>
      <c r="H1589" s="63">
        <v>842546</v>
      </c>
      <c r="I1589" s="255" t="s">
        <v>3175</v>
      </c>
      <c r="J1589" s="16" t="s">
        <v>867</v>
      </c>
      <c r="K1589" s="16" t="s">
        <v>3176</v>
      </c>
      <c r="L1589" s="16" t="s">
        <v>180</v>
      </c>
      <c r="M1589" s="134" t="s">
        <v>1210</v>
      </c>
      <c r="N1589" s="83" t="s">
        <v>867</v>
      </c>
      <c r="O1589" s="16" t="s">
        <v>960</v>
      </c>
      <c r="P1589" s="418">
        <v>1203.9000000000001</v>
      </c>
      <c r="Q1589" s="418">
        <f t="shared" si="207"/>
        <v>1420.6020000000001</v>
      </c>
      <c r="R1589" s="23"/>
      <c r="S1589" s="29"/>
      <c r="T1589" s="132"/>
      <c r="U1589" s="132"/>
      <c r="V1589" s="132"/>
      <c r="W1589" s="132"/>
      <c r="X1589" s="418"/>
      <c r="Y1589" s="23">
        <v>1203.9000000000001</v>
      </c>
      <c r="Z1589" s="23">
        <f t="shared" si="208"/>
        <v>1420.6020000000001</v>
      </c>
      <c r="AA1589" s="36" t="s">
        <v>132</v>
      </c>
      <c r="AB1589" s="36" t="s">
        <v>132</v>
      </c>
      <c r="AC1589" s="23">
        <v>1203.9000000000001</v>
      </c>
      <c r="AD1589" s="23">
        <f>Q1589</f>
        <v>1420.6020000000001</v>
      </c>
      <c r="AE1589" s="38" t="s">
        <v>173</v>
      </c>
      <c r="AF1589" s="38" t="s">
        <v>83</v>
      </c>
      <c r="AG1589" s="96" t="s">
        <v>83</v>
      </c>
      <c r="AH1589" s="38" t="s">
        <v>90</v>
      </c>
      <c r="AI1589" s="52">
        <v>41852</v>
      </c>
      <c r="AJ1589" s="52">
        <v>41897</v>
      </c>
      <c r="AK1589" s="60"/>
      <c r="AL1589" s="60"/>
      <c r="AM1589" s="62" t="str">
        <f>I1589</f>
        <v>Дератизация и дезинфекция (производственных помещений и территорий ВЭС)</v>
      </c>
      <c r="AN1589" s="62" t="s">
        <v>171</v>
      </c>
      <c r="AO1589" s="63">
        <v>796</v>
      </c>
      <c r="AP1589" s="38" t="s">
        <v>419</v>
      </c>
      <c r="AQ1589" s="25">
        <v>1</v>
      </c>
      <c r="AR1589" s="25" t="s">
        <v>3177</v>
      </c>
      <c r="AS1589" s="255" t="s">
        <v>605</v>
      </c>
      <c r="AT1589" s="52">
        <v>41917</v>
      </c>
      <c r="AU1589" s="52">
        <v>41917</v>
      </c>
      <c r="AV1589" s="52">
        <v>42277</v>
      </c>
      <c r="AW1589" s="38" t="s">
        <v>99</v>
      </c>
      <c r="AX1589" s="60"/>
      <c r="AY1589" s="135"/>
      <c r="AZ1589" s="60"/>
      <c r="BA1589" s="38" t="s">
        <v>96</v>
      </c>
      <c r="BB1589" s="38" t="s">
        <v>96</v>
      </c>
      <c r="BC1589" s="60" t="s">
        <v>96</v>
      </c>
      <c r="BD1589" s="60" t="s">
        <v>96</v>
      </c>
      <c r="BE1589" s="331" t="s">
        <v>96</v>
      </c>
      <c r="BF1589" s="331" t="s">
        <v>96</v>
      </c>
      <c r="BG1589" s="331" t="s">
        <v>96</v>
      </c>
      <c r="BH1589" s="331" t="s">
        <v>96</v>
      </c>
      <c r="BI1589" s="331" t="s">
        <v>96</v>
      </c>
      <c r="BJ1589" s="331" t="s">
        <v>96</v>
      </c>
      <c r="BK1589" s="419"/>
    </row>
    <row r="1590" spans="1:63" s="268" customFormat="1" ht="121.5" customHeight="1">
      <c r="A1590" s="25">
        <v>8</v>
      </c>
      <c r="B1590" s="59" t="s">
        <v>3256</v>
      </c>
      <c r="C1590" s="29" t="s">
        <v>83</v>
      </c>
      <c r="D1590" s="72" t="s">
        <v>3249</v>
      </c>
      <c r="E1590" s="38" t="s">
        <v>250</v>
      </c>
      <c r="F1590" s="72" t="s">
        <v>3250</v>
      </c>
      <c r="G1590" s="72">
        <v>6400000</v>
      </c>
      <c r="H1590" s="63">
        <v>842553</v>
      </c>
      <c r="I1590" s="15" t="s">
        <v>3257</v>
      </c>
      <c r="J1590" s="16" t="s">
        <v>1580</v>
      </c>
      <c r="K1590" s="16" t="s">
        <v>1580</v>
      </c>
      <c r="L1590" s="16" t="s">
        <v>180</v>
      </c>
      <c r="M1590" s="134" t="s">
        <v>690</v>
      </c>
      <c r="N1590" s="16" t="s">
        <v>592</v>
      </c>
      <c r="O1590" s="16" t="s">
        <v>3258</v>
      </c>
      <c r="P1590" s="23">
        <v>1144.7</v>
      </c>
      <c r="Q1590" s="23">
        <f t="shared" si="207"/>
        <v>1350.7460000000001</v>
      </c>
      <c r="R1590" s="23"/>
      <c r="S1590" s="29"/>
      <c r="T1590" s="25"/>
      <c r="U1590" s="25"/>
      <c r="V1590" s="25"/>
      <c r="W1590" s="25"/>
      <c r="X1590" s="25"/>
      <c r="Y1590" s="23">
        <v>1144.7</v>
      </c>
      <c r="Z1590" s="23">
        <f t="shared" si="208"/>
        <v>1350.7460000000001</v>
      </c>
      <c r="AA1590" s="36" t="s">
        <v>132</v>
      </c>
      <c r="AB1590" s="36" t="s">
        <v>132</v>
      </c>
      <c r="AC1590" s="23">
        <v>1144.7</v>
      </c>
      <c r="AD1590" s="23">
        <f t="shared" ref="AD1590:AD1595" si="210">AC1590*1.18</f>
        <v>1350.7460000000001</v>
      </c>
      <c r="AE1590" s="38" t="s">
        <v>173</v>
      </c>
      <c r="AF1590" s="38" t="s">
        <v>83</v>
      </c>
      <c r="AG1590" s="38" t="s">
        <v>83</v>
      </c>
      <c r="AH1590" s="38" t="s">
        <v>90</v>
      </c>
      <c r="AI1590" s="52">
        <v>41822</v>
      </c>
      <c r="AJ1590" s="52">
        <v>41868</v>
      </c>
      <c r="AK1590" s="134"/>
      <c r="AL1590" s="60"/>
      <c r="AM1590" s="60" t="s">
        <v>3259</v>
      </c>
      <c r="AN1590" s="60" t="s">
        <v>3253</v>
      </c>
      <c r="AO1590" s="63">
        <v>796</v>
      </c>
      <c r="AP1590" s="38" t="s">
        <v>3254</v>
      </c>
      <c r="AQ1590" s="25">
        <v>1</v>
      </c>
      <c r="AR1590" s="256">
        <v>46239</v>
      </c>
      <c r="AS1590" s="16" t="s">
        <v>3255</v>
      </c>
      <c r="AT1590" s="52">
        <v>41888</v>
      </c>
      <c r="AU1590" s="52">
        <v>41888</v>
      </c>
      <c r="AV1590" s="52">
        <v>42277</v>
      </c>
      <c r="AW1590" s="38" t="s">
        <v>99</v>
      </c>
      <c r="AX1590" s="60"/>
      <c r="AY1590" s="135"/>
      <c r="AZ1590" s="60"/>
      <c r="BA1590" s="38"/>
      <c r="BB1590" s="38"/>
      <c r="BC1590" s="60"/>
      <c r="BD1590" s="60"/>
      <c r="BE1590" s="238"/>
      <c r="BF1590" s="238"/>
      <c r="BG1590" s="238"/>
      <c r="BH1590" s="238"/>
      <c r="BI1590" s="238"/>
      <c r="BJ1590" s="238" t="s">
        <v>400</v>
      </c>
      <c r="BK1590" s="238"/>
    </row>
    <row r="1591" spans="1:63" s="268" customFormat="1" ht="108" customHeight="1">
      <c r="A1591" s="25">
        <v>8</v>
      </c>
      <c r="B1591" s="59" t="s">
        <v>3260</v>
      </c>
      <c r="C1591" s="29" t="s">
        <v>83</v>
      </c>
      <c r="D1591" s="72" t="s">
        <v>3249</v>
      </c>
      <c r="E1591" s="38" t="s">
        <v>250</v>
      </c>
      <c r="F1591" s="72" t="s">
        <v>3250</v>
      </c>
      <c r="G1591" s="72">
        <v>6400000</v>
      </c>
      <c r="H1591" s="63">
        <v>842555</v>
      </c>
      <c r="I1591" s="15" t="s">
        <v>3261</v>
      </c>
      <c r="J1591" s="16" t="s">
        <v>1580</v>
      </c>
      <c r="K1591" s="16" t="s">
        <v>1580</v>
      </c>
      <c r="L1591" s="16" t="s">
        <v>180</v>
      </c>
      <c r="M1591" s="134" t="s">
        <v>690</v>
      </c>
      <c r="N1591" s="16" t="s">
        <v>592</v>
      </c>
      <c r="O1591" s="16" t="s">
        <v>3262</v>
      </c>
      <c r="P1591" s="23">
        <v>1757.8</v>
      </c>
      <c r="Q1591" s="23">
        <f t="shared" si="207"/>
        <v>2074.2039999999997</v>
      </c>
      <c r="R1591" s="23"/>
      <c r="S1591" s="29"/>
      <c r="T1591" s="25"/>
      <c r="U1591" s="25"/>
      <c r="V1591" s="25"/>
      <c r="W1591" s="25"/>
      <c r="X1591" s="25"/>
      <c r="Y1591" s="23">
        <v>1757.8</v>
      </c>
      <c r="Z1591" s="23">
        <f t="shared" si="208"/>
        <v>2074.2039999999997</v>
      </c>
      <c r="AA1591" s="36" t="s">
        <v>132</v>
      </c>
      <c r="AB1591" s="36" t="s">
        <v>132</v>
      </c>
      <c r="AC1591" s="23">
        <v>1757.8</v>
      </c>
      <c r="AD1591" s="23">
        <f t="shared" si="210"/>
        <v>2074.2039999999997</v>
      </c>
      <c r="AE1591" s="38" t="s">
        <v>173</v>
      </c>
      <c r="AF1591" s="38" t="s">
        <v>83</v>
      </c>
      <c r="AG1591" s="38" t="s">
        <v>83</v>
      </c>
      <c r="AH1591" s="38" t="s">
        <v>90</v>
      </c>
      <c r="AI1591" s="52">
        <v>41853</v>
      </c>
      <c r="AJ1591" s="52">
        <v>41899</v>
      </c>
      <c r="AK1591" s="134"/>
      <c r="AL1591" s="60"/>
      <c r="AM1591" s="60" t="s">
        <v>3263</v>
      </c>
      <c r="AN1591" s="60" t="s">
        <v>3253</v>
      </c>
      <c r="AO1591" s="63">
        <v>796</v>
      </c>
      <c r="AP1591" s="38" t="s">
        <v>3254</v>
      </c>
      <c r="AQ1591" s="25">
        <v>1</v>
      </c>
      <c r="AR1591" s="256">
        <v>46239</v>
      </c>
      <c r="AS1591" s="16" t="s">
        <v>3255</v>
      </c>
      <c r="AT1591" s="52">
        <v>41919</v>
      </c>
      <c r="AU1591" s="52">
        <v>41919</v>
      </c>
      <c r="AV1591" s="51">
        <v>42369</v>
      </c>
      <c r="AW1591" s="38" t="s">
        <v>99</v>
      </c>
      <c r="AX1591" s="60"/>
      <c r="AY1591" s="135"/>
      <c r="AZ1591" s="60"/>
      <c r="BA1591" s="38"/>
      <c r="BB1591" s="38"/>
      <c r="BC1591" s="60"/>
      <c r="BD1591" s="60"/>
      <c r="BE1591" s="238"/>
      <c r="BF1591" s="238"/>
      <c r="BG1591" s="238"/>
      <c r="BH1591" s="238"/>
      <c r="BI1591" s="238"/>
      <c r="BJ1591" s="238" t="s">
        <v>400</v>
      </c>
      <c r="BK1591" s="238"/>
    </row>
    <row r="1592" spans="1:63" s="268" customFormat="1" ht="119.25" customHeight="1">
      <c r="A1592" s="25">
        <v>8</v>
      </c>
      <c r="B1592" s="59" t="s">
        <v>3270</v>
      </c>
      <c r="C1592" s="29" t="s">
        <v>83</v>
      </c>
      <c r="D1592" s="72" t="s">
        <v>3249</v>
      </c>
      <c r="E1592" s="38" t="s">
        <v>250</v>
      </c>
      <c r="F1592" s="72" t="s">
        <v>3250</v>
      </c>
      <c r="G1592" s="72">
        <v>6400000</v>
      </c>
      <c r="H1592" s="63">
        <v>842559</v>
      </c>
      <c r="I1592" s="15" t="s">
        <v>3271</v>
      </c>
      <c r="J1592" s="16" t="s">
        <v>286</v>
      </c>
      <c r="K1592" s="16" t="s">
        <v>286</v>
      </c>
      <c r="L1592" s="16" t="s">
        <v>180</v>
      </c>
      <c r="M1592" s="134" t="s">
        <v>3280</v>
      </c>
      <c r="N1592" s="16" t="s">
        <v>592</v>
      </c>
      <c r="O1592" s="16" t="s">
        <v>3262</v>
      </c>
      <c r="P1592" s="23">
        <v>3413.73</v>
      </c>
      <c r="Q1592" s="23">
        <f t="shared" si="207"/>
        <v>4028.2013999999999</v>
      </c>
      <c r="R1592" s="23"/>
      <c r="S1592" s="29"/>
      <c r="T1592" s="25"/>
      <c r="U1592" s="25"/>
      <c r="V1592" s="25"/>
      <c r="W1592" s="25"/>
      <c r="X1592" s="25"/>
      <c r="Y1592" s="23">
        <v>3413.73</v>
      </c>
      <c r="Z1592" s="23">
        <f t="shared" si="208"/>
        <v>4028.2013999999999</v>
      </c>
      <c r="AA1592" s="36" t="s">
        <v>132</v>
      </c>
      <c r="AB1592" s="36" t="s">
        <v>132</v>
      </c>
      <c r="AC1592" s="23">
        <v>3413.73</v>
      </c>
      <c r="AD1592" s="23">
        <f t="shared" si="210"/>
        <v>4028.2013999999999</v>
      </c>
      <c r="AE1592" s="38" t="s">
        <v>173</v>
      </c>
      <c r="AF1592" s="38" t="s">
        <v>83</v>
      </c>
      <c r="AG1592" s="38" t="s">
        <v>83</v>
      </c>
      <c r="AH1592" s="38" t="s">
        <v>90</v>
      </c>
      <c r="AI1592" s="52">
        <v>41817</v>
      </c>
      <c r="AJ1592" s="52">
        <v>41862</v>
      </c>
      <c r="AK1592" s="16"/>
      <c r="AL1592" s="60"/>
      <c r="AM1592" s="60" t="s">
        <v>3272</v>
      </c>
      <c r="AN1592" s="60" t="s">
        <v>3253</v>
      </c>
      <c r="AO1592" s="63">
        <v>796</v>
      </c>
      <c r="AP1592" s="38" t="s">
        <v>3254</v>
      </c>
      <c r="AQ1592" s="25">
        <v>1</v>
      </c>
      <c r="AR1592" s="256">
        <v>46239</v>
      </c>
      <c r="AS1592" s="16" t="s">
        <v>3255</v>
      </c>
      <c r="AT1592" s="52">
        <v>41882</v>
      </c>
      <c r="AU1592" s="78">
        <v>41882</v>
      </c>
      <c r="AV1592" s="51">
        <v>42247</v>
      </c>
      <c r="AW1592" s="38" t="s">
        <v>99</v>
      </c>
      <c r="AX1592" s="60"/>
      <c r="AY1592" s="135"/>
      <c r="AZ1592" s="60"/>
      <c r="BA1592" s="38"/>
      <c r="BB1592" s="38"/>
      <c r="BC1592" s="60"/>
      <c r="BD1592" s="60"/>
      <c r="BE1592" s="238"/>
      <c r="BF1592" s="238"/>
      <c r="BG1592" s="238"/>
      <c r="BH1592" s="238"/>
      <c r="BI1592" s="238"/>
      <c r="BJ1592" s="238" t="s">
        <v>400</v>
      </c>
      <c r="BK1592" s="238"/>
    </row>
    <row r="1593" spans="1:63" s="268" customFormat="1" ht="182.25" customHeight="1">
      <c r="A1593" s="25">
        <v>8</v>
      </c>
      <c r="B1593" s="59" t="s">
        <v>3273</v>
      </c>
      <c r="C1593" s="29" t="s">
        <v>83</v>
      </c>
      <c r="D1593" s="72" t="s">
        <v>3249</v>
      </c>
      <c r="E1593" s="38" t="s">
        <v>250</v>
      </c>
      <c r="F1593" s="72" t="s">
        <v>3250</v>
      </c>
      <c r="G1593" s="72">
        <v>6400000</v>
      </c>
      <c r="H1593" s="63">
        <v>842560</v>
      </c>
      <c r="I1593" s="15" t="s">
        <v>3274</v>
      </c>
      <c r="J1593" s="16" t="s">
        <v>1580</v>
      </c>
      <c r="K1593" s="16" t="s">
        <v>1580</v>
      </c>
      <c r="L1593" s="16" t="s">
        <v>180</v>
      </c>
      <c r="M1593" s="134" t="s">
        <v>690</v>
      </c>
      <c r="N1593" s="16" t="s">
        <v>592</v>
      </c>
      <c r="O1593" s="16" t="s">
        <v>3275</v>
      </c>
      <c r="P1593" s="23">
        <v>4237.29</v>
      </c>
      <c r="Q1593" s="23">
        <f t="shared" si="207"/>
        <v>5000.0021999999999</v>
      </c>
      <c r="R1593" s="23"/>
      <c r="S1593" s="29"/>
      <c r="T1593" s="25"/>
      <c r="U1593" s="25"/>
      <c r="V1593" s="25"/>
      <c r="W1593" s="25"/>
      <c r="X1593" s="25"/>
      <c r="Y1593" s="23">
        <v>4237.29</v>
      </c>
      <c r="Z1593" s="23">
        <f t="shared" si="208"/>
        <v>5000.0021999999999</v>
      </c>
      <c r="AA1593" s="36" t="s">
        <v>132</v>
      </c>
      <c r="AB1593" s="36" t="s">
        <v>132</v>
      </c>
      <c r="AC1593" s="23">
        <v>4237.29</v>
      </c>
      <c r="AD1593" s="23">
        <f t="shared" si="210"/>
        <v>5000.0021999999999</v>
      </c>
      <c r="AE1593" s="38" t="s">
        <v>173</v>
      </c>
      <c r="AF1593" s="38" t="s">
        <v>83</v>
      </c>
      <c r="AG1593" s="38" t="s">
        <v>83</v>
      </c>
      <c r="AH1593" s="38" t="s">
        <v>545</v>
      </c>
      <c r="AI1593" s="51">
        <v>41625</v>
      </c>
      <c r="AJ1593" s="51">
        <v>41670</v>
      </c>
      <c r="AK1593" s="134"/>
      <c r="AL1593" s="60"/>
      <c r="AM1593" s="60" t="s">
        <v>3276</v>
      </c>
      <c r="AN1593" s="60" t="s">
        <v>3253</v>
      </c>
      <c r="AO1593" s="63">
        <v>796</v>
      </c>
      <c r="AP1593" s="38" t="s">
        <v>3254</v>
      </c>
      <c r="AQ1593" s="25">
        <v>1</v>
      </c>
      <c r="AR1593" s="256">
        <v>46239</v>
      </c>
      <c r="AS1593" s="16" t="s">
        <v>3255</v>
      </c>
      <c r="AT1593" s="52">
        <v>41690</v>
      </c>
      <c r="AU1593" s="52">
        <v>41690</v>
      </c>
      <c r="AV1593" s="52">
        <v>42004</v>
      </c>
      <c r="AW1593" s="38">
        <v>2014</v>
      </c>
      <c r="AX1593" s="60"/>
      <c r="AY1593" s="135"/>
      <c r="AZ1593" s="60"/>
      <c r="BA1593" s="38"/>
      <c r="BB1593" s="38"/>
      <c r="BC1593" s="60"/>
      <c r="BD1593" s="60"/>
      <c r="BE1593" s="238"/>
      <c r="BF1593" s="238"/>
      <c r="BG1593" s="238"/>
      <c r="BH1593" s="238"/>
      <c r="BI1593" s="238"/>
      <c r="BJ1593" s="238" t="s">
        <v>400</v>
      </c>
      <c r="BK1593" s="238"/>
    </row>
    <row r="1594" spans="1:63" s="268" customFormat="1" ht="75">
      <c r="A1594" s="25">
        <v>8</v>
      </c>
      <c r="B1594" s="72" t="s">
        <v>3294</v>
      </c>
      <c r="C1594" s="72" t="s">
        <v>83</v>
      </c>
      <c r="D1594" s="72" t="s">
        <v>3295</v>
      </c>
      <c r="E1594" s="38" t="s">
        <v>250</v>
      </c>
      <c r="F1594" s="72" t="s">
        <v>502</v>
      </c>
      <c r="G1594" s="72">
        <v>7525050</v>
      </c>
      <c r="H1594" s="63">
        <v>842540</v>
      </c>
      <c r="I1594" s="16" t="s">
        <v>3296</v>
      </c>
      <c r="J1594" s="16" t="s">
        <v>1562</v>
      </c>
      <c r="K1594" s="16" t="s">
        <v>1562</v>
      </c>
      <c r="L1594" s="16" t="s">
        <v>180</v>
      </c>
      <c r="M1594" s="134" t="s">
        <v>686</v>
      </c>
      <c r="N1594" s="16" t="s">
        <v>687</v>
      </c>
      <c r="O1594" s="16" t="s">
        <v>1479</v>
      </c>
      <c r="P1594" s="23">
        <v>3135</v>
      </c>
      <c r="Q1594" s="23">
        <f t="shared" si="207"/>
        <v>3699.2999999999997</v>
      </c>
      <c r="R1594" s="23">
        <v>3933</v>
      </c>
      <c r="S1594" s="29" t="s">
        <v>3297</v>
      </c>
      <c r="T1594" s="25">
        <v>1.0840000000000001</v>
      </c>
      <c r="U1594" s="25">
        <v>1.0509999999999999</v>
      </c>
      <c r="V1594" s="25">
        <v>1.0669999999999999</v>
      </c>
      <c r="W1594" s="25">
        <v>1.0529999999999999</v>
      </c>
      <c r="X1594" s="25">
        <v>0.9</v>
      </c>
      <c r="Y1594" s="23">
        <v>4530.97</v>
      </c>
      <c r="Z1594" s="23">
        <f t="shared" si="208"/>
        <v>5346.5446000000002</v>
      </c>
      <c r="AA1594" s="36" t="s">
        <v>132</v>
      </c>
      <c r="AB1594" s="36" t="s">
        <v>132</v>
      </c>
      <c r="AC1594" s="23">
        <v>3135</v>
      </c>
      <c r="AD1594" s="23">
        <f t="shared" si="210"/>
        <v>3699.2999999999997</v>
      </c>
      <c r="AE1594" s="38" t="s">
        <v>173</v>
      </c>
      <c r="AF1594" s="38" t="s">
        <v>83</v>
      </c>
      <c r="AG1594" s="96" t="s">
        <v>83</v>
      </c>
      <c r="AH1594" s="45" t="s">
        <v>90</v>
      </c>
      <c r="AI1594" s="52">
        <v>41623</v>
      </c>
      <c r="AJ1594" s="51">
        <v>41668</v>
      </c>
      <c r="AK1594" s="60"/>
      <c r="AL1594" s="60"/>
      <c r="AM1594" s="60" t="s">
        <v>3298</v>
      </c>
      <c r="AN1594" s="60" t="s">
        <v>353</v>
      </c>
      <c r="AO1594" s="63">
        <v>796</v>
      </c>
      <c r="AP1594" s="38" t="s">
        <v>419</v>
      </c>
      <c r="AQ1594" s="25">
        <v>27</v>
      </c>
      <c r="AR1594" s="25">
        <v>46239</v>
      </c>
      <c r="AS1594" s="16" t="s">
        <v>3299</v>
      </c>
      <c r="AT1594" s="52">
        <v>41688</v>
      </c>
      <c r="AU1594" s="52">
        <v>41688</v>
      </c>
      <c r="AV1594" s="52">
        <v>42004</v>
      </c>
      <c r="AW1594" s="38">
        <v>2014</v>
      </c>
      <c r="AX1594" s="60"/>
      <c r="AY1594" s="135"/>
      <c r="AZ1594" s="60"/>
      <c r="BA1594" s="38"/>
      <c r="BB1594" s="38"/>
      <c r="BC1594" s="60"/>
      <c r="BD1594" s="60"/>
      <c r="BE1594" s="238"/>
      <c r="BF1594" s="238"/>
      <c r="BG1594" s="238"/>
      <c r="BH1594" s="238"/>
      <c r="BI1594" s="238"/>
      <c r="BJ1594" s="238" t="s">
        <v>186</v>
      </c>
      <c r="BK1594" s="238"/>
    </row>
    <row r="1595" spans="1:63" s="266" customFormat="1" ht="187.5">
      <c r="A1595" s="25">
        <v>8</v>
      </c>
      <c r="B1595" s="44" t="s">
        <v>1481</v>
      </c>
      <c r="C1595" s="38" t="s">
        <v>83</v>
      </c>
      <c r="D1595" s="44" t="s">
        <v>1446</v>
      </c>
      <c r="E1595" s="38" t="s">
        <v>250</v>
      </c>
      <c r="F1595" s="38" t="s">
        <v>3028</v>
      </c>
      <c r="G1595" s="38">
        <v>9010020</v>
      </c>
      <c r="H1595" s="56">
        <v>854133</v>
      </c>
      <c r="I1595" s="16" t="s">
        <v>3029</v>
      </c>
      <c r="J1595" s="16" t="s">
        <v>1209</v>
      </c>
      <c r="K1595" s="16" t="s">
        <v>1209</v>
      </c>
      <c r="L1595" s="16" t="s">
        <v>180</v>
      </c>
      <c r="M1595" s="134" t="s">
        <v>1175</v>
      </c>
      <c r="N1595" s="16" t="s">
        <v>5940</v>
      </c>
      <c r="O1595" s="16" t="s">
        <v>1447</v>
      </c>
      <c r="P1595" s="24">
        <v>3270.89</v>
      </c>
      <c r="Q1595" s="23">
        <f t="shared" si="207"/>
        <v>3859.6501999999996</v>
      </c>
      <c r="R1595" s="23"/>
      <c r="S1595" s="29"/>
      <c r="T1595" s="23"/>
      <c r="U1595" s="23"/>
      <c r="V1595" s="23"/>
      <c r="W1595" s="23"/>
      <c r="X1595" s="23"/>
      <c r="Y1595" s="24">
        <v>3270.89</v>
      </c>
      <c r="Z1595" s="23">
        <f t="shared" si="208"/>
        <v>3859.6501999999996</v>
      </c>
      <c r="AA1595" s="36" t="s">
        <v>132</v>
      </c>
      <c r="AB1595" s="36" t="s">
        <v>132</v>
      </c>
      <c r="AC1595" s="37">
        <v>3270.89</v>
      </c>
      <c r="AD1595" s="23">
        <f t="shared" si="210"/>
        <v>3859.6501999999996</v>
      </c>
      <c r="AE1595" s="38" t="s">
        <v>173</v>
      </c>
      <c r="AF1595" s="38" t="s">
        <v>83</v>
      </c>
      <c r="AG1595" s="46" t="s">
        <v>83</v>
      </c>
      <c r="AH1595" s="45" t="s">
        <v>90</v>
      </c>
      <c r="AI1595" s="314">
        <v>41575</v>
      </c>
      <c r="AJ1595" s="51">
        <v>41633</v>
      </c>
      <c r="AK1595" s="60"/>
      <c r="AL1595" s="60"/>
      <c r="AM1595" s="62" t="s">
        <v>1482</v>
      </c>
      <c r="AN1595" s="60" t="s">
        <v>1375</v>
      </c>
      <c r="AO1595" s="63">
        <v>796</v>
      </c>
      <c r="AP1595" s="29" t="s">
        <v>419</v>
      </c>
      <c r="AQ1595" s="336">
        <v>8</v>
      </c>
      <c r="AR1595" s="25">
        <v>45</v>
      </c>
      <c r="AS1595" s="16" t="s">
        <v>512</v>
      </c>
      <c r="AT1595" s="51">
        <v>41730</v>
      </c>
      <c r="AU1595" s="51">
        <v>41730</v>
      </c>
      <c r="AV1595" s="53">
        <v>42064</v>
      </c>
      <c r="AW1595" s="38" t="s">
        <v>99</v>
      </c>
      <c r="AX1595" s="60"/>
      <c r="AY1595" s="135"/>
      <c r="AZ1595" s="60"/>
      <c r="BA1595" s="38"/>
      <c r="BB1595" s="38"/>
      <c r="BC1595" s="60"/>
      <c r="BD1595" s="60"/>
      <c r="BE1595" s="65"/>
      <c r="BF1595" s="65"/>
      <c r="BG1595" s="65"/>
      <c r="BH1595" s="65"/>
      <c r="BI1595" s="65"/>
      <c r="BJ1595" s="65"/>
      <c r="BK1595" s="236"/>
    </row>
    <row r="1596" spans="1:63" s="266" customFormat="1" ht="56.25">
      <c r="A1596" s="25">
        <v>8</v>
      </c>
      <c r="B1596" s="12" t="s">
        <v>1483</v>
      </c>
      <c r="C1596" s="38" t="s">
        <v>83</v>
      </c>
      <c r="D1596" s="48" t="s">
        <v>1484</v>
      </c>
      <c r="E1596" s="38" t="s">
        <v>250</v>
      </c>
      <c r="F1596" s="48" t="s">
        <v>3030</v>
      </c>
      <c r="G1596" s="48">
        <v>3313010</v>
      </c>
      <c r="H1596" s="12">
        <v>852768</v>
      </c>
      <c r="I1596" s="337" t="s">
        <v>1485</v>
      </c>
      <c r="J1596" s="338" t="s">
        <v>5949</v>
      </c>
      <c r="K1596" s="338" t="s">
        <v>5868</v>
      </c>
      <c r="L1596" s="16" t="s">
        <v>180</v>
      </c>
      <c r="M1596" s="191" t="s">
        <v>675</v>
      </c>
      <c r="N1596" s="460" t="s">
        <v>5868</v>
      </c>
      <c r="O1596" s="338" t="s">
        <v>1486</v>
      </c>
      <c r="P1596" s="24">
        <v>2920</v>
      </c>
      <c r="Q1596" s="24">
        <v>2920</v>
      </c>
      <c r="R1596" s="23"/>
      <c r="S1596" s="29"/>
      <c r="T1596" s="23"/>
      <c r="U1596" s="23"/>
      <c r="V1596" s="23"/>
      <c r="W1596" s="23"/>
      <c r="X1596" s="23"/>
      <c r="Y1596" s="37">
        <v>2920</v>
      </c>
      <c r="Z1596" s="37">
        <v>2920</v>
      </c>
      <c r="AA1596" s="36" t="s">
        <v>132</v>
      </c>
      <c r="AB1596" s="36" t="s">
        <v>132</v>
      </c>
      <c r="AC1596" s="34">
        <v>2920</v>
      </c>
      <c r="AD1596" s="34">
        <v>2920</v>
      </c>
      <c r="AE1596" s="38" t="s">
        <v>280</v>
      </c>
      <c r="AF1596" s="38" t="s">
        <v>83</v>
      </c>
      <c r="AG1596" s="47" t="s">
        <v>83</v>
      </c>
      <c r="AH1596" s="48" t="s">
        <v>281</v>
      </c>
      <c r="AI1596" s="54">
        <v>41618</v>
      </c>
      <c r="AJ1596" s="51">
        <v>41620</v>
      </c>
      <c r="AK1596" s="339" t="s">
        <v>4569</v>
      </c>
      <c r="AL1596" s="339" t="s">
        <v>1487</v>
      </c>
      <c r="AM1596" s="339" t="s">
        <v>1485</v>
      </c>
      <c r="AN1596" s="18" t="s">
        <v>1375</v>
      </c>
      <c r="AO1596" s="48">
        <v>796</v>
      </c>
      <c r="AP1596" s="12" t="s">
        <v>419</v>
      </c>
      <c r="AQ1596" s="92">
        <v>55</v>
      </c>
      <c r="AR1596" s="306">
        <v>45</v>
      </c>
      <c r="AS1596" s="16" t="s">
        <v>512</v>
      </c>
      <c r="AT1596" s="248">
        <v>41640</v>
      </c>
      <c r="AU1596" s="52">
        <v>41640</v>
      </c>
      <c r="AV1596" s="52">
        <v>42004</v>
      </c>
      <c r="AW1596" s="48">
        <v>2014</v>
      </c>
      <c r="AX1596" s="339"/>
      <c r="AY1596" s="135"/>
      <c r="AZ1596" s="60"/>
      <c r="BA1596" s="48"/>
      <c r="BB1596" s="48"/>
      <c r="BC1596" s="339"/>
      <c r="BD1596" s="339"/>
      <c r="BE1596" s="65"/>
      <c r="BF1596" s="65"/>
      <c r="BG1596" s="65"/>
      <c r="BH1596" s="340"/>
      <c r="BI1596" s="340"/>
      <c r="BJ1596" s="340" t="s">
        <v>186</v>
      </c>
      <c r="BK1596" s="420"/>
    </row>
    <row r="1597" spans="1:63" s="266" customFormat="1" ht="56.25">
      <c r="A1597" s="25">
        <v>8</v>
      </c>
      <c r="B1597" s="12" t="s">
        <v>1488</v>
      </c>
      <c r="C1597" s="38" t="s">
        <v>83</v>
      </c>
      <c r="D1597" s="48" t="s">
        <v>1484</v>
      </c>
      <c r="E1597" s="38" t="s">
        <v>250</v>
      </c>
      <c r="F1597" s="48" t="s">
        <v>3031</v>
      </c>
      <c r="G1597" s="48">
        <v>1520340</v>
      </c>
      <c r="H1597" s="12">
        <v>852774</v>
      </c>
      <c r="I1597" s="337" t="s">
        <v>1489</v>
      </c>
      <c r="J1597" s="338" t="s">
        <v>5950</v>
      </c>
      <c r="K1597" s="338" t="s">
        <v>5868</v>
      </c>
      <c r="L1597" s="16" t="s">
        <v>180</v>
      </c>
      <c r="M1597" s="191" t="s">
        <v>675</v>
      </c>
      <c r="N1597" s="338" t="s">
        <v>5933</v>
      </c>
      <c r="O1597" s="338" t="s">
        <v>1490</v>
      </c>
      <c r="P1597" s="23">
        <v>4125</v>
      </c>
      <c r="Q1597" s="23">
        <f>P1597*1.1</f>
        <v>4537.5</v>
      </c>
      <c r="R1597" s="23"/>
      <c r="S1597" s="29"/>
      <c r="T1597" s="23"/>
      <c r="U1597" s="23"/>
      <c r="V1597" s="23"/>
      <c r="W1597" s="23"/>
      <c r="X1597" s="23"/>
      <c r="Y1597" s="34">
        <v>4125</v>
      </c>
      <c r="Z1597" s="34">
        <f>Y1597*1.1</f>
        <v>4537.5</v>
      </c>
      <c r="AA1597" s="36" t="s">
        <v>132</v>
      </c>
      <c r="AB1597" s="36" t="s">
        <v>132</v>
      </c>
      <c r="AC1597" s="34">
        <v>4125</v>
      </c>
      <c r="AD1597" s="34">
        <f>AC1597*1.1</f>
        <v>4537.5</v>
      </c>
      <c r="AE1597" s="38" t="s">
        <v>173</v>
      </c>
      <c r="AF1597" s="38" t="s">
        <v>83</v>
      </c>
      <c r="AG1597" s="47" t="s">
        <v>83</v>
      </c>
      <c r="AH1597" s="45" t="s">
        <v>90</v>
      </c>
      <c r="AI1597" s="97">
        <v>41564</v>
      </c>
      <c r="AJ1597" s="54">
        <v>41609</v>
      </c>
      <c r="AK1597" s="339"/>
      <c r="AL1597" s="339"/>
      <c r="AM1597" s="339" t="s">
        <v>1489</v>
      </c>
      <c r="AN1597" s="18" t="s">
        <v>1375</v>
      </c>
      <c r="AO1597" s="48">
        <v>112</v>
      </c>
      <c r="AP1597" s="12" t="s">
        <v>1491</v>
      </c>
      <c r="AQ1597" s="92">
        <v>55000</v>
      </c>
      <c r="AR1597" s="306">
        <v>45</v>
      </c>
      <c r="AS1597" s="16" t="s">
        <v>512</v>
      </c>
      <c r="AT1597" s="51">
        <v>41640</v>
      </c>
      <c r="AU1597" s="51">
        <v>41640</v>
      </c>
      <c r="AV1597" s="52">
        <v>42004</v>
      </c>
      <c r="AW1597" s="48">
        <v>2014</v>
      </c>
      <c r="AX1597" s="339"/>
      <c r="AY1597" s="341"/>
      <c r="AZ1597" s="60"/>
      <c r="BA1597" s="48"/>
      <c r="BB1597" s="48"/>
      <c r="BC1597" s="339"/>
      <c r="BD1597" s="339"/>
      <c r="BE1597" s="65"/>
      <c r="BF1597" s="65"/>
      <c r="BG1597" s="65"/>
      <c r="BH1597" s="340"/>
      <c r="BI1597" s="340"/>
      <c r="BJ1597" s="340" t="s">
        <v>186</v>
      </c>
      <c r="BK1597" s="421"/>
    </row>
    <row r="1598" spans="1:63" s="266" customFormat="1" ht="93.75">
      <c r="A1598" s="25">
        <v>8</v>
      </c>
      <c r="B1598" s="12" t="s">
        <v>1492</v>
      </c>
      <c r="C1598" s="38" t="s">
        <v>83</v>
      </c>
      <c r="D1598" s="48" t="s">
        <v>1484</v>
      </c>
      <c r="E1598" s="38" t="s">
        <v>250</v>
      </c>
      <c r="F1598" s="48" t="s">
        <v>3031</v>
      </c>
      <c r="G1598" s="48">
        <v>1554240</v>
      </c>
      <c r="H1598" s="12">
        <v>854303</v>
      </c>
      <c r="I1598" s="338" t="s">
        <v>1493</v>
      </c>
      <c r="J1598" s="338" t="s">
        <v>5951</v>
      </c>
      <c r="K1598" s="338" t="s">
        <v>5868</v>
      </c>
      <c r="L1598" s="16" t="s">
        <v>180</v>
      </c>
      <c r="M1598" s="191" t="s">
        <v>675</v>
      </c>
      <c r="N1598" s="338" t="s">
        <v>5920</v>
      </c>
      <c r="O1598" s="338" t="s">
        <v>1490</v>
      </c>
      <c r="P1598" s="23">
        <v>3100</v>
      </c>
      <c r="Q1598" s="23">
        <f t="shared" ref="Q1598:Q1604" si="211">P1598*1.18</f>
        <v>3658</v>
      </c>
      <c r="R1598" s="23"/>
      <c r="S1598" s="29"/>
      <c r="T1598" s="23"/>
      <c r="U1598" s="23"/>
      <c r="V1598" s="23"/>
      <c r="W1598" s="23"/>
      <c r="X1598" s="23"/>
      <c r="Y1598" s="23">
        <v>3100</v>
      </c>
      <c r="Z1598" s="23">
        <f t="shared" ref="Z1598:Z1604" si="212">Y1598*1.18</f>
        <v>3658</v>
      </c>
      <c r="AA1598" s="36" t="s">
        <v>132</v>
      </c>
      <c r="AB1598" s="36" t="s">
        <v>132</v>
      </c>
      <c r="AC1598" s="34">
        <v>3100</v>
      </c>
      <c r="AD1598" s="34">
        <f>AC1598*1.18</f>
        <v>3658</v>
      </c>
      <c r="AE1598" s="38" t="s">
        <v>173</v>
      </c>
      <c r="AF1598" s="38" t="s">
        <v>83</v>
      </c>
      <c r="AG1598" s="47" t="s">
        <v>83</v>
      </c>
      <c r="AH1598" s="45" t="s">
        <v>90</v>
      </c>
      <c r="AI1598" s="314">
        <v>41575</v>
      </c>
      <c r="AJ1598" s="51">
        <v>41620</v>
      </c>
      <c r="AK1598" s="339"/>
      <c r="AL1598" s="339"/>
      <c r="AM1598" s="339" t="s">
        <v>1493</v>
      </c>
      <c r="AN1598" s="18" t="s">
        <v>1375</v>
      </c>
      <c r="AO1598" s="48">
        <v>796</v>
      </c>
      <c r="AP1598" s="48" t="s">
        <v>419</v>
      </c>
      <c r="AQ1598" s="306">
        <v>18235</v>
      </c>
      <c r="AR1598" s="306">
        <v>45</v>
      </c>
      <c r="AS1598" s="16" t="s">
        <v>512</v>
      </c>
      <c r="AT1598" s="51">
        <v>41640</v>
      </c>
      <c r="AU1598" s="51">
        <v>41640</v>
      </c>
      <c r="AV1598" s="52">
        <v>42004</v>
      </c>
      <c r="AW1598" s="48">
        <v>2014</v>
      </c>
      <c r="AX1598" s="339"/>
      <c r="AY1598" s="135"/>
      <c r="AZ1598" s="60"/>
      <c r="BA1598" s="48"/>
      <c r="BB1598" s="48"/>
      <c r="BC1598" s="339"/>
      <c r="BD1598" s="339"/>
      <c r="BE1598" s="65"/>
      <c r="BF1598" s="65"/>
      <c r="BG1598" s="65"/>
      <c r="BH1598" s="340"/>
      <c r="BI1598" s="340"/>
      <c r="BJ1598" s="340" t="s">
        <v>186</v>
      </c>
      <c r="BK1598" s="420"/>
    </row>
    <row r="1599" spans="1:63" s="266" customFormat="1" ht="56.25">
      <c r="A1599" s="25">
        <v>8</v>
      </c>
      <c r="B1599" s="12" t="s">
        <v>1494</v>
      </c>
      <c r="C1599" s="38" t="s">
        <v>83</v>
      </c>
      <c r="D1599" s="48" t="s">
        <v>1484</v>
      </c>
      <c r="E1599" s="38" t="s">
        <v>250</v>
      </c>
      <c r="F1599" s="48" t="s">
        <v>672</v>
      </c>
      <c r="G1599" s="48">
        <v>9311010</v>
      </c>
      <c r="H1599" s="12">
        <v>852776</v>
      </c>
      <c r="I1599" s="338" t="s">
        <v>4500</v>
      </c>
      <c r="J1599" s="338" t="s">
        <v>5952</v>
      </c>
      <c r="K1599" s="338" t="s">
        <v>5868</v>
      </c>
      <c r="L1599" s="16" t="s">
        <v>180</v>
      </c>
      <c r="M1599" s="191" t="s">
        <v>675</v>
      </c>
      <c r="N1599" s="460" t="s">
        <v>5868</v>
      </c>
      <c r="O1599" s="338" t="s">
        <v>1486</v>
      </c>
      <c r="P1599" s="23">
        <v>4350</v>
      </c>
      <c r="Q1599" s="23">
        <f t="shared" si="211"/>
        <v>5133</v>
      </c>
      <c r="R1599" s="23"/>
      <c r="S1599" s="29"/>
      <c r="T1599" s="23"/>
      <c r="U1599" s="23"/>
      <c r="V1599" s="23"/>
      <c r="W1599" s="23"/>
      <c r="X1599" s="23"/>
      <c r="Y1599" s="23">
        <v>4350</v>
      </c>
      <c r="Z1599" s="23">
        <f t="shared" si="212"/>
        <v>5133</v>
      </c>
      <c r="AA1599" s="36" t="s">
        <v>132</v>
      </c>
      <c r="AB1599" s="36" t="s">
        <v>132</v>
      </c>
      <c r="AC1599" s="34">
        <v>4350</v>
      </c>
      <c r="AD1599" s="34">
        <v>5133</v>
      </c>
      <c r="AE1599" s="38" t="s">
        <v>173</v>
      </c>
      <c r="AF1599" s="38" t="s">
        <v>83</v>
      </c>
      <c r="AG1599" s="47" t="s">
        <v>83</v>
      </c>
      <c r="AH1599" s="45" t="s">
        <v>90</v>
      </c>
      <c r="AI1599" s="314">
        <v>41575</v>
      </c>
      <c r="AJ1599" s="51">
        <v>41620</v>
      </c>
      <c r="AK1599" s="339"/>
      <c r="AL1599" s="339"/>
      <c r="AM1599" s="339" t="s">
        <v>1495</v>
      </c>
      <c r="AN1599" s="18" t="s">
        <v>1375</v>
      </c>
      <c r="AO1599" s="48">
        <v>796</v>
      </c>
      <c r="AP1599" s="48" t="s">
        <v>419</v>
      </c>
      <c r="AQ1599" s="306">
        <v>11800</v>
      </c>
      <c r="AR1599" s="306">
        <v>45</v>
      </c>
      <c r="AS1599" s="16" t="s">
        <v>512</v>
      </c>
      <c r="AT1599" s="51">
        <v>41640</v>
      </c>
      <c r="AU1599" s="51">
        <v>41640</v>
      </c>
      <c r="AV1599" s="52">
        <v>42004</v>
      </c>
      <c r="AW1599" s="48">
        <v>2014</v>
      </c>
      <c r="AX1599" s="339"/>
      <c r="AY1599" s="135"/>
      <c r="AZ1599" s="60"/>
      <c r="BA1599" s="48"/>
      <c r="BB1599" s="48"/>
      <c r="BC1599" s="339"/>
      <c r="BD1599" s="339"/>
      <c r="BE1599" s="65"/>
      <c r="BF1599" s="65"/>
      <c r="BG1599" s="65"/>
      <c r="BH1599" s="340"/>
      <c r="BI1599" s="340"/>
      <c r="BJ1599" s="340" t="s">
        <v>186</v>
      </c>
      <c r="BK1599" s="420"/>
    </row>
    <row r="1600" spans="1:63" s="266" customFormat="1" ht="56.25">
      <c r="A1600" s="422">
        <v>8</v>
      </c>
      <c r="B1600" s="12" t="s">
        <v>3859</v>
      </c>
      <c r="C1600" s="38" t="s">
        <v>83</v>
      </c>
      <c r="D1600" s="48" t="s">
        <v>160</v>
      </c>
      <c r="E1600" s="38" t="s">
        <v>250</v>
      </c>
      <c r="F1600" s="48" t="s">
        <v>840</v>
      </c>
      <c r="G1600" s="48">
        <v>3319501</v>
      </c>
      <c r="H1600" s="12">
        <v>626107</v>
      </c>
      <c r="I1600" s="337" t="s">
        <v>1496</v>
      </c>
      <c r="J1600" s="338" t="s">
        <v>192</v>
      </c>
      <c r="K1600" s="338" t="s">
        <v>192</v>
      </c>
      <c r="L1600" s="16" t="s">
        <v>180</v>
      </c>
      <c r="M1600" s="191" t="s">
        <v>675</v>
      </c>
      <c r="N1600" s="338" t="s">
        <v>676</v>
      </c>
      <c r="O1600" s="338" t="s">
        <v>1497</v>
      </c>
      <c r="P1600" s="24">
        <v>11262.7</v>
      </c>
      <c r="Q1600" s="23">
        <f t="shared" si="211"/>
        <v>13289.986000000001</v>
      </c>
      <c r="R1600" s="23"/>
      <c r="S1600" s="29"/>
      <c r="T1600" s="23"/>
      <c r="U1600" s="23"/>
      <c r="V1600" s="23"/>
      <c r="W1600" s="23"/>
      <c r="X1600" s="23"/>
      <c r="Y1600" s="24">
        <v>11262.7</v>
      </c>
      <c r="Z1600" s="23">
        <f t="shared" si="212"/>
        <v>13289.986000000001</v>
      </c>
      <c r="AA1600" s="36" t="s">
        <v>132</v>
      </c>
      <c r="AB1600" s="36" t="s">
        <v>132</v>
      </c>
      <c r="AC1600" s="24">
        <v>11262.7</v>
      </c>
      <c r="AD1600" s="23">
        <f>AC1600*1.18</f>
        <v>13289.986000000001</v>
      </c>
      <c r="AE1600" s="12" t="s">
        <v>169</v>
      </c>
      <c r="AF1600" s="38" t="s">
        <v>83</v>
      </c>
      <c r="AG1600" s="47" t="s">
        <v>83</v>
      </c>
      <c r="AH1600" s="45" t="s">
        <v>90</v>
      </c>
      <c r="AI1600" s="51">
        <v>41650</v>
      </c>
      <c r="AJ1600" s="51">
        <v>41710</v>
      </c>
      <c r="AK1600" s="339"/>
      <c r="AL1600" s="339"/>
      <c r="AM1600" s="339" t="s">
        <v>1496</v>
      </c>
      <c r="AN1600" s="18" t="s">
        <v>1375</v>
      </c>
      <c r="AO1600" s="48">
        <v>796</v>
      </c>
      <c r="AP1600" s="12" t="s">
        <v>419</v>
      </c>
      <c r="AQ1600" s="92">
        <v>16370</v>
      </c>
      <c r="AR1600" s="306">
        <v>45</v>
      </c>
      <c r="AS1600" s="16" t="s">
        <v>512</v>
      </c>
      <c r="AT1600" s="52">
        <v>41730</v>
      </c>
      <c r="AU1600" s="52">
        <v>41730</v>
      </c>
      <c r="AV1600" s="52">
        <v>42004</v>
      </c>
      <c r="AW1600" s="48">
        <v>2014</v>
      </c>
      <c r="AX1600" s="339"/>
      <c r="AY1600" s="135"/>
      <c r="AZ1600" s="60"/>
      <c r="BA1600" s="48"/>
      <c r="BB1600" s="48"/>
      <c r="BC1600" s="339"/>
      <c r="BD1600" s="339"/>
      <c r="BE1600" s="65"/>
      <c r="BF1600" s="65"/>
      <c r="BG1600" s="65"/>
      <c r="BH1600" s="340"/>
      <c r="BI1600" s="340"/>
      <c r="BJ1600" s="340" t="s">
        <v>186</v>
      </c>
      <c r="BK1600" s="420"/>
    </row>
    <row r="1601" spans="1:63" s="266" customFormat="1" ht="56.25">
      <c r="A1601" s="422">
        <v>8</v>
      </c>
      <c r="B1601" s="12" t="s">
        <v>3860</v>
      </c>
      <c r="C1601" s="38" t="s">
        <v>83</v>
      </c>
      <c r="D1601" s="48" t="s">
        <v>160</v>
      </c>
      <c r="E1601" s="38" t="s">
        <v>250</v>
      </c>
      <c r="F1601" s="48" t="s">
        <v>3032</v>
      </c>
      <c r="G1601" s="48">
        <v>7420000</v>
      </c>
      <c r="H1601" s="12">
        <v>626106</v>
      </c>
      <c r="I1601" s="337" t="s">
        <v>1498</v>
      </c>
      <c r="J1601" s="338" t="s">
        <v>192</v>
      </c>
      <c r="K1601" s="338" t="s">
        <v>192</v>
      </c>
      <c r="L1601" s="16" t="s">
        <v>180</v>
      </c>
      <c r="M1601" s="191" t="s">
        <v>675</v>
      </c>
      <c r="N1601" s="338" t="s">
        <v>676</v>
      </c>
      <c r="O1601" s="338" t="s">
        <v>1497</v>
      </c>
      <c r="P1601" s="24">
        <v>5363.7</v>
      </c>
      <c r="Q1601" s="23">
        <f t="shared" si="211"/>
        <v>6329.1659999999993</v>
      </c>
      <c r="R1601" s="23"/>
      <c r="S1601" s="29"/>
      <c r="T1601" s="23"/>
      <c r="U1601" s="23"/>
      <c r="V1601" s="23"/>
      <c r="W1601" s="23"/>
      <c r="X1601" s="23"/>
      <c r="Y1601" s="24">
        <v>5363.7</v>
      </c>
      <c r="Z1601" s="23">
        <f t="shared" si="212"/>
        <v>6329.1659999999993</v>
      </c>
      <c r="AA1601" s="36" t="s">
        <v>132</v>
      </c>
      <c r="AB1601" s="36" t="s">
        <v>132</v>
      </c>
      <c r="AC1601" s="24">
        <v>5363.7</v>
      </c>
      <c r="AD1601" s="23">
        <f>AC1601*1.18</f>
        <v>6329.1659999999993</v>
      </c>
      <c r="AE1601" s="38" t="s">
        <v>173</v>
      </c>
      <c r="AF1601" s="38" t="s">
        <v>83</v>
      </c>
      <c r="AG1601" s="47" t="s">
        <v>83</v>
      </c>
      <c r="AH1601" s="45" t="s">
        <v>90</v>
      </c>
      <c r="AI1601" s="314">
        <v>41665</v>
      </c>
      <c r="AJ1601" s="51">
        <v>41710</v>
      </c>
      <c r="AK1601" s="339"/>
      <c r="AL1601" s="339"/>
      <c r="AM1601" s="339" t="s">
        <v>1498</v>
      </c>
      <c r="AN1601" s="18" t="s">
        <v>1375</v>
      </c>
      <c r="AO1601" s="48">
        <v>904</v>
      </c>
      <c r="AP1601" s="12" t="s">
        <v>1499</v>
      </c>
      <c r="AQ1601" s="92">
        <v>1790</v>
      </c>
      <c r="AR1601" s="306">
        <v>45</v>
      </c>
      <c r="AS1601" s="16" t="s">
        <v>512</v>
      </c>
      <c r="AT1601" s="52">
        <v>41730</v>
      </c>
      <c r="AU1601" s="52">
        <v>41730</v>
      </c>
      <c r="AV1601" s="52">
        <v>42004</v>
      </c>
      <c r="AW1601" s="48">
        <v>2014</v>
      </c>
      <c r="AX1601" s="339"/>
      <c r="AY1601" s="135"/>
      <c r="AZ1601" s="60"/>
      <c r="BA1601" s="48"/>
      <c r="BB1601" s="48"/>
      <c r="BC1601" s="339"/>
      <c r="BD1601" s="339"/>
      <c r="BE1601" s="65"/>
      <c r="BF1601" s="65"/>
      <c r="BG1601" s="65"/>
      <c r="BH1601" s="340"/>
      <c r="BI1601" s="340"/>
      <c r="BJ1601" s="340" t="s">
        <v>186</v>
      </c>
      <c r="BK1601" s="420"/>
    </row>
    <row r="1602" spans="1:63" s="266" customFormat="1" ht="56.25">
      <c r="A1602" s="25">
        <v>8</v>
      </c>
      <c r="B1602" s="12" t="s">
        <v>1500</v>
      </c>
      <c r="C1602" s="38" t="s">
        <v>83</v>
      </c>
      <c r="D1602" s="48" t="s">
        <v>1484</v>
      </c>
      <c r="E1602" s="38" t="s">
        <v>250</v>
      </c>
      <c r="F1602" s="48" t="s">
        <v>3033</v>
      </c>
      <c r="G1602" s="48">
        <v>2926060</v>
      </c>
      <c r="H1602" s="12">
        <v>854114</v>
      </c>
      <c r="I1602" s="337" t="s">
        <v>1501</v>
      </c>
      <c r="J1602" s="338" t="s">
        <v>5953</v>
      </c>
      <c r="K1602" s="338" t="s">
        <v>5868</v>
      </c>
      <c r="L1602" s="16" t="s">
        <v>180</v>
      </c>
      <c r="M1602" s="191" t="s">
        <v>675</v>
      </c>
      <c r="N1602" s="460" t="s">
        <v>5868</v>
      </c>
      <c r="O1602" s="338" t="s">
        <v>1490</v>
      </c>
      <c r="P1602" s="24">
        <v>2100</v>
      </c>
      <c r="Q1602" s="23">
        <f t="shared" si="211"/>
        <v>2478</v>
      </c>
      <c r="R1602" s="23"/>
      <c r="S1602" s="29"/>
      <c r="T1602" s="23"/>
      <c r="U1602" s="23"/>
      <c r="V1602" s="23"/>
      <c r="W1602" s="23"/>
      <c r="X1602" s="23"/>
      <c r="Y1602" s="24">
        <v>2100</v>
      </c>
      <c r="Z1602" s="23">
        <f t="shared" si="212"/>
        <v>2478</v>
      </c>
      <c r="AA1602" s="36" t="s">
        <v>132</v>
      </c>
      <c r="AB1602" s="36" t="s">
        <v>132</v>
      </c>
      <c r="AC1602" s="34">
        <v>2100</v>
      </c>
      <c r="AD1602" s="34">
        <v>2478</v>
      </c>
      <c r="AE1602" s="38" t="s">
        <v>173</v>
      </c>
      <c r="AF1602" s="38" t="s">
        <v>83</v>
      </c>
      <c r="AG1602" s="47" t="s">
        <v>83</v>
      </c>
      <c r="AH1602" s="45" t="s">
        <v>90</v>
      </c>
      <c r="AI1602" s="314">
        <v>41656</v>
      </c>
      <c r="AJ1602" s="54">
        <v>41701</v>
      </c>
      <c r="AK1602" s="339"/>
      <c r="AL1602" s="339"/>
      <c r="AM1602" s="339" t="s">
        <v>1501</v>
      </c>
      <c r="AN1602" s="18" t="s">
        <v>1375</v>
      </c>
      <c r="AO1602" s="48">
        <v>796</v>
      </c>
      <c r="AP1602" s="12" t="s">
        <v>419</v>
      </c>
      <c r="AQ1602" s="92">
        <v>30</v>
      </c>
      <c r="AR1602" s="306">
        <v>45</v>
      </c>
      <c r="AS1602" s="16" t="s">
        <v>512</v>
      </c>
      <c r="AT1602" s="52">
        <v>41721</v>
      </c>
      <c r="AU1602" s="52">
        <v>41721</v>
      </c>
      <c r="AV1602" s="224">
        <v>41912</v>
      </c>
      <c r="AW1602" s="48">
        <v>2014</v>
      </c>
      <c r="AX1602" s="339"/>
      <c r="AY1602" s="135"/>
      <c r="AZ1602" s="60"/>
      <c r="BA1602" s="48"/>
      <c r="BB1602" s="48"/>
      <c r="BC1602" s="339"/>
      <c r="BD1602" s="339"/>
      <c r="BE1602" s="65"/>
      <c r="BF1602" s="65"/>
      <c r="BG1602" s="65"/>
      <c r="BH1602" s="340"/>
      <c r="BI1602" s="340"/>
      <c r="BJ1602" s="340" t="s">
        <v>186</v>
      </c>
      <c r="BK1602" s="420"/>
    </row>
    <row r="1603" spans="1:63" s="266" customFormat="1" ht="112.5">
      <c r="A1603" s="25">
        <v>8</v>
      </c>
      <c r="B1603" s="12" t="s">
        <v>1502</v>
      </c>
      <c r="C1603" s="38" t="s">
        <v>83</v>
      </c>
      <c r="D1603" s="48" t="s">
        <v>1484</v>
      </c>
      <c r="E1603" s="38" t="s">
        <v>250</v>
      </c>
      <c r="F1603" s="48" t="s">
        <v>1296</v>
      </c>
      <c r="G1603" s="48">
        <v>7493010</v>
      </c>
      <c r="H1603" s="12">
        <v>854116</v>
      </c>
      <c r="I1603" s="337" t="s">
        <v>1503</v>
      </c>
      <c r="J1603" s="338" t="s">
        <v>5954</v>
      </c>
      <c r="K1603" s="338" t="s">
        <v>5868</v>
      </c>
      <c r="L1603" s="16" t="s">
        <v>180</v>
      </c>
      <c r="M1603" s="191" t="s">
        <v>675</v>
      </c>
      <c r="N1603" s="460" t="s">
        <v>5868</v>
      </c>
      <c r="O1603" s="338" t="s">
        <v>1490</v>
      </c>
      <c r="P1603" s="24">
        <v>1920</v>
      </c>
      <c r="Q1603" s="23">
        <f t="shared" si="211"/>
        <v>2265.6</v>
      </c>
      <c r="R1603" s="23"/>
      <c r="S1603" s="29"/>
      <c r="T1603" s="23"/>
      <c r="U1603" s="23"/>
      <c r="V1603" s="23"/>
      <c r="W1603" s="23"/>
      <c r="X1603" s="23"/>
      <c r="Y1603" s="24">
        <v>1920</v>
      </c>
      <c r="Z1603" s="23">
        <f t="shared" si="212"/>
        <v>2265.6</v>
      </c>
      <c r="AA1603" s="36" t="s">
        <v>132</v>
      </c>
      <c r="AB1603" s="36" t="s">
        <v>132</v>
      </c>
      <c r="AC1603" s="34">
        <v>1920</v>
      </c>
      <c r="AD1603" s="34">
        <v>2265.6</v>
      </c>
      <c r="AE1603" s="38" t="s">
        <v>173</v>
      </c>
      <c r="AF1603" s="38" t="s">
        <v>83</v>
      </c>
      <c r="AG1603" s="47" t="s">
        <v>83</v>
      </c>
      <c r="AH1603" s="45" t="s">
        <v>90</v>
      </c>
      <c r="AI1603" s="314">
        <v>41665</v>
      </c>
      <c r="AJ1603" s="51">
        <v>41710</v>
      </c>
      <c r="AK1603" s="339"/>
      <c r="AL1603" s="339"/>
      <c r="AM1603" s="339" t="s">
        <v>1503</v>
      </c>
      <c r="AN1603" s="18" t="s">
        <v>1375</v>
      </c>
      <c r="AO1603" s="48">
        <v>796</v>
      </c>
      <c r="AP1603" s="12" t="s">
        <v>419</v>
      </c>
      <c r="AQ1603" s="92">
        <v>656</v>
      </c>
      <c r="AR1603" s="306">
        <v>45</v>
      </c>
      <c r="AS1603" s="16" t="s">
        <v>512</v>
      </c>
      <c r="AT1603" s="52">
        <v>41730</v>
      </c>
      <c r="AU1603" s="52">
        <v>41730</v>
      </c>
      <c r="AV1603" s="52">
        <v>42094</v>
      </c>
      <c r="AW1603" s="48" t="s">
        <v>99</v>
      </c>
      <c r="AX1603" s="339"/>
      <c r="AY1603" s="135"/>
      <c r="AZ1603" s="60"/>
      <c r="BA1603" s="48"/>
      <c r="BB1603" s="48"/>
      <c r="BC1603" s="339"/>
      <c r="BD1603" s="339"/>
      <c r="BE1603" s="65"/>
      <c r="BF1603" s="65"/>
      <c r="BG1603" s="65"/>
      <c r="BH1603" s="340"/>
      <c r="BI1603" s="340"/>
      <c r="BJ1603" s="340" t="s">
        <v>186</v>
      </c>
      <c r="BK1603" s="420"/>
    </row>
    <row r="1604" spans="1:63" s="266" customFormat="1" ht="131.25">
      <c r="A1604" s="25">
        <v>8</v>
      </c>
      <c r="B1604" s="44" t="s">
        <v>1506</v>
      </c>
      <c r="C1604" s="38" t="s">
        <v>83</v>
      </c>
      <c r="D1604" s="44" t="s">
        <v>1507</v>
      </c>
      <c r="E1604" s="38" t="s">
        <v>214</v>
      </c>
      <c r="F1604" s="38" t="s">
        <v>816</v>
      </c>
      <c r="G1604" s="38">
        <v>7499</v>
      </c>
      <c r="H1604" s="56">
        <v>854105</v>
      </c>
      <c r="I1604" s="17" t="s">
        <v>1508</v>
      </c>
      <c r="J1604" s="16" t="s">
        <v>819</v>
      </c>
      <c r="K1604" s="16" t="s">
        <v>4919</v>
      </c>
      <c r="L1604" s="16" t="s">
        <v>180</v>
      </c>
      <c r="M1604" s="134" t="s">
        <v>743</v>
      </c>
      <c r="N1604" s="16" t="s">
        <v>220</v>
      </c>
      <c r="O1604" s="16" t="s">
        <v>1479</v>
      </c>
      <c r="P1604" s="24">
        <v>3002.6</v>
      </c>
      <c r="Q1604" s="23">
        <f t="shared" si="211"/>
        <v>3543.0679999999998</v>
      </c>
      <c r="R1604" s="23"/>
      <c r="S1604" s="29"/>
      <c r="T1604" s="23"/>
      <c r="U1604" s="23"/>
      <c r="V1604" s="23"/>
      <c r="W1604" s="23"/>
      <c r="X1604" s="23"/>
      <c r="Y1604" s="24">
        <v>3002.6</v>
      </c>
      <c r="Z1604" s="23">
        <f t="shared" si="212"/>
        <v>3543.0679999999998</v>
      </c>
      <c r="AA1604" s="36" t="s">
        <v>132</v>
      </c>
      <c r="AB1604" s="36" t="s">
        <v>132</v>
      </c>
      <c r="AC1604" s="23">
        <v>3002.6</v>
      </c>
      <c r="AD1604" s="23">
        <f>AC1604*1.18</f>
        <v>3543.0679999999998</v>
      </c>
      <c r="AE1604" s="38" t="s">
        <v>173</v>
      </c>
      <c r="AF1604" s="38" t="s">
        <v>83</v>
      </c>
      <c r="AG1604" s="46" t="s">
        <v>83</v>
      </c>
      <c r="AH1604" s="45" t="s">
        <v>90</v>
      </c>
      <c r="AI1604" s="314">
        <v>41684</v>
      </c>
      <c r="AJ1604" s="51">
        <v>41729</v>
      </c>
      <c r="AK1604" s="16"/>
      <c r="AL1604" s="16"/>
      <c r="AM1604" s="60" t="s">
        <v>818</v>
      </c>
      <c r="AN1604" s="60" t="s">
        <v>1375</v>
      </c>
      <c r="AO1604" s="63">
        <v>796</v>
      </c>
      <c r="AP1604" s="56" t="s">
        <v>419</v>
      </c>
      <c r="AQ1604" s="336">
        <v>1</v>
      </c>
      <c r="AR1604" s="25">
        <v>45</v>
      </c>
      <c r="AS1604" s="16" t="s">
        <v>547</v>
      </c>
      <c r="AT1604" s="52">
        <v>41749</v>
      </c>
      <c r="AU1604" s="52">
        <v>41749</v>
      </c>
      <c r="AV1604" s="52">
        <v>42125</v>
      </c>
      <c r="AW1604" s="38" t="s">
        <v>99</v>
      </c>
      <c r="AX1604" s="60"/>
      <c r="AY1604" s="135"/>
      <c r="AZ1604" s="60"/>
      <c r="BA1604" s="38"/>
      <c r="BB1604" s="38"/>
      <c r="BC1604" s="60"/>
      <c r="BD1604" s="60"/>
      <c r="BE1604" s="65"/>
      <c r="BF1604" s="65"/>
      <c r="BG1604" s="65"/>
      <c r="BH1604" s="65"/>
      <c r="BI1604" s="65"/>
      <c r="BJ1604" s="65"/>
      <c r="BK1604" s="236"/>
    </row>
    <row r="1605" spans="1:63" s="266" customFormat="1" ht="93.75">
      <c r="A1605" s="25">
        <v>8</v>
      </c>
      <c r="B1605" s="46" t="s">
        <v>1509</v>
      </c>
      <c r="C1605" s="38" t="s">
        <v>83</v>
      </c>
      <c r="D1605" s="46" t="s">
        <v>1510</v>
      </c>
      <c r="E1605" s="38" t="s">
        <v>522</v>
      </c>
      <c r="F1605" s="38" t="s">
        <v>1511</v>
      </c>
      <c r="G1605" s="38">
        <v>9200000</v>
      </c>
      <c r="H1605" s="316">
        <v>853544</v>
      </c>
      <c r="I1605" s="19" t="s">
        <v>1512</v>
      </c>
      <c r="J1605" s="16" t="s">
        <v>1513</v>
      </c>
      <c r="K1605" s="16" t="s">
        <v>1513</v>
      </c>
      <c r="L1605" s="16" t="s">
        <v>88</v>
      </c>
      <c r="M1605" s="134" t="s">
        <v>1514</v>
      </c>
      <c r="N1605" s="16" t="s">
        <v>5919</v>
      </c>
      <c r="O1605" s="16" t="s">
        <v>1463</v>
      </c>
      <c r="P1605" s="475">
        <v>3000</v>
      </c>
      <c r="Q1605" s="475">
        <v>3540</v>
      </c>
      <c r="R1605" s="23"/>
      <c r="S1605" s="29"/>
      <c r="T1605" s="29"/>
      <c r="U1605" s="29"/>
      <c r="V1605" s="29"/>
      <c r="W1605" s="29"/>
      <c r="X1605" s="29"/>
      <c r="Y1605" s="475">
        <v>3000</v>
      </c>
      <c r="Z1605" s="475">
        <v>3540</v>
      </c>
      <c r="AA1605" s="36" t="s">
        <v>132</v>
      </c>
      <c r="AB1605" s="36" t="s">
        <v>132</v>
      </c>
      <c r="AC1605" s="34">
        <v>3000</v>
      </c>
      <c r="AD1605" s="34">
        <v>3540</v>
      </c>
      <c r="AE1605" s="38" t="s">
        <v>173</v>
      </c>
      <c r="AF1605" s="38" t="s">
        <v>83</v>
      </c>
      <c r="AG1605" s="46" t="s">
        <v>83</v>
      </c>
      <c r="AH1605" s="45" t="s">
        <v>90</v>
      </c>
      <c r="AI1605" s="314">
        <v>41848</v>
      </c>
      <c r="AJ1605" s="51">
        <v>41893</v>
      </c>
      <c r="AK1605" s="60"/>
      <c r="AL1605" s="60"/>
      <c r="AM1605" s="60" t="s">
        <v>1515</v>
      </c>
      <c r="AN1605" s="60" t="s">
        <v>1375</v>
      </c>
      <c r="AO1605" s="11">
        <v>879</v>
      </c>
      <c r="AP1605" s="316" t="s">
        <v>1516</v>
      </c>
      <c r="AQ1605" s="316">
        <v>1</v>
      </c>
      <c r="AR1605" s="38">
        <v>45</v>
      </c>
      <c r="AS1605" s="16" t="s">
        <v>547</v>
      </c>
      <c r="AT1605" s="52">
        <v>41913</v>
      </c>
      <c r="AU1605" s="52">
        <v>41913</v>
      </c>
      <c r="AV1605" s="52">
        <v>42004</v>
      </c>
      <c r="AW1605" s="38">
        <v>2014</v>
      </c>
      <c r="AX1605" s="60"/>
      <c r="AY1605" s="135"/>
      <c r="AZ1605" s="60"/>
      <c r="BA1605" s="38"/>
      <c r="BB1605" s="38"/>
      <c r="BC1605" s="60"/>
      <c r="BD1605" s="60"/>
      <c r="BE1605" s="65"/>
      <c r="BF1605" s="65"/>
      <c r="BG1605" s="65"/>
      <c r="BH1605" s="308"/>
      <c r="BI1605" s="308"/>
      <c r="BJ1605" s="308"/>
      <c r="BK1605" s="236"/>
    </row>
    <row r="1606" spans="1:63" s="266" customFormat="1" ht="131.25">
      <c r="A1606" s="25">
        <v>8</v>
      </c>
      <c r="B1606" s="46" t="s">
        <v>1517</v>
      </c>
      <c r="C1606" s="38" t="s">
        <v>83</v>
      </c>
      <c r="D1606" s="46" t="s">
        <v>1518</v>
      </c>
      <c r="E1606" s="72" t="s">
        <v>190</v>
      </c>
      <c r="F1606" s="38" t="s">
        <v>1519</v>
      </c>
      <c r="G1606" s="38">
        <v>5200180</v>
      </c>
      <c r="H1606" s="316">
        <v>854074</v>
      </c>
      <c r="I1606" s="19" t="s">
        <v>4181</v>
      </c>
      <c r="J1606" s="16" t="s">
        <v>1520</v>
      </c>
      <c r="K1606" s="16" t="s">
        <v>1520</v>
      </c>
      <c r="L1606" s="16" t="s">
        <v>180</v>
      </c>
      <c r="M1606" s="134">
        <v>20105140704</v>
      </c>
      <c r="N1606" s="16" t="s">
        <v>557</v>
      </c>
      <c r="O1606" s="16" t="s">
        <v>1375</v>
      </c>
      <c r="P1606" s="258">
        <v>1600</v>
      </c>
      <c r="Q1606" s="258">
        <f t="shared" ref="Q1606:Q1648" si="213">P1606*1.18</f>
        <v>1888</v>
      </c>
      <c r="R1606" s="23"/>
      <c r="S1606" s="29"/>
      <c r="T1606" s="23"/>
      <c r="U1606" s="23"/>
      <c r="V1606" s="23"/>
      <c r="W1606" s="23"/>
      <c r="X1606" s="23"/>
      <c r="Y1606" s="342">
        <v>1600</v>
      </c>
      <c r="Z1606" s="34">
        <f t="shared" ref="Z1606:Z1648" si="214">Y1606*1.18</f>
        <v>1888</v>
      </c>
      <c r="AA1606" s="36" t="s">
        <v>132</v>
      </c>
      <c r="AB1606" s="36" t="s">
        <v>132</v>
      </c>
      <c r="AC1606" s="342">
        <v>1600</v>
      </c>
      <c r="AD1606" s="342">
        <v>1888</v>
      </c>
      <c r="AE1606" s="38" t="s">
        <v>173</v>
      </c>
      <c r="AF1606" s="38" t="s">
        <v>83</v>
      </c>
      <c r="AG1606" s="46" t="s">
        <v>83</v>
      </c>
      <c r="AH1606" s="45" t="s">
        <v>90</v>
      </c>
      <c r="AI1606" s="314">
        <v>41746</v>
      </c>
      <c r="AJ1606" s="343">
        <v>41791</v>
      </c>
      <c r="AK1606" s="60"/>
      <c r="AL1606" s="60"/>
      <c r="AM1606" s="60" t="s">
        <v>1520</v>
      </c>
      <c r="AN1606" s="60" t="s">
        <v>1480</v>
      </c>
      <c r="AO1606" s="63">
        <v>879</v>
      </c>
      <c r="AP1606" s="316" t="s">
        <v>1516</v>
      </c>
      <c r="AQ1606" s="344">
        <v>1</v>
      </c>
      <c r="AR1606" s="25">
        <v>45</v>
      </c>
      <c r="AS1606" s="16" t="s">
        <v>547</v>
      </c>
      <c r="AT1606" s="52">
        <v>41811</v>
      </c>
      <c r="AU1606" s="52">
        <v>41811</v>
      </c>
      <c r="AV1606" s="51">
        <v>42216</v>
      </c>
      <c r="AW1606" s="38" t="s">
        <v>99</v>
      </c>
      <c r="AX1606" s="60"/>
      <c r="AY1606" s="135"/>
      <c r="AZ1606" s="60"/>
      <c r="BA1606" s="38"/>
      <c r="BB1606" s="38"/>
      <c r="BC1606" s="60"/>
      <c r="BD1606" s="60"/>
      <c r="BE1606" s="65"/>
      <c r="BF1606" s="65"/>
      <c r="BG1606" s="65"/>
      <c r="BH1606" s="308"/>
      <c r="BI1606" s="308"/>
      <c r="BJ1606" s="65" t="s">
        <v>186</v>
      </c>
      <c r="BK1606" s="345"/>
    </row>
    <row r="1607" spans="1:63" s="266" customFormat="1" ht="134.25" customHeight="1">
      <c r="A1607" s="25">
        <v>8</v>
      </c>
      <c r="B1607" s="253" t="s">
        <v>1521</v>
      </c>
      <c r="C1607" s="38" t="s">
        <v>83</v>
      </c>
      <c r="D1607" s="253" t="s">
        <v>1522</v>
      </c>
      <c r="E1607" s="38" t="s">
        <v>250</v>
      </c>
      <c r="F1607" s="38" t="s">
        <v>502</v>
      </c>
      <c r="G1607" s="38">
        <v>7525000</v>
      </c>
      <c r="H1607" s="254">
        <v>853571</v>
      </c>
      <c r="I1607" s="18" t="s">
        <v>3910</v>
      </c>
      <c r="J1607" s="16" t="s">
        <v>1523</v>
      </c>
      <c r="K1607" s="16" t="s">
        <v>1524</v>
      </c>
      <c r="L1607" s="16" t="s">
        <v>180</v>
      </c>
      <c r="M1607" s="134" t="s">
        <v>686</v>
      </c>
      <c r="N1607" s="16" t="s">
        <v>5925</v>
      </c>
      <c r="O1607" s="16" t="s">
        <v>960</v>
      </c>
      <c r="P1607" s="28">
        <v>6462.5</v>
      </c>
      <c r="Q1607" s="258">
        <f t="shared" si="213"/>
        <v>7625.75</v>
      </c>
      <c r="R1607" s="23">
        <v>6420.9</v>
      </c>
      <c r="S1607" s="29" t="s">
        <v>4180</v>
      </c>
      <c r="T1607" s="132">
        <v>1.0840000000000001</v>
      </c>
      <c r="U1607" s="132">
        <v>1.0509999999999999</v>
      </c>
      <c r="V1607" s="132">
        <v>1.0669999999999999</v>
      </c>
      <c r="W1607" s="132">
        <v>1.0529999999999999</v>
      </c>
      <c r="X1607" s="132">
        <v>0.9</v>
      </c>
      <c r="Y1607" s="34">
        <v>7397.13</v>
      </c>
      <c r="Z1607" s="34">
        <f t="shared" si="214"/>
        <v>8728.6134000000002</v>
      </c>
      <c r="AA1607" s="36" t="s">
        <v>132</v>
      </c>
      <c r="AB1607" s="36" t="s">
        <v>132</v>
      </c>
      <c r="AC1607" s="40">
        <v>6462.5</v>
      </c>
      <c r="AD1607" s="40">
        <v>7625.75</v>
      </c>
      <c r="AE1607" s="38" t="s">
        <v>173</v>
      </c>
      <c r="AF1607" s="38" t="s">
        <v>83</v>
      </c>
      <c r="AG1607" s="46" t="s">
        <v>83</v>
      </c>
      <c r="AH1607" s="45" t="s">
        <v>90</v>
      </c>
      <c r="AI1607" s="51">
        <v>41712</v>
      </c>
      <c r="AJ1607" s="51">
        <v>41772</v>
      </c>
      <c r="AK1607" s="60"/>
      <c r="AL1607" s="60"/>
      <c r="AM1607" s="62" t="str">
        <f>I1607</f>
        <v>Оказание услуг по разработке, согласованию и ведению природоохранной разрешительной документации</v>
      </c>
      <c r="AN1607" s="60" t="s">
        <v>1525</v>
      </c>
      <c r="AO1607" s="63">
        <v>796</v>
      </c>
      <c r="AP1607" s="38" t="s">
        <v>419</v>
      </c>
      <c r="AQ1607" s="25">
        <v>500</v>
      </c>
      <c r="AR1607" s="38">
        <v>45</v>
      </c>
      <c r="AS1607" s="16" t="s">
        <v>512</v>
      </c>
      <c r="AT1607" s="52">
        <v>41792</v>
      </c>
      <c r="AU1607" s="52">
        <v>41792</v>
      </c>
      <c r="AV1607" s="53">
        <v>42156</v>
      </c>
      <c r="AW1607" s="38" t="s">
        <v>99</v>
      </c>
      <c r="AX1607" s="60"/>
      <c r="AY1607" s="135"/>
      <c r="AZ1607" s="60"/>
      <c r="BA1607" s="38"/>
      <c r="BB1607" s="38"/>
      <c r="BC1607" s="60"/>
      <c r="BD1607" s="60"/>
      <c r="BE1607" s="65"/>
      <c r="BF1607" s="65"/>
      <c r="BG1607" s="65"/>
      <c r="BH1607" s="65"/>
      <c r="BI1607" s="65"/>
      <c r="BJ1607" s="65" t="s">
        <v>186</v>
      </c>
      <c r="BK1607" s="65"/>
    </row>
    <row r="1608" spans="1:63" s="266" customFormat="1" ht="129.75" customHeight="1">
      <c r="A1608" s="25">
        <v>8</v>
      </c>
      <c r="B1608" s="253" t="s">
        <v>1536</v>
      </c>
      <c r="C1608" s="38" t="s">
        <v>83</v>
      </c>
      <c r="D1608" s="253" t="s">
        <v>1522</v>
      </c>
      <c r="E1608" s="38" t="s">
        <v>250</v>
      </c>
      <c r="F1608" s="38" t="s">
        <v>1537</v>
      </c>
      <c r="G1608" s="38">
        <v>9010000</v>
      </c>
      <c r="H1608" s="254">
        <v>853574</v>
      </c>
      <c r="I1608" s="18" t="s">
        <v>1538</v>
      </c>
      <c r="J1608" s="18" t="s">
        <v>5955</v>
      </c>
      <c r="K1608" s="16" t="s">
        <v>1539</v>
      </c>
      <c r="L1608" s="16" t="s">
        <v>180</v>
      </c>
      <c r="M1608" s="134" t="s">
        <v>1175</v>
      </c>
      <c r="N1608" s="16" t="s">
        <v>5940</v>
      </c>
      <c r="O1608" s="16" t="s">
        <v>1479</v>
      </c>
      <c r="P1608" s="28">
        <v>5600</v>
      </c>
      <c r="Q1608" s="258">
        <f t="shared" si="213"/>
        <v>6608</v>
      </c>
      <c r="R1608" s="23"/>
      <c r="S1608" s="29"/>
      <c r="T1608" s="23"/>
      <c r="U1608" s="23"/>
      <c r="V1608" s="23"/>
      <c r="W1608" s="23"/>
      <c r="X1608" s="23"/>
      <c r="Y1608" s="28">
        <v>5600</v>
      </c>
      <c r="Z1608" s="258">
        <f t="shared" si="214"/>
        <v>6608</v>
      </c>
      <c r="AA1608" s="36" t="s">
        <v>132</v>
      </c>
      <c r="AB1608" s="36" t="s">
        <v>132</v>
      </c>
      <c r="AC1608" s="28">
        <v>5600</v>
      </c>
      <c r="AD1608" s="258">
        <f t="shared" ref="AD1608" si="215">AC1608*1.18</f>
        <v>6608</v>
      </c>
      <c r="AE1608" s="38" t="s">
        <v>280</v>
      </c>
      <c r="AF1608" s="38" t="s">
        <v>83</v>
      </c>
      <c r="AG1608" s="46" t="s">
        <v>83</v>
      </c>
      <c r="AH1608" s="38" t="s">
        <v>281</v>
      </c>
      <c r="AI1608" s="54">
        <v>41618</v>
      </c>
      <c r="AJ1608" s="51">
        <v>41618</v>
      </c>
      <c r="AK1608" s="60" t="s">
        <v>3858</v>
      </c>
      <c r="AL1608" s="16" t="s">
        <v>1540</v>
      </c>
      <c r="AM1608" s="18" t="s">
        <v>1538</v>
      </c>
      <c r="AN1608" s="60" t="s">
        <v>1541</v>
      </c>
      <c r="AO1608" s="64">
        <v>168</v>
      </c>
      <c r="AP1608" s="38" t="s">
        <v>1542</v>
      </c>
      <c r="AQ1608" s="66">
        <v>9000</v>
      </c>
      <c r="AR1608" s="38">
        <v>45</v>
      </c>
      <c r="AS1608" s="16" t="s">
        <v>512</v>
      </c>
      <c r="AT1608" s="52">
        <v>41640</v>
      </c>
      <c r="AU1608" s="52">
        <v>41640</v>
      </c>
      <c r="AV1608" s="52">
        <v>42004</v>
      </c>
      <c r="AW1608" s="38">
        <v>2014</v>
      </c>
      <c r="AX1608" s="60"/>
      <c r="AY1608" s="135"/>
      <c r="AZ1608" s="60"/>
      <c r="BA1608" s="38"/>
      <c r="BB1608" s="38"/>
      <c r="BC1608" s="60"/>
      <c r="BD1608" s="60"/>
      <c r="BE1608" s="65"/>
      <c r="BF1608" s="65"/>
      <c r="BG1608" s="65"/>
      <c r="BH1608" s="65"/>
      <c r="BI1608" s="65"/>
      <c r="BJ1608" s="65" t="s">
        <v>186</v>
      </c>
      <c r="BK1608" s="72"/>
    </row>
    <row r="1609" spans="1:63" s="266" customFormat="1" ht="117" customHeight="1">
      <c r="A1609" s="25">
        <v>8</v>
      </c>
      <c r="B1609" s="253" t="s">
        <v>1543</v>
      </c>
      <c r="C1609" s="38" t="s">
        <v>83</v>
      </c>
      <c r="D1609" s="253" t="s">
        <v>1522</v>
      </c>
      <c r="E1609" s="38" t="s">
        <v>250</v>
      </c>
      <c r="F1609" s="38" t="s">
        <v>1544</v>
      </c>
      <c r="G1609" s="38">
        <v>9010000</v>
      </c>
      <c r="H1609" s="254">
        <v>854087</v>
      </c>
      <c r="I1609" s="18" t="s">
        <v>1545</v>
      </c>
      <c r="J1609" s="16" t="s">
        <v>5956</v>
      </c>
      <c r="K1609" s="16" t="s">
        <v>1546</v>
      </c>
      <c r="L1609" s="16" t="s">
        <v>180</v>
      </c>
      <c r="M1609" s="134" t="s">
        <v>1175</v>
      </c>
      <c r="N1609" s="16" t="s">
        <v>5938</v>
      </c>
      <c r="O1609" s="16" t="s">
        <v>1479</v>
      </c>
      <c r="P1609" s="28">
        <v>7140</v>
      </c>
      <c r="Q1609" s="258">
        <f t="shared" si="213"/>
        <v>8425.1999999999989</v>
      </c>
      <c r="R1609" s="23"/>
      <c r="S1609" s="29"/>
      <c r="T1609" s="23"/>
      <c r="U1609" s="23"/>
      <c r="V1609" s="23"/>
      <c r="W1609" s="23"/>
      <c r="X1609" s="23"/>
      <c r="Y1609" s="28">
        <v>7140</v>
      </c>
      <c r="Z1609" s="258">
        <f t="shared" si="214"/>
        <v>8425.1999999999989</v>
      </c>
      <c r="AA1609" s="36" t="s">
        <v>132</v>
      </c>
      <c r="AB1609" s="36" t="s">
        <v>132</v>
      </c>
      <c r="AC1609" s="40">
        <v>7140</v>
      </c>
      <c r="AD1609" s="23">
        <f>AC1609*1.18</f>
        <v>8425.1999999999989</v>
      </c>
      <c r="AE1609" s="38" t="s">
        <v>173</v>
      </c>
      <c r="AF1609" s="38" t="s">
        <v>83</v>
      </c>
      <c r="AG1609" s="46" t="s">
        <v>83</v>
      </c>
      <c r="AH1609" s="45" t="s">
        <v>90</v>
      </c>
      <c r="AI1609" s="51">
        <v>41866</v>
      </c>
      <c r="AJ1609" s="51">
        <v>41926</v>
      </c>
      <c r="AK1609" s="60"/>
      <c r="AL1609" s="60"/>
      <c r="AM1609" s="62" t="str">
        <f>I1609</f>
        <v>Услуги по вывозу снега с территорий подразделений.</v>
      </c>
      <c r="AN1609" s="60" t="s">
        <v>1547</v>
      </c>
      <c r="AO1609" s="64">
        <v>113</v>
      </c>
      <c r="AP1609" s="38" t="s">
        <v>902</v>
      </c>
      <c r="AQ1609" s="38">
        <v>15000</v>
      </c>
      <c r="AR1609" s="38">
        <v>45</v>
      </c>
      <c r="AS1609" s="16" t="s">
        <v>512</v>
      </c>
      <c r="AT1609" s="52">
        <v>41946</v>
      </c>
      <c r="AU1609" s="52">
        <v>41946</v>
      </c>
      <c r="AV1609" s="52">
        <v>42124</v>
      </c>
      <c r="AW1609" s="38" t="s">
        <v>99</v>
      </c>
      <c r="AX1609" s="60"/>
      <c r="AY1609" s="135"/>
      <c r="AZ1609" s="60"/>
      <c r="BA1609" s="38"/>
      <c r="BB1609" s="38"/>
      <c r="BC1609" s="60"/>
      <c r="BD1609" s="60"/>
      <c r="BE1609" s="65"/>
      <c r="BF1609" s="65"/>
      <c r="BG1609" s="65"/>
      <c r="BH1609" s="65"/>
      <c r="BI1609" s="65"/>
      <c r="BJ1609" s="65" t="s">
        <v>186</v>
      </c>
      <c r="BK1609" s="65"/>
    </row>
    <row r="1610" spans="1:63" s="266" customFormat="1" ht="117" customHeight="1">
      <c r="A1610" s="25">
        <v>8</v>
      </c>
      <c r="B1610" s="253" t="s">
        <v>1548</v>
      </c>
      <c r="C1610" s="38" t="s">
        <v>83</v>
      </c>
      <c r="D1610" s="253" t="s">
        <v>1549</v>
      </c>
      <c r="E1610" s="38" t="s">
        <v>190</v>
      </c>
      <c r="F1610" s="38" t="s">
        <v>1550</v>
      </c>
      <c r="G1610" s="38">
        <v>7493090</v>
      </c>
      <c r="H1610" s="346">
        <v>854180</v>
      </c>
      <c r="I1610" s="347" t="s">
        <v>1551</v>
      </c>
      <c r="J1610" s="16" t="s">
        <v>1552</v>
      </c>
      <c r="K1610" s="16" t="s">
        <v>1552</v>
      </c>
      <c r="L1610" s="16" t="s">
        <v>180</v>
      </c>
      <c r="M1610" s="134" t="s">
        <v>270</v>
      </c>
      <c r="N1610" s="16" t="s">
        <v>5882</v>
      </c>
      <c r="O1610" s="16" t="s">
        <v>960</v>
      </c>
      <c r="P1610" s="28">
        <v>75991.199999999997</v>
      </c>
      <c r="Q1610" s="258">
        <f t="shared" si="213"/>
        <v>89669.615999999995</v>
      </c>
      <c r="R1610" s="23"/>
      <c r="S1610" s="29"/>
      <c r="T1610" s="23"/>
      <c r="U1610" s="23"/>
      <c r="V1610" s="23"/>
      <c r="W1610" s="23"/>
      <c r="X1610" s="23"/>
      <c r="Y1610" s="23">
        <v>75991.203389830509</v>
      </c>
      <c r="Z1610" s="34">
        <f t="shared" si="214"/>
        <v>89669.62</v>
      </c>
      <c r="AA1610" s="36" t="s">
        <v>132</v>
      </c>
      <c r="AB1610" s="36" t="s">
        <v>132</v>
      </c>
      <c r="AC1610" s="28">
        <v>75991.199999999997</v>
      </c>
      <c r="AD1610" s="28">
        <v>89669.615999999995</v>
      </c>
      <c r="AE1610" s="38" t="s">
        <v>169</v>
      </c>
      <c r="AF1610" s="38" t="s">
        <v>83</v>
      </c>
      <c r="AG1610" s="316" t="s">
        <v>83</v>
      </c>
      <c r="AH1610" s="44" t="s">
        <v>545</v>
      </c>
      <c r="AI1610" s="51">
        <v>41772</v>
      </c>
      <c r="AJ1610" s="51">
        <v>41832</v>
      </c>
      <c r="AK1610" s="60"/>
      <c r="AL1610" s="60"/>
      <c r="AM1610" s="62" t="str">
        <f>I1610</f>
        <v>Уборка помещений ; уборка территорий (производственных помещений и территорий МКС)</v>
      </c>
      <c r="AN1610" s="60" t="s">
        <v>1480</v>
      </c>
      <c r="AO1610" s="64">
        <v>55</v>
      </c>
      <c r="AP1610" s="38" t="s">
        <v>737</v>
      </c>
      <c r="AQ1610" s="23">
        <v>239828.7</v>
      </c>
      <c r="AR1610" s="25">
        <v>45</v>
      </c>
      <c r="AS1610" s="255" t="s">
        <v>1553</v>
      </c>
      <c r="AT1610" s="52">
        <v>41852</v>
      </c>
      <c r="AU1610" s="78">
        <v>41852</v>
      </c>
      <c r="AV1610" s="51">
        <v>42247</v>
      </c>
      <c r="AW1610" s="38" t="s">
        <v>99</v>
      </c>
      <c r="AX1610" s="60"/>
      <c r="AY1610" s="135"/>
      <c r="AZ1610" s="60"/>
      <c r="BA1610" s="38"/>
      <c r="BB1610" s="38"/>
      <c r="BC1610" s="60"/>
      <c r="BD1610" s="60"/>
      <c r="BE1610" s="65"/>
      <c r="BF1610" s="65"/>
      <c r="BG1610" s="65"/>
      <c r="BH1610" s="65"/>
      <c r="BI1610" s="65"/>
      <c r="BJ1610" s="65"/>
      <c r="BK1610" s="65"/>
    </row>
    <row r="1611" spans="1:63" s="266" customFormat="1" ht="173.25" customHeight="1">
      <c r="A1611" s="25">
        <v>8</v>
      </c>
      <c r="B1611" s="56" t="s">
        <v>1558</v>
      </c>
      <c r="C1611" s="38" t="s">
        <v>83</v>
      </c>
      <c r="D1611" s="29" t="s">
        <v>1559</v>
      </c>
      <c r="E1611" s="38" t="s">
        <v>250</v>
      </c>
      <c r="F1611" s="38" t="s">
        <v>1560</v>
      </c>
      <c r="G1611" s="38">
        <v>2000000</v>
      </c>
      <c r="H1611" s="310">
        <v>854295</v>
      </c>
      <c r="I1611" s="16" t="s">
        <v>1561</v>
      </c>
      <c r="J1611" s="16" t="s">
        <v>1562</v>
      </c>
      <c r="K1611" s="16" t="s">
        <v>1562</v>
      </c>
      <c r="L1611" s="16" t="s">
        <v>180</v>
      </c>
      <c r="M1611" s="134" t="s">
        <v>1175</v>
      </c>
      <c r="N1611" s="16" t="s">
        <v>825</v>
      </c>
      <c r="O1611" s="16" t="s">
        <v>960</v>
      </c>
      <c r="P1611" s="23">
        <v>34406.379999999997</v>
      </c>
      <c r="Q1611" s="258">
        <f t="shared" si="213"/>
        <v>40599.528399999996</v>
      </c>
      <c r="R1611" s="23"/>
      <c r="S1611" s="29"/>
      <c r="T1611" s="23"/>
      <c r="U1611" s="23"/>
      <c r="V1611" s="23"/>
      <c r="W1611" s="23"/>
      <c r="X1611" s="23"/>
      <c r="Y1611" s="34">
        <v>34406.379999999997</v>
      </c>
      <c r="Z1611" s="34">
        <f t="shared" si="214"/>
        <v>40599.528399999996</v>
      </c>
      <c r="AA1611" s="36" t="s">
        <v>132</v>
      </c>
      <c r="AB1611" s="36" t="s">
        <v>132</v>
      </c>
      <c r="AC1611" s="34">
        <v>34406.379999999997</v>
      </c>
      <c r="AD1611" s="23">
        <f t="shared" ref="AD1611:AD1616" si="216">AC1611*1.18</f>
        <v>40599.528399999996</v>
      </c>
      <c r="AE1611" s="38" t="s">
        <v>169</v>
      </c>
      <c r="AF1611" s="38" t="s">
        <v>83</v>
      </c>
      <c r="AG1611" s="29" t="s">
        <v>83</v>
      </c>
      <c r="AH1611" s="45" t="s">
        <v>90</v>
      </c>
      <c r="AI1611" s="52">
        <v>41625</v>
      </c>
      <c r="AJ1611" s="51">
        <v>41685</v>
      </c>
      <c r="AK1611" s="60"/>
      <c r="AL1611" s="60"/>
      <c r="AM1611" s="134" t="s">
        <v>1561</v>
      </c>
      <c r="AN1611" s="60" t="s">
        <v>1563</v>
      </c>
      <c r="AO1611" s="63">
        <v>796</v>
      </c>
      <c r="AP1611" s="56" t="s">
        <v>419</v>
      </c>
      <c r="AQ1611" s="56">
        <v>900</v>
      </c>
      <c r="AR1611" s="38">
        <v>45</v>
      </c>
      <c r="AS1611" s="16" t="s">
        <v>547</v>
      </c>
      <c r="AT1611" s="52">
        <v>41705</v>
      </c>
      <c r="AU1611" s="52">
        <v>41705</v>
      </c>
      <c r="AV1611" s="51">
        <v>41883</v>
      </c>
      <c r="AW1611" s="38">
        <v>2014</v>
      </c>
      <c r="AX1611" s="60"/>
      <c r="AY1611" s="135"/>
      <c r="AZ1611" s="60"/>
      <c r="BA1611" s="38"/>
      <c r="BB1611" s="38"/>
      <c r="BC1611" s="60"/>
      <c r="BD1611" s="60"/>
      <c r="BE1611" s="65"/>
      <c r="BF1611" s="65"/>
      <c r="BG1611" s="65"/>
      <c r="BH1611" s="308"/>
      <c r="BI1611" s="308"/>
      <c r="BJ1611" s="308"/>
      <c r="BK1611" s="348"/>
    </row>
    <row r="1612" spans="1:63" s="266" customFormat="1" ht="189" customHeight="1">
      <c r="A1612" s="25">
        <v>8</v>
      </c>
      <c r="B1612" s="56" t="s">
        <v>1564</v>
      </c>
      <c r="C1612" s="38" t="s">
        <v>83</v>
      </c>
      <c r="D1612" s="29" t="s">
        <v>1559</v>
      </c>
      <c r="E1612" s="38" t="s">
        <v>250</v>
      </c>
      <c r="F1612" s="38" t="s">
        <v>1560</v>
      </c>
      <c r="G1612" s="38">
        <v>2000000</v>
      </c>
      <c r="H1612" s="310">
        <v>854298</v>
      </c>
      <c r="I1612" s="16" t="s">
        <v>1561</v>
      </c>
      <c r="J1612" s="16" t="s">
        <v>1562</v>
      </c>
      <c r="K1612" s="16" t="s">
        <v>1562</v>
      </c>
      <c r="L1612" s="16" t="s">
        <v>180</v>
      </c>
      <c r="M1612" s="134" t="s">
        <v>1175</v>
      </c>
      <c r="N1612" s="16" t="s">
        <v>825</v>
      </c>
      <c r="O1612" s="16" t="s">
        <v>960</v>
      </c>
      <c r="P1612" s="23">
        <v>61166.9</v>
      </c>
      <c r="Q1612" s="258">
        <f t="shared" si="213"/>
        <v>72176.941999999995</v>
      </c>
      <c r="R1612" s="23"/>
      <c r="S1612" s="29"/>
      <c r="T1612" s="23"/>
      <c r="U1612" s="23"/>
      <c r="V1612" s="23"/>
      <c r="W1612" s="23"/>
      <c r="X1612" s="23"/>
      <c r="Y1612" s="34">
        <v>61166.9</v>
      </c>
      <c r="Z1612" s="34">
        <f t="shared" si="214"/>
        <v>72176.941999999995</v>
      </c>
      <c r="AA1612" s="36" t="s">
        <v>132</v>
      </c>
      <c r="AB1612" s="36" t="s">
        <v>132</v>
      </c>
      <c r="AC1612" s="34">
        <v>61166.9</v>
      </c>
      <c r="AD1612" s="23">
        <f t="shared" si="216"/>
        <v>72176.941999999995</v>
      </c>
      <c r="AE1612" s="38" t="s">
        <v>169</v>
      </c>
      <c r="AF1612" s="38" t="s">
        <v>83</v>
      </c>
      <c r="AG1612" s="29" t="s">
        <v>83</v>
      </c>
      <c r="AH1612" s="45" t="s">
        <v>90</v>
      </c>
      <c r="AI1612" s="51">
        <v>41650</v>
      </c>
      <c r="AJ1612" s="51">
        <v>41710</v>
      </c>
      <c r="AK1612" s="134"/>
      <c r="AL1612" s="60"/>
      <c r="AM1612" s="134" t="s">
        <v>1561</v>
      </c>
      <c r="AN1612" s="60" t="s">
        <v>1563</v>
      </c>
      <c r="AO1612" s="63">
        <v>796</v>
      </c>
      <c r="AP1612" s="56" t="s">
        <v>419</v>
      </c>
      <c r="AQ1612" s="56">
        <v>1600</v>
      </c>
      <c r="AR1612" s="38">
        <v>45</v>
      </c>
      <c r="AS1612" s="16" t="s">
        <v>547</v>
      </c>
      <c r="AT1612" s="52">
        <v>41730</v>
      </c>
      <c r="AU1612" s="52">
        <v>41730</v>
      </c>
      <c r="AV1612" s="764">
        <v>42003</v>
      </c>
      <c r="AW1612" s="38">
        <v>2014</v>
      </c>
      <c r="AX1612" s="60"/>
      <c r="AY1612" s="135"/>
      <c r="AZ1612" s="60"/>
      <c r="BA1612" s="38"/>
      <c r="BB1612" s="38"/>
      <c r="BC1612" s="60"/>
      <c r="BD1612" s="60"/>
      <c r="BE1612" s="65"/>
      <c r="BF1612" s="65"/>
      <c r="BG1612" s="65"/>
      <c r="BH1612" s="308"/>
      <c r="BI1612" s="308"/>
      <c r="BJ1612" s="308"/>
      <c r="BK1612" s="348"/>
    </row>
    <row r="1613" spans="1:63" s="266" customFormat="1" ht="147" customHeight="1">
      <c r="A1613" s="25">
        <v>8</v>
      </c>
      <c r="B1613" s="56" t="s">
        <v>1565</v>
      </c>
      <c r="C1613" s="38" t="s">
        <v>83</v>
      </c>
      <c r="D1613" s="29" t="s">
        <v>1559</v>
      </c>
      <c r="E1613" s="38" t="s">
        <v>250</v>
      </c>
      <c r="F1613" s="38" t="s">
        <v>1560</v>
      </c>
      <c r="G1613" s="38">
        <v>2000000</v>
      </c>
      <c r="H1613" s="310">
        <v>854299</v>
      </c>
      <c r="I1613" s="16" t="s">
        <v>1561</v>
      </c>
      <c r="J1613" s="16" t="s">
        <v>1562</v>
      </c>
      <c r="K1613" s="16" t="s">
        <v>1562</v>
      </c>
      <c r="L1613" s="16" t="s">
        <v>180</v>
      </c>
      <c r="M1613" s="134" t="s">
        <v>1175</v>
      </c>
      <c r="N1613" s="16" t="s">
        <v>825</v>
      </c>
      <c r="O1613" s="16" t="s">
        <v>960</v>
      </c>
      <c r="P1613" s="23">
        <v>95573.28</v>
      </c>
      <c r="Q1613" s="258">
        <f t="shared" si="213"/>
        <v>112776.47039999999</v>
      </c>
      <c r="R1613" s="23"/>
      <c r="S1613" s="29"/>
      <c r="T1613" s="23"/>
      <c r="U1613" s="23"/>
      <c r="V1613" s="23"/>
      <c r="W1613" s="23"/>
      <c r="X1613" s="23"/>
      <c r="Y1613" s="34">
        <v>95573.28</v>
      </c>
      <c r="Z1613" s="34">
        <f t="shared" si="214"/>
        <v>112776.47039999999</v>
      </c>
      <c r="AA1613" s="36" t="s">
        <v>132</v>
      </c>
      <c r="AB1613" s="36" t="s">
        <v>132</v>
      </c>
      <c r="AC1613" s="34">
        <v>95573.28</v>
      </c>
      <c r="AD1613" s="23">
        <f t="shared" si="216"/>
        <v>112776.47039999999</v>
      </c>
      <c r="AE1613" s="38" t="s">
        <v>169</v>
      </c>
      <c r="AF1613" s="38" t="s">
        <v>83</v>
      </c>
      <c r="AG1613" s="29" t="s">
        <v>83</v>
      </c>
      <c r="AH1613" s="45" t="s">
        <v>90</v>
      </c>
      <c r="AI1613" s="51">
        <v>41650</v>
      </c>
      <c r="AJ1613" s="51">
        <v>41710</v>
      </c>
      <c r="AK1613" s="60"/>
      <c r="AL1613" s="60"/>
      <c r="AM1613" s="134" t="s">
        <v>1561</v>
      </c>
      <c r="AN1613" s="60" t="s">
        <v>1563</v>
      </c>
      <c r="AO1613" s="63">
        <v>796</v>
      </c>
      <c r="AP1613" s="56" t="s">
        <v>419</v>
      </c>
      <c r="AQ1613" s="56">
        <v>2500</v>
      </c>
      <c r="AR1613" s="38">
        <v>45</v>
      </c>
      <c r="AS1613" s="16" t="s">
        <v>547</v>
      </c>
      <c r="AT1613" s="52">
        <v>41730</v>
      </c>
      <c r="AU1613" s="52">
        <v>41730</v>
      </c>
      <c r="AV1613" s="764">
        <v>42003</v>
      </c>
      <c r="AW1613" s="38">
        <v>2014</v>
      </c>
      <c r="AX1613" s="60"/>
      <c r="AY1613" s="135"/>
      <c r="AZ1613" s="60"/>
      <c r="BA1613" s="38"/>
      <c r="BB1613" s="38"/>
      <c r="BC1613" s="60"/>
      <c r="BD1613" s="60"/>
      <c r="BE1613" s="65"/>
      <c r="BF1613" s="65"/>
      <c r="BG1613" s="65"/>
      <c r="BH1613" s="308"/>
      <c r="BI1613" s="308"/>
      <c r="BJ1613" s="308"/>
      <c r="BK1613" s="348"/>
    </row>
    <row r="1614" spans="1:63" s="266" customFormat="1" ht="212.25" customHeight="1">
      <c r="A1614" s="25">
        <v>8</v>
      </c>
      <c r="B1614" s="56" t="s">
        <v>1566</v>
      </c>
      <c r="C1614" s="38" t="s">
        <v>83</v>
      </c>
      <c r="D1614" s="29" t="s">
        <v>1559</v>
      </c>
      <c r="E1614" s="38" t="s">
        <v>250</v>
      </c>
      <c r="F1614" s="38" t="s">
        <v>1560</v>
      </c>
      <c r="G1614" s="38">
        <v>2000000</v>
      </c>
      <c r="H1614" s="310">
        <v>854300</v>
      </c>
      <c r="I1614" s="16" t="s">
        <v>1561</v>
      </c>
      <c r="J1614" s="16" t="s">
        <v>1562</v>
      </c>
      <c r="K1614" s="16" t="s">
        <v>1562</v>
      </c>
      <c r="L1614" s="16" t="s">
        <v>180</v>
      </c>
      <c r="M1614" s="134" t="s">
        <v>5867</v>
      </c>
      <c r="N1614" s="16" t="s">
        <v>825</v>
      </c>
      <c r="O1614" s="16" t="s">
        <v>960</v>
      </c>
      <c r="P1614" s="23">
        <v>95573.28</v>
      </c>
      <c r="Q1614" s="258">
        <f t="shared" si="213"/>
        <v>112776.47039999999</v>
      </c>
      <c r="R1614" s="23"/>
      <c r="S1614" s="29"/>
      <c r="T1614" s="23"/>
      <c r="U1614" s="23"/>
      <c r="V1614" s="23"/>
      <c r="W1614" s="23"/>
      <c r="X1614" s="23"/>
      <c r="Y1614" s="34">
        <v>95573.28</v>
      </c>
      <c r="Z1614" s="34">
        <f t="shared" si="214"/>
        <v>112776.47039999999</v>
      </c>
      <c r="AA1614" s="36" t="s">
        <v>132</v>
      </c>
      <c r="AB1614" s="36" t="s">
        <v>132</v>
      </c>
      <c r="AC1614" s="34">
        <v>95573.28</v>
      </c>
      <c r="AD1614" s="23">
        <f t="shared" si="216"/>
        <v>112776.47039999999</v>
      </c>
      <c r="AE1614" s="38" t="s">
        <v>169</v>
      </c>
      <c r="AF1614" s="38" t="s">
        <v>83</v>
      </c>
      <c r="AG1614" s="29" t="s">
        <v>83</v>
      </c>
      <c r="AH1614" s="45" t="s">
        <v>90</v>
      </c>
      <c r="AI1614" s="51">
        <v>41650</v>
      </c>
      <c r="AJ1614" s="51">
        <v>41710</v>
      </c>
      <c r="AK1614" s="60"/>
      <c r="AL1614" s="60"/>
      <c r="AM1614" s="134" t="s">
        <v>1561</v>
      </c>
      <c r="AN1614" s="60" t="s">
        <v>1563</v>
      </c>
      <c r="AO1614" s="63">
        <v>796</v>
      </c>
      <c r="AP1614" s="56" t="s">
        <v>419</v>
      </c>
      <c r="AQ1614" s="68">
        <v>2500</v>
      </c>
      <c r="AR1614" s="38">
        <v>45</v>
      </c>
      <c r="AS1614" s="16" t="s">
        <v>547</v>
      </c>
      <c r="AT1614" s="52">
        <v>41730</v>
      </c>
      <c r="AU1614" s="52">
        <v>41730</v>
      </c>
      <c r="AV1614" s="764">
        <v>42003</v>
      </c>
      <c r="AW1614" s="38">
        <v>2014</v>
      </c>
      <c r="AX1614" s="60"/>
      <c r="AY1614" s="135"/>
      <c r="AZ1614" s="60"/>
      <c r="BA1614" s="38"/>
      <c r="BB1614" s="38"/>
      <c r="BC1614" s="60"/>
      <c r="BD1614" s="60"/>
      <c r="BE1614" s="65"/>
      <c r="BF1614" s="65"/>
      <c r="BG1614" s="65"/>
      <c r="BH1614" s="308"/>
      <c r="BI1614" s="308"/>
      <c r="BJ1614" s="308"/>
      <c r="BK1614" s="348"/>
    </row>
    <row r="1615" spans="1:63" s="266" customFormat="1" ht="245.25" customHeight="1">
      <c r="A1615" s="25">
        <v>8</v>
      </c>
      <c r="B1615" s="56" t="s">
        <v>1567</v>
      </c>
      <c r="C1615" s="38" t="s">
        <v>83</v>
      </c>
      <c r="D1615" s="29" t="s">
        <v>1559</v>
      </c>
      <c r="E1615" s="38" t="s">
        <v>250</v>
      </c>
      <c r="F1615" s="38" t="s">
        <v>1560</v>
      </c>
      <c r="G1615" s="38">
        <v>2000000</v>
      </c>
      <c r="H1615" s="310">
        <v>854301</v>
      </c>
      <c r="I1615" s="16" t="s">
        <v>1561</v>
      </c>
      <c r="J1615" s="16" t="s">
        <v>1562</v>
      </c>
      <c r="K1615" s="16" t="s">
        <v>1562</v>
      </c>
      <c r="L1615" s="16" t="s">
        <v>180</v>
      </c>
      <c r="M1615" s="134" t="s">
        <v>5867</v>
      </c>
      <c r="N1615" s="16" t="s">
        <v>825</v>
      </c>
      <c r="O1615" s="16" t="s">
        <v>960</v>
      </c>
      <c r="P1615" s="23">
        <v>95573.28</v>
      </c>
      <c r="Q1615" s="258">
        <f t="shared" si="213"/>
        <v>112776.47039999999</v>
      </c>
      <c r="R1615" s="23"/>
      <c r="S1615" s="29"/>
      <c r="T1615" s="23"/>
      <c r="U1615" s="23"/>
      <c r="V1615" s="23"/>
      <c r="W1615" s="23"/>
      <c r="X1615" s="23"/>
      <c r="Y1615" s="34">
        <v>95573.28</v>
      </c>
      <c r="Z1615" s="34">
        <f t="shared" si="214"/>
        <v>112776.47039999999</v>
      </c>
      <c r="AA1615" s="36" t="s">
        <v>132</v>
      </c>
      <c r="AB1615" s="36" t="s">
        <v>132</v>
      </c>
      <c r="AC1615" s="34">
        <v>95573.28</v>
      </c>
      <c r="AD1615" s="23">
        <f t="shared" si="216"/>
        <v>112776.47039999999</v>
      </c>
      <c r="AE1615" s="38" t="s">
        <v>169</v>
      </c>
      <c r="AF1615" s="38" t="s">
        <v>83</v>
      </c>
      <c r="AG1615" s="29" t="s">
        <v>83</v>
      </c>
      <c r="AH1615" s="45" t="s">
        <v>90</v>
      </c>
      <c r="AI1615" s="51">
        <v>41650</v>
      </c>
      <c r="AJ1615" s="51">
        <v>41710</v>
      </c>
      <c r="AK1615" s="60"/>
      <c r="AL1615" s="60"/>
      <c r="AM1615" s="134" t="s">
        <v>1561</v>
      </c>
      <c r="AN1615" s="60" t="s">
        <v>1563</v>
      </c>
      <c r="AO1615" s="63">
        <v>796</v>
      </c>
      <c r="AP1615" s="56" t="s">
        <v>419</v>
      </c>
      <c r="AQ1615" s="56">
        <v>2500</v>
      </c>
      <c r="AR1615" s="38">
        <v>45</v>
      </c>
      <c r="AS1615" s="16" t="s">
        <v>547</v>
      </c>
      <c r="AT1615" s="52">
        <v>41730</v>
      </c>
      <c r="AU1615" s="52">
        <v>41730</v>
      </c>
      <c r="AV1615" s="764">
        <v>42003</v>
      </c>
      <c r="AW1615" s="38">
        <v>2014</v>
      </c>
      <c r="AX1615" s="60"/>
      <c r="AY1615" s="135"/>
      <c r="AZ1615" s="60"/>
      <c r="BA1615" s="38"/>
      <c r="BB1615" s="38"/>
      <c r="BC1615" s="60"/>
      <c r="BD1615" s="60"/>
      <c r="BE1615" s="65"/>
      <c r="BF1615" s="65"/>
      <c r="BG1615" s="65"/>
      <c r="BH1615" s="308"/>
      <c r="BI1615" s="308"/>
      <c r="BJ1615" s="308"/>
      <c r="BK1615" s="348"/>
    </row>
    <row r="1616" spans="1:63" s="266" customFormat="1" ht="258.75" customHeight="1">
      <c r="A1616" s="25">
        <v>8</v>
      </c>
      <c r="B1616" s="56" t="s">
        <v>1568</v>
      </c>
      <c r="C1616" s="38" t="s">
        <v>83</v>
      </c>
      <c r="D1616" s="29" t="s">
        <v>1559</v>
      </c>
      <c r="E1616" s="38" t="s">
        <v>250</v>
      </c>
      <c r="F1616" s="38" t="s">
        <v>1560</v>
      </c>
      <c r="G1616" s="38">
        <v>2000000</v>
      </c>
      <c r="H1616" s="310">
        <v>854302</v>
      </c>
      <c r="I1616" s="16" t="s">
        <v>1569</v>
      </c>
      <c r="J1616" s="16" t="s">
        <v>1562</v>
      </c>
      <c r="K1616" s="16" t="s">
        <v>1562</v>
      </c>
      <c r="L1616" s="16" t="s">
        <v>180</v>
      </c>
      <c r="M1616" s="134" t="s">
        <v>5867</v>
      </c>
      <c r="N1616" s="16" t="s">
        <v>825</v>
      </c>
      <c r="O1616" s="16" t="s">
        <v>960</v>
      </c>
      <c r="P1616" s="23">
        <v>10733.15</v>
      </c>
      <c r="Q1616" s="258">
        <f t="shared" si="213"/>
        <v>12665.116999999998</v>
      </c>
      <c r="R1616" s="23"/>
      <c r="S1616" s="29"/>
      <c r="T1616" s="23"/>
      <c r="U1616" s="23"/>
      <c r="V1616" s="23"/>
      <c r="W1616" s="23"/>
      <c r="X1616" s="23"/>
      <c r="Y1616" s="34">
        <v>10733.15</v>
      </c>
      <c r="Z1616" s="34">
        <f t="shared" si="214"/>
        <v>12665.116999999998</v>
      </c>
      <c r="AA1616" s="36" t="s">
        <v>132</v>
      </c>
      <c r="AB1616" s="36" t="s">
        <v>132</v>
      </c>
      <c r="AC1616" s="34">
        <v>10733.15</v>
      </c>
      <c r="AD1616" s="23">
        <f t="shared" si="216"/>
        <v>12665.116999999998</v>
      </c>
      <c r="AE1616" s="38" t="s">
        <v>169</v>
      </c>
      <c r="AF1616" s="38" t="s">
        <v>83</v>
      </c>
      <c r="AG1616" s="29" t="s">
        <v>83</v>
      </c>
      <c r="AH1616" s="45" t="s">
        <v>90</v>
      </c>
      <c r="AI1616" s="51">
        <v>41650</v>
      </c>
      <c r="AJ1616" s="51">
        <v>41710</v>
      </c>
      <c r="AK1616" s="60"/>
      <c r="AL1616" s="60"/>
      <c r="AM1616" s="60" t="s">
        <v>1569</v>
      </c>
      <c r="AN1616" s="60" t="s">
        <v>1563</v>
      </c>
      <c r="AO1616" s="11">
        <v>8</v>
      </c>
      <c r="AP1616" s="56" t="s">
        <v>82</v>
      </c>
      <c r="AQ1616" s="56">
        <v>1000</v>
      </c>
      <c r="AR1616" s="38">
        <v>45</v>
      </c>
      <c r="AS1616" s="16" t="s">
        <v>547</v>
      </c>
      <c r="AT1616" s="52">
        <v>41730</v>
      </c>
      <c r="AU1616" s="52">
        <v>41730</v>
      </c>
      <c r="AV1616" s="764">
        <v>42003</v>
      </c>
      <c r="AW1616" s="38">
        <v>2014</v>
      </c>
      <c r="AX1616" s="60"/>
      <c r="AY1616" s="135"/>
      <c r="AZ1616" s="60"/>
      <c r="BA1616" s="38"/>
      <c r="BB1616" s="38"/>
      <c r="BC1616" s="60"/>
      <c r="BD1616" s="60"/>
      <c r="BE1616" s="65"/>
      <c r="BF1616" s="65"/>
      <c r="BG1616" s="65"/>
      <c r="BH1616" s="308"/>
      <c r="BI1616" s="308"/>
      <c r="BJ1616" s="308"/>
      <c r="BK1616" s="348"/>
    </row>
    <row r="1617" spans="1:63" s="266" customFormat="1" ht="75">
      <c r="A1617" s="25">
        <v>8</v>
      </c>
      <c r="B1617" s="38" t="s">
        <v>1570</v>
      </c>
      <c r="C1617" s="38" t="s">
        <v>83</v>
      </c>
      <c r="D1617" s="38" t="s">
        <v>1571</v>
      </c>
      <c r="E1617" s="38" t="s">
        <v>250</v>
      </c>
      <c r="F1617" s="38" t="s">
        <v>1572</v>
      </c>
      <c r="G1617" s="38">
        <v>3315423</v>
      </c>
      <c r="H1617" s="11">
        <v>854103</v>
      </c>
      <c r="I1617" s="15" t="s">
        <v>1573</v>
      </c>
      <c r="J1617" s="16" t="s">
        <v>286</v>
      </c>
      <c r="K1617" s="16" t="s">
        <v>286</v>
      </c>
      <c r="L1617" s="16" t="s">
        <v>180</v>
      </c>
      <c r="M1617" s="134" t="s">
        <v>690</v>
      </c>
      <c r="N1617" s="16" t="s">
        <v>592</v>
      </c>
      <c r="O1617" s="16" t="s">
        <v>1479</v>
      </c>
      <c r="P1617" s="23">
        <v>28388.400000000001</v>
      </c>
      <c r="Q1617" s="258">
        <f t="shared" si="213"/>
        <v>33498.311999999998</v>
      </c>
      <c r="R1617" s="23"/>
      <c r="S1617" s="29"/>
      <c r="T1617" s="23"/>
      <c r="U1617" s="23"/>
      <c r="V1617" s="23"/>
      <c r="W1617" s="23"/>
      <c r="X1617" s="23"/>
      <c r="Y1617" s="36">
        <v>28388.400000000001</v>
      </c>
      <c r="Z1617" s="34">
        <f t="shared" si="214"/>
        <v>33498.311999999998</v>
      </c>
      <c r="AA1617" s="36" t="s">
        <v>132</v>
      </c>
      <c r="AB1617" s="36" t="s">
        <v>132</v>
      </c>
      <c r="AC1617" s="34">
        <v>28388.400000000001</v>
      </c>
      <c r="AD1617" s="23">
        <v>33498.311999999998</v>
      </c>
      <c r="AE1617" s="38" t="s">
        <v>169</v>
      </c>
      <c r="AF1617" s="38" t="s">
        <v>83</v>
      </c>
      <c r="AG1617" s="46" t="s">
        <v>83</v>
      </c>
      <c r="AH1617" s="45" t="s">
        <v>90</v>
      </c>
      <c r="AI1617" s="51">
        <v>41803</v>
      </c>
      <c r="AJ1617" s="51">
        <v>41863</v>
      </c>
      <c r="AK1617" s="60"/>
      <c r="AL1617" s="60"/>
      <c r="AM1617" s="60" t="str">
        <f t="shared" ref="AM1617:AM1622" si="217">I1617</f>
        <v>Мониторинг и управление оборудованием широкополосной сети передачи данных: МКС</v>
      </c>
      <c r="AN1617" s="60" t="s">
        <v>1375</v>
      </c>
      <c r="AO1617" s="11">
        <v>796</v>
      </c>
      <c r="AP1617" s="38" t="s">
        <v>3034</v>
      </c>
      <c r="AQ1617" s="38">
        <v>2100</v>
      </c>
      <c r="AR1617" s="38">
        <v>45</v>
      </c>
      <c r="AS1617" s="16" t="s">
        <v>512</v>
      </c>
      <c r="AT1617" s="78">
        <v>41883</v>
      </c>
      <c r="AU1617" s="52">
        <v>41883</v>
      </c>
      <c r="AV1617" s="52">
        <v>42277</v>
      </c>
      <c r="AW1617" s="38" t="s">
        <v>99</v>
      </c>
      <c r="AX1617" s="60"/>
      <c r="AY1617" s="135"/>
      <c r="AZ1617" s="60"/>
      <c r="BA1617" s="38"/>
      <c r="BB1617" s="38"/>
      <c r="BC1617" s="60"/>
      <c r="BD1617" s="60"/>
      <c r="BE1617" s="65"/>
      <c r="BF1617" s="65"/>
      <c r="BG1617" s="65"/>
      <c r="BH1617" s="308"/>
      <c r="BI1617" s="308"/>
      <c r="BJ1617" s="308" t="s">
        <v>400</v>
      </c>
      <c r="BK1617" s="349"/>
    </row>
    <row r="1618" spans="1:63" s="266" customFormat="1" ht="71.25" customHeight="1">
      <c r="A1618" s="25">
        <v>8</v>
      </c>
      <c r="B1618" s="38" t="s">
        <v>1578</v>
      </c>
      <c r="C1618" s="38" t="s">
        <v>83</v>
      </c>
      <c r="D1618" s="38" t="s">
        <v>1571</v>
      </c>
      <c r="E1618" s="38" t="s">
        <v>250</v>
      </c>
      <c r="F1618" s="38" t="s">
        <v>1575</v>
      </c>
      <c r="G1618" s="38">
        <v>6420019</v>
      </c>
      <c r="H1618" s="11">
        <v>853968</v>
      </c>
      <c r="I1618" s="15" t="s">
        <v>1579</v>
      </c>
      <c r="J1618" s="16" t="s">
        <v>286</v>
      </c>
      <c r="K1618" s="16" t="s">
        <v>286</v>
      </c>
      <c r="L1618" s="16" t="s">
        <v>180</v>
      </c>
      <c r="M1618" s="134" t="s">
        <v>690</v>
      </c>
      <c r="N1618" s="16" t="s">
        <v>592</v>
      </c>
      <c r="O1618" s="16" t="s">
        <v>1479</v>
      </c>
      <c r="P1618" s="23">
        <v>1078.8</v>
      </c>
      <c r="Q1618" s="258">
        <f t="shared" si="213"/>
        <v>1272.9839999999999</v>
      </c>
      <c r="R1618" s="23"/>
      <c r="S1618" s="29"/>
      <c r="T1618" s="23"/>
      <c r="U1618" s="23"/>
      <c r="V1618" s="23"/>
      <c r="W1618" s="23"/>
      <c r="X1618" s="23"/>
      <c r="Y1618" s="36">
        <v>1078.8</v>
      </c>
      <c r="Z1618" s="34">
        <f t="shared" si="214"/>
        <v>1272.9839999999999</v>
      </c>
      <c r="AA1618" s="36" t="s">
        <v>132</v>
      </c>
      <c r="AB1618" s="36" t="s">
        <v>132</v>
      </c>
      <c r="AC1618" s="34">
        <v>1078.8</v>
      </c>
      <c r="AD1618" s="23">
        <v>1272.9839999999999</v>
      </c>
      <c r="AE1618" s="38" t="s">
        <v>280</v>
      </c>
      <c r="AF1618" s="38" t="s">
        <v>83</v>
      </c>
      <c r="AG1618" s="46" t="s">
        <v>83</v>
      </c>
      <c r="AH1618" s="38" t="s">
        <v>281</v>
      </c>
      <c r="AI1618" s="54">
        <v>41620</v>
      </c>
      <c r="AJ1618" s="51">
        <v>41620</v>
      </c>
      <c r="AK1618" s="60" t="s">
        <v>4012</v>
      </c>
      <c r="AL1618" s="60" t="s">
        <v>4117</v>
      </c>
      <c r="AM1618" s="60" t="str">
        <f t="shared" si="217"/>
        <v>Аренда канала передачи данных : г. Москва ул. Садовническая д.36 - ул. Краснобогатырская д.2</v>
      </c>
      <c r="AN1618" s="60" t="s">
        <v>1375</v>
      </c>
      <c r="AO1618" s="11">
        <v>11</v>
      </c>
      <c r="AP1618" s="38" t="s">
        <v>1581</v>
      </c>
      <c r="AQ1618" s="38">
        <v>1</v>
      </c>
      <c r="AR1618" s="38">
        <v>45</v>
      </c>
      <c r="AS1618" s="16" t="s">
        <v>512</v>
      </c>
      <c r="AT1618" s="52">
        <v>41640</v>
      </c>
      <c r="AU1618" s="52">
        <v>41640</v>
      </c>
      <c r="AV1618" s="52">
        <v>42004</v>
      </c>
      <c r="AW1618" s="38">
        <v>2014</v>
      </c>
      <c r="AX1618" s="60"/>
      <c r="AY1618" s="135"/>
      <c r="AZ1618" s="60"/>
      <c r="BA1618" s="38"/>
      <c r="BB1618" s="38"/>
      <c r="BC1618" s="60"/>
      <c r="BD1618" s="60"/>
      <c r="BE1618" s="65"/>
      <c r="BF1618" s="65"/>
      <c r="BG1618" s="65"/>
      <c r="BH1618" s="308"/>
      <c r="BI1618" s="308"/>
      <c r="BJ1618" s="308" t="s">
        <v>400</v>
      </c>
      <c r="BK1618" s="349"/>
    </row>
    <row r="1619" spans="1:63" s="266" customFormat="1" ht="135" customHeight="1">
      <c r="A1619" s="25">
        <v>8</v>
      </c>
      <c r="B1619" s="38" t="s">
        <v>1582</v>
      </c>
      <c r="C1619" s="38" t="s">
        <v>83</v>
      </c>
      <c r="D1619" s="38" t="s">
        <v>1571</v>
      </c>
      <c r="E1619" s="38" t="s">
        <v>250</v>
      </c>
      <c r="F1619" s="38" t="s">
        <v>1575</v>
      </c>
      <c r="G1619" s="38">
        <v>6420019</v>
      </c>
      <c r="H1619" s="11">
        <v>854282</v>
      </c>
      <c r="I1619" s="15" t="s">
        <v>4141</v>
      </c>
      <c r="J1619" s="16" t="s">
        <v>286</v>
      </c>
      <c r="K1619" s="16" t="s">
        <v>286</v>
      </c>
      <c r="L1619" s="16" t="s">
        <v>180</v>
      </c>
      <c r="M1619" s="134" t="s">
        <v>690</v>
      </c>
      <c r="N1619" s="16" t="s">
        <v>592</v>
      </c>
      <c r="O1619" s="16" t="s">
        <v>1479</v>
      </c>
      <c r="P1619" s="23">
        <v>3280</v>
      </c>
      <c r="Q1619" s="258">
        <f t="shared" si="213"/>
        <v>3870.3999999999996</v>
      </c>
      <c r="R1619" s="23"/>
      <c r="S1619" s="29"/>
      <c r="T1619" s="23"/>
      <c r="U1619" s="23"/>
      <c r="V1619" s="23"/>
      <c r="W1619" s="23"/>
      <c r="X1619" s="23"/>
      <c r="Y1619" s="23">
        <v>3280</v>
      </c>
      <c r="Z1619" s="34">
        <f t="shared" si="214"/>
        <v>3870.3999999999996</v>
      </c>
      <c r="AA1619" s="36" t="s">
        <v>132</v>
      </c>
      <c r="AB1619" s="36" t="s">
        <v>132</v>
      </c>
      <c r="AC1619" s="23">
        <v>3280</v>
      </c>
      <c r="AD1619" s="23">
        <f t="shared" ref="AD1619:AD1631" si="218">AC1619*1.18</f>
        <v>3870.3999999999996</v>
      </c>
      <c r="AE1619" s="38" t="s">
        <v>173</v>
      </c>
      <c r="AF1619" s="38" t="s">
        <v>83</v>
      </c>
      <c r="AG1619" s="46" t="s">
        <v>83</v>
      </c>
      <c r="AH1619" s="38" t="s">
        <v>90</v>
      </c>
      <c r="AI1619" s="315">
        <v>41625</v>
      </c>
      <c r="AJ1619" s="51">
        <v>41670</v>
      </c>
      <c r="AK1619" s="241"/>
      <c r="AL1619" s="60"/>
      <c r="AM1619" s="60" t="str">
        <f t="shared" si="217"/>
        <v>Услуги предоставления каналов связи: г. Москва ул. Садовническая д.36 - ул. Отрадная д.2Б; пер. Васнецова д.4; Бережковская наб. д. 20Е; ул. Б.Тульская д.43.</v>
      </c>
      <c r="AN1619" s="60" t="s">
        <v>1375</v>
      </c>
      <c r="AO1619" s="11">
        <v>11</v>
      </c>
      <c r="AP1619" s="38" t="s">
        <v>1581</v>
      </c>
      <c r="AQ1619" s="38">
        <v>3</v>
      </c>
      <c r="AR1619" s="38">
        <v>45</v>
      </c>
      <c r="AS1619" s="16" t="s">
        <v>512</v>
      </c>
      <c r="AT1619" s="52">
        <v>41690</v>
      </c>
      <c r="AU1619" s="52">
        <v>41690</v>
      </c>
      <c r="AV1619" s="52">
        <v>42004</v>
      </c>
      <c r="AW1619" s="38">
        <v>2014</v>
      </c>
      <c r="AX1619" s="60"/>
      <c r="AY1619" s="135"/>
      <c r="AZ1619" s="60"/>
      <c r="BA1619" s="38"/>
      <c r="BB1619" s="38"/>
      <c r="BC1619" s="60"/>
      <c r="BD1619" s="60"/>
      <c r="BE1619" s="65"/>
      <c r="BF1619" s="65"/>
      <c r="BG1619" s="65"/>
      <c r="BH1619" s="308"/>
      <c r="BI1619" s="308"/>
      <c r="BJ1619" s="308" t="s">
        <v>400</v>
      </c>
      <c r="BK1619" s="349"/>
    </row>
    <row r="1620" spans="1:63" s="266" customFormat="1" ht="122.25" customHeight="1">
      <c r="A1620" s="25">
        <v>8</v>
      </c>
      <c r="B1620" s="38" t="s">
        <v>1583</v>
      </c>
      <c r="C1620" s="38" t="s">
        <v>83</v>
      </c>
      <c r="D1620" s="38" t="s">
        <v>1595</v>
      </c>
      <c r="E1620" s="38" t="s">
        <v>250</v>
      </c>
      <c r="F1620" s="38" t="s">
        <v>1584</v>
      </c>
      <c r="G1620" s="38">
        <v>6420063</v>
      </c>
      <c r="H1620" s="11">
        <v>854275</v>
      </c>
      <c r="I1620" s="16" t="s">
        <v>1585</v>
      </c>
      <c r="J1620" s="16" t="s">
        <v>286</v>
      </c>
      <c r="K1620" s="16" t="s">
        <v>286</v>
      </c>
      <c r="L1620" s="16" t="s">
        <v>180</v>
      </c>
      <c r="M1620" s="134" t="s">
        <v>690</v>
      </c>
      <c r="N1620" s="16" t="s">
        <v>592</v>
      </c>
      <c r="O1620" s="16" t="s">
        <v>1479</v>
      </c>
      <c r="P1620" s="22">
        <v>4285.4520000000002</v>
      </c>
      <c r="Q1620" s="258">
        <f t="shared" si="213"/>
        <v>5056.8333599999996</v>
      </c>
      <c r="R1620" s="23"/>
      <c r="S1620" s="29"/>
      <c r="T1620" s="23"/>
      <c r="U1620" s="23"/>
      <c r="V1620" s="23"/>
      <c r="W1620" s="23"/>
      <c r="X1620" s="23"/>
      <c r="Y1620" s="36">
        <v>4285.5</v>
      </c>
      <c r="Z1620" s="34">
        <f t="shared" si="214"/>
        <v>5056.8899999999994</v>
      </c>
      <c r="AA1620" s="36" t="s">
        <v>132</v>
      </c>
      <c r="AB1620" s="36" t="s">
        <v>132</v>
      </c>
      <c r="AC1620" s="34">
        <v>4285.4520000000002</v>
      </c>
      <c r="AD1620" s="23">
        <f t="shared" si="218"/>
        <v>5056.8333599999996</v>
      </c>
      <c r="AE1620" s="38" t="s">
        <v>280</v>
      </c>
      <c r="AF1620" s="38" t="s">
        <v>83</v>
      </c>
      <c r="AG1620" s="46" t="s">
        <v>83</v>
      </c>
      <c r="AH1620" s="38" t="s">
        <v>281</v>
      </c>
      <c r="AI1620" s="54">
        <v>41620</v>
      </c>
      <c r="AJ1620" s="51">
        <v>41620</v>
      </c>
      <c r="AK1620" s="60" t="s">
        <v>3858</v>
      </c>
      <c r="AL1620" s="60" t="s">
        <v>4119</v>
      </c>
      <c r="AM1620" s="60" t="str">
        <f t="shared" si="217"/>
        <v>Оказание услуг радиотелефонной связи: МКС</v>
      </c>
      <c r="AN1620" s="60" t="s">
        <v>1375</v>
      </c>
      <c r="AO1620" s="11">
        <v>796</v>
      </c>
      <c r="AP1620" s="38" t="s">
        <v>368</v>
      </c>
      <c r="AQ1620" s="38">
        <v>186</v>
      </c>
      <c r="AR1620" s="38">
        <v>45</v>
      </c>
      <c r="AS1620" s="16" t="s">
        <v>512</v>
      </c>
      <c r="AT1620" s="52">
        <v>41640</v>
      </c>
      <c r="AU1620" s="52">
        <v>41640</v>
      </c>
      <c r="AV1620" s="52">
        <v>42004</v>
      </c>
      <c r="AW1620" s="38">
        <v>2014</v>
      </c>
      <c r="AX1620" s="60"/>
      <c r="AY1620" s="135"/>
      <c r="AZ1620" s="60"/>
      <c r="BA1620" s="38"/>
      <c r="BB1620" s="38"/>
      <c r="BC1620" s="60"/>
      <c r="BD1620" s="60"/>
      <c r="BE1620" s="65"/>
      <c r="BF1620" s="65"/>
      <c r="BG1620" s="65"/>
      <c r="BH1620" s="308"/>
      <c r="BI1620" s="308"/>
      <c r="BJ1620" s="308" t="s">
        <v>400</v>
      </c>
      <c r="BK1620" s="349"/>
    </row>
    <row r="1621" spans="1:63" s="266" customFormat="1" ht="141.75" customHeight="1">
      <c r="A1621" s="25">
        <v>8</v>
      </c>
      <c r="B1621" s="38" t="s">
        <v>1594</v>
      </c>
      <c r="C1621" s="38" t="s">
        <v>83</v>
      </c>
      <c r="D1621" s="38" t="s">
        <v>1595</v>
      </c>
      <c r="E1621" s="38" t="s">
        <v>250</v>
      </c>
      <c r="F1621" s="38" t="s">
        <v>1584</v>
      </c>
      <c r="G1621" s="38">
        <v>6420063</v>
      </c>
      <c r="H1621" s="11">
        <v>854261</v>
      </c>
      <c r="I1621" s="16" t="s">
        <v>1596</v>
      </c>
      <c r="J1621" s="16" t="s">
        <v>286</v>
      </c>
      <c r="K1621" s="16" t="s">
        <v>286</v>
      </c>
      <c r="L1621" s="16" t="s">
        <v>180</v>
      </c>
      <c r="M1621" s="134" t="s">
        <v>3280</v>
      </c>
      <c r="N1621" s="18" t="s">
        <v>592</v>
      </c>
      <c r="O1621" s="16" t="s">
        <v>1479</v>
      </c>
      <c r="P1621" s="23">
        <v>9849.76</v>
      </c>
      <c r="Q1621" s="258">
        <f>P1621*1.18</f>
        <v>11622.7168</v>
      </c>
      <c r="R1621" s="23"/>
      <c r="S1621" s="29"/>
      <c r="T1621" s="23"/>
      <c r="U1621" s="23"/>
      <c r="V1621" s="23"/>
      <c r="W1621" s="23"/>
      <c r="X1621" s="23"/>
      <c r="Y1621" s="23">
        <v>9849.76</v>
      </c>
      <c r="Z1621" s="258">
        <f>Y1621*1.18</f>
        <v>11622.7168</v>
      </c>
      <c r="AA1621" s="36" t="s">
        <v>132</v>
      </c>
      <c r="AB1621" s="36" t="s">
        <v>132</v>
      </c>
      <c r="AC1621" s="23">
        <v>9849.76</v>
      </c>
      <c r="AD1621" s="258">
        <f>AC1621*1.18</f>
        <v>11622.7168</v>
      </c>
      <c r="AE1621" s="38" t="s">
        <v>280</v>
      </c>
      <c r="AF1621" s="38" t="s">
        <v>83</v>
      </c>
      <c r="AG1621" s="46" t="s">
        <v>83</v>
      </c>
      <c r="AH1621" s="38" t="s">
        <v>281</v>
      </c>
      <c r="AI1621" s="54">
        <v>41620</v>
      </c>
      <c r="AJ1621" s="51">
        <v>41620</v>
      </c>
      <c r="AK1621" s="60" t="s">
        <v>7256</v>
      </c>
      <c r="AL1621" s="60" t="s">
        <v>4116</v>
      </c>
      <c r="AM1621" s="60" t="str">
        <f t="shared" si="217"/>
        <v>Предоставление услуг сотовой связи: МКС</v>
      </c>
      <c r="AN1621" s="60" t="s">
        <v>1375</v>
      </c>
      <c r="AO1621" s="11">
        <v>796</v>
      </c>
      <c r="AP1621" s="38" t="s">
        <v>368</v>
      </c>
      <c r="AQ1621" s="68">
        <v>2461</v>
      </c>
      <c r="AR1621" s="38">
        <v>45</v>
      </c>
      <c r="AS1621" s="16" t="s">
        <v>512</v>
      </c>
      <c r="AT1621" s="52">
        <v>41640</v>
      </c>
      <c r="AU1621" s="52">
        <v>41640</v>
      </c>
      <c r="AV1621" s="52">
        <v>42004</v>
      </c>
      <c r="AW1621" s="38">
        <v>2014</v>
      </c>
      <c r="AX1621" s="60"/>
      <c r="AY1621" s="135"/>
      <c r="AZ1621" s="60"/>
      <c r="BA1621" s="38"/>
      <c r="BB1621" s="38"/>
      <c r="BC1621" s="60"/>
      <c r="BD1621" s="60"/>
      <c r="BE1621" s="65"/>
      <c r="BF1621" s="65"/>
      <c r="BG1621" s="65"/>
      <c r="BH1621" s="308"/>
      <c r="BI1621" s="308"/>
      <c r="BJ1621" s="308" t="s">
        <v>400</v>
      </c>
      <c r="BK1621" s="349"/>
    </row>
    <row r="1622" spans="1:63" s="266" customFormat="1" ht="67.5" customHeight="1">
      <c r="A1622" s="25">
        <v>8</v>
      </c>
      <c r="B1622" s="38" t="s">
        <v>1597</v>
      </c>
      <c r="C1622" s="38" t="s">
        <v>83</v>
      </c>
      <c r="D1622" s="38" t="s">
        <v>1571</v>
      </c>
      <c r="E1622" s="38" t="s">
        <v>250</v>
      </c>
      <c r="F1622" s="38" t="s">
        <v>1575</v>
      </c>
      <c r="G1622" s="38">
        <v>6420019</v>
      </c>
      <c r="H1622" s="11">
        <v>854293</v>
      </c>
      <c r="I1622" s="16" t="s">
        <v>1598</v>
      </c>
      <c r="J1622" s="16" t="s">
        <v>286</v>
      </c>
      <c r="K1622" s="16" t="s">
        <v>286</v>
      </c>
      <c r="L1622" s="16" t="s">
        <v>180</v>
      </c>
      <c r="M1622" s="134">
        <v>20105010201</v>
      </c>
      <c r="N1622" s="16" t="s">
        <v>592</v>
      </c>
      <c r="O1622" s="16" t="s">
        <v>1479</v>
      </c>
      <c r="P1622" s="23">
        <v>1044.5999999999999</v>
      </c>
      <c r="Q1622" s="258">
        <f t="shared" si="213"/>
        <v>1232.6279999999999</v>
      </c>
      <c r="R1622" s="23"/>
      <c r="S1622" s="29"/>
      <c r="T1622" s="23"/>
      <c r="U1622" s="23"/>
      <c r="V1622" s="23"/>
      <c r="W1622" s="23"/>
      <c r="X1622" s="23"/>
      <c r="Y1622" s="36">
        <v>1044.5999999999999</v>
      </c>
      <c r="Z1622" s="34">
        <f t="shared" si="214"/>
        <v>1232.6279999999999</v>
      </c>
      <c r="AA1622" s="36" t="s">
        <v>132</v>
      </c>
      <c r="AB1622" s="36" t="s">
        <v>132</v>
      </c>
      <c r="AC1622" s="34">
        <v>1044.5999999999999</v>
      </c>
      <c r="AD1622" s="23">
        <f t="shared" si="218"/>
        <v>1232.6279999999999</v>
      </c>
      <c r="AE1622" s="38" t="s">
        <v>280</v>
      </c>
      <c r="AF1622" s="38" t="s">
        <v>83</v>
      </c>
      <c r="AG1622" s="46" t="s">
        <v>83</v>
      </c>
      <c r="AH1622" s="38" t="s">
        <v>281</v>
      </c>
      <c r="AI1622" s="54">
        <v>41620</v>
      </c>
      <c r="AJ1622" s="51">
        <v>41620</v>
      </c>
      <c r="AK1622" s="60" t="s">
        <v>3858</v>
      </c>
      <c r="AL1622" s="60" t="s">
        <v>4110</v>
      </c>
      <c r="AM1622" s="60" t="str">
        <f t="shared" si="217"/>
        <v>Услуги предоставления каналов связи: г. Москва Хорошевское шоссе кв.58Г</v>
      </c>
      <c r="AN1622" s="60" t="s">
        <v>1375</v>
      </c>
      <c r="AO1622" s="11">
        <v>796</v>
      </c>
      <c r="AP1622" s="38" t="s">
        <v>419</v>
      </c>
      <c r="AQ1622" s="38">
        <v>1</v>
      </c>
      <c r="AR1622" s="38">
        <v>45</v>
      </c>
      <c r="AS1622" s="16" t="s">
        <v>512</v>
      </c>
      <c r="AT1622" s="52">
        <v>41640</v>
      </c>
      <c r="AU1622" s="52">
        <v>41640</v>
      </c>
      <c r="AV1622" s="52">
        <v>42004</v>
      </c>
      <c r="AW1622" s="38">
        <v>2014</v>
      </c>
      <c r="AX1622" s="60"/>
      <c r="AY1622" s="135"/>
      <c r="AZ1622" s="60"/>
      <c r="BA1622" s="38"/>
      <c r="BB1622" s="38"/>
      <c r="BC1622" s="60"/>
      <c r="BD1622" s="60"/>
      <c r="BE1622" s="65"/>
      <c r="BF1622" s="65"/>
      <c r="BG1622" s="65"/>
      <c r="BH1622" s="308"/>
      <c r="BI1622" s="308"/>
      <c r="BJ1622" s="308" t="s">
        <v>400</v>
      </c>
      <c r="BK1622" s="349"/>
    </row>
    <row r="1623" spans="1:63" s="266" customFormat="1" ht="67.5" customHeight="1">
      <c r="A1623" s="25">
        <v>8</v>
      </c>
      <c r="B1623" s="38" t="s">
        <v>4571</v>
      </c>
      <c r="C1623" s="38" t="s">
        <v>83</v>
      </c>
      <c r="D1623" s="38" t="s">
        <v>1603</v>
      </c>
      <c r="E1623" s="38" t="s">
        <v>250</v>
      </c>
      <c r="F1623" s="38" t="s">
        <v>1296</v>
      </c>
      <c r="G1623" s="38">
        <v>2919020</v>
      </c>
      <c r="H1623" s="11">
        <v>854117</v>
      </c>
      <c r="I1623" s="16" t="s">
        <v>4570</v>
      </c>
      <c r="J1623" s="16" t="s">
        <v>5957</v>
      </c>
      <c r="K1623" s="16" t="s">
        <v>4724</v>
      </c>
      <c r="L1623" s="16" t="s">
        <v>166</v>
      </c>
      <c r="M1623" s="134" t="s">
        <v>1175</v>
      </c>
      <c r="N1623" s="16" t="s">
        <v>5931</v>
      </c>
      <c r="O1623" s="16" t="s">
        <v>1505</v>
      </c>
      <c r="P1623" s="23">
        <v>8200</v>
      </c>
      <c r="Q1623" s="258">
        <f t="shared" si="213"/>
        <v>9676</v>
      </c>
      <c r="R1623" s="23"/>
      <c r="S1623" s="29"/>
      <c r="T1623" s="23"/>
      <c r="U1623" s="23"/>
      <c r="V1623" s="23"/>
      <c r="W1623" s="23"/>
      <c r="X1623" s="23"/>
      <c r="Y1623" s="23">
        <v>8200</v>
      </c>
      <c r="Z1623" s="34">
        <f t="shared" si="214"/>
        <v>9676</v>
      </c>
      <c r="AA1623" s="36" t="s">
        <v>132</v>
      </c>
      <c r="AB1623" s="36" t="s">
        <v>132</v>
      </c>
      <c r="AC1623" s="23">
        <v>8200</v>
      </c>
      <c r="AD1623" s="34">
        <f t="shared" si="218"/>
        <v>9676</v>
      </c>
      <c r="AE1623" s="38" t="s">
        <v>173</v>
      </c>
      <c r="AF1623" s="38" t="s">
        <v>83</v>
      </c>
      <c r="AG1623" s="46" t="s">
        <v>83</v>
      </c>
      <c r="AH1623" s="96" t="s">
        <v>545</v>
      </c>
      <c r="AI1623" s="54">
        <v>41791</v>
      </c>
      <c r="AJ1623" s="51">
        <v>41821</v>
      </c>
      <c r="AK1623" s="60"/>
      <c r="AL1623" s="60"/>
      <c r="AM1623" s="60" t="s">
        <v>1504</v>
      </c>
      <c r="AN1623" s="60" t="s">
        <v>1375</v>
      </c>
      <c r="AO1623" s="11">
        <v>796</v>
      </c>
      <c r="AP1623" s="38" t="s">
        <v>419</v>
      </c>
      <c r="AQ1623" s="38">
        <v>759</v>
      </c>
      <c r="AR1623" s="38">
        <v>45</v>
      </c>
      <c r="AS1623" s="16" t="s">
        <v>512</v>
      </c>
      <c r="AT1623" s="52">
        <v>41841</v>
      </c>
      <c r="AU1623" s="52">
        <v>41841</v>
      </c>
      <c r="AV1623" s="52">
        <v>42216</v>
      </c>
      <c r="AW1623" s="38" t="s">
        <v>99</v>
      </c>
      <c r="AX1623" s="60"/>
      <c r="AY1623" s="135"/>
      <c r="AZ1623" s="60"/>
      <c r="BA1623" s="38"/>
      <c r="BB1623" s="38"/>
      <c r="BC1623" s="60"/>
      <c r="BD1623" s="60"/>
      <c r="BE1623" s="65"/>
      <c r="BF1623" s="65"/>
      <c r="BG1623" s="65"/>
      <c r="BH1623" s="308"/>
      <c r="BI1623" s="308"/>
      <c r="BJ1623" s="308" t="s">
        <v>186</v>
      </c>
      <c r="BK1623" s="350"/>
    </row>
    <row r="1624" spans="1:63" s="605" customFormat="1" ht="131.25">
      <c r="A1624" s="25">
        <v>8</v>
      </c>
      <c r="B1624" s="100" t="s">
        <v>1192</v>
      </c>
      <c r="C1624" s="100" t="s">
        <v>83</v>
      </c>
      <c r="D1624" s="100" t="s">
        <v>3369</v>
      </c>
      <c r="E1624" s="72" t="s">
        <v>163</v>
      </c>
      <c r="F1624" s="318" t="s">
        <v>1193</v>
      </c>
      <c r="G1624" s="318">
        <v>7422090</v>
      </c>
      <c r="H1624" s="160">
        <v>641302</v>
      </c>
      <c r="I1624" s="99" t="s">
        <v>1194</v>
      </c>
      <c r="J1624" s="99" t="s">
        <v>1195</v>
      </c>
      <c r="K1624" s="99" t="s">
        <v>1195</v>
      </c>
      <c r="L1624" s="16" t="s">
        <v>180</v>
      </c>
      <c r="M1624" s="191" t="s">
        <v>1175</v>
      </c>
      <c r="N1624" s="16" t="s">
        <v>825</v>
      </c>
      <c r="O1624" s="83" t="s">
        <v>3312</v>
      </c>
      <c r="P1624" s="23">
        <v>1772.22</v>
      </c>
      <c r="Q1624" s="85">
        <f t="shared" si="213"/>
        <v>2091.2195999999999</v>
      </c>
      <c r="R1624" s="76"/>
      <c r="S1624" s="84"/>
      <c r="T1624" s="351"/>
      <c r="U1624" s="351"/>
      <c r="V1624" s="351"/>
      <c r="W1624" s="351"/>
      <c r="X1624" s="85"/>
      <c r="Y1624" s="76">
        <v>1772.2249999999999</v>
      </c>
      <c r="Z1624" s="76">
        <f t="shared" si="214"/>
        <v>2091.2254999999996</v>
      </c>
      <c r="AA1624" s="36" t="s">
        <v>132</v>
      </c>
      <c r="AB1624" s="36" t="s">
        <v>132</v>
      </c>
      <c r="AC1624" s="76">
        <v>1772.22</v>
      </c>
      <c r="AD1624" s="23">
        <f t="shared" si="218"/>
        <v>2091.2195999999999</v>
      </c>
      <c r="AE1624" s="38" t="s">
        <v>173</v>
      </c>
      <c r="AF1624" s="38" t="s">
        <v>83</v>
      </c>
      <c r="AG1624" s="96" t="s">
        <v>83</v>
      </c>
      <c r="AH1624" s="96" t="s">
        <v>545</v>
      </c>
      <c r="AI1624" s="97">
        <v>41625</v>
      </c>
      <c r="AJ1624" s="320">
        <v>41670</v>
      </c>
      <c r="AK1624" s="80"/>
      <c r="AL1624" s="80"/>
      <c r="AM1624" s="80" t="s">
        <v>1194</v>
      </c>
      <c r="AN1624" s="100" t="s">
        <v>171</v>
      </c>
      <c r="AO1624" s="81">
        <v>796</v>
      </c>
      <c r="AP1624" s="79" t="s">
        <v>419</v>
      </c>
      <c r="AQ1624" s="77">
        <v>1</v>
      </c>
      <c r="AR1624" s="101" t="s">
        <v>1176</v>
      </c>
      <c r="AS1624" s="83" t="s">
        <v>547</v>
      </c>
      <c r="AT1624" s="78">
        <v>41690</v>
      </c>
      <c r="AU1624" s="52">
        <v>41690</v>
      </c>
      <c r="AV1624" s="52">
        <v>42004</v>
      </c>
      <c r="AW1624" s="79">
        <v>2014</v>
      </c>
      <c r="AX1624" s="80"/>
      <c r="AY1624" s="135"/>
      <c r="AZ1624" s="80"/>
      <c r="BA1624" s="79"/>
      <c r="BB1624" s="79"/>
      <c r="BC1624" s="80"/>
      <c r="BD1624" s="80"/>
      <c r="BE1624" s="239"/>
      <c r="BF1624" s="239"/>
      <c r="BG1624" s="239"/>
      <c r="BH1624" s="239"/>
      <c r="BI1624" s="239"/>
      <c r="BJ1624" s="240"/>
      <c r="BK1624" s="235"/>
    </row>
    <row r="1625" spans="1:63" s="605" customFormat="1" ht="131.25">
      <c r="A1625" s="25">
        <v>8</v>
      </c>
      <c r="B1625" s="100" t="s">
        <v>1211</v>
      </c>
      <c r="C1625" s="100" t="s">
        <v>83</v>
      </c>
      <c r="D1625" s="100" t="s">
        <v>3355</v>
      </c>
      <c r="E1625" s="38" t="s">
        <v>190</v>
      </c>
      <c r="F1625" s="318" t="s">
        <v>267</v>
      </c>
      <c r="G1625" s="318">
        <v>9010030</v>
      </c>
      <c r="H1625" s="160">
        <v>641282</v>
      </c>
      <c r="I1625" s="99" t="s">
        <v>1212</v>
      </c>
      <c r="J1625" s="99" t="s">
        <v>1213</v>
      </c>
      <c r="K1625" s="99" t="s">
        <v>1213</v>
      </c>
      <c r="L1625" s="16" t="s">
        <v>180</v>
      </c>
      <c r="M1625" s="191" t="s">
        <v>270</v>
      </c>
      <c r="N1625" s="83" t="s">
        <v>5882</v>
      </c>
      <c r="O1625" s="83" t="s">
        <v>3312</v>
      </c>
      <c r="P1625" s="76">
        <v>4500</v>
      </c>
      <c r="Q1625" s="76">
        <f t="shared" si="213"/>
        <v>5310</v>
      </c>
      <c r="R1625" s="76"/>
      <c r="S1625" s="84"/>
      <c r="T1625" s="351"/>
      <c r="U1625" s="351"/>
      <c r="V1625" s="351"/>
      <c r="W1625" s="351"/>
      <c r="X1625" s="85"/>
      <c r="Y1625" s="76">
        <v>4500</v>
      </c>
      <c r="Z1625" s="76">
        <f t="shared" si="214"/>
        <v>5310</v>
      </c>
      <c r="AA1625" s="36" t="s">
        <v>132</v>
      </c>
      <c r="AB1625" s="36" t="s">
        <v>132</v>
      </c>
      <c r="AC1625" s="76">
        <v>4500</v>
      </c>
      <c r="AD1625" s="23">
        <f t="shared" si="218"/>
        <v>5310</v>
      </c>
      <c r="AE1625" s="38" t="s">
        <v>169</v>
      </c>
      <c r="AF1625" s="38" t="s">
        <v>83</v>
      </c>
      <c r="AG1625" s="96" t="s">
        <v>83</v>
      </c>
      <c r="AH1625" s="96" t="s">
        <v>90</v>
      </c>
      <c r="AI1625" s="335">
        <v>41625</v>
      </c>
      <c r="AJ1625" s="320">
        <v>41685</v>
      </c>
      <c r="AK1625" s="80"/>
      <c r="AL1625" s="80"/>
      <c r="AM1625" s="80" t="s">
        <v>1212</v>
      </c>
      <c r="AN1625" s="100" t="s">
        <v>171</v>
      </c>
      <c r="AO1625" s="82">
        <v>113</v>
      </c>
      <c r="AP1625" s="79" t="s">
        <v>902</v>
      </c>
      <c r="AQ1625" s="77">
        <v>1</v>
      </c>
      <c r="AR1625" s="101" t="s">
        <v>1176</v>
      </c>
      <c r="AS1625" s="83" t="s">
        <v>547</v>
      </c>
      <c r="AT1625" s="78">
        <v>41705</v>
      </c>
      <c r="AU1625" s="52">
        <v>41705</v>
      </c>
      <c r="AV1625" s="52">
        <v>42004</v>
      </c>
      <c r="AW1625" s="79">
        <v>2014</v>
      </c>
      <c r="AX1625" s="80"/>
      <c r="AY1625" s="135"/>
      <c r="AZ1625" s="80"/>
      <c r="BA1625" s="79"/>
      <c r="BB1625" s="79"/>
      <c r="BC1625" s="80"/>
      <c r="BD1625" s="80"/>
      <c r="BE1625" s="239"/>
      <c r="BF1625" s="239"/>
      <c r="BG1625" s="239"/>
      <c r="BH1625" s="239"/>
      <c r="BI1625" s="239"/>
      <c r="BJ1625" s="240"/>
      <c r="BK1625" s="235"/>
    </row>
    <row r="1626" spans="1:63" s="605" customFormat="1" ht="150">
      <c r="A1626" s="25">
        <v>8</v>
      </c>
      <c r="B1626" s="100" t="s">
        <v>1219</v>
      </c>
      <c r="C1626" s="100" t="s">
        <v>83</v>
      </c>
      <c r="D1626" s="100" t="s">
        <v>3356</v>
      </c>
      <c r="E1626" s="38" t="s">
        <v>190</v>
      </c>
      <c r="F1626" s="318" t="s">
        <v>267</v>
      </c>
      <c r="G1626" s="318">
        <v>7493000</v>
      </c>
      <c r="H1626" s="160">
        <v>641279</v>
      </c>
      <c r="I1626" s="99" t="s">
        <v>1220</v>
      </c>
      <c r="J1626" s="99" t="s">
        <v>736</v>
      </c>
      <c r="K1626" s="99" t="s">
        <v>736</v>
      </c>
      <c r="L1626" s="16" t="s">
        <v>180</v>
      </c>
      <c r="M1626" s="191" t="s">
        <v>270</v>
      </c>
      <c r="N1626" s="83" t="s">
        <v>5881</v>
      </c>
      <c r="O1626" s="83" t="s">
        <v>3312</v>
      </c>
      <c r="P1626" s="76">
        <v>8000</v>
      </c>
      <c r="Q1626" s="85">
        <f t="shared" si="213"/>
        <v>9440</v>
      </c>
      <c r="R1626" s="76"/>
      <c r="S1626" s="84"/>
      <c r="T1626" s="351"/>
      <c r="U1626" s="351"/>
      <c r="V1626" s="351"/>
      <c r="W1626" s="351"/>
      <c r="X1626" s="85"/>
      <c r="Y1626" s="76">
        <v>8000</v>
      </c>
      <c r="Z1626" s="76">
        <f t="shared" si="214"/>
        <v>9440</v>
      </c>
      <c r="AA1626" s="36" t="s">
        <v>132</v>
      </c>
      <c r="AB1626" s="36" t="s">
        <v>132</v>
      </c>
      <c r="AC1626" s="76">
        <v>8000</v>
      </c>
      <c r="AD1626" s="76">
        <f t="shared" si="218"/>
        <v>9440</v>
      </c>
      <c r="AE1626" s="38" t="s">
        <v>173</v>
      </c>
      <c r="AF1626" s="38" t="s">
        <v>83</v>
      </c>
      <c r="AG1626" s="96" t="s">
        <v>83</v>
      </c>
      <c r="AH1626" s="96" t="s">
        <v>90</v>
      </c>
      <c r="AI1626" s="97">
        <v>41772</v>
      </c>
      <c r="AJ1626" s="78">
        <v>41832</v>
      </c>
      <c r="AK1626" s="80"/>
      <c r="AL1626" s="80"/>
      <c r="AM1626" s="80" t="s">
        <v>1220</v>
      </c>
      <c r="AN1626" s="100" t="s">
        <v>171</v>
      </c>
      <c r="AO1626" s="82">
        <v>55</v>
      </c>
      <c r="AP1626" s="79" t="s">
        <v>737</v>
      </c>
      <c r="AQ1626" s="77">
        <v>887</v>
      </c>
      <c r="AR1626" s="101" t="s">
        <v>1176</v>
      </c>
      <c r="AS1626" s="83" t="s">
        <v>547</v>
      </c>
      <c r="AT1626" s="78">
        <v>41852</v>
      </c>
      <c r="AU1626" s="78">
        <v>41852</v>
      </c>
      <c r="AV1626" s="52">
        <v>42004</v>
      </c>
      <c r="AW1626" s="79">
        <v>2014</v>
      </c>
      <c r="AX1626" s="80"/>
      <c r="AY1626" s="135"/>
      <c r="AZ1626" s="80"/>
      <c r="BA1626" s="79"/>
      <c r="BB1626" s="79"/>
      <c r="BC1626" s="80"/>
      <c r="BD1626" s="80"/>
      <c r="BE1626" s="239"/>
      <c r="BF1626" s="239"/>
      <c r="BG1626" s="239"/>
      <c r="BH1626" s="239"/>
      <c r="BI1626" s="239"/>
      <c r="BJ1626" s="240"/>
      <c r="BK1626" s="239"/>
    </row>
    <row r="1627" spans="1:63" s="605" customFormat="1" ht="150">
      <c r="A1627" s="25">
        <v>8</v>
      </c>
      <c r="B1627" s="100" t="s">
        <v>1221</v>
      </c>
      <c r="C1627" s="100" t="s">
        <v>83</v>
      </c>
      <c r="D1627" s="100" t="s">
        <v>3356</v>
      </c>
      <c r="E1627" s="38" t="s">
        <v>190</v>
      </c>
      <c r="F1627" s="318" t="s">
        <v>267</v>
      </c>
      <c r="G1627" s="318">
        <v>7493000</v>
      </c>
      <c r="H1627" s="160">
        <v>641277</v>
      </c>
      <c r="I1627" s="99" t="s">
        <v>1222</v>
      </c>
      <c r="J1627" s="99" t="s">
        <v>1213</v>
      </c>
      <c r="K1627" s="99" t="s">
        <v>1213</v>
      </c>
      <c r="L1627" s="16" t="s">
        <v>180</v>
      </c>
      <c r="M1627" s="191" t="s">
        <v>270</v>
      </c>
      <c r="N1627" s="83" t="s">
        <v>5882</v>
      </c>
      <c r="O1627" s="83" t="s">
        <v>3312</v>
      </c>
      <c r="P1627" s="76">
        <v>50147.993000000002</v>
      </c>
      <c r="Q1627" s="85">
        <f t="shared" si="213"/>
        <v>59174.631739999997</v>
      </c>
      <c r="R1627" s="76"/>
      <c r="S1627" s="84"/>
      <c r="T1627" s="351"/>
      <c r="U1627" s="351"/>
      <c r="V1627" s="351"/>
      <c r="W1627" s="351"/>
      <c r="X1627" s="85"/>
      <c r="Y1627" s="76">
        <v>50147.993000000002</v>
      </c>
      <c r="Z1627" s="76">
        <f t="shared" si="214"/>
        <v>59174.631739999997</v>
      </c>
      <c r="AA1627" s="36" t="s">
        <v>132</v>
      </c>
      <c r="AB1627" s="36" t="s">
        <v>132</v>
      </c>
      <c r="AC1627" s="76">
        <v>50147.993000000002</v>
      </c>
      <c r="AD1627" s="76">
        <f t="shared" si="218"/>
        <v>59174.631739999997</v>
      </c>
      <c r="AE1627" s="38" t="s">
        <v>169</v>
      </c>
      <c r="AF1627" s="38" t="s">
        <v>83</v>
      </c>
      <c r="AG1627" s="96" t="s">
        <v>83</v>
      </c>
      <c r="AH1627" s="96" t="s">
        <v>90</v>
      </c>
      <c r="AI1627" s="97">
        <v>41560</v>
      </c>
      <c r="AJ1627" s="78">
        <v>41620</v>
      </c>
      <c r="AK1627" s="80"/>
      <c r="AL1627" s="80"/>
      <c r="AM1627" s="80" t="s">
        <v>1222</v>
      </c>
      <c r="AN1627" s="100" t="s">
        <v>171</v>
      </c>
      <c r="AO1627" s="82">
        <v>55</v>
      </c>
      <c r="AP1627" s="79" t="s">
        <v>737</v>
      </c>
      <c r="AQ1627" s="77">
        <v>889</v>
      </c>
      <c r="AR1627" s="101" t="s">
        <v>1176</v>
      </c>
      <c r="AS1627" s="83" t="s">
        <v>547</v>
      </c>
      <c r="AT1627" s="78">
        <v>41640</v>
      </c>
      <c r="AU1627" s="51">
        <v>41640</v>
      </c>
      <c r="AV1627" s="52">
        <v>42004</v>
      </c>
      <c r="AW1627" s="79">
        <v>2014</v>
      </c>
      <c r="AX1627" s="80"/>
      <c r="AY1627" s="135"/>
      <c r="AZ1627" s="80"/>
      <c r="BA1627" s="79"/>
      <c r="BB1627" s="79"/>
      <c r="BC1627" s="80"/>
      <c r="BD1627" s="80"/>
      <c r="BE1627" s="239"/>
      <c r="BF1627" s="239"/>
      <c r="BG1627" s="239"/>
      <c r="BH1627" s="239"/>
      <c r="BI1627" s="239"/>
      <c r="BJ1627" s="240"/>
      <c r="BK1627" s="235"/>
    </row>
    <row r="1628" spans="1:63" s="605" customFormat="1" ht="150">
      <c r="A1628" s="25">
        <v>8</v>
      </c>
      <c r="B1628" s="100" t="s">
        <v>1223</v>
      </c>
      <c r="C1628" s="100" t="s">
        <v>83</v>
      </c>
      <c r="D1628" s="100" t="s">
        <v>3356</v>
      </c>
      <c r="E1628" s="38" t="s">
        <v>190</v>
      </c>
      <c r="F1628" s="318" t="s">
        <v>267</v>
      </c>
      <c r="G1628" s="318">
        <v>7493000</v>
      </c>
      <c r="H1628" s="160">
        <v>641278</v>
      </c>
      <c r="I1628" s="99" t="s">
        <v>1224</v>
      </c>
      <c r="J1628" s="99" t="s">
        <v>736</v>
      </c>
      <c r="K1628" s="99" t="s">
        <v>736</v>
      </c>
      <c r="L1628" s="16" t="s">
        <v>180</v>
      </c>
      <c r="M1628" s="191" t="s">
        <v>270</v>
      </c>
      <c r="N1628" s="83" t="s">
        <v>5882</v>
      </c>
      <c r="O1628" s="83" t="s">
        <v>3312</v>
      </c>
      <c r="P1628" s="76">
        <v>68410.528999999995</v>
      </c>
      <c r="Q1628" s="76">
        <f t="shared" si="213"/>
        <v>80724.424219999986</v>
      </c>
      <c r="R1628" s="76"/>
      <c r="S1628" s="84"/>
      <c r="T1628" s="351"/>
      <c r="U1628" s="351"/>
      <c r="V1628" s="351"/>
      <c r="W1628" s="351"/>
      <c r="X1628" s="85"/>
      <c r="Y1628" s="76">
        <v>68410.528999999995</v>
      </c>
      <c r="Z1628" s="76">
        <f t="shared" si="214"/>
        <v>80724.424219999986</v>
      </c>
      <c r="AA1628" s="36" t="s">
        <v>132</v>
      </c>
      <c r="AB1628" s="36" t="s">
        <v>132</v>
      </c>
      <c r="AC1628" s="76">
        <v>68410.528999999995</v>
      </c>
      <c r="AD1628" s="76">
        <f t="shared" si="218"/>
        <v>80724.424219999986</v>
      </c>
      <c r="AE1628" s="38" t="s">
        <v>169</v>
      </c>
      <c r="AF1628" s="38" t="s">
        <v>83</v>
      </c>
      <c r="AG1628" s="96" t="s">
        <v>83</v>
      </c>
      <c r="AH1628" s="96" t="s">
        <v>90</v>
      </c>
      <c r="AI1628" s="335">
        <v>41625</v>
      </c>
      <c r="AJ1628" s="320">
        <v>41685</v>
      </c>
      <c r="AK1628" s="80"/>
      <c r="AL1628" s="80"/>
      <c r="AM1628" s="80" t="s">
        <v>1224</v>
      </c>
      <c r="AN1628" s="100" t="s">
        <v>171</v>
      </c>
      <c r="AO1628" s="82">
        <v>55</v>
      </c>
      <c r="AP1628" s="79" t="s">
        <v>737</v>
      </c>
      <c r="AQ1628" s="77">
        <v>1511</v>
      </c>
      <c r="AR1628" s="101" t="s">
        <v>1176</v>
      </c>
      <c r="AS1628" s="83" t="s">
        <v>547</v>
      </c>
      <c r="AT1628" s="78">
        <v>41705</v>
      </c>
      <c r="AU1628" s="52">
        <v>41705</v>
      </c>
      <c r="AV1628" s="52">
        <v>42004</v>
      </c>
      <c r="AW1628" s="79">
        <v>2014</v>
      </c>
      <c r="AX1628" s="80"/>
      <c r="AY1628" s="135"/>
      <c r="AZ1628" s="80"/>
      <c r="BA1628" s="79"/>
      <c r="BB1628" s="79"/>
      <c r="BC1628" s="80"/>
      <c r="BD1628" s="80"/>
      <c r="BE1628" s="239"/>
      <c r="BF1628" s="239"/>
      <c r="BG1628" s="239"/>
      <c r="BH1628" s="239"/>
      <c r="BI1628" s="239"/>
      <c r="BJ1628" s="240"/>
      <c r="BK1628" s="235"/>
    </row>
    <row r="1629" spans="1:63" s="605" customFormat="1" ht="112.5">
      <c r="A1629" s="25">
        <v>8</v>
      </c>
      <c r="B1629" s="100" t="s">
        <v>1227</v>
      </c>
      <c r="C1629" s="100" t="s">
        <v>83</v>
      </c>
      <c r="D1629" s="100" t="s">
        <v>3359</v>
      </c>
      <c r="E1629" s="38" t="s">
        <v>250</v>
      </c>
      <c r="F1629" s="318" t="s">
        <v>1228</v>
      </c>
      <c r="G1629" s="318">
        <v>9010030</v>
      </c>
      <c r="H1629" s="160">
        <v>641319</v>
      </c>
      <c r="I1629" s="99" t="s">
        <v>1229</v>
      </c>
      <c r="J1629" s="99" t="s">
        <v>253</v>
      </c>
      <c r="K1629" s="99" t="s">
        <v>253</v>
      </c>
      <c r="L1629" s="16" t="s">
        <v>180</v>
      </c>
      <c r="M1629" s="191" t="s">
        <v>686</v>
      </c>
      <c r="N1629" s="83" t="s">
        <v>687</v>
      </c>
      <c r="O1629" s="83" t="s">
        <v>3312</v>
      </c>
      <c r="P1629" s="85">
        <v>3540.72</v>
      </c>
      <c r="Q1629" s="85">
        <f t="shared" si="213"/>
        <v>4178.0495999999994</v>
      </c>
      <c r="R1629" s="76"/>
      <c r="S1629" s="84"/>
      <c r="T1629" s="351"/>
      <c r="U1629" s="351"/>
      <c r="V1629" s="351"/>
      <c r="W1629" s="351"/>
      <c r="X1629" s="85"/>
      <c r="Y1629" s="76">
        <v>3540.72</v>
      </c>
      <c r="Z1629" s="76">
        <f t="shared" si="214"/>
        <v>4178.0495999999994</v>
      </c>
      <c r="AA1629" s="36" t="s">
        <v>132</v>
      </c>
      <c r="AB1629" s="36" t="s">
        <v>132</v>
      </c>
      <c r="AC1629" s="76">
        <v>3540.72</v>
      </c>
      <c r="AD1629" s="76">
        <f t="shared" si="218"/>
        <v>4178.0495999999994</v>
      </c>
      <c r="AE1629" s="38" t="s">
        <v>173</v>
      </c>
      <c r="AF1629" s="38" t="s">
        <v>83</v>
      </c>
      <c r="AG1629" s="96" t="s">
        <v>83</v>
      </c>
      <c r="AH1629" s="96" t="s">
        <v>90</v>
      </c>
      <c r="AI1629" s="335">
        <v>41625</v>
      </c>
      <c r="AJ1629" s="320">
        <v>41670</v>
      </c>
      <c r="AK1629" s="80"/>
      <c r="AL1629" s="80"/>
      <c r="AM1629" s="80" t="s">
        <v>1229</v>
      </c>
      <c r="AN1629" s="100" t="s">
        <v>171</v>
      </c>
      <c r="AO1629" s="81">
        <v>796</v>
      </c>
      <c r="AP1629" s="79" t="s">
        <v>419</v>
      </c>
      <c r="AQ1629" s="77">
        <v>1</v>
      </c>
      <c r="AR1629" s="101" t="s">
        <v>1176</v>
      </c>
      <c r="AS1629" s="83" t="s">
        <v>547</v>
      </c>
      <c r="AT1629" s="78">
        <v>41690</v>
      </c>
      <c r="AU1629" s="52">
        <v>41690</v>
      </c>
      <c r="AV1629" s="52">
        <v>42004</v>
      </c>
      <c r="AW1629" s="79">
        <v>2014</v>
      </c>
      <c r="AX1629" s="80"/>
      <c r="AY1629" s="135"/>
      <c r="AZ1629" s="80"/>
      <c r="BA1629" s="79"/>
      <c r="BB1629" s="79"/>
      <c r="BC1629" s="80"/>
      <c r="BD1629" s="80"/>
      <c r="BE1629" s="239"/>
      <c r="BF1629" s="239"/>
      <c r="BG1629" s="239"/>
      <c r="BH1629" s="239"/>
      <c r="BI1629" s="239"/>
      <c r="BJ1629" s="240"/>
      <c r="BK1629" s="239"/>
    </row>
    <row r="1630" spans="1:63" s="605" customFormat="1" ht="112.5">
      <c r="A1630" s="25">
        <v>8</v>
      </c>
      <c r="B1630" s="100" t="s">
        <v>1230</v>
      </c>
      <c r="C1630" s="100" t="s">
        <v>83</v>
      </c>
      <c r="D1630" s="100" t="s">
        <v>3359</v>
      </c>
      <c r="E1630" s="38" t="s">
        <v>250</v>
      </c>
      <c r="F1630" s="318" t="s">
        <v>1231</v>
      </c>
      <c r="G1630" s="318">
        <v>9010030</v>
      </c>
      <c r="H1630" s="160">
        <v>641274</v>
      </c>
      <c r="I1630" s="99" t="s">
        <v>1232</v>
      </c>
      <c r="J1630" s="99" t="s">
        <v>253</v>
      </c>
      <c r="K1630" s="99" t="s">
        <v>253</v>
      </c>
      <c r="L1630" s="16" t="s">
        <v>180</v>
      </c>
      <c r="M1630" s="191" t="s">
        <v>686</v>
      </c>
      <c r="N1630" s="83" t="s">
        <v>687</v>
      </c>
      <c r="O1630" s="83" t="s">
        <v>3312</v>
      </c>
      <c r="P1630" s="85">
        <v>1914.11</v>
      </c>
      <c r="Q1630" s="85">
        <f t="shared" si="213"/>
        <v>2258.6497999999997</v>
      </c>
      <c r="R1630" s="76"/>
      <c r="S1630" s="84"/>
      <c r="T1630" s="351"/>
      <c r="U1630" s="351"/>
      <c r="V1630" s="351"/>
      <c r="W1630" s="351"/>
      <c r="X1630" s="85"/>
      <c r="Y1630" s="76">
        <v>1914.11</v>
      </c>
      <c r="Z1630" s="76">
        <f t="shared" si="214"/>
        <v>2258.6497999999997</v>
      </c>
      <c r="AA1630" s="36" t="s">
        <v>132</v>
      </c>
      <c r="AB1630" s="36" t="s">
        <v>132</v>
      </c>
      <c r="AC1630" s="76">
        <v>1914.11</v>
      </c>
      <c r="AD1630" s="76">
        <f t="shared" si="218"/>
        <v>2258.6497999999997</v>
      </c>
      <c r="AE1630" s="38" t="s">
        <v>173</v>
      </c>
      <c r="AF1630" s="38" t="s">
        <v>83</v>
      </c>
      <c r="AG1630" s="96" t="s">
        <v>83</v>
      </c>
      <c r="AH1630" s="96" t="s">
        <v>90</v>
      </c>
      <c r="AI1630" s="335">
        <v>41625</v>
      </c>
      <c r="AJ1630" s="320">
        <v>41670</v>
      </c>
      <c r="AK1630" s="80"/>
      <c r="AL1630" s="80"/>
      <c r="AM1630" s="80" t="s">
        <v>1232</v>
      </c>
      <c r="AN1630" s="100" t="s">
        <v>171</v>
      </c>
      <c r="AO1630" s="81">
        <v>796</v>
      </c>
      <c r="AP1630" s="79" t="s">
        <v>419</v>
      </c>
      <c r="AQ1630" s="77">
        <v>1</v>
      </c>
      <c r="AR1630" s="101" t="s">
        <v>1176</v>
      </c>
      <c r="AS1630" s="83" t="s">
        <v>547</v>
      </c>
      <c r="AT1630" s="78">
        <v>41690</v>
      </c>
      <c r="AU1630" s="52">
        <v>41690</v>
      </c>
      <c r="AV1630" s="52">
        <v>42004</v>
      </c>
      <c r="AW1630" s="79">
        <v>2014</v>
      </c>
      <c r="AX1630" s="80"/>
      <c r="AY1630" s="135"/>
      <c r="AZ1630" s="80"/>
      <c r="BA1630" s="79"/>
      <c r="BB1630" s="79"/>
      <c r="BC1630" s="80"/>
      <c r="BD1630" s="80"/>
      <c r="BE1630" s="239"/>
      <c r="BF1630" s="239"/>
      <c r="BG1630" s="239"/>
      <c r="BH1630" s="239"/>
      <c r="BI1630" s="239"/>
      <c r="BJ1630" s="240"/>
      <c r="BK1630" s="235"/>
    </row>
    <row r="1631" spans="1:63" s="605" customFormat="1" ht="75.75" customHeight="1">
      <c r="A1631" s="25">
        <v>8</v>
      </c>
      <c r="B1631" s="100" t="s">
        <v>1235</v>
      </c>
      <c r="C1631" s="100" t="s">
        <v>83</v>
      </c>
      <c r="D1631" s="100" t="s">
        <v>3364</v>
      </c>
      <c r="E1631" s="38" t="s">
        <v>250</v>
      </c>
      <c r="F1631" s="318" t="s">
        <v>689</v>
      </c>
      <c r="G1631" s="318">
        <v>9430000</v>
      </c>
      <c r="H1631" s="160">
        <v>641315</v>
      </c>
      <c r="I1631" s="99" t="s">
        <v>1236</v>
      </c>
      <c r="J1631" s="99" t="s">
        <v>286</v>
      </c>
      <c r="K1631" s="99" t="s">
        <v>286</v>
      </c>
      <c r="L1631" s="16" t="s">
        <v>180</v>
      </c>
      <c r="M1631" s="191" t="s">
        <v>690</v>
      </c>
      <c r="N1631" s="83" t="s">
        <v>691</v>
      </c>
      <c r="O1631" s="83" t="s">
        <v>3312</v>
      </c>
      <c r="P1631" s="85">
        <v>4240</v>
      </c>
      <c r="Q1631" s="85">
        <f t="shared" si="213"/>
        <v>5003.2</v>
      </c>
      <c r="R1631" s="76"/>
      <c r="S1631" s="84"/>
      <c r="T1631" s="351"/>
      <c r="U1631" s="351"/>
      <c r="V1631" s="351"/>
      <c r="W1631" s="351"/>
      <c r="X1631" s="85"/>
      <c r="Y1631" s="76">
        <v>4240</v>
      </c>
      <c r="Z1631" s="76">
        <f t="shared" si="214"/>
        <v>5003.2</v>
      </c>
      <c r="AA1631" s="36" t="s">
        <v>132</v>
      </c>
      <c r="AB1631" s="36" t="s">
        <v>132</v>
      </c>
      <c r="AC1631" s="76">
        <v>4240</v>
      </c>
      <c r="AD1631" s="76">
        <f t="shared" si="218"/>
        <v>5003.2</v>
      </c>
      <c r="AE1631" s="38" t="s">
        <v>280</v>
      </c>
      <c r="AF1631" s="38" t="s">
        <v>83</v>
      </c>
      <c r="AG1631" s="96" t="s">
        <v>83</v>
      </c>
      <c r="AH1631" s="96" t="s">
        <v>281</v>
      </c>
      <c r="AI1631" s="97">
        <v>41625</v>
      </c>
      <c r="AJ1631" s="97">
        <v>41625</v>
      </c>
      <c r="AK1631" s="80" t="s">
        <v>3858</v>
      </c>
      <c r="AL1631" s="99" t="s">
        <v>4114</v>
      </c>
      <c r="AM1631" s="99" t="s">
        <v>1236</v>
      </c>
      <c r="AN1631" s="100" t="s">
        <v>171</v>
      </c>
      <c r="AO1631" s="81">
        <v>796</v>
      </c>
      <c r="AP1631" s="79" t="s">
        <v>419</v>
      </c>
      <c r="AQ1631" s="77">
        <v>655</v>
      </c>
      <c r="AR1631" s="101" t="s">
        <v>1176</v>
      </c>
      <c r="AS1631" s="83" t="s">
        <v>547</v>
      </c>
      <c r="AT1631" s="78">
        <v>41645</v>
      </c>
      <c r="AU1631" s="52">
        <v>41645</v>
      </c>
      <c r="AV1631" s="52">
        <v>42004</v>
      </c>
      <c r="AW1631" s="79">
        <v>2014</v>
      </c>
      <c r="AX1631" s="80"/>
      <c r="AY1631" s="135"/>
      <c r="AZ1631" s="80"/>
      <c r="BA1631" s="79"/>
      <c r="BB1631" s="79"/>
      <c r="BC1631" s="80"/>
      <c r="BD1631" s="80"/>
      <c r="BE1631" s="239"/>
      <c r="BF1631" s="239"/>
      <c r="BG1631" s="239"/>
      <c r="BH1631" s="239"/>
      <c r="BI1631" s="239"/>
      <c r="BJ1631" s="240"/>
      <c r="BK1631" s="238"/>
    </row>
    <row r="1632" spans="1:63" s="605" customFormat="1" ht="131.25">
      <c r="A1632" s="25">
        <v>8</v>
      </c>
      <c r="B1632" s="100" t="s">
        <v>1250</v>
      </c>
      <c r="C1632" s="100" t="s">
        <v>83</v>
      </c>
      <c r="D1632" s="100" t="s">
        <v>3355</v>
      </c>
      <c r="E1632" s="38" t="s">
        <v>250</v>
      </c>
      <c r="F1632" s="318" t="s">
        <v>1251</v>
      </c>
      <c r="G1632" s="318">
        <v>9010030</v>
      </c>
      <c r="H1632" s="160">
        <v>641285</v>
      </c>
      <c r="I1632" s="99" t="s">
        <v>1252</v>
      </c>
      <c r="J1632" s="99" t="s">
        <v>1209</v>
      </c>
      <c r="K1632" s="99" t="s">
        <v>1209</v>
      </c>
      <c r="L1632" s="16" t="s">
        <v>180</v>
      </c>
      <c r="M1632" s="191" t="s">
        <v>675</v>
      </c>
      <c r="N1632" s="461" t="s">
        <v>676</v>
      </c>
      <c r="O1632" s="83" t="s">
        <v>3312</v>
      </c>
      <c r="P1632" s="76">
        <v>1717</v>
      </c>
      <c r="Q1632" s="76">
        <f t="shared" si="213"/>
        <v>2026.06</v>
      </c>
      <c r="R1632" s="76"/>
      <c r="S1632" s="84"/>
      <c r="T1632" s="351"/>
      <c r="U1632" s="351"/>
      <c r="V1632" s="351"/>
      <c r="W1632" s="351"/>
      <c r="X1632" s="85"/>
      <c r="Y1632" s="76">
        <v>1717</v>
      </c>
      <c r="Z1632" s="76">
        <f t="shared" si="214"/>
        <v>2026.06</v>
      </c>
      <c r="AA1632" s="36" t="s">
        <v>132</v>
      </c>
      <c r="AB1632" s="36" t="s">
        <v>132</v>
      </c>
      <c r="AC1632" s="76">
        <v>1717</v>
      </c>
      <c r="AD1632" s="76">
        <f>AC1632*1.18</f>
        <v>2026.06</v>
      </c>
      <c r="AE1632" s="38" t="s">
        <v>173</v>
      </c>
      <c r="AF1632" s="38" t="s">
        <v>83</v>
      </c>
      <c r="AG1632" s="96" t="s">
        <v>83</v>
      </c>
      <c r="AH1632" s="96" t="s">
        <v>90</v>
      </c>
      <c r="AI1632" s="335">
        <v>41625</v>
      </c>
      <c r="AJ1632" s="97">
        <v>41670</v>
      </c>
      <c r="AK1632" s="80"/>
      <c r="AL1632" s="80"/>
      <c r="AM1632" s="80" t="s">
        <v>1252</v>
      </c>
      <c r="AN1632" s="100" t="s">
        <v>171</v>
      </c>
      <c r="AO1632" s="81">
        <v>796</v>
      </c>
      <c r="AP1632" s="79" t="s">
        <v>419</v>
      </c>
      <c r="AQ1632" s="77">
        <v>1</v>
      </c>
      <c r="AR1632" s="101" t="s">
        <v>1176</v>
      </c>
      <c r="AS1632" s="83" t="s">
        <v>547</v>
      </c>
      <c r="AT1632" s="78">
        <v>41690</v>
      </c>
      <c r="AU1632" s="52">
        <v>41690</v>
      </c>
      <c r="AV1632" s="52">
        <v>42004</v>
      </c>
      <c r="AW1632" s="79">
        <v>2014</v>
      </c>
      <c r="AX1632" s="80"/>
      <c r="AY1632" s="135"/>
      <c r="AZ1632" s="80"/>
      <c r="BA1632" s="79"/>
      <c r="BB1632" s="79"/>
      <c r="BC1632" s="80"/>
      <c r="BD1632" s="80"/>
      <c r="BE1632" s="239"/>
      <c r="BF1632" s="239"/>
      <c r="BG1632" s="239"/>
      <c r="BH1632" s="239"/>
      <c r="BI1632" s="239"/>
      <c r="BJ1632" s="240"/>
      <c r="BK1632" s="235"/>
    </row>
    <row r="1633" spans="1:63" s="605" customFormat="1" ht="81" customHeight="1">
      <c r="A1633" s="25">
        <v>8</v>
      </c>
      <c r="B1633" s="100" t="s">
        <v>1260</v>
      </c>
      <c r="C1633" s="100" t="s">
        <v>83</v>
      </c>
      <c r="D1633" s="100" t="s">
        <v>3364</v>
      </c>
      <c r="E1633" s="38" t="s">
        <v>250</v>
      </c>
      <c r="F1633" s="318" t="s">
        <v>689</v>
      </c>
      <c r="G1633" s="318">
        <v>9430000</v>
      </c>
      <c r="H1633" s="160">
        <v>641316</v>
      </c>
      <c r="I1633" s="99" t="s">
        <v>1261</v>
      </c>
      <c r="J1633" s="99" t="s">
        <v>286</v>
      </c>
      <c r="K1633" s="99" t="s">
        <v>286</v>
      </c>
      <c r="L1633" s="16" t="s">
        <v>180</v>
      </c>
      <c r="M1633" s="191" t="s">
        <v>690</v>
      </c>
      <c r="N1633" s="83" t="s">
        <v>691</v>
      </c>
      <c r="O1633" s="83" t="s">
        <v>3312</v>
      </c>
      <c r="P1633" s="85">
        <v>610.20000000000005</v>
      </c>
      <c r="Q1633" s="85">
        <f t="shared" si="213"/>
        <v>720.03600000000006</v>
      </c>
      <c r="R1633" s="76"/>
      <c r="S1633" s="84"/>
      <c r="T1633" s="351"/>
      <c r="U1633" s="351"/>
      <c r="V1633" s="351"/>
      <c r="W1633" s="351"/>
      <c r="X1633" s="85"/>
      <c r="Y1633" s="76">
        <v>610.20000000000005</v>
      </c>
      <c r="Z1633" s="76">
        <f t="shared" si="214"/>
        <v>720.03600000000006</v>
      </c>
      <c r="AA1633" s="36" t="s">
        <v>132</v>
      </c>
      <c r="AB1633" s="36" t="s">
        <v>132</v>
      </c>
      <c r="AC1633" s="76">
        <v>610.20000000000005</v>
      </c>
      <c r="AD1633" s="76">
        <f>Q1633</f>
        <v>720.03600000000006</v>
      </c>
      <c r="AE1633" s="38" t="s">
        <v>280</v>
      </c>
      <c r="AF1633" s="38" t="s">
        <v>83</v>
      </c>
      <c r="AG1633" s="96" t="s">
        <v>83</v>
      </c>
      <c r="AH1633" s="96" t="s">
        <v>281</v>
      </c>
      <c r="AI1633" s="97">
        <v>41625</v>
      </c>
      <c r="AJ1633" s="97">
        <v>41625</v>
      </c>
      <c r="AK1633" s="80" t="s">
        <v>3858</v>
      </c>
      <c r="AL1633" s="99" t="s">
        <v>4114</v>
      </c>
      <c r="AM1633" s="80" t="s">
        <v>1261</v>
      </c>
      <c r="AN1633" s="100" t="s">
        <v>171</v>
      </c>
      <c r="AO1633" s="81">
        <v>796</v>
      </c>
      <c r="AP1633" s="79" t="s">
        <v>419</v>
      </c>
      <c r="AQ1633" s="77">
        <v>1</v>
      </c>
      <c r="AR1633" s="101" t="s">
        <v>1176</v>
      </c>
      <c r="AS1633" s="83" t="s">
        <v>547</v>
      </c>
      <c r="AT1633" s="78">
        <v>41645</v>
      </c>
      <c r="AU1633" s="52">
        <v>41645</v>
      </c>
      <c r="AV1633" s="52">
        <v>42004</v>
      </c>
      <c r="AW1633" s="79">
        <v>2014</v>
      </c>
      <c r="AX1633" s="80"/>
      <c r="AY1633" s="135"/>
      <c r="AZ1633" s="80"/>
      <c r="BA1633" s="79"/>
      <c r="BB1633" s="79"/>
      <c r="BC1633" s="80"/>
      <c r="BD1633" s="80"/>
      <c r="BE1633" s="239"/>
      <c r="BF1633" s="239"/>
      <c r="BG1633" s="239"/>
      <c r="BH1633" s="239"/>
      <c r="BI1633" s="239"/>
      <c r="BJ1633" s="240"/>
      <c r="BK1633" s="238"/>
    </row>
    <row r="1634" spans="1:63" s="605" customFormat="1" ht="72" customHeight="1">
      <c r="A1634" s="25">
        <v>8</v>
      </c>
      <c r="B1634" s="100" t="s">
        <v>1264</v>
      </c>
      <c r="C1634" s="100" t="s">
        <v>83</v>
      </c>
      <c r="D1634" s="100" t="s">
        <v>3364</v>
      </c>
      <c r="E1634" s="38" t="s">
        <v>250</v>
      </c>
      <c r="F1634" s="318" t="s">
        <v>689</v>
      </c>
      <c r="G1634" s="318">
        <v>9430000</v>
      </c>
      <c r="H1634" s="160">
        <v>641321</v>
      </c>
      <c r="I1634" s="99" t="s">
        <v>1265</v>
      </c>
      <c r="J1634" s="99" t="s">
        <v>286</v>
      </c>
      <c r="K1634" s="99" t="s">
        <v>286</v>
      </c>
      <c r="L1634" s="16" t="s">
        <v>180</v>
      </c>
      <c r="M1634" s="191" t="s">
        <v>1346</v>
      </c>
      <c r="N1634" s="83" t="s">
        <v>849</v>
      </c>
      <c r="O1634" s="83" t="s">
        <v>3312</v>
      </c>
      <c r="P1634" s="85">
        <v>631</v>
      </c>
      <c r="Q1634" s="85">
        <f t="shared" si="213"/>
        <v>744.57999999999993</v>
      </c>
      <c r="R1634" s="76"/>
      <c r="S1634" s="84"/>
      <c r="T1634" s="351"/>
      <c r="U1634" s="351"/>
      <c r="V1634" s="351"/>
      <c r="W1634" s="351"/>
      <c r="X1634" s="85"/>
      <c r="Y1634" s="76">
        <v>631</v>
      </c>
      <c r="Z1634" s="76">
        <f t="shared" si="214"/>
        <v>744.57999999999993</v>
      </c>
      <c r="AA1634" s="36" t="s">
        <v>132</v>
      </c>
      <c r="AB1634" s="36" t="s">
        <v>132</v>
      </c>
      <c r="AC1634" s="76">
        <v>631</v>
      </c>
      <c r="AD1634" s="76">
        <f>Q1634</f>
        <v>744.57999999999993</v>
      </c>
      <c r="AE1634" s="38" t="s">
        <v>280</v>
      </c>
      <c r="AF1634" s="38" t="s">
        <v>83</v>
      </c>
      <c r="AG1634" s="96" t="s">
        <v>83</v>
      </c>
      <c r="AH1634" s="96" t="s">
        <v>281</v>
      </c>
      <c r="AI1634" s="97">
        <v>41625</v>
      </c>
      <c r="AJ1634" s="97">
        <v>41625</v>
      </c>
      <c r="AK1634" s="80" t="s">
        <v>3858</v>
      </c>
      <c r="AL1634" s="80" t="s">
        <v>3308</v>
      </c>
      <c r="AM1634" s="80" t="s">
        <v>1265</v>
      </c>
      <c r="AN1634" s="100" t="s">
        <v>171</v>
      </c>
      <c r="AO1634" s="81">
        <v>796</v>
      </c>
      <c r="AP1634" s="79" t="s">
        <v>419</v>
      </c>
      <c r="AQ1634" s="77">
        <v>1</v>
      </c>
      <c r="AR1634" s="101" t="s">
        <v>1176</v>
      </c>
      <c r="AS1634" s="83" t="s">
        <v>547</v>
      </c>
      <c r="AT1634" s="78">
        <v>41645</v>
      </c>
      <c r="AU1634" s="52">
        <v>41645</v>
      </c>
      <c r="AV1634" s="52">
        <v>42004</v>
      </c>
      <c r="AW1634" s="79">
        <v>2014</v>
      </c>
      <c r="AX1634" s="80"/>
      <c r="AY1634" s="135"/>
      <c r="AZ1634" s="80"/>
      <c r="BA1634" s="79"/>
      <c r="BB1634" s="79"/>
      <c r="BC1634" s="80"/>
      <c r="BD1634" s="80"/>
      <c r="BE1634" s="239"/>
      <c r="BF1634" s="239"/>
      <c r="BG1634" s="239"/>
      <c r="BH1634" s="239"/>
      <c r="BI1634" s="239"/>
      <c r="BJ1634" s="240"/>
      <c r="BK1634" s="238"/>
    </row>
    <row r="1635" spans="1:63" s="605" customFormat="1" ht="93.75">
      <c r="A1635" s="25">
        <v>8</v>
      </c>
      <c r="B1635" s="100" t="s">
        <v>1339</v>
      </c>
      <c r="C1635" s="100" t="s">
        <v>83</v>
      </c>
      <c r="D1635" s="100" t="s">
        <v>3365</v>
      </c>
      <c r="E1635" s="72" t="s">
        <v>274</v>
      </c>
      <c r="F1635" s="318" t="s">
        <v>1340</v>
      </c>
      <c r="G1635" s="318" t="s">
        <v>834</v>
      </c>
      <c r="H1635" s="160">
        <v>641379</v>
      </c>
      <c r="I1635" s="99" t="s">
        <v>1341</v>
      </c>
      <c r="J1635" s="99" t="s">
        <v>838</v>
      </c>
      <c r="K1635" s="99" t="s">
        <v>838</v>
      </c>
      <c r="L1635" s="16" t="s">
        <v>180</v>
      </c>
      <c r="M1635" s="191" t="s">
        <v>1175</v>
      </c>
      <c r="N1635" s="83" t="s">
        <v>5922</v>
      </c>
      <c r="O1635" s="83" t="s">
        <v>3312</v>
      </c>
      <c r="P1635" s="423">
        <v>1271.1865</v>
      </c>
      <c r="Q1635" s="76">
        <f t="shared" si="213"/>
        <v>1500.0000700000001</v>
      </c>
      <c r="R1635" s="76"/>
      <c r="S1635" s="84"/>
      <c r="T1635" s="110"/>
      <c r="U1635" s="110"/>
      <c r="V1635" s="110"/>
      <c r="W1635" s="110"/>
      <c r="X1635" s="85"/>
      <c r="Y1635" s="423">
        <v>1271.1865</v>
      </c>
      <c r="Z1635" s="76">
        <f t="shared" si="214"/>
        <v>1500.0000700000001</v>
      </c>
      <c r="AA1635" s="36" t="s">
        <v>132</v>
      </c>
      <c r="AB1635" s="36" t="s">
        <v>132</v>
      </c>
      <c r="AC1635" s="76">
        <v>1271.1865</v>
      </c>
      <c r="AD1635" s="76">
        <f t="shared" ref="AD1635:AD1641" si="219">AC1635*1.18</f>
        <v>1500.0000700000001</v>
      </c>
      <c r="AE1635" s="38" t="s">
        <v>173</v>
      </c>
      <c r="AF1635" s="38" t="s">
        <v>83</v>
      </c>
      <c r="AG1635" s="96" t="s">
        <v>83</v>
      </c>
      <c r="AH1635" s="96" t="s">
        <v>90</v>
      </c>
      <c r="AI1635" s="97">
        <v>41625</v>
      </c>
      <c r="AJ1635" s="97">
        <v>41670</v>
      </c>
      <c r="AK1635" s="80"/>
      <c r="AL1635" s="80"/>
      <c r="AM1635" s="80" t="s">
        <v>1341</v>
      </c>
      <c r="AN1635" s="100" t="s">
        <v>171</v>
      </c>
      <c r="AO1635" s="81">
        <v>796</v>
      </c>
      <c r="AP1635" s="79" t="s">
        <v>419</v>
      </c>
      <c r="AQ1635" s="77">
        <v>1</v>
      </c>
      <c r="AR1635" s="101" t="s">
        <v>1176</v>
      </c>
      <c r="AS1635" s="83" t="s">
        <v>547</v>
      </c>
      <c r="AT1635" s="78">
        <v>41690</v>
      </c>
      <c r="AU1635" s="78">
        <v>41690</v>
      </c>
      <c r="AV1635" s="78">
        <v>42036</v>
      </c>
      <c r="AW1635" s="79" t="s">
        <v>99</v>
      </c>
      <c r="AX1635" s="80"/>
      <c r="AY1635" s="135"/>
      <c r="AZ1635" s="80"/>
      <c r="BA1635" s="79"/>
      <c r="BB1635" s="79"/>
      <c r="BC1635" s="80"/>
      <c r="BD1635" s="80"/>
      <c r="BE1635" s="239"/>
      <c r="BF1635" s="239"/>
      <c r="BG1635" s="239"/>
      <c r="BH1635" s="239"/>
      <c r="BI1635" s="239"/>
      <c r="BJ1635" s="240"/>
      <c r="BK1635" s="239"/>
    </row>
    <row r="1636" spans="1:63" s="605" customFormat="1" ht="93.75">
      <c r="A1636" s="25">
        <v>8</v>
      </c>
      <c r="B1636" s="100" t="s">
        <v>1342</v>
      </c>
      <c r="C1636" s="100" t="s">
        <v>83</v>
      </c>
      <c r="D1636" s="100" t="s">
        <v>3365</v>
      </c>
      <c r="E1636" s="72" t="s">
        <v>274</v>
      </c>
      <c r="F1636" s="318" t="s">
        <v>1340</v>
      </c>
      <c r="G1636" s="318" t="s">
        <v>834</v>
      </c>
      <c r="H1636" s="160">
        <v>641378</v>
      </c>
      <c r="I1636" s="99" t="s">
        <v>1343</v>
      </c>
      <c r="J1636" s="99" t="s">
        <v>838</v>
      </c>
      <c r="K1636" s="99" t="s">
        <v>838</v>
      </c>
      <c r="L1636" s="16" t="s">
        <v>180</v>
      </c>
      <c r="M1636" s="191" t="s">
        <v>1175</v>
      </c>
      <c r="N1636" s="83" t="s">
        <v>5922</v>
      </c>
      <c r="O1636" s="83" t="s">
        <v>3312</v>
      </c>
      <c r="P1636" s="423">
        <v>1271.1865</v>
      </c>
      <c r="Q1636" s="76">
        <f t="shared" si="213"/>
        <v>1500.0000700000001</v>
      </c>
      <c r="R1636" s="76"/>
      <c r="S1636" s="84"/>
      <c r="T1636" s="110"/>
      <c r="U1636" s="110"/>
      <c r="V1636" s="110"/>
      <c r="W1636" s="110"/>
      <c r="X1636" s="85"/>
      <c r="Y1636" s="423">
        <v>1271.1865</v>
      </c>
      <c r="Z1636" s="76">
        <f t="shared" si="214"/>
        <v>1500.0000700000001</v>
      </c>
      <c r="AA1636" s="36" t="s">
        <v>132</v>
      </c>
      <c r="AB1636" s="36" t="s">
        <v>132</v>
      </c>
      <c r="AC1636" s="76">
        <v>1271.1865</v>
      </c>
      <c r="AD1636" s="76">
        <f t="shared" si="219"/>
        <v>1500.0000700000001</v>
      </c>
      <c r="AE1636" s="38" t="s">
        <v>173</v>
      </c>
      <c r="AF1636" s="38" t="s">
        <v>83</v>
      </c>
      <c r="AG1636" s="96" t="s">
        <v>83</v>
      </c>
      <c r="AH1636" s="96" t="s">
        <v>90</v>
      </c>
      <c r="AI1636" s="97">
        <v>41625</v>
      </c>
      <c r="AJ1636" s="97">
        <v>41670</v>
      </c>
      <c r="AK1636" s="80"/>
      <c r="AL1636" s="80"/>
      <c r="AM1636" s="80" t="s">
        <v>1343</v>
      </c>
      <c r="AN1636" s="100" t="s">
        <v>171</v>
      </c>
      <c r="AO1636" s="81">
        <v>796</v>
      </c>
      <c r="AP1636" s="79" t="s">
        <v>419</v>
      </c>
      <c r="AQ1636" s="77">
        <v>1</v>
      </c>
      <c r="AR1636" s="101" t="s">
        <v>1176</v>
      </c>
      <c r="AS1636" s="83" t="s">
        <v>547</v>
      </c>
      <c r="AT1636" s="78">
        <v>41690</v>
      </c>
      <c r="AU1636" s="78">
        <v>41690</v>
      </c>
      <c r="AV1636" s="78">
        <v>42036</v>
      </c>
      <c r="AW1636" s="79" t="s">
        <v>99</v>
      </c>
      <c r="AX1636" s="80"/>
      <c r="AY1636" s="135"/>
      <c r="AZ1636" s="80"/>
      <c r="BA1636" s="79"/>
      <c r="BB1636" s="79"/>
      <c r="BC1636" s="80"/>
      <c r="BD1636" s="80"/>
      <c r="BE1636" s="239"/>
      <c r="BF1636" s="239"/>
      <c r="BG1636" s="239"/>
      <c r="BH1636" s="239"/>
      <c r="BI1636" s="239"/>
      <c r="BJ1636" s="240"/>
      <c r="BK1636" s="239"/>
    </row>
    <row r="1637" spans="1:63" s="268" customFormat="1" ht="75">
      <c r="A1637" s="25">
        <v>8</v>
      </c>
      <c r="B1637" s="38" t="s">
        <v>846</v>
      </c>
      <c r="C1637" s="38" t="s">
        <v>83</v>
      </c>
      <c r="D1637" s="38" t="s">
        <v>847</v>
      </c>
      <c r="E1637" s="38" t="s">
        <v>250</v>
      </c>
      <c r="F1637" s="38" t="s">
        <v>187</v>
      </c>
      <c r="G1637" s="38">
        <v>7260000</v>
      </c>
      <c r="H1637" s="63">
        <v>38511</v>
      </c>
      <c r="I1637" s="16" t="s">
        <v>848</v>
      </c>
      <c r="J1637" s="16" t="s">
        <v>443</v>
      </c>
      <c r="K1637" s="16" t="s">
        <v>443</v>
      </c>
      <c r="L1637" s="16" t="s">
        <v>180</v>
      </c>
      <c r="M1637" s="134" t="s">
        <v>1346</v>
      </c>
      <c r="N1637" s="16" t="s">
        <v>849</v>
      </c>
      <c r="O1637" s="16" t="s">
        <v>769</v>
      </c>
      <c r="P1637" s="23">
        <v>1700</v>
      </c>
      <c r="Q1637" s="23">
        <f t="shared" si="213"/>
        <v>2006</v>
      </c>
      <c r="R1637" s="23"/>
      <c r="S1637" s="29"/>
      <c r="T1637" s="25"/>
      <c r="U1637" s="25"/>
      <c r="V1637" s="25"/>
      <c r="W1637" s="25"/>
      <c r="X1637" s="25"/>
      <c r="Y1637" s="23">
        <v>1700</v>
      </c>
      <c r="Z1637" s="23">
        <f t="shared" si="214"/>
        <v>2006</v>
      </c>
      <c r="AA1637" s="36" t="s">
        <v>132</v>
      </c>
      <c r="AB1637" s="36" t="s">
        <v>132</v>
      </c>
      <c r="AC1637" s="23">
        <v>1700</v>
      </c>
      <c r="AD1637" s="23">
        <f t="shared" si="219"/>
        <v>2006</v>
      </c>
      <c r="AE1637" s="38" t="s">
        <v>173</v>
      </c>
      <c r="AF1637" s="38" t="s">
        <v>83</v>
      </c>
      <c r="AG1637" s="38" t="s">
        <v>83</v>
      </c>
      <c r="AH1637" s="38" t="s">
        <v>90</v>
      </c>
      <c r="AI1637" s="52">
        <v>41548</v>
      </c>
      <c r="AJ1637" s="97">
        <v>41579</v>
      </c>
      <c r="AK1637" s="60"/>
      <c r="AL1637" s="60"/>
      <c r="AM1637" s="60" t="s">
        <v>850</v>
      </c>
      <c r="AN1637" s="60" t="s">
        <v>171</v>
      </c>
      <c r="AO1637" s="11">
        <v>796</v>
      </c>
      <c r="AP1637" s="38" t="s">
        <v>419</v>
      </c>
      <c r="AQ1637" s="38">
        <v>12</v>
      </c>
      <c r="AR1637" s="38">
        <v>45</v>
      </c>
      <c r="AS1637" s="16" t="s">
        <v>547</v>
      </c>
      <c r="AT1637" s="51">
        <v>41640</v>
      </c>
      <c r="AU1637" s="51">
        <v>41640</v>
      </c>
      <c r="AV1637" s="52">
        <v>42004</v>
      </c>
      <c r="AW1637" s="38">
        <v>2014</v>
      </c>
      <c r="AX1637" s="60"/>
      <c r="AY1637" s="135"/>
      <c r="AZ1637" s="60"/>
      <c r="BA1637" s="38"/>
      <c r="BB1637" s="38"/>
      <c r="BC1637" s="60"/>
      <c r="BD1637" s="60"/>
      <c r="BE1637" s="238"/>
      <c r="BF1637" s="238"/>
      <c r="BG1637" s="238"/>
      <c r="BH1637" s="238"/>
      <c r="BI1637" s="238"/>
      <c r="BJ1637" s="304"/>
      <c r="BK1637" s="378"/>
    </row>
    <row r="1638" spans="1:63" s="268" customFormat="1" ht="59.25" customHeight="1">
      <c r="A1638" s="25">
        <v>8</v>
      </c>
      <c r="B1638" s="38" t="s">
        <v>851</v>
      </c>
      <c r="C1638" s="38" t="s">
        <v>83</v>
      </c>
      <c r="D1638" s="38" t="s">
        <v>847</v>
      </c>
      <c r="E1638" s="38" t="s">
        <v>250</v>
      </c>
      <c r="F1638" s="38" t="s">
        <v>187</v>
      </c>
      <c r="G1638" s="38">
        <v>3313050</v>
      </c>
      <c r="H1638" s="63">
        <v>38512</v>
      </c>
      <c r="I1638" s="16" t="s">
        <v>852</v>
      </c>
      <c r="J1638" s="16" t="s">
        <v>853</v>
      </c>
      <c r="K1638" s="16" t="s">
        <v>853</v>
      </c>
      <c r="L1638" s="16" t="s">
        <v>180</v>
      </c>
      <c r="M1638" s="134" t="s">
        <v>1346</v>
      </c>
      <c r="N1638" s="16" t="s">
        <v>849</v>
      </c>
      <c r="O1638" s="16" t="s">
        <v>769</v>
      </c>
      <c r="P1638" s="23">
        <v>4208.7829400000001</v>
      </c>
      <c r="Q1638" s="23">
        <f t="shared" si="213"/>
        <v>4966.3638691999995</v>
      </c>
      <c r="R1638" s="23"/>
      <c r="S1638" s="29"/>
      <c r="T1638" s="25"/>
      <c r="U1638" s="25"/>
      <c r="V1638" s="25"/>
      <c r="W1638" s="25"/>
      <c r="X1638" s="25"/>
      <c r="Y1638" s="23">
        <v>4208.7829400000001</v>
      </c>
      <c r="Z1638" s="23">
        <f t="shared" si="214"/>
        <v>4966.3638691999995</v>
      </c>
      <c r="AA1638" s="36" t="s">
        <v>132</v>
      </c>
      <c r="AB1638" s="36" t="s">
        <v>132</v>
      </c>
      <c r="AC1638" s="23">
        <v>4208.7829400000001</v>
      </c>
      <c r="AD1638" s="23">
        <f t="shared" si="219"/>
        <v>4966.3638691999995</v>
      </c>
      <c r="AE1638" s="38" t="s">
        <v>173</v>
      </c>
      <c r="AF1638" s="38" t="s">
        <v>83</v>
      </c>
      <c r="AG1638" s="38" t="s">
        <v>83</v>
      </c>
      <c r="AH1638" s="38" t="s">
        <v>90</v>
      </c>
      <c r="AI1638" s="52">
        <v>41548</v>
      </c>
      <c r="AJ1638" s="97">
        <v>41579</v>
      </c>
      <c r="AK1638" s="60"/>
      <c r="AL1638" s="60"/>
      <c r="AM1638" s="60" t="s">
        <v>853</v>
      </c>
      <c r="AN1638" s="60" t="s">
        <v>171</v>
      </c>
      <c r="AO1638" s="11">
        <v>796</v>
      </c>
      <c r="AP1638" s="38" t="s">
        <v>419</v>
      </c>
      <c r="AQ1638" s="38">
        <v>1</v>
      </c>
      <c r="AR1638" s="38">
        <v>45</v>
      </c>
      <c r="AS1638" s="16" t="s">
        <v>547</v>
      </c>
      <c r="AT1638" s="52">
        <v>41640</v>
      </c>
      <c r="AU1638" s="51">
        <v>41699</v>
      </c>
      <c r="AV1638" s="52">
        <v>42063</v>
      </c>
      <c r="AW1638" s="38" t="s">
        <v>99</v>
      </c>
      <c r="AX1638" s="60"/>
      <c r="AY1638" s="135"/>
      <c r="AZ1638" s="60"/>
      <c r="BA1638" s="38"/>
      <c r="BB1638" s="38"/>
      <c r="BC1638" s="60"/>
      <c r="BD1638" s="60"/>
      <c r="BE1638" s="238"/>
      <c r="BF1638" s="238"/>
      <c r="BG1638" s="238"/>
      <c r="BH1638" s="238"/>
      <c r="BI1638" s="238"/>
      <c r="BJ1638" s="304"/>
      <c r="BK1638" s="378"/>
    </row>
    <row r="1639" spans="1:63" s="268" customFormat="1" ht="112.5">
      <c r="A1639" s="154">
        <v>8</v>
      </c>
      <c r="B1639" s="127" t="s">
        <v>4286</v>
      </c>
      <c r="C1639" s="127" t="s">
        <v>83</v>
      </c>
      <c r="D1639" s="127" t="s">
        <v>3872</v>
      </c>
      <c r="E1639" s="127" t="s">
        <v>250</v>
      </c>
      <c r="F1639" s="127" t="s">
        <v>4287</v>
      </c>
      <c r="G1639" s="127">
        <v>9010000</v>
      </c>
      <c r="H1639" s="395">
        <v>626444</v>
      </c>
      <c r="I1639" s="137" t="s">
        <v>4288</v>
      </c>
      <c r="J1639" s="137" t="s">
        <v>866</v>
      </c>
      <c r="K1639" s="137" t="s">
        <v>866</v>
      </c>
      <c r="L1639" s="137" t="s">
        <v>180</v>
      </c>
      <c r="M1639" s="370" t="s">
        <v>1210</v>
      </c>
      <c r="N1639" s="226" t="s">
        <v>5901</v>
      </c>
      <c r="O1639" s="137" t="s">
        <v>1490</v>
      </c>
      <c r="P1639" s="152">
        <v>5942.73</v>
      </c>
      <c r="Q1639" s="152">
        <f t="shared" si="213"/>
        <v>7012.4213999999993</v>
      </c>
      <c r="R1639" s="152"/>
      <c r="S1639" s="153"/>
      <c r="T1639" s="154"/>
      <c r="U1639" s="154"/>
      <c r="V1639" s="154"/>
      <c r="W1639" s="154"/>
      <c r="X1639" s="154"/>
      <c r="Y1639" s="152">
        <v>5942.73</v>
      </c>
      <c r="Z1639" s="152">
        <f t="shared" si="214"/>
        <v>7012.4213999999993</v>
      </c>
      <c r="AA1639" s="225" t="s">
        <v>132</v>
      </c>
      <c r="AB1639" s="225" t="s">
        <v>132</v>
      </c>
      <c r="AC1639" s="152">
        <v>5942.73</v>
      </c>
      <c r="AD1639" s="152">
        <f t="shared" si="219"/>
        <v>7012.4213999999993</v>
      </c>
      <c r="AE1639" s="41" t="s">
        <v>173</v>
      </c>
      <c r="AF1639" s="127" t="s">
        <v>83</v>
      </c>
      <c r="AG1639" s="127" t="s">
        <v>83</v>
      </c>
      <c r="AH1639" s="127" t="s">
        <v>90</v>
      </c>
      <c r="AI1639" s="396">
        <v>41560</v>
      </c>
      <c r="AJ1639" s="159">
        <v>41620</v>
      </c>
      <c r="AK1639" s="366"/>
      <c r="AL1639" s="366"/>
      <c r="AM1639" s="366" t="s">
        <v>866</v>
      </c>
      <c r="AN1639" s="366" t="s">
        <v>171</v>
      </c>
      <c r="AO1639" s="133">
        <v>796</v>
      </c>
      <c r="AP1639" s="127" t="s">
        <v>368</v>
      </c>
      <c r="AQ1639" s="127">
        <v>1</v>
      </c>
      <c r="AR1639" s="127">
        <v>45</v>
      </c>
      <c r="AS1639" s="137" t="s">
        <v>547</v>
      </c>
      <c r="AT1639" s="396">
        <v>41640</v>
      </c>
      <c r="AU1639" s="128">
        <v>41640</v>
      </c>
      <c r="AV1639" s="49">
        <v>42004</v>
      </c>
      <c r="AW1639" s="127">
        <v>2014</v>
      </c>
      <c r="AX1639" s="366"/>
      <c r="AY1639" s="129"/>
      <c r="AZ1639" s="366"/>
      <c r="BA1639" s="127"/>
      <c r="BB1639" s="127"/>
      <c r="BC1639" s="366"/>
      <c r="BD1639" s="366"/>
      <c r="BE1639" s="397"/>
      <c r="BF1639" s="397"/>
      <c r="BG1639" s="397"/>
      <c r="BH1639" s="397"/>
      <c r="BI1639" s="397"/>
      <c r="BJ1639" s="367"/>
      <c r="BK1639" s="397"/>
    </row>
    <row r="1640" spans="1:63" s="268" customFormat="1" ht="131.25">
      <c r="A1640" s="69">
        <v>8</v>
      </c>
      <c r="B1640" s="42" t="s">
        <v>864</v>
      </c>
      <c r="C1640" s="42" t="s">
        <v>4289</v>
      </c>
      <c r="D1640" s="42" t="s">
        <v>859</v>
      </c>
      <c r="E1640" s="42" t="s">
        <v>190</v>
      </c>
      <c r="F1640" s="42" t="s">
        <v>865</v>
      </c>
      <c r="G1640" s="42">
        <v>2519137</v>
      </c>
      <c r="H1640" s="143">
        <v>38516</v>
      </c>
      <c r="I1640" s="13" t="s">
        <v>3366</v>
      </c>
      <c r="J1640" s="13" t="s">
        <v>866</v>
      </c>
      <c r="K1640" s="13" t="s">
        <v>866</v>
      </c>
      <c r="L1640" s="13" t="s">
        <v>180</v>
      </c>
      <c r="M1640" s="182" t="s">
        <v>1210</v>
      </c>
      <c r="N1640" s="13" t="s">
        <v>5901</v>
      </c>
      <c r="O1640" s="13" t="s">
        <v>769</v>
      </c>
      <c r="P1640" s="21">
        <v>1041.3323499999999</v>
      </c>
      <c r="Q1640" s="21">
        <f t="shared" si="213"/>
        <v>1228.7721729999998</v>
      </c>
      <c r="R1640" s="21"/>
      <c r="S1640" s="201"/>
      <c r="T1640" s="69"/>
      <c r="U1640" s="69"/>
      <c r="V1640" s="69"/>
      <c r="W1640" s="69"/>
      <c r="X1640" s="69"/>
      <c r="Y1640" s="21">
        <v>1041.3323499999999</v>
      </c>
      <c r="Z1640" s="21">
        <f t="shared" si="214"/>
        <v>1228.7721729999998</v>
      </c>
      <c r="AA1640" s="225" t="s">
        <v>132</v>
      </c>
      <c r="AB1640" s="225" t="s">
        <v>132</v>
      </c>
      <c r="AC1640" s="21">
        <v>1041.3323499999999</v>
      </c>
      <c r="AD1640" s="21">
        <f t="shared" si="219"/>
        <v>1228.7721729999998</v>
      </c>
      <c r="AE1640" s="42" t="s">
        <v>173</v>
      </c>
      <c r="AF1640" s="42" t="s">
        <v>83</v>
      </c>
      <c r="AG1640" s="42" t="s">
        <v>83</v>
      </c>
      <c r="AH1640" s="42" t="s">
        <v>90</v>
      </c>
      <c r="AI1640" s="115">
        <v>41625</v>
      </c>
      <c r="AJ1640" s="159">
        <v>41670</v>
      </c>
      <c r="AK1640" s="57"/>
      <c r="AL1640" s="57"/>
      <c r="AM1640" s="57" t="s">
        <v>866</v>
      </c>
      <c r="AN1640" s="57" t="s">
        <v>171</v>
      </c>
      <c r="AO1640" s="9">
        <v>796</v>
      </c>
      <c r="AP1640" s="42" t="s">
        <v>419</v>
      </c>
      <c r="AQ1640" s="42">
        <v>1</v>
      </c>
      <c r="AR1640" s="42">
        <v>45</v>
      </c>
      <c r="AS1640" s="13" t="s">
        <v>547</v>
      </c>
      <c r="AT1640" s="49">
        <v>41640</v>
      </c>
      <c r="AU1640" s="49">
        <v>41640</v>
      </c>
      <c r="AV1640" s="49">
        <v>42004</v>
      </c>
      <c r="AW1640" s="42">
        <v>2014</v>
      </c>
      <c r="AX1640" s="201" t="s">
        <v>132</v>
      </c>
      <c r="AY1640" s="117"/>
      <c r="AZ1640" s="201" t="s">
        <v>132</v>
      </c>
      <c r="BA1640" s="42" t="s">
        <v>132</v>
      </c>
      <c r="BB1640" s="42" t="s">
        <v>132</v>
      </c>
      <c r="BC1640" s="57"/>
      <c r="BD1640" s="57"/>
      <c r="BE1640" s="371"/>
      <c r="BF1640" s="371"/>
      <c r="BG1640" s="371"/>
      <c r="BH1640" s="371"/>
      <c r="BI1640" s="371"/>
      <c r="BJ1640" s="368"/>
      <c r="BK1640" s="371"/>
    </row>
    <row r="1641" spans="1:63" s="266" customFormat="1" ht="122.25" customHeight="1">
      <c r="A1641" s="69">
        <v>8</v>
      </c>
      <c r="B1641" s="138" t="s">
        <v>1532</v>
      </c>
      <c r="C1641" s="42" t="s">
        <v>4289</v>
      </c>
      <c r="D1641" s="138" t="s">
        <v>1522</v>
      </c>
      <c r="E1641" s="42" t="s">
        <v>250</v>
      </c>
      <c r="F1641" s="42" t="s">
        <v>865</v>
      </c>
      <c r="G1641" s="42">
        <v>9010000</v>
      </c>
      <c r="H1641" s="139">
        <v>853572</v>
      </c>
      <c r="I1641" s="120" t="s">
        <v>1533</v>
      </c>
      <c r="J1641" s="13" t="s">
        <v>866</v>
      </c>
      <c r="K1641" s="13" t="s">
        <v>1534</v>
      </c>
      <c r="L1641" s="13" t="s">
        <v>180</v>
      </c>
      <c r="M1641" s="182" t="s">
        <v>1175</v>
      </c>
      <c r="N1641" s="13" t="s">
        <v>5901</v>
      </c>
      <c r="O1641" s="13" t="s">
        <v>1479</v>
      </c>
      <c r="P1641" s="424">
        <v>1401.2331200000001</v>
      </c>
      <c r="Q1641" s="373">
        <f t="shared" si="213"/>
        <v>1653.4550816000001</v>
      </c>
      <c r="R1641" s="21"/>
      <c r="S1641" s="201"/>
      <c r="T1641" s="21"/>
      <c r="U1641" s="21"/>
      <c r="V1641" s="21"/>
      <c r="W1641" s="21"/>
      <c r="X1641" s="21"/>
      <c r="Y1641" s="424">
        <v>1401.2331200000001</v>
      </c>
      <c r="Z1641" s="373">
        <f t="shared" si="214"/>
        <v>1653.4550816000001</v>
      </c>
      <c r="AA1641" s="225" t="s">
        <v>132</v>
      </c>
      <c r="AB1641" s="225" t="s">
        <v>132</v>
      </c>
      <c r="AC1641" s="21">
        <v>1401.2331200000001</v>
      </c>
      <c r="AD1641" s="21">
        <f t="shared" si="219"/>
        <v>1653.4550816000001</v>
      </c>
      <c r="AE1641" s="42" t="s">
        <v>173</v>
      </c>
      <c r="AF1641" s="42" t="s">
        <v>83</v>
      </c>
      <c r="AG1641" s="140" t="s">
        <v>83</v>
      </c>
      <c r="AH1641" s="118" t="s">
        <v>90</v>
      </c>
      <c r="AI1641" s="141">
        <v>41746</v>
      </c>
      <c r="AJ1641" s="159">
        <v>41791</v>
      </c>
      <c r="AK1641" s="57"/>
      <c r="AL1641" s="57"/>
      <c r="AM1641" s="142" t="str">
        <f>I1641</f>
        <v>Вывоз ТБО и смета с территорий районов и служб</v>
      </c>
      <c r="AN1641" s="57" t="s">
        <v>1535</v>
      </c>
      <c r="AO1641" s="143">
        <v>796</v>
      </c>
      <c r="AP1641" s="42" t="s">
        <v>419</v>
      </c>
      <c r="AQ1641" s="69">
        <v>5500</v>
      </c>
      <c r="AR1641" s="42">
        <v>45</v>
      </c>
      <c r="AS1641" s="13" t="s">
        <v>512</v>
      </c>
      <c r="AT1641" s="49">
        <v>41811</v>
      </c>
      <c r="AU1641" s="49">
        <v>41811</v>
      </c>
      <c r="AV1641" s="50">
        <v>42185</v>
      </c>
      <c r="AW1641" s="42" t="s">
        <v>99</v>
      </c>
      <c r="AX1641" s="201" t="s">
        <v>132</v>
      </c>
      <c r="AY1641" s="117"/>
      <c r="AZ1641" s="201" t="s">
        <v>132</v>
      </c>
      <c r="BA1641" s="42" t="s">
        <v>132</v>
      </c>
      <c r="BB1641" s="42" t="s">
        <v>132</v>
      </c>
      <c r="BC1641" s="57"/>
      <c r="BD1641" s="57"/>
      <c r="BE1641" s="144"/>
      <c r="BF1641" s="144"/>
      <c r="BG1641" s="144"/>
      <c r="BH1641" s="144"/>
      <c r="BI1641" s="144"/>
      <c r="BJ1641" s="144"/>
      <c r="BK1641" s="144"/>
    </row>
    <row r="1642" spans="1:63" s="605" customFormat="1" ht="131.25">
      <c r="A1642" s="69">
        <v>8</v>
      </c>
      <c r="B1642" s="185" t="s">
        <v>1214</v>
      </c>
      <c r="C1642" s="42" t="s">
        <v>4289</v>
      </c>
      <c r="D1642" s="185" t="s">
        <v>3355</v>
      </c>
      <c r="E1642" s="42" t="s">
        <v>190</v>
      </c>
      <c r="F1642" s="145" t="s">
        <v>267</v>
      </c>
      <c r="G1642" s="145">
        <v>9010030</v>
      </c>
      <c r="H1642" s="390">
        <v>641280</v>
      </c>
      <c r="I1642" s="391" t="s">
        <v>1215</v>
      </c>
      <c r="J1642" s="391" t="s">
        <v>866</v>
      </c>
      <c r="K1642" s="391" t="s">
        <v>866</v>
      </c>
      <c r="L1642" s="13" t="s">
        <v>180</v>
      </c>
      <c r="M1642" s="189" t="s">
        <v>1210</v>
      </c>
      <c r="N1642" s="146" t="s">
        <v>5937</v>
      </c>
      <c r="O1642" s="146" t="s">
        <v>3312</v>
      </c>
      <c r="P1642" s="104">
        <v>3500.16507</v>
      </c>
      <c r="Q1642" s="104">
        <f t="shared" si="213"/>
        <v>4130.1947825999996</v>
      </c>
      <c r="R1642" s="105"/>
      <c r="S1642" s="200"/>
      <c r="T1642" s="425"/>
      <c r="U1642" s="425"/>
      <c r="V1642" s="425"/>
      <c r="W1642" s="425"/>
      <c r="X1642" s="104"/>
      <c r="Y1642" s="104">
        <v>3500.16507</v>
      </c>
      <c r="Z1642" s="105">
        <f t="shared" si="214"/>
        <v>4130.1947825999996</v>
      </c>
      <c r="AA1642" s="225" t="s">
        <v>132</v>
      </c>
      <c r="AB1642" s="225" t="s">
        <v>132</v>
      </c>
      <c r="AC1642" s="21">
        <v>3500.16507</v>
      </c>
      <c r="AD1642" s="21">
        <f>Q1642</f>
        <v>4130.1947825999996</v>
      </c>
      <c r="AE1642" s="42" t="s">
        <v>173</v>
      </c>
      <c r="AF1642" s="42" t="s">
        <v>83</v>
      </c>
      <c r="AG1642" s="392" t="s">
        <v>83</v>
      </c>
      <c r="AH1642" s="392" t="s">
        <v>90</v>
      </c>
      <c r="AI1642" s="158">
        <v>41625</v>
      </c>
      <c r="AJ1642" s="159">
        <v>41670</v>
      </c>
      <c r="AK1642" s="147"/>
      <c r="AL1642" s="147"/>
      <c r="AM1642" s="147" t="s">
        <v>1215</v>
      </c>
      <c r="AN1642" s="185" t="s">
        <v>171</v>
      </c>
      <c r="AO1642" s="148">
        <v>113</v>
      </c>
      <c r="AP1642" s="149" t="s">
        <v>902</v>
      </c>
      <c r="AQ1642" s="150">
        <v>1</v>
      </c>
      <c r="AR1642" s="151" t="s">
        <v>1176</v>
      </c>
      <c r="AS1642" s="146" t="s">
        <v>547</v>
      </c>
      <c r="AT1642" s="55">
        <v>41690</v>
      </c>
      <c r="AU1642" s="49">
        <v>41690</v>
      </c>
      <c r="AV1642" s="49">
        <v>42004</v>
      </c>
      <c r="AW1642" s="149">
        <v>2014</v>
      </c>
      <c r="AX1642" s="201" t="s">
        <v>132</v>
      </c>
      <c r="AY1642" s="117"/>
      <c r="AZ1642" s="201" t="s">
        <v>132</v>
      </c>
      <c r="BA1642" s="42" t="s">
        <v>132</v>
      </c>
      <c r="BB1642" s="42" t="s">
        <v>132</v>
      </c>
      <c r="BC1642" s="147"/>
      <c r="BD1642" s="147"/>
      <c r="BE1642" s="233"/>
      <c r="BF1642" s="233"/>
      <c r="BG1642" s="233"/>
      <c r="BH1642" s="233"/>
      <c r="BI1642" s="233"/>
      <c r="BJ1642" s="393"/>
      <c r="BK1642" s="234"/>
    </row>
    <row r="1643" spans="1:63" s="268" customFormat="1" ht="150">
      <c r="A1643" s="25">
        <v>8</v>
      </c>
      <c r="B1643" s="38" t="s">
        <v>868</v>
      </c>
      <c r="C1643" s="38" t="s">
        <v>83</v>
      </c>
      <c r="D1643" s="38" t="s">
        <v>859</v>
      </c>
      <c r="E1643" s="38" t="s">
        <v>190</v>
      </c>
      <c r="F1643" s="38" t="s">
        <v>869</v>
      </c>
      <c r="G1643" s="38">
        <v>7493000</v>
      </c>
      <c r="H1643" s="63">
        <v>38517</v>
      </c>
      <c r="I1643" s="16" t="s">
        <v>870</v>
      </c>
      <c r="J1643" s="16" t="s">
        <v>871</v>
      </c>
      <c r="K1643" s="16" t="s">
        <v>871</v>
      </c>
      <c r="L1643" s="16" t="s">
        <v>180</v>
      </c>
      <c r="M1643" s="134" t="s">
        <v>270</v>
      </c>
      <c r="N1643" s="16" t="s">
        <v>5941</v>
      </c>
      <c r="O1643" s="16" t="s">
        <v>769</v>
      </c>
      <c r="P1643" s="23">
        <v>15750</v>
      </c>
      <c r="Q1643" s="23">
        <f t="shared" si="213"/>
        <v>18585</v>
      </c>
      <c r="R1643" s="23"/>
      <c r="S1643" s="29"/>
      <c r="T1643" s="25"/>
      <c r="U1643" s="25"/>
      <c r="V1643" s="25"/>
      <c r="W1643" s="25"/>
      <c r="X1643" s="25"/>
      <c r="Y1643" s="23">
        <v>15750</v>
      </c>
      <c r="Z1643" s="23">
        <f t="shared" si="214"/>
        <v>18585</v>
      </c>
      <c r="AA1643" s="36" t="s">
        <v>132</v>
      </c>
      <c r="AB1643" s="36" t="s">
        <v>132</v>
      </c>
      <c r="AC1643" s="23">
        <v>15750</v>
      </c>
      <c r="AD1643" s="23">
        <f t="shared" ref="AD1643:AD1648" si="220">AC1643*1.18</f>
        <v>18585</v>
      </c>
      <c r="AE1643" s="38" t="s">
        <v>169</v>
      </c>
      <c r="AF1643" s="38" t="s">
        <v>83</v>
      </c>
      <c r="AG1643" s="38" t="s">
        <v>83</v>
      </c>
      <c r="AH1643" s="38" t="s">
        <v>90</v>
      </c>
      <c r="AI1643" s="52">
        <v>41852</v>
      </c>
      <c r="AJ1643" s="97">
        <v>41883</v>
      </c>
      <c r="AK1643" s="60"/>
      <c r="AL1643" s="60"/>
      <c r="AM1643" s="60" t="s">
        <v>872</v>
      </c>
      <c r="AN1643" s="60" t="s">
        <v>171</v>
      </c>
      <c r="AO1643" s="11">
        <v>796</v>
      </c>
      <c r="AP1643" s="38" t="s">
        <v>419</v>
      </c>
      <c r="AQ1643" s="38">
        <v>1</v>
      </c>
      <c r="AR1643" s="38">
        <v>45</v>
      </c>
      <c r="AS1643" s="16" t="s">
        <v>547</v>
      </c>
      <c r="AT1643" s="52">
        <v>41944</v>
      </c>
      <c r="AU1643" s="52">
        <v>41974</v>
      </c>
      <c r="AV1643" s="52">
        <v>42338</v>
      </c>
      <c r="AW1643" s="38" t="s">
        <v>99</v>
      </c>
      <c r="AX1643" s="60"/>
      <c r="AY1643" s="135"/>
      <c r="AZ1643" s="60"/>
      <c r="BA1643" s="38"/>
      <c r="BB1643" s="38"/>
      <c r="BC1643" s="60"/>
      <c r="BD1643" s="60"/>
      <c r="BE1643" s="238"/>
      <c r="BF1643" s="238"/>
      <c r="BG1643" s="238"/>
      <c r="BH1643" s="238"/>
      <c r="BI1643" s="238"/>
      <c r="BJ1643" s="304"/>
      <c r="BK1643" s="238"/>
    </row>
    <row r="1644" spans="1:63" s="268" customFormat="1" ht="131.25">
      <c r="A1644" s="25">
        <v>8</v>
      </c>
      <c r="B1644" s="38" t="s">
        <v>873</v>
      </c>
      <c r="C1644" s="38" t="s">
        <v>83</v>
      </c>
      <c r="D1644" s="38" t="s">
        <v>859</v>
      </c>
      <c r="E1644" s="38" t="s">
        <v>190</v>
      </c>
      <c r="F1644" s="38" t="s">
        <v>869</v>
      </c>
      <c r="G1644" s="38">
        <v>7493000</v>
      </c>
      <c r="H1644" s="63">
        <v>38518</v>
      </c>
      <c r="I1644" s="16" t="s">
        <v>874</v>
      </c>
      <c r="J1644" s="16" t="s">
        <v>871</v>
      </c>
      <c r="K1644" s="16" t="s">
        <v>871</v>
      </c>
      <c r="L1644" s="16" t="s">
        <v>180</v>
      </c>
      <c r="M1644" s="134" t="s">
        <v>270</v>
      </c>
      <c r="N1644" s="16" t="s">
        <v>5941</v>
      </c>
      <c r="O1644" s="16" t="s">
        <v>769</v>
      </c>
      <c r="P1644" s="23">
        <v>16800</v>
      </c>
      <c r="Q1644" s="23">
        <f t="shared" si="213"/>
        <v>19824</v>
      </c>
      <c r="R1644" s="23"/>
      <c r="S1644" s="29"/>
      <c r="T1644" s="25"/>
      <c r="U1644" s="25"/>
      <c r="V1644" s="25"/>
      <c r="W1644" s="25"/>
      <c r="X1644" s="25"/>
      <c r="Y1644" s="23">
        <v>16800</v>
      </c>
      <c r="Z1644" s="23">
        <f t="shared" si="214"/>
        <v>19824</v>
      </c>
      <c r="AA1644" s="36" t="s">
        <v>132</v>
      </c>
      <c r="AB1644" s="36" t="s">
        <v>132</v>
      </c>
      <c r="AC1644" s="23">
        <v>16800</v>
      </c>
      <c r="AD1644" s="23">
        <f t="shared" si="220"/>
        <v>19824</v>
      </c>
      <c r="AE1644" s="38" t="s">
        <v>169</v>
      </c>
      <c r="AF1644" s="38" t="s">
        <v>83</v>
      </c>
      <c r="AG1644" s="38" t="s">
        <v>83</v>
      </c>
      <c r="AH1644" s="38" t="s">
        <v>90</v>
      </c>
      <c r="AI1644" s="52">
        <v>41852</v>
      </c>
      <c r="AJ1644" s="97">
        <v>41883</v>
      </c>
      <c r="AK1644" s="60"/>
      <c r="AL1644" s="60"/>
      <c r="AM1644" s="60" t="s">
        <v>872</v>
      </c>
      <c r="AN1644" s="60" t="s">
        <v>171</v>
      </c>
      <c r="AO1644" s="11">
        <v>796</v>
      </c>
      <c r="AP1644" s="38" t="s">
        <v>419</v>
      </c>
      <c r="AQ1644" s="38">
        <v>1</v>
      </c>
      <c r="AR1644" s="38">
        <v>45</v>
      </c>
      <c r="AS1644" s="16" t="s">
        <v>547</v>
      </c>
      <c r="AT1644" s="52">
        <v>41944</v>
      </c>
      <c r="AU1644" s="52">
        <v>41974</v>
      </c>
      <c r="AV1644" s="52">
        <v>42338</v>
      </c>
      <c r="AW1644" s="38" t="s">
        <v>99</v>
      </c>
      <c r="AX1644" s="60"/>
      <c r="AY1644" s="135"/>
      <c r="AZ1644" s="60"/>
      <c r="BA1644" s="38"/>
      <c r="BB1644" s="38"/>
      <c r="BC1644" s="60"/>
      <c r="BD1644" s="60"/>
      <c r="BE1644" s="238"/>
      <c r="BF1644" s="238"/>
      <c r="BG1644" s="238"/>
      <c r="BH1644" s="238"/>
      <c r="BI1644" s="238"/>
      <c r="BJ1644" s="304"/>
      <c r="BK1644" s="238"/>
    </row>
    <row r="1645" spans="1:63" s="268" customFormat="1" ht="75">
      <c r="A1645" s="25">
        <v>8</v>
      </c>
      <c r="B1645" s="38" t="s">
        <v>875</v>
      </c>
      <c r="C1645" s="38" t="s">
        <v>83</v>
      </c>
      <c r="D1645" s="38" t="s">
        <v>876</v>
      </c>
      <c r="E1645" s="38" t="s">
        <v>250</v>
      </c>
      <c r="F1645" s="38" t="s">
        <v>877</v>
      </c>
      <c r="G1645" s="38">
        <v>4560294</v>
      </c>
      <c r="H1645" s="63">
        <v>38519</v>
      </c>
      <c r="I1645" s="255" t="s">
        <v>878</v>
      </c>
      <c r="J1645" s="16" t="s">
        <v>253</v>
      </c>
      <c r="K1645" s="16" t="s">
        <v>253</v>
      </c>
      <c r="L1645" s="16" t="s">
        <v>180</v>
      </c>
      <c r="M1645" s="134" t="s">
        <v>686</v>
      </c>
      <c r="N1645" s="16" t="s">
        <v>5925</v>
      </c>
      <c r="O1645" s="16" t="s">
        <v>769</v>
      </c>
      <c r="P1645" s="23">
        <v>1489.3245999999999</v>
      </c>
      <c r="Q1645" s="23">
        <f t="shared" si="213"/>
        <v>1757.4030279999997</v>
      </c>
      <c r="R1645" s="23"/>
      <c r="S1645" s="29"/>
      <c r="T1645" s="25"/>
      <c r="U1645" s="25"/>
      <c r="V1645" s="25"/>
      <c r="W1645" s="25"/>
      <c r="X1645" s="25"/>
      <c r="Y1645" s="23">
        <v>1489.3245999999999</v>
      </c>
      <c r="Z1645" s="23">
        <f t="shared" si="214"/>
        <v>1757.4030279999997</v>
      </c>
      <c r="AA1645" s="36" t="s">
        <v>132</v>
      </c>
      <c r="AB1645" s="36" t="s">
        <v>132</v>
      </c>
      <c r="AC1645" s="23">
        <v>1489.3245999999999</v>
      </c>
      <c r="AD1645" s="23">
        <f t="shared" si="220"/>
        <v>1757.4030279999997</v>
      </c>
      <c r="AE1645" s="38" t="s">
        <v>173</v>
      </c>
      <c r="AF1645" s="38" t="s">
        <v>83</v>
      </c>
      <c r="AG1645" s="38" t="s">
        <v>83</v>
      </c>
      <c r="AH1645" s="38" t="s">
        <v>90</v>
      </c>
      <c r="AI1645" s="52">
        <v>41565</v>
      </c>
      <c r="AJ1645" s="97">
        <v>41610</v>
      </c>
      <c r="AK1645" s="60"/>
      <c r="AL1645" s="60"/>
      <c r="AM1645" s="60" t="s">
        <v>879</v>
      </c>
      <c r="AN1645" s="60" t="s">
        <v>171</v>
      </c>
      <c r="AO1645" s="11">
        <v>796</v>
      </c>
      <c r="AP1645" s="38" t="s">
        <v>419</v>
      </c>
      <c r="AQ1645" s="38">
        <v>1</v>
      </c>
      <c r="AR1645" s="38">
        <v>45</v>
      </c>
      <c r="AS1645" s="16" t="s">
        <v>547</v>
      </c>
      <c r="AT1645" s="51">
        <v>41640</v>
      </c>
      <c r="AU1645" s="51">
        <v>41640</v>
      </c>
      <c r="AV1645" s="52">
        <v>42004</v>
      </c>
      <c r="AW1645" s="38">
        <v>2014</v>
      </c>
      <c r="AX1645" s="60"/>
      <c r="AY1645" s="135"/>
      <c r="AZ1645" s="60"/>
      <c r="BA1645" s="38"/>
      <c r="BB1645" s="38"/>
      <c r="BC1645" s="60"/>
      <c r="BD1645" s="60"/>
      <c r="BE1645" s="238"/>
      <c r="BF1645" s="238"/>
      <c r="BG1645" s="238"/>
      <c r="BH1645" s="238"/>
      <c r="BI1645" s="238"/>
      <c r="BJ1645" s="304"/>
      <c r="BK1645" s="238"/>
    </row>
    <row r="1646" spans="1:63" s="287" customFormat="1" ht="93.75">
      <c r="A1646" s="25">
        <v>8</v>
      </c>
      <c r="B1646" s="38" t="s">
        <v>1087</v>
      </c>
      <c r="C1646" s="38" t="s">
        <v>83</v>
      </c>
      <c r="D1646" s="38" t="s">
        <v>1088</v>
      </c>
      <c r="E1646" s="60" t="s">
        <v>750</v>
      </c>
      <c r="F1646" s="38">
        <v>65</v>
      </c>
      <c r="G1646" s="38" t="s">
        <v>1089</v>
      </c>
      <c r="H1646" s="11">
        <v>626027</v>
      </c>
      <c r="I1646" s="16" t="s">
        <v>1090</v>
      </c>
      <c r="J1646" s="16" t="s">
        <v>192</v>
      </c>
      <c r="K1646" s="16" t="s">
        <v>192</v>
      </c>
      <c r="L1646" s="16" t="s">
        <v>180</v>
      </c>
      <c r="M1646" s="134" t="s">
        <v>4730</v>
      </c>
      <c r="N1646" s="16" t="s">
        <v>5898</v>
      </c>
      <c r="O1646" s="16" t="s">
        <v>3886</v>
      </c>
      <c r="P1646" s="23">
        <v>82500</v>
      </c>
      <c r="Q1646" s="23">
        <f t="shared" si="213"/>
        <v>97350</v>
      </c>
      <c r="R1646" s="23"/>
      <c r="S1646" s="29"/>
      <c r="T1646" s="38"/>
      <c r="U1646" s="38"/>
      <c r="V1646" s="38"/>
      <c r="W1646" s="38"/>
      <c r="X1646" s="38"/>
      <c r="Y1646" s="34">
        <v>82500</v>
      </c>
      <c r="Z1646" s="34">
        <f t="shared" si="214"/>
        <v>97350</v>
      </c>
      <c r="AA1646" s="36" t="s">
        <v>132</v>
      </c>
      <c r="AB1646" s="36" t="s">
        <v>132</v>
      </c>
      <c r="AC1646" s="34">
        <v>82500</v>
      </c>
      <c r="AD1646" s="34">
        <f t="shared" si="220"/>
        <v>97350</v>
      </c>
      <c r="AE1646" s="38" t="s">
        <v>97</v>
      </c>
      <c r="AF1646" s="38" t="s">
        <v>83</v>
      </c>
      <c r="AG1646" s="38" t="s">
        <v>83</v>
      </c>
      <c r="AH1646" s="38" t="s">
        <v>90</v>
      </c>
      <c r="AI1646" s="405">
        <v>41631</v>
      </c>
      <c r="AJ1646" s="97">
        <v>41664</v>
      </c>
      <c r="AK1646" s="60"/>
      <c r="AL1646" s="60"/>
      <c r="AM1646" s="60" t="s">
        <v>3890</v>
      </c>
      <c r="AN1646" s="60" t="s">
        <v>171</v>
      </c>
      <c r="AO1646" s="11">
        <v>796</v>
      </c>
      <c r="AP1646" s="38" t="s">
        <v>94</v>
      </c>
      <c r="AQ1646" s="38">
        <v>1</v>
      </c>
      <c r="AR1646" s="38">
        <v>45286</v>
      </c>
      <c r="AS1646" s="16" t="s">
        <v>3897</v>
      </c>
      <c r="AT1646" s="52">
        <v>41684</v>
      </c>
      <c r="AU1646" s="52">
        <v>41684</v>
      </c>
      <c r="AV1646" s="51">
        <v>45352</v>
      </c>
      <c r="AW1646" s="38" t="s">
        <v>4120</v>
      </c>
      <c r="AX1646" s="60"/>
      <c r="AY1646" s="135"/>
      <c r="AZ1646" s="60"/>
      <c r="BA1646" s="38"/>
      <c r="BB1646" s="38"/>
      <c r="BC1646" s="60"/>
      <c r="BD1646" s="60"/>
      <c r="BE1646" s="304"/>
      <c r="BF1646" s="304"/>
      <c r="BG1646" s="304"/>
      <c r="BH1646" s="304"/>
      <c r="BI1646" s="304"/>
      <c r="BJ1646" s="304" t="s">
        <v>186</v>
      </c>
      <c r="BK1646" s="304"/>
    </row>
    <row r="1647" spans="1:63" s="266" customFormat="1" ht="93.75">
      <c r="A1647" s="25">
        <v>8</v>
      </c>
      <c r="B1647" s="38" t="s">
        <v>1091</v>
      </c>
      <c r="C1647" s="38" t="s">
        <v>83</v>
      </c>
      <c r="D1647" s="38" t="s">
        <v>1088</v>
      </c>
      <c r="E1647" s="60" t="s">
        <v>750</v>
      </c>
      <c r="F1647" s="38">
        <v>65</v>
      </c>
      <c r="G1647" s="38" t="s">
        <v>1092</v>
      </c>
      <c r="H1647" s="63">
        <v>626042</v>
      </c>
      <c r="I1647" s="16" t="s">
        <v>1093</v>
      </c>
      <c r="J1647" s="16" t="s">
        <v>192</v>
      </c>
      <c r="K1647" s="16" t="s">
        <v>192</v>
      </c>
      <c r="L1647" s="16" t="s">
        <v>180</v>
      </c>
      <c r="M1647" s="134" t="s">
        <v>4731</v>
      </c>
      <c r="N1647" s="16" t="s">
        <v>5898</v>
      </c>
      <c r="O1647" s="16" t="s">
        <v>3886</v>
      </c>
      <c r="P1647" s="23">
        <v>6600</v>
      </c>
      <c r="Q1647" s="23">
        <f t="shared" si="213"/>
        <v>7788</v>
      </c>
      <c r="R1647" s="23"/>
      <c r="S1647" s="29"/>
      <c r="T1647" s="25"/>
      <c r="U1647" s="25"/>
      <c r="V1647" s="25"/>
      <c r="W1647" s="25"/>
      <c r="X1647" s="25"/>
      <c r="Y1647" s="23">
        <v>6600</v>
      </c>
      <c r="Z1647" s="34">
        <f t="shared" si="214"/>
        <v>7788</v>
      </c>
      <c r="AA1647" s="36" t="s">
        <v>132</v>
      </c>
      <c r="AB1647" s="36" t="s">
        <v>132</v>
      </c>
      <c r="AC1647" s="23">
        <v>6600</v>
      </c>
      <c r="AD1647" s="34">
        <f t="shared" si="220"/>
        <v>7788</v>
      </c>
      <c r="AE1647" s="38" t="s">
        <v>97</v>
      </c>
      <c r="AF1647" s="38" t="s">
        <v>83</v>
      </c>
      <c r="AG1647" s="38" t="s">
        <v>83</v>
      </c>
      <c r="AH1647" s="38" t="s">
        <v>90</v>
      </c>
      <c r="AI1647" s="405">
        <v>41631</v>
      </c>
      <c r="AJ1647" s="97">
        <v>41664</v>
      </c>
      <c r="AK1647" s="60"/>
      <c r="AL1647" s="60"/>
      <c r="AM1647" s="60" t="s">
        <v>3891</v>
      </c>
      <c r="AN1647" s="60" t="s">
        <v>171</v>
      </c>
      <c r="AO1647" s="63">
        <v>796</v>
      </c>
      <c r="AP1647" s="38" t="s">
        <v>94</v>
      </c>
      <c r="AQ1647" s="25">
        <v>1</v>
      </c>
      <c r="AR1647" s="38">
        <v>45286</v>
      </c>
      <c r="AS1647" s="16" t="s">
        <v>3897</v>
      </c>
      <c r="AT1647" s="52">
        <v>41684</v>
      </c>
      <c r="AU1647" s="52">
        <v>41684</v>
      </c>
      <c r="AV1647" s="53">
        <v>42064</v>
      </c>
      <c r="AW1647" s="38" t="s">
        <v>99</v>
      </c>
      <c r="AX1647" s="60"/>
      <c r="AY1647" s="135"/>
      <c r="AZ1647" s="60"/>
      <c r="BA1647" s="38"/>
      <c r="BB1647" s="38"/>
      <c r="BC1647" s="60"/>
      <c r="BD1647" s="60"/>
      <c r="BE1647" s="331"/>
      <c r="BF1647" s="331"/>
      <c r="BG1647" s="331"/>
      <c r="BH1647" s="331"/>
      <c r="BI1647" s="331"/>
      <c r="BJ1647" s="304" t="s">
        <v>186</v>
      </c>
      <c r="BK1647" s="304"/>
    </row>
    <row r="1648" spans="1:63" s="266" customFormat="1" ht="93.75">
      <c r="A1648" s="25">
        <v>8</v>
      </c>
      <c r="B1648" s="38" t="s">
        <v>1094</v>
      </c>
      <c r="C1648" s="38" t="s">
        <v>83</v>
      </c>
      <c r="D1648" s="38" t="s">
        <v>1088</v>
      </c>
      <c r="E1648" s="60" t="s">
        <v>750</v>
      </c>
      <c r="F1648" s="38">
        <v>65</v>
      </c>
      <c r="G1648" s="38" t="s">
        <v>1095</v>
      </c>
      <c r="H1648" s="63">
        <v>626043</v>
      </c>
      <c r="I1648" s="16" t="s">
        <v>1096</v>
      </c>
      <c r="J1648" s="16" t="s">
        <v>192</v>
      </c>
      <c r="K1648" s="16" t="s">
        <v>192</v>
      </c>
      <c r="L1648" s="16" t="s">
        <v>180</v>
      </c>
      <c r="M1648" s="134" t="s">
        <v>5866</v>
      </c>
      <c r="N1648" s="16" t="s">
        <v>5898</v>
      </c>
      <c r="O1648" s="16" t="s">
        <v>3886</v>
      </c>
      <c r="P1648" s="23">
        <v>6600</v>
      </c>
      <c r="Q1648" s="23">
        <f t="shared" si="213"/>
        <v>7788</v>
      </c>
      <c r="R1648" s="23"/>
      <c r="S1648" s="29"/>
      <c r="T1648" s="25"/>
      <c r="U1648" s="25"/>
      <c r="V1648" s="25"/>
      <c r="W1648" s="25"/>
      <c r="X1648" s="25"/>
      <c r="Y1648" s="23">
        <v>6600</v>
      </c>
      <c r="Z1648" s="34">
        <f t="shared" si="214"/>
        <v>7788</v>
      </c>
      <c r="AA1648" s="36" t="s">
        <v>132</v>
      </c>
      <c r="AB1648" s="36" t="s">
        <v>132</v>
      </c>
      <c r="AC1648" s="23">
        <v>6600</v>
      </c>
      <c r="AD1648" s="34">
        <f t="shared" si="220"/>
        <v>7788</v>
      </c>
      <c r="AE1648" s="38" t="s">
        <v>97</v>
      </c>
      <c r="AF1648" s="38" t="s">
        <v>83</v>
      </c>
      <c r="AG1648" s="38" t="s">
        <v>83</v>
      </c>
      <c r="AH1648" s="38" t="s">
        <v>90</v>
      </c>
      <c r="AI1648" s="52">
        <v>41625</v>
      </c>
      <c r="AJ1648" s="97">
        <v>41670</v>
      </c>
      <c r="AK1648" s="60"/>
      <c r="AL1648" s="60"/>
      <c r="AM1648" s="60" t="s">
        <v>3892</v>
      </c>
      <c r="AN1648" s="60" t="s">
        <v>171</v>
      </c>
      <c r="AO1648" s="63">
        <v>796</v>
      </c>
      <c r="AP1648" s="38" t="s">
        <v>94</v>
      </c>
      <c r="AQ1648" s="25">
        <v>1</v>
      </c>
      <c r="AR1648" s="38">
        <v>45286</v>
      </c>
      <c r="AS1648" s="16" t="s">
        <v>3897</v>
      </c>
      <c r="AT1648" s="52">
        <v>41690</v>
      </c>
      <c r="AU1648" s="52">
        <v>41690</v>
      </c>
      <c r="AV1648" s="52">
        <v>42035</v>
      </c>
      <c r="AW1648" s="38" t="s">
        <v>99</v>
      </c>
      <c r="AX1648" s="60"/>
      <c r="AY1648" s="135"/>
      <c r="AZ1648" s="60"/>
      <c r="BA1648" s="38"/>
      <c r="BB1648" s="38"/>
      <c r="BC1648" s="60"/>
      <c r="BD1648" s="60"/>
      <c r="BE1648" s="331"/>
      <c r="BF1648" s="331"/>
      <c r="BG1648" s="331"/>
      <c r="BH1648" s="331"/>
      <c r="BI1648" s="331"/>
      <c r="BJ1648" s="304" t="s">
        <v>186</v>
      </c>
      <c r="BK1648" s="304"/>
    </row>
    <row r="1649" spans="1:63" s="266" customFormat="1" ht="93.75">
      <c r="A1649" s="25">
        <v>8</v>
      </c>
      <c r="B1649" s="38" t="s">
        <v>1097</v>
      </c>
      <c r="C1649" s="38" t="s">
        <v>83</v>
      </c>
      <c r="D1649" s="38" t="s">
        <v>1088</v>
      </c>
      <c r="E1649" s="60" t="s">
        <v>750</v>
      </c>
      <c r="F1649" s="38">
        <v>65</v>
      </c>
      <c r="G1649" s="38" t="s">
        <v>1089</v>
      </c>
      <c r="H1649" s="63">
        <v>626044</v>
      </c>
      <c r="I1649" s="16" t="s">
        <v>1098</v>
      </c>
      <c r="J1649" s="16" t="s">
        <v>3894</v>
      </c>
      <c r="K1649" s="16" t="s">
        <v>3894</v>
      </c>
      <c r="L1649" s="16" t="s">
        <v>180</v>
      </c>
      <c r="M1649" s="134" t="s">
        <v>4730</v>
      </c>
      <c r="N1649" s="16" t="s">
        <v>3887</v>
      </c>
      <c r="O1649" s="16" t="s">
        <v>3886</v>
      </c>
      <c r="P1649" s="23">
        <v>80000</v>
      </c>
      <c r="Q1649" s="23">
        <v>80000</v>
      </c>
      <c r="R1649" s="23"/>
      <c r="S1649" s="29"/>
      <c r="T1649" s="25"/>
      <c r="U1649" s="25"/>
      <c r="V1649" s="25"/>
      <c r="W1649" s="25"/>
      <c r="X1649" s="25"/>
      <c r="Y1649" s="23">
        <v>80000</v>
      </c>
      <c r="Z1649" s="23">
        <v>80000</v>
      </c>
      <c r="AA1649" s="36" t="s">
        <v>132</v>
      </c>
      <c r="AB1649" s="36" t="s">
        <v>132</v>
      </c>
      <c r="AC1649" s="23">
        <v>80000</v>
      </c>
      <c r="AD1649" s="23">
        <v>80000</v>
      </c>
      <c r="AE1649" s="38" t="s">
        <v>3826</v>
      </c>
      <c r="AF1649" s="38" t="s">
        <v>83</v>
      </c>
      <c r="AG1649" s="38" t="s">
        <v>83</v>
      </c>
      <c r="AH1649" s="38" t="s">
        <v>90</v>
      </c>
      <c r="AI1649" s="51">
        <v>41878</v>
      </c>
      <c r="AJ1649" s="97">
        <v>41938</v>
      </c>
      <c r="AK1649" s="60"/>
      <c r="AL1649" s="60"/>
      <c r="AM1649" s="60" t="s">
        <v>3893</v>
      </c>
      <c r="AN1649" s="60" t="s">
        <v>171</v>
      </c>
      <c r="AO1649" s="63">
        <v>383</v>
      </c>
      <c r="AP1649" s="38" t="s">
        <v>3889</v>
      </c>
      <c r="AQ1649" s="25">
        <v>1000000000</v>
      </c>
      <c r="AR1649" s="38">
        <v>45286</v>
      </c>
      <c r="AS1649" s="16" t="s">
        <v>3897</v>
      </c>
      <c r="AT1649" s="52">
        <v>41958</v>
      </c>
      <c r="AU1649" s="52">
        <v>41958</v>
      </c>
      <c r="AV1649" s="52">
        <v>42323</v>
      </c>
      <c r="AW1649" s="38" t="s">
        <v>99</v>
      </c>
      <c r="AX1649" s="60"/>
      <c r="AY1649" s="135"/>
      <c r="AZ1649" s="60"/>
      <c r="BA1649" s="38"/>
      <c r="BB1649" s="38"/>
      <c r="BC1649" s="60"/>
      <c r="BD1649" s="60"/>
      <c r="BE1649" s="331"/>
      <c r="BF1649" s="331"/>
      <c r="BG1649" s="331"/>
      <c r="BH1649" s="331"/>
      <c r="BI1649" s="331"/>
      <c r="BJ1649" s="304" t="s">
        <v>186</v>
      </c>
      <c r="BK1649" s="304"/>
    </row>
    <row r="1650" spans="1:63" s="266" customFormat="1" ht="93.75">
      <c r="A1650" s="25">
        <v>8</v>
      </c>
      <c r="B1650" s="38" t="s">
        <v>1099</v>
      </c>
      <c r="C1650" s="38" t="s">
        <v>83</v>
      </c>
      <c r="D1650" s="38" t="s">
        <v>1088</v>
      </c>
      <c r="E1650" s="60" t="s">
        <v>750</v>
      </c>
      <c r="F1650" s="38">
        <v>65</v>
      </c>
      <c r="G1650" s="38" t="s">
        <v>1089</v>
      </c>
      <c r="H1650" s="63">
        <v>626045</v>
      </c>
      <c r="I1650" s="16" t="s">
        <v>1098</v>
      </c>
      <c r="J1650" s="16" t="s">
        <v>3894</v>
      </c>
      <c r="K1650" s="16" t="s">
        <v>3894</v>
      </c>
      <c r="L1650" s="16" t="s">
        <v>180</v>
      </c>
      <c r="M1650" s="134" t="s">
        <v>5865</v>
      </c>
      <c r="N1650" s="16" t="s">
        <v>3887</v>
      </c>
      <c r="O1650" s="16" t="s">
        <v>3886</v>
      </c>
      <c r="P1650" s="23">
        <v>80000</v>
      </c>
      <c r="Q1650" s="23">
        <v>80000</v>
      </c>
      <c r="R1650" s="23"/>
      <c r="S1650" s="29"/>
      <c r="T1650" s="25"/>
      <c r="U1650" s="25"/>
      <c r="V1650" s="25"/>
      <c r="W1650" s="25"/>
      <c r="X1650" s="25"/>
      <c r="Y1650" s="23">
        <v>80000</v>
      </c>
      <c r="Z1650" s="23">
        <v>80000</v>
      </c>
      <c r="AA1650" s="36" t="s">
        <v>132</v>
      </c>
      <c r="AB1650" s="36" t="s">
        <v>132</v>
      </c>
      <c r="AC1650" s="23">
        <v>80000</v>
      </c>
      <c r="AD1650" s="23">
        <v>80000</v>
      </c>
      <c r="AE1650" s="38" t="s">
        <v>3826</v>
      </c>
      <c r="AF1650" s="38" t="s">
        <v>83</v>
      </c>
      <c r="AG1650" s="38" t="s">
        <v>83</v>
      </c>
      <c r="AH1650" s="38" t="s">
        <v>90</v>
      </c>
      <c r="AI1650" s="51">
        <v>41878</v>
      </c>
      <c r="AJ1650" s="97">
        <v>41938</v>
      </c>
      <c r="AK1650" s="60"/>
      <c r="AL1650" s="60"/>
      <c r="AM1650" s="60" t="s">
        <v>3894</v>
      </c>
      <c r="AN1650" s="60" t="s">
        <v>171</v>
      </c>
      <c r="AO1650" s="63">
        <v>383</v>
      </c>
      <c r="AP1650" s="38" t="s">
        <v>3889</v>
      </c>
      <c r="AQ1650" s="25">
        <v>1000000000</v>
      </c>
      <c r="AR1650" s="38">
        <v>45286</v>
      </c>
      <c r="AS1650" s="16" t="s">
        <v>3897</v>
      </c>
      <c r="AT1650" s="52">
        <v>41958</v>
      </c>
      <c r="AU1650" s="52">
        <v>41958</v>
      </c>
      <c r="AV1650" s="52">
        <v>42323</v>
      </c>
      <c r="AW1650" s="38" t="s">
        <v>99</v>
      </c>
      <c r="AX1650" s="60"/>
      <c r="AY1650" s="135"/>
      <c r="AZ1650" s="60"/>
      <c r="BA1650" s="38"/>
      <c r="BB1650" s="38"/>
      <c r="BC1650" s="60"/>
      <c r="BD1650" s="60"/>
      <c r="BE1650" s="331"/>
      <c r="BF1650" s="331"/>
      <c r="BG1650" s="331"/>
      <c r="BH1650" s="331"/>
      <c r="BI1650" s="331"/>
      <c r="BJ1650" s="304" t="s">
        <v>186</v>
      </c>
      <c r="BK1650" s="304"/>
    </row>
    <row r="1651" spans="1:63" s="266" customFormat="1" ht="93.75">
      <c r="A1651" s="25">
        <v>8</v>
      </c>
      <c r="B1651" s="38" t="s">
        <v>1100</v>
      </c>
      <c r="C1651" s="38" t="s">
        <v>83</v>
      </c>
      <c r="D1651" s="38" t="s">
        <v>1088</v>
      </c>
      <c r="E1651" s="60" t="s">
        <v>750</v>
      </c>
      <c r="F1651" s="38">
        <v>65</v>
      </c>
      <c r="G1651" s="38" t="s">
        <v>1089</v>
      </c>
      <c r="H1651" s="63">
        <v>626046</v>
      </c>
      <c r="I1651" s="16" t="s">
        <v>1101</v>
      </c>
      <c r="J1651" s="16" t="s">
        <v>192</v>
      </c>
      <c r="K1651" s="16" t="s">
        <v>192</v>
      </c>
      <c r="L1651" s="16" t="s">
        <v>180</v>
      </c>
      <c r="M1651" s="134" t="s">
        <v>4769</v>
      </c>
      <c r="N1651" s="16" t="s">
        <v>5899</v>
      </c>
      <c r="O1651" s="16" t="s">
        <v>3886</v>
      </c>
      <c r="P1651" s="23">
        <v>175000</v>
      </c>
      <c r="Q1651" s="352">
        <v>175000</v>
      </c>
      <c r="R1651" s="23"/>
      <c r="S1651" s="29"/>
      <c r="T1651" s="25"/>
      <c r="U1651" s="25"/>
      <c r="V1651" s="25"/>
      <c r="W1651" s="25"/>
      <c r="X1651" s="25"/>
      <c r="Y1651" s="23">
        <v>175000</v>
      </c>
      <c r="Z1651" s="352">
        <v>175000</v>
      </c>
      <c r="AA1651" s="36" t="s">
        <v>132</v>
      </c>
      <c r="AB1651" s="36" t="s">
        <v>132</v>
      </c>
      <c r="AC1651" s="23">
        <v>175000</v>
      </c>
      <c r="AD1651" s="352">
        <v>175000</v>
      </c>
      <c r="AE1651" s="38" t="s">
        <v>169</v>
      </c>
      <c r="AF1651" s="38" t="s">
        <v>83</v>
      </c>
      <c r="AG1651" s="38" t="s">
        <v>83</v>
      </c>
      <c r="AH1651" s="38" t="s">
        <v>90</v>
      </c>
      <c r="AI1651" s="51">
        <v>41833</v>
      </c>
      <c r="AJ1651" s="97">
        <v>41893</v>
      </c>
      <c r="AK1651" s="60"/>
      <c r="AL1651" s="60"/>
      <c r="AM1651" s="60" t="s">
        <v>3895</v>
      </c>
      <c r="AN1651" s="60" t="s">
        <v>171</v>
      </c>
      <c r="AO1651" s="63">
        <v>796</v>
      </c>
      <c r="AP1651" s="38" t="s">
        <v>94</v>
      </c>
      <c r="AQ1651" s="25">
        <v>1</v>
      </c>
      <c r="AR1651" s="38">
        <v>45286</v>
      </c>
      <c r="AS1651" s="16" t="s">
        <v>3897</v>
      </c>
      <c r="AT1651" s="52">
        <v>41913</v>
      </c>
      <c r="AU1651" s="52">
        <v>41913</v>
      </c>
      <c r="AV1651" s="52">
        <v>43739</v>
      </c>
      <c r="AW1651" s="38" t="s">
        <v>1111</v>
      </c>
      <c r="AX1651" s="60"/>
      <c r="AY1651" s="135"/>
      <c r="AZ1651" s="60"/>
      <c r="BA1651" s="38"/>
      <c r="BB1651" s="38"/>
      <c r="BC1651" s="60"/>
      <c r="BD1651" s="60"/>
      <c r="BE1651" s="331"/>
      <c r="BF1651" s="331"/>
      <c r="BG1651" s="331"/>
      <c r="BH1651" s="331"/>
      <c r="BI1651" s="331"/>
      <c r="BJ1651" s="304" t="s">
        <v>186</v>
      </c>
      <c r="BK1651" s="304"/>
    </row>
    <row r="1652" spans="1:63" s="266" customFormat="1" ht="93.75">
      <c r="A1652" s="25">
        <v>8</v>
      </c>
      <c r="B1652" s="38" t="s">
        <v>1102</v>
      </c>
      <c r="C1652" s="38" t="s">
        <v>83</v>
      </c>
      <c r="D1652" s="38" t="s">
        <v>1088</v>
      </c>
      <c r="E1652" s="60" t="s">
        <v>750</v>
      </c>
      <c r="F1652" s="38">
        <v>65</v>
      </c>
      <c r="G1652" s="38" t="s">
        <v>1089</v>
      </c>
      <c r="H1652" s="63">
        <v>626048</v>
      </c>
      <c r="I1652" s="16" t="s">
        <v>1103</v>
      </c>
      <c r="J1652" s="16" t="s">
        <v>192</v>
      </c>
      <c r="K1652" s="16" t="s">
        <v>192</v>
      </c>
      <c r="L1652" s="16" t="s">
        <v>552</v>
      </c>
      <c r="M1652" s="134" t="s">
        <v>4762</v>
      </c>
      <c r="N1652" s="16" t="s">
        <v>5878</v>
      </c>
      <c r="O1652" s="16" t="s">
        <v>3888</v>
      </c>
      <c r="P1652" s="23">
        <v>8000</v>
      </c>
      <c r="Q1652" s="23">
        <f>P1652*1.18</f>
        <v>9440</v>
      </c>
      <c r="R1652" s="23"/>
      <c r="S1652" s="29"/>
      <c r="T1652" s="25"/>
      <c r="U1652" s="25"/>
      <c r="V1652" s="25"/>
      <c r="W1652" s="25"/>
      <c r="X1652" s="25"/>
      <c r="Y1652" s="23">
        <v>8000</v>
      </c>
      <c r="Z1652" s="23">
        <f>Y1652*1.18</f>
        <v>9440</v>
      </c>
      <c r="AA1652" s="36" t="s">
        <v>132</v>
      </c>
      <c r="AB1652" s="36" t="s">
        <v>132</v>
      </c>
      <c r="AC1652" s="23">
        <v>8000</v>
      </c>
      <c r="AD1652" s="23">
        <f>AC1652*1.18</f>
        <v>9440</v>
      </c>
      <c r="AE1652" s="38" t="s">
        <v>97</v>
      </c>
      <c r="AF1652" s="38" t="s">
        <v>83</v>
      </c>
      <c r="AG1652" s="38" t="s">
        <v>83</v>
      </c>
      <c r="AH1652" s="38" t="s">
        <v>90</v>
      </c>
      <c r="AI1652" s="51">
        <v>41626</v>
      </c>
      <c r="AJ1652" s="97">
        <v>41670</v>
      </c>
      <c r="AK1652" s="60"/>
      <c r="AL1652" s="60"/>
      <c r="AM1652" s="60" t="s">
        <v>3896</v>
      </c>
      <c r="AN1652" s="60" t="s">
        <v>171</v>
      </c>
      <c r="AO1652" s="63">
        <v>796</v>
      </c>
      <c r="AP1652" s="38" t="s">
        <v>94</v>
      </c>
      <c r="AQ1652" s="25">
        <v>1</v>
      </c>
      <c r="AR1652" s="38">
        <v>45286</v>
      </c>
      <c r="AS1652" s="16" t="s">
        <v>3897</v>
      </c>
      <c r="AT1652" s="52">
        <v>41671</v>
      </c>
      <c r="AU1652" s="52">
        <v>41671</v>
      </c>
      <c r="AV1652" s="52">
        <v>42401</v>
      </c>
      <c r="AW1652" s="38" t="s">
        <v>1789</v>
      </c>
      <c r="AX1652" s="60"/>
      <c r="AY1652" s="135"/>
      <c r="AZ1652" s="60"/>
      <c r="BA1652" s="38"/>
      <c r="BB1652" s="38"/>
      <c r="BC1652" s="60"/>
      <c r="BD1652" s="60"/>
      <c r="BE1652" s="331"/>
      <c r="BF1652" s="331"/>
      <c r="BG1652" s="331"/>
      <c r="BH1652" s="331"/>
      <c r="BI1652" s="331"/>
      <c r="BJ1652" s="304" t="s">
        <v>186</v>
      </c>
      <c r="BK1652" s="304"/>
    </row>
    <row r="1653" spans="1:63" s="266" customFormat="1" ht="93.75">
      <c r="A1653" s="25">
        <v>8</v>
      </c>
      <c r="B1653" s="38" t="s">
        <v>4773</v>
      </c>
      <c r="C1653" s="38" t="s">
        <v>83</v>
      </c>
      <c r="D1653" s="38" t="s">
        <v>1088</v>
      </c>
      <c r="E1653" s="60" t="s">
        <v>750</v>
      </c>
      <c r="F1653" s="38">
        <v>65</v>
      </c>
      <c r="G1653" s="38" t="s">
        <v>1089</v>
      </c>
      <c r="H1653" s="63">
        <v>626688</v>
      </c>
      <c r="I1653" s="16" t="s">
        <v>4774</v>
      </c>
      <c r="J1653" s="16" t="s">
        <v>192</v>
      </c>
      <c r="K1653" s="16" t="s">
        <v>192</v>
      </c>
      <c r="L1653" s="16" t="s">
        <v>552</v>
      </c>
      <c r="M1653" s="134" t="s">
        <v>4762</v>
      </c>
      <c r="N1653" s="16" t="s">
        <v>5878</v>
      </c>
      <c r="O1653" s="16" t="s">
        <v>4775</v>
      </c>
      <c r="P1653" s="23">
        <v>4410</v>
      </c>
      <c r="Q1653" s="23">
        <f>P1653*1.18</f>
        <v>5203.7999999999993</v>
      </c>
      <c r="R1653" s="23"/>
      <c r="S1653" s="29"/>
      <c r="T1653" s="25"/>
      <c r="U1653" s="25"/>
      <c r="V1653" s="25"/>
      <c r="W1653" s="25"/>
      <c r="X1653" s="25"/>
      <c r="Y1653" s="23">
        <v>4410</v>
      </c>
      <c r="Z1653" s="23">
        <f>Y1653*1.18</f>
        <v>5203.7999999999993</v>
      </c>
      <c r="AA1653" s="36" t="s">
        <v>132</v>
      </c>
      <c r="AB1653" s="36" t="s">
        <v>132</v>
      </c>
      <c r="AC1653" s="23">
        <v>4410</v>
      </c>
      <c r="AD1653" s="23">
        <f>AC1653*1.18</f>
        <v>5203.7999999999993</v>
      </c>
      <c r="AE1653" s="38" t="s">
        <v>173</v>
      </c>
      <c r="AF1653" s="38" t="s">
        <v>83</v>
      </c>
      <c r="AG1653" s="38" t="s">
        <v>83</v>
      </c>
      <c r="AH1653" s="38" t="s">
        <v>90</v>
      </c>
      <c r="AI1653" s="51">
        <v>41833</v>
      </c>
      <c r="AJ1653" s="97">
        <v>41893</v>
      </c>
      <c r="AK1653" s="60"/>
      <c r="AL1653" s="60"/>
      <c r="AM1653" s="60" t="s">
        <v>3896</v>
      </c>
      <c r="AN1653" s="60" t="s">
        <v>4776</v>
      </c>
      <c r="AO1653" s="63">
        <v>796</v>
      </c>
      <c r="AP1653" s="38" t="s">
        <v>94</v>
      </c>
      <c r="AQ1653" s="25">
        <v>3</v>
      </c>
      <c r="AR1653" s="38">
        <v>45286</v>
      </c>
      <c r="AS1653" s="16" t="s">
        <v>3897</v>
      </c>
      <c r="AT1653" s="52">
        <v>41913</v>
      </c>
      <c r="AU1653" s="52">
        <v>41913</v>
      </c>
      <c r="AV1653" s="52">
        <v>42278</v>
      </c>
      <c r="AW1653" s="38" t="s">
        <v>99</v>
      </c>
      <c r="AX1653" s="60"/>
      <c r="AY1653" s="135"/>
      <c r="AZ1653" s="60"/>
      <c r="BA1653" s="38"/>
      <c r="BB1653" s="38"/>
      <c r="BC1653" s="60"/>
      <c r="BD1653" s="60"/>
      <c r="BE1653" s="331"/>
      <c r="BF1653" s="331"/>
      <c r="BG1653" s="331"/>
      <c r="BH1653" s="331"/>
      <c r="BI1653" s="331"/>
      <c r="BJ1653" s="304"/>
      <c r="BK1653" s="304"/>
    </row>
    <row r="1654" spans="1:63" s="606" customFormat="1" ht="84.75" customHeight="1">
      <c r="A1654" s="25">
        <v>8</v>
      </c>
      <c r="B1654" s="72" t="s">
        <v>939</v>
      </c>
      <c r="C1654" s="72" t="s">
        <v>83</v>
      </c>
      <c r="D1654" s="72" t="s">
        <v>1347</v>
      </c>
      <c r="E1654" s="72" t="s">
        <v>84</v>
      </c>
      <c r="F1654" s="72" t="s">
        <v>349</v>
      </c>
      <c r="G1654" s="72" t="s">
        <v>1348</v>
      </c>
      <c r="H1654" s="11">
        <v>625972</v>
      </c>
      <c r="I1654" s="16" t="s">
        <v>940</v>
      </c>
      <c r="J1654" s="16" t="s">
        <v>941</v>
      </c>
      <c r="K1654" s="16" t="s">
        <v>352</v>
      </c>
      <c r="L1654" s="16" t="s">
        <v>88</v>
      </c>
      <c r="M1654" s="134" t="s">
        <v>4769</v>
      </c>
      <c r="N1654" s="16" t="s">
        <v>4732</v>
      </c>
      <c r="O1654" s="16" t="s">
        <v>1349</v>
      </c>
      <c r="P1654" s="23">
        <v>1219</v>
      </c>
      <c r="Q1654" s="23">
        <f>P1654*1.18</f>
        <v>1438.4199999999998</v>
      </c>
      <c r="R1654" s="23"/>
      <c r="S1654" s="29"/>
      <c r="T1654" s="25"/>
      <c r="U1654" s="25"/>
      <c r="V1654" s="25"/>
      <c r="W1654" s="25"/>
      <c r="X1654" s="25"/>
      <c r="Y1654" s="23">
        <v>1219</v>
      </c>
      <c r="Z1654" s="23">
        <f>Y1654*1.18</f>
        <v>1438.4199999999998</v>
      </c>
      <c r="AA1654" s="36" t="s">
        <v>132</v>
      </c>
      <c r="AB1654" s="36" t="s">
        <v>132</v>
      </c>
      <c r="AC1654" s="23">
        <v>1219</v>
      </c>
      <c r="AD1654" s="23">
        <f>AC1654*1.18</f>
        <v>1438.4199999999998</v>
      </c>
      <c r="AE1654" s="38" t="s">
        <v>280</v>
      </c>
      <c r="AF1654" s="38" t="s">
        <v>83</v>
      </c>
      <c r="AG1654" s="38" t="s">
        <v>83</v>
      </c>
      <c r="AH1654" s="38" t="s">
        <v>281</v>
      </c>
      <c r="AI1654" s="52">
        <v>41743</v>
      </c>
      <c r="AJ1654" s="97">
        <v>41750</v>
      </c>
      <c r="AK1654" s="161" t="s">
        <v>1352</v>
      </c>
      <c r="AL1654" s="60" t="s">
        <v>1353</v>
      </c>
      <c r="AM1654" s="60" t="s">
        <v>942</v>
      </c>
      <c r="AN1654" s="60" t="s">
        <v>943</v>
      </c>
      <c r="AO1654" s="11">
        <v>796</v>
      </c>
      <c r="AP1654" s="38" t="s">
        <v>419</v>
      </c>
      <c r="AQ1654" s="38">
        <v>1</v>
      </c>
      <c r="AR1654" s="25">
        <v>45</v>
      </c>
      <c r="AS1654" s="16" t="s">
        <v>356</v>
      </c>
      <c r="AT1654" s="52">
        <v>41770</v>
      </c>
      <c r="AU1654" s="52">
        <v>41770</v>
      </c>
      <c r="AV1654" s="52">
        <v>42004</v>
      </c>
      <c r="AW1654" s="11">
        <v>2014</v>
      </c>
      <c r="AX1654" s="60"/>
      <c r="AY1654" s="135"/>
      <c r="AZ1654" s="60"/>
      <c r="BA1654" s="38"/>
      <c r="BB1654" s="38"/>
      <c r="BC1654" s="60"/>
      <c r="BD1654" s="60"/>
      <c r="BE1654" s="238"/>
      <c r="BF1654" s="238"/>
      <c r="BG1654" s="238"/>
      <c r="BH1654" s="238"/>
      <c r="BI1654" s="238"/>
      <c r="BJ1654" s="238" t="s">
        <v>186</v>
      </c>
      <c r="BK1654" s="238"/>
    </row>
    <row r="1655" spans="1:63" s="606" customFormat="1" ht="82.5" customHeight="1">
      <c r="A1655" s="25">
        <v>8</v>
      </c>
      <c r="B1655" s="72" t="s">
        <v>944</v>
      </c>
      <c r="C1655" s="72" t="s">
        <v>83</v>
      </c>
      <c r="D1655" s="72" t="s">
        <v>1347</v>
      </c>
      <c r="E1655" s="72" t="s">
        <v>84</v>
      </c>
      <c r="F1655" s="72" t="s">
        <v>349</v>
      </c>
      <c r="G1655" s="72" t="s">
        <v>1348</v>
      </c>
      <c r="H1655" s="11">
        <v>625977</v>
      </c>
      <c r="I1655" s="16" t="s">
        <v>945</v>
      </c>
      <c r="J1655" s="16" t="s">
        <v>941</v>
      </c>
      <c r="K1655" s="16" t="s">
        <v>352</v>
      </c>
      <c r="L1655" s="16" t="s">
        <v>88</v>
      </c>
      <c r="M1655" s="134" t="s">
        <v>4769</v>
      </c>
      <c r="N1655" s="16" t="s">
        <v>4732</v>
      </c>
      <c r="O1655" s="16" t="s">
        <v>1350</v>
      </c>
      <c r="P1655" s="23">
        <v>1880.1220000000001</v>
      </c>
      <c r="Q1655" s="23">
        <f>P1655*1.18</f>
        <v>2218.54396</v>
      </c>
      <c r="R1655" s="23"/>
      <c r="S1655" s="29"/>
      <c r="T1655" s="25"/>
      <c r="U1655" s="25"/>
      <c r="V1655" s="25"/>
      <c r="W1655" s="25"/>
      <c r="X1655" s="25"/>
      <c r="Y1655" s="23">
        <v>1880.1220000000001</v>
      </c>
      <c r="Z1655" s="23">
        <f>Y1655*1.18</f>
        <v>2218.54396</v>
      </c>
      <c r="AA1655" s="36" t="s">
        <v>132</v>
      </c>
      <c r="AB1655" s="36" t="s">
        <v>132</v>
      </c>
      <c r="AC1655" s="23">
        <v>1880.1220000000001</v>
      </c>
      <c r="AD1655" s="23">
        <f>AC1655*1.18</f>
        <v>2218.54396</v>
      </c>
      <c r="AE1655" s="38" t="s">
        <v>280</v>
      </c>
      <c r="AF1655" s="38" t="s">
        <v>83</v>
      </c>
      <c r="AG1655" s="38" t="s">
        <v>83</v>
      </c>
      <c r="AH1655" s="38" t="s">
        <v>281</v>
      </c>
      <c r="AI1655" s="52">
        <v>41828</v>
      </c>
      <c r="AJ1655" s="97">
        <v>41834</v>
      </c>
      <c r="AK1655" s="161" t="s">
        <v>1352</v>
      </c>
      <c r="AL1655" s="60" t="s">
        <v>1353</v>
      </c>
      <c r="AM1655" s="60" t="s">
        <v>946</v>
      </c>
      <c r="AN1655" s="60" t="s">
        <v>943</v>
      </c>
      <c r="AO1655" s="11">
        <v>796</v>
      </c>
      <c r="AP1655" s="38" t="s">
        <v>419</v>
      </c>
      <c r="AQ1655" s="38">
        <v>1</v>
      </c>
      <c r="AR1655" s="25">
        <v>45</v>
      </c>
      <c r="AS1655" s="16" t="s">
        <v>356</v>
      </c>
      <c r="AT1655" s="52">
        <v>41854</v>
      </c>
      <c r="AU1655" s="52">
        <v>41854</v>
      </c>
      <c r="AV1655" s="52">
        <v>42004</v>
      </c>
      <c r="AW1655" s="11">
        <v>2014</v>
      </c>
      <c r="AX1655" s="60"/>
      <c r="AY1655" s="135"/>
      <c r="AZ1655" s="60"/>
      <c r="BA1655" s="38"/>
      <c r="BB1655" s="38"/>
      <c r="BC1655" s="60"/>
      <c r="BD1655" s="60"/>
      <c r="BE1655" s="238"/>
      <c r="BF1655" s="238"/>
      <c r="BG1655" s="238"/>
      <c r="BH1655" s="238"/>
      <c r="BI1655" s="238"/>
      <c r="BJ1655" s="238" t="s">
        <v>186</v>
      </c>
      <c r="BK1655" s="238"/>
    </row>
    <row r="1656" spans="1:63" s="606" customFormat="1" ht="97.5" customHeight="1">
      <c r="A1656" s="25">
        <v>8</v>
      </c>
      <c r="B1656" s="72" t="s">
        <v>947</v>
      </c>
      <c r="C1656" s="72" t="s">
        <v>83</v>
      </c>
      <c r="D1656" s="72" t="s">
        <v>1347</v>
      </c>
      <c r="E1656" s="72" t="s">
        <v>84</v>
      </c>
      <c r="F1656" s="72" t="s">
        <v>349</v>
      </c>
      <c r="G1656" s="72" t="s">
        <v>1348</v>
      </c>
      <c r="H1656" s="11">
        <v>625978</v>
      </c>
      <c r="I1656" s="16" t="s">
        <v>948</v>
      </c>
      <c r="J1656" s="16" t="s">
        <v>949</v>
      </c>
      <c r="K1656" s="16" t="s">
        <v>352</v>
      </c>
      <c r="L1656" s="16" t="s">
        <v>88</v>
      </c>
      <c r="M1656" s="134" t="s">
        <v>950</v>
      </c>
      <c r="N1656" s="16" t="s">
        <v>5898</v>
      </c>
      <c r="O1656" s="16" t="s">
        <v>1351</v>
      </c>
      <c r="P1656" s="23">
        <v>600</v>
      </c>
      <c r="Q1656" s="23">
        <v>600</v>
      </c>
      <c r="R1656" s="23"/>
      <c r="S1656" s="29"/>
      <c r="T1656" s="25"/>
      <c r="U1656" s="25"/>
      <c r="V1656" s="25"/>
      <c r="W1656" s="25"/>
      <c r="X1656" s="25"/>
      <c r="Y1656" s="23">
        <v>600</v>
      </c>
      <c r="Z1656" s="23">
        <v>600</v>
      </c>
      <c r="AA1656" s="36" t="s">
        <v>132</v>
      </c>
      <c r="AB1656" s="36" t="s">
        <v>132</v>
      </c>
      <c r="AC1656" s="23">
        <v>600</v>
      </c>
      <c r="AD1656" s="23">
        <v>600</v>
      </c>
      <c r="AE1656" s="38" t="s">
        <v>280</v>
      </c>
      <c r="AF1656" s="38" t="s">
        <v>83</v>
      </c>
      <c r="AG1656" s="38" t="s">
        <v>83</v>
      </c>
      <c r="AH1656" s="38" t="s">
        <v>281</v>
      </c>
      <c r="AI1656" s="52">
        <v>41623</v>
      </c>
      <c r="AJ1656" s="97">
        <v>41623</v>
      </c>
      <c r="AK1656" s="161" t="s">
        <v>1352</v>
      </c>
      <c r="AL1656" s="60" t="s">
        <v>1353</v>
      </c>
      <c r="AM1656" s="60" t="s">
        <v>951</v>
      </c>
      <c r="AN1656" s="60" t="s">
        <v>952</v>
      </c>
      <c r="AO1656" s="11">
        <v>796</v>
      </c>
      <c r="AP1656" s="38" t="s">
        <v>419</v>
      </c>
      <c r="AQ1656" s="38">
        <v>1</v>
      </c>
      <c r="AR1656" s="25">
        <v>45</v>
      </c>
      <c r="AS1656" s="16" t="s">
        <v>356</v>
      </c>
      <c r="AT1656" s="52">
        <v>41643</v>
      </c>
      <c r="AU1656" s="52">
        <v>41643</v>
      </c>
      <c r="AV1656" s="52">
        <v>42004</v>
      </c>
      <c r="AW1656" s="11">
        <v>2014</v>
      </c>
      <c r="AX1656" s="60"/>
      <c r="AY1656" s="353"/>
      <c r="AZ1656" s="60"/>
      <c r="BA1656" s="38"/>
      <c r="BB1656" s="38"/>
      <c r="BC1656" s="60"/>
      <c r="BD1656" s="60"/>
      <c r="BE1656" s="238"/>
      <c r="BF1656" s="238"/>
      <c r="BG1656" s="238"/>
      <c r="BH1656" s="238"/>
      <c r="BI1656" s="238"/>
      <c r="BJ1656" s="238" t="s">
        <v>186</v>
      </c>
      <c r="BK1656" s="378"/>
    </row>
    <row r="1657" spans="1:63" s="266" customFormat="1" ht="225">
      <c r="A1657" s="25">
        <v>8</v>
      </c>
      <c r="B1657" s="72" t="s">
        <v>755</v>
      </c>
      <c r="C1657" s="60" t="s">
        <v>83</v>
      </c>
      <c r="D1657" s="60" t="s">
        <v>749</v>
      </c>
      <c r="E1657" s="60" t="s">
        <v>750</v>
      </c>
      <c r="F1657" s="38" t="s">
        <v>349</v>
      </c>
      <c r="G1657" s="38">
        <v>7413023</v>
      </c>
      <c r="H1657" s="63">
        <v>626018</v>
      </c>
      <c r="I1657" s="16" t="s">
        <v>756</v>
      </c>
      <c r="J1657" s="16" t="s">
        <v>757</v>
      </c>
      <c r="K1657" s="16" t="s">
        <v>757</v>
      </c>
      <c r="L1657" s="16" t="s">
        <v>180</v>
      </c>
      <c r="M1657" s="134">
        <v>2010516</v>
      </c>
      <c r="N1657" s="16" t="s">
        <v>758</v>
      </c>
      <c r="O1657" s="16" t="s">
        <v>753</v>
      </c>
      <c r="P1657" s="330">
        <f>8000</f>
        <v>8000</v>
      </c>
      <c r="Q1657" s="330">
        <f t="shared" ref="Q1657:Q1671" si="221">P1657*1.18</f>
        <v>9440</v>
      </c>
      <c r="R1657" s="23"/>
      <c r="S1657" s="29"/>
      <c r="T1657" s="25"/>
      <c r="U1657" s="25"/>
      <c r="V1657" s="25"/>
      <c r="W1657" s="25"/>
      <c r="X1657" s="25"/>
      <c r="Y1657" s="23">
        <f>P1657</f>
        <v>8000</v>
      </c>
      <c r="Z1657" s="23">
        <f>Q1657</f>
        <v>9440</v>
      </c>
      <c r="AA1657" s="36" t="s">
        <v>132</v>
      </c>
      <c r="AB1657" s="36" t="s">
        <v>132</v>
      </c>
      <c r="AC1657" s="23">
        <v>8000</v>
      </c>
      <c r="AD1657" s="23">
        <f>Q1657</f>
        <v>9440</v>
      </c>
      <c r="AE1657" s="38" t="s">
        <v>97</v>
      </c>
      <c r="AF1657" s="38" t="s">
        <v>83</v>
      </c>
      <c r="AG1657" s="38" t="s">
        <v>83</v>
      </c>
      <c r="AH1657" s="38" t="s">
        <v>90</v>
      </c>
      <c r="AI1657" s="52">
        <v>41654</v>
      </c>
      <c r="AJ1657" s="97">
        <v>41690</v>
      </c>
      <c r="AK1657" s="60"/>
      <c r="AL1657" s="60"/>
      <c r="AM1657" s="60" t="s">
        <v>756</v>
      </c>
      <c r="AN1657" s="60" t="s">
        <v>754</v>
      </c>
      <c r="AO1657" s="63">
        <v>642</v>
      </c>
      <c r="AP1657" s="38" t="s">
        <v>762</v>
      </c>
      <c r="AQ1657" s="25">
        <v>1</v>
      </c>
      <c r="AR1657" s="25">
        <v>45</v>
      </c>
      <c r="AS1657" s="16" t="s">
        <v>763</v>
      </c>
      <c r="AT1657" s="52">
        <v>41710</v>
      </c>
      <c r="AU1657" s="52">
        <v>41710</v>
      </c>
      <c r="AV1657" s="52">
        <v>42155</v>
      </c>
      <c r="AW1657" s="38" t="s">
        <v>99</v>
      </c>
      <c r="AX1657" s="60" t="s">
        <v>953</v>
      </c>
      <c r="AY1657" s="135"/>
      <c r="AZ1657" s="60"/>
      <c r="BA1657" s="38" t="s">
        <v>96</v>
      </c>
      <c r="BB1657" s="38" t="s">
        <v>96</v>
      </c>
      <c r="BC1657" s="60" t="s">
        <v>96</v>
      </c>
      <c r="BD1657" s="60" t="s">
        <v>96</v>
      </c>
      <c r="BE1657" s="331" t="s">
        <v>96</v>
      </c>
      <c r="BF1657" s="331" t="s">
        <v>96</v>
      </c>
      <c r="BG1657" s="331" t="s">
        <v>96</v>
      </c>
      <c r="BH1657" s="331" t="s">
        <v>96</v>
      </c>
      <c r="BI1657" s="331" t="s">
        <v>96</v>
      </c>
      <c r="BJ1657" s="331" t="s">
        <v>96</v>
      </c>
      <c r="BK1657" s="331"/>
    </row>
    <row r="1658" spans="1:63" s="266" customFormat="1" ht="144" customHeight="1">
      <c r="A1658" s="25">
        <v>8</v>
      </c>
      <c r="B1658" s="72" t="s">
        <v>759</v>
      </c>
      <c r="C1658" s="60" t="s">
        <v>83</v>
      </c>
      <c r="D1658" s="60" t="s">
        <v>749</v>
      </c>
      <c r="E1658" s="60" t="s">
        <v>750</v>
      </c>
      <c r="F1658" s="38" t="s">
        <v>349</v>
      </c>
      <c r="G1658" s="38">
        <v>7413023</v>
      </c>
      <c r="H1658" s="63">
        <v>626019</v>
      </c>
      <c r="I1658" s="16" t="s">
        <v>760</v>
      </c>
      <c r="J1658" s="16" t="s">
        <v>761</v>
      </c>
      <c r="K1658" s="16" t="s">
        <v>761</v>
      </c>
      <c r="L1658" s="16" t="s">
        <v>180</v>
      </c>
      <c r="M1658" s="134">
        <v>2010516</v>
      </c>
      <c r="N1658" s="16" t="s">
        <v>758</v>
      </c>
      <c r="O1658" s="16" t="s">
        <v>753</v>
      </c>
      <c r="P1658" s="330">
        <f>9048.9+6000</f>
        <v>15048.9</v>
      </c>
      <c r="Q1658" s="330">
        <f t="shared" si="221"/>
        <v>17757.701999999997</v>
      </c>
      <c r="R1658" s="23"/>
      <c r="S1658" s="29"/>
      <c r="T1658" s="25"/>
      <c r="U1658" s="25"/>
      <c r="V1658" s="25"/>
      <c r="W1658" s="25"/>
      <c r="X1658" s="25"/>
      <c r="Y1658" s="23">
        <f>P1658</f>
        <v>15048.9</v>
      </c>
      <c r="Z1658" s="23">
        <f>Q1658</f>
        <v>17757.701999999997</v>
      </c>
      <c r="AA1658" s="36" t="s">
        <v>132</v>
      </c>
      <c r="AB1658" s="36" t="s">
        <v>132</v>
      </c>
      <c r="AC1658" s="23">
        <v>15048.9</v>
      </c>
      <c r="AD1658" s="23">
        <f>Q1658</f>
        <v>17757.701999999997</v>
      </c>
      <c r="AE1658" s="38" t="s">
        <v>97</v>
      </c>
      <c r="AF1658" s="38" t="s">
        <v>83</v>
      </c>
      <c r="AG1658" s="38" t="s">
        <v>83</v>
      </c>
      <c r="AH1658" s="38" t="s">
        <v>90</v>
      </c>
      <c r="AI1658" s="52">
        <v>41776</v>
      </c>
      <c r="AJ1658" s="97">
        <v>41805</v>
      </c>
      <c r="AK1658" s="60"/>
      <c r="AL1658" s="60"/>
      <c r="AM1658" s="60" t="s">
        <v>760</v>
      </c>
      <c r="AN1658" s="60" t="s">
        <v>754</v>
      </c>
      <c r="AO1658" s="63">
        <v>642</v>
      </c>
      <c r="AP1658" s="38" t="s">
        <v>762</v>
      </c>
      <c r="AQ1658" s="25">
        <v>1</v>
      </c>
      <c r="AR1658" s="25">
        <v>45</v>
      </c>
      <c r="AS1658" s="16" t="s">
        <v>763</v>
      </c>
      <c r="AT1658" s="52">
        <v>41825</v>
      </c>
      <c r="AU1658" s="52">
        <v>41825</v>
      </c>
      <c r="AV1658" s="52">
        <v>42124</v>
      </c>
      <c r="AW1658" s="51" t="s">
        <v>99</v>
      </c>
      <c r="AX1658" s="60" t="s">
        <v>954</v>
      </c>
      <c r="AY1658" s="135"/>
      <c r="AZ1658" s="60"/>
      <c r="BA1658" s="38" t="s">
        <v>96</v>
      </c>
      <c r="BB1658" s="38" t="s">
        <v>96</v>
      </c>
      <c r="BC1658" s="60" t="s">
        <v>96</v>
      </c>
      <c r="BD1658" s="60" t="s">
        <v>96</v>
      </c>
      <c r="BE1658" s="331" t="s">
        <v>96</v>
      </c>
      <c r="BF1658" s="331" t="s">
        <v>96</v>
      </c>
      <c r="BG1658" s="331" t="s">
        <v>96</v>
      </c>
      <c r="BH1658" s="331" t="s">
        <v>96</v>
      </c>
      <c r="BI1658" s="331" t="s">
        <v>96</v>
      </c>
      <c r="BJ1658" s="331" t="s">
        <v>96</v>
      </c>
      <c r="BK1658" s="304"/>
    </row>
    <row r="1659" spans="1:63" s="268" customFormat="1" ht="112.5">
      <c r="A1659" s="25">
        <v>8</v>
      </c>
      <c r="B1659" s="60" t="s">
        <v>563</v>
      </c>
      <c r="C1659" s="60" t="s">
        <v>83</v>
      </c>
      <c r="D1659" s="60" t="s">
        <v>7461</v>
      </c>
      <c r="E1659" s="60" t="s">
        <v>564</v>
      </c>
      <c r="F1659" s="60" t="s">
        <v>349</v>
      </c>
      <c r="G1659" s="60">
        <v>4010000</v>
      </c>
      <c r="H1659" s="11">
        <v>625980</v>
      </c>
      <c r="I1659" s="16" t="s">
        <v>565</v>
      </c>
      <c r="J1659" s="16" t="s">
        <v>275</v>
      </c>
      <c r="K1659" s="16" t="s">
        <v>275</v>
      </c>
      <c r="L1659" s="16" t="s">
        <v>88</v>
      </c>
      <c r="M1659" s="134" t="s">
        <v>566</v>
      </c>
      <c r="N1659" s="16" t="s">
        <v>5878</v>
      </c>
      <c r="O1659" s="16" t="s">
        <v>929</v>
      </c>
      <c r="P1659" s="23">
        <v>3675</v>
      </c>
      <c r="Q1659" s="23">
        <f t="shared" si="221"/>
        <v>4336.5</v>
      </c>
      <c r="R1659" s="23"/>
      <c r="S1659" s="29"/>
      <c r="T1659" s="38"/>
      <c r="U1659" s="38"/>
      <c r="V1659" s="38"/>
      <c r="W1659" s="38"/>
      <c r="X1659" s="38"/>
      <c r="Y1659" s="23">
        <v>3675</v>
      </c>
      <c r="Z1659" s="34">
        <f t="shared" ref="Z1659:Z1671" si="222">Y1659*1.18</f>
        <v>4336.5</v>
      </c>
      <c r="AA1659" s="36" t="s">
        <v>132</v>
      </c>
      <c r="AB1659" s="36" t="s">
        <v>132</v>
      </c>
      <c r="AC1659" s="23">
        <v>3675</v>
      </c>
      <c r="AD1659" s="34">
        <f t="shared" ref="AD1659:AD1671" si="223">AC1659*1.18</f>
        <v>4336.5</v>
      </c>
      <c r="AE1659" s="38" t="s">
        <v>173</v>
      </c>
      <c r="AF1659" s="38" t="s">
        <v>83</v>
      </c>
      <c r="AG1659" s="38" t="s">
        <v>83</v>
      </c>
      <c r="AH1659" s="38" t="s">
        <v>545</v>
      </c>
      <c r="AI1659" s="52">
        <v>41617</v>
      </c>
      <c r="AJ1659" s="97">
        <v>41662</v>
      </c>
      <c r="AK1659" s="60"/>
      <c r="AL1659" s="60"/>
      <c r="AM1659" s="60" t="s">
        <v>565</v>
      </c>
      <c r="AN1659" s="60" t="s">
        <v>353</v>
      </c>
      <c r="AO1659" s="11">
        <v>796</v>
      </c>
      <c r="AP1659" s="38" t="s">
        <v>368</v>
      </c>
      <c r="AQ1659" s="38">
        <v>1</v>
      </c>
      <c r="AR1659" s="38">
        <v>45</v>
      </c>
      <c r="AS1659" s="16" t="s">
        <v>547</v>
      </c>
      <c r="AT1659" s="52">
        <v>41670</v>
      </c>
      <c r="AU1659" s="52">
        <v>41670</v>
      </c>
      <c r="AV1659" s="52">
        <v>42004</v>
      </c>
      <c r="AW1659" s="45" t="s">
        <v>567</v>
      </c>
      <c r="AX1659" s="60"/>
      <c r="AY1659" s="135"/>
      <c r="AZ1659" s="60"/>
      <c r="BA1659" s="38"/>
      <c r="BB1659" s="38"/>
      <c r="BC1659" s="60"/>
      <c r="BD1659" s="60"/>
      <c r="BE1659" s="238"/>
      <c r="BF1659" s="238"/>
      <c r="BG1659" s="238"/>
      <c r="BH1659" s="238"/>
      <c r="BI1659" s="238"/>
      <c r="BJ1659" s="238"/>
      <c r="BK1659" s="238"/>
    </row>
    <row r="1660" spans="1:63" s="268" customFormat="1" ht="112.5">
      <c r="A1660" s="25">
        <v>8</v>
      </c>
      <c r="B1660" s="60" t="s">
        <v>568</v>
      </c>
      <c r="C1660" s="60" t="s">
        <v>83</v>
      </c>
      <c r="D1660" s="60" t="s">
        <v>7461</v>
      </c>
      <c r="E1660" s="60" t="s">
        <v>564</v>
      </c>
      <c r="F1660" s="60" t="s">
        <v>349</v>
      </c>
      <c r="G1660" s="60">
        <v>4010000</v>
      </c>
      <c r="H1660" s="11">
        <v>625979</v>
      </c>
      <c r="I1660" s="16" t="s">
        <v>569</v>
      </c>
      <c r="J1660" s="16" t="s">
        <v>275</v>
      </c>
      <c r="K1660" s="16" t="s">
        <v>275</v>
      </c>
      <c r="L1660" s="16" t="s">
        <v>88</v>
      </c>
      <c r="M1660" s="134" t="s">
        <v>566</v>
      </c>
      <c r="N1660" s="60" t="s">
        <v>5878</v>
      </c>
      <c r="O1660" s="16" t="s">
        <v>929</v>
      </c>
      <c r="P1660" s="23">
        <v>2224</v>
      </c>
      <c r="Q1660" s="23">
        <f t="shared" si="221"/>
        <v>2624.3199999999997</v>
      </c>
      <c r="R1660" s="23"/>
      <c r="S1660" s="29"/>
      <c r="T1660" s="38"/>
      <c r="U1660" s="38"/>
      <c r="V1660" s="38"/>
      <c r="W1660" s="38"/>
      <c r="X1660" s="38"/>
      <c r="Y1660" s="23">
        <v>2224</v>
      </c>
      <c r="Z1660" s="34">
        <f t="shared" si="222"/>
        <v>2624.3199999999997</v>
      </c>
      <c r="AA1660" s="36" t="s">
        <v>132</v>
      </c>
      <c r="AB1660" s="36" t="s">
        <v>132</v>
      </c>
      <c r="AC1660" s="23">
        <v>2224</v>
      </c>
      <c r="AD1660" s="34">
        <f t="shared" si="223"/>
        <v>2624.3199999999997</v>
      </c>
      <c r="AE1660" s="38" t="s">
        <v>173</v>
      </c>
      <c r="AF1660" s="38" t="s">
        <v>83</v>
      </c>
      <c r="AG1660" s="38" t="s">
        <v>83</v>
      </c>
      <c r="AH1660" s="38" t="s">
        <v>545</v>
      </c>
      <c r="AI1660" s="51">
        <v>41579</v>
      </c>
      <c r="AJ1660" s="97">
        <v>41623</v>
      </c>
      <c r="AK1660" s="60"/>
      <c r="AL1660" s="60"/>
      <c r="AM1660" s="60" t="s">
        <v>569</v>
      </c>
      <c r="AN1660" s="60" t="s">
        <v>353</v>
      </c>
      <c r="AO1660" s="11">
        <v>796</v>
      </c>
      <c r="AP1660" s="38" t="s">
        <v>368</v>
      </c>
      <c r="AQ1660" s="38">
        <v>1</v>
      </c>
      <c r="AR1660" s="38">
        <v>45</v>
      </c>
      <c r="AS1660" s="16" t="s">
        <v>547</v>
      </c>
      <c r="AT1660" s="51">
        <v>41640</v>
      </c>
      <c r="AU1660" s="51">
        <v>41640</v>
      </c>
      <c r="AV1660" s="52">
        <v>42004</v>
      </c>
      <c r="AW1660" s="45" t="s">
        <v>567</v>
      </c>
      <c r="AX1660" s="60"/>
      <c r="AY1660" s="135"/>
      <c r="AZ1660" s="60"/>
      <c r="BA1660" s="38"/>
      <c r="BB1660" s="38"/>
      <c r="BC1660" s="60"/>
      <c r="BD1660" s="60"/>
      <c r="BE1660" s="238"/>
      <c r="BF1660" s="238"/>
      <c r="BG1660" s="238"/>
      <c r="BH1660" s="238"/>
      <c r="BI1660" s="238"/>
      <c r="BJ1660" s="238"/>
      <c r="BK1660" s="238"/>
    </row>
    <row r="1661" spans="1:63" s="268" customFormat="1" ht="112.5">
      <c r="A1661" s="25">
        <v>8</v>
      </c>
      <c r="B1661" s="60" t="s">
        <v>570</v>
      </c>
      <c r="C1661" s="60" t="s">
        <v>83</v>
      </c>
      <c r="D1661" s="60" t="s">
        <v>7461</v>
      </c>
      <c r="E1661" s="60" t="s">
        <v>564</v>
      </c>
      <c r="F1661" s="60" t="s">
        <v>349</v>
      </c>
      <c r="G1661" s="60">
        <v>4010000</v>
      </c>
      <c r="H1661" s="11">
        <v>625982</v>
      </c>
      <c r="I1661" s="16" t="s">
        <v>571</v>
      </c>
      <c r="J1661" s="16" t="s">
        <v>275</v>
      </c>
      <c r="K1661" s="16" t="s">
        <v>275</v>
      </c>
      <c r="L1661" s="16" t="s">
        <v>88</v>
      </c>
      <c r="M1661" s="134" t="s">
        <v>566</v>
      </c>
      <c r="N1661" s="60" t="s">
        <v>5878</v>
      </c>
      <c r="O1661" s="16" t="s">
        <v>929</v>
      </c>
      <c r="P1661" s="23">
        <v>1520</v>
      </c>
      <c r="Q1661" s="23">
        <f t="shared" si="221"/>
        <v>1793.6</v>
      </c>
      <c r="R1661" s="23"/>
      <c r="S1661" s="29"/>
      <c r="T1661" s="38"/>
      <c r="U1661" s="38"/>
      <c r="V1661" s="38"/>
      <c r="W1661" s="38"/>
      <c r="X1661" s="38"/>
      <c r="Y1661" s="34">
        <v>1520</v>
      </c>
      <c r="Z1661" s="34">
        <f t="shared" si="222"/>
        <v>1793.6</v>
      </c>
      <c r="AA1661" s="36" t="s">
        <v>132</v>
      </c>
      <c r="AB1661" s="36" t="s">
        <v>132</v>
      </c>
      <c r="AC1661" s="34">
        <v>1520</v>
      </c>
      <c r="AD1661" s="34">
        <f t="shared" si="223"/>
        <v>1793.6</v>
      </c>
      <c r="AE1661" s="38" t="s">
        <v>173</v>
      </c>
      <c r="AF1661" s="38" t="s">
        <v>83</v>
      </c>
      <c r="AG1661" s="38" t="s">
        <v>83</v>
      </c>
      <c r="AH1661" s="38" t="s">
        <v>545</v>
      </c>
      <c r="AI1661" s="52">
        <v>41625</v>
      </c>
      <c r="AJ1661" s="97">
        <v>41670</v>
      </c>
      <c r="AK1661" s="60"/>
      <c r="AL1661" s="60"/>
      <c r="AM1661" s="60" t="s">
        <v>571</v>
      </c>
      <c r="AN1661" s="60" t="s">
        <v>353</v>
      </c>
      <c r="AO1661" s="11">
        <v>796</v>
      </c>
      <c r="AP1661" s="38" t="s">
        <v>368</v>
      </c>
      <c r="AQ1661" s="38">
        <v>1</v>
      </c>
      <c r="AR1661" s="38">
        <v>45</v>
      </c>
      <c r="AS1661" s="16" t="s">
        <v>547</v>
      </c>
      <c r="AT1661" s="52">
        <v>41690</v>
      </c>
      <c r="AU1661" s="52">
        <v>41690</v>
      </c>
      <c r="AV1661" s="51">
        <v>42060</v>
      </c>
      <c r="AW1661" s="38" t="s">
        <v>99</v>
      </c>
      <c r="AX1661" s="60"/>
      <c r="AY1661" s="135"/>
      <c r="AZ1661" s="60"/>
      <c r="BA1661" s="38"/>
      <c r="BB1661" s="38"/>
      <c r="BC1661" s="60"/>
      <c r="BD1661" s="60"/>
      <c r="BE1661" s="238"/>
      <c r="BF1661" s="238"/>
      <c r="BG1661" s="238"/>
      <c r="BH1661" s="238"/>
      <c r="BI1661" s="238"/>
      <c r="BJ1661" s="238"/>
      <c r="BK1661" s="238"/>
    </row>
    <row r="1662" spans="1:63" s="268" customFormat="1" ht="112.5">
      <c r="A1662" s="25">
        <v>8</v>
      </c>
      <c r="B1662" s="60" t="s">
        <v>572</v>
      </c>
      <c r="C1662" s="60" t="s">
        <v>83</v>
      </c>
      <c r="D1662" s="60" t="s">
        <v>7461</v>
      </c>
      <c r="E1662" s="60" t="s">
        <v>564</v>
      </c>
      <c r="F1662" s="60" t="s">
        <v>349</v>
      </c>
      <c r="G1662" s="60">
        <v>4010000</v>
      </c>
      <c r="H1662" s="11">
        <v>625974</v>
      </c>
      <c r="I1662" s="16" t="s">
        <v>573</v>
      </c>
      <c r="J1662" s="16" t="s">
        <v>275</v>
      </c>
      <c r="K1662" s="16" t="s">
        <v>275</v>
      </c>
      <c r="L1662" s="16" t="s">
        <v>88</v>
      </c>
      <c r="M1662" s="134" t="s">
        <v>566</v>
      </c>
      <c r="N1662" s="60" t="s">
        <v>5878</v>
      </c>
      <c r="O1662" s="16" t="s">
        <v>929</v>
      </c>
      <c r="P1662" s="23">
        <v>5932</v>
      </c>
      <c r="Q1662" s="23">
        <f t="shared" si="221"/>
        <v>6999.7599999999993</v>
      </c>
      <c r="R1662" s="23"/>
      <c r="S1662" s="29"/>
      <c r="T1662" s="38"/>
      <c r="U1662" s="38"/>
      <c r="V1662" s="38"/>
      <c r="W1662" s="38"/>
      <c r="X1662" s="38"/>
      <c r="Y1662" s="34">
        <v>5932</v>
      </c>
      <c r="Z1662" s="34">
        <f t="shared" si="222"/>
        <v>6999.7599999999993</v>
      </c>
      <c r="AA1662" s="36" t="s">
        <v>132</v>
      </c>
      <c r="AB1662" s="36" t="s">
        <v>132</v>
      </c>
      <c r="AC1662" s="34">
        <v>5932</v>
      </c>
      <c r="AD1662" s="34">
        <f t="shared" si="223"/>
        <v>6999.7599999999993</v>
      </c>
      <c r="AE1662" s="38" t="s">
        <v>173</v>
      </c>
      <c r="AF1662" s="38" t="s">
        <v>83</v>
      </c>
      <c r="AG1662" s="38" t="s">
        <v>83</v>
      </c>
      <c r="AH1662" s="38" t="s">
        <v>545</v>
      </c>
      <c r="AI1662" s="52">
        <v>41617</v>
      </c>
      <c r="AJ1662" s="97">
        <v>41662</v>
      </c>
      <c r="AK1662" s="60"/>
      <c r="AL1662" s="60"/>
      <c r="AM1662" s="60" t="s">
        <v>573</v>
      </c>
      <c r="AN1662" s="60" t="s">
        <v>353</v>
      </c>
      <c r="AO1662" s="11">
        <v>796</v>
      </c>
      <c r="AP1662" s="38" t="s">
        <v>368</v>
      </c>
      <c r="AQ1662" s="38">
        <v>1</v>
      </c>
      <c r="AR1662" s="38">
        <v>45</v>
      </c>
      <c r="AS1662" s="16" t="s">
        <v>547</v>
      </c>
      <c r="AT1662" s="52">
        <v>41670</v>
      </c>
      <c r="AU1662" s="52">
        <v>41670</v>
      </c>
      <c r="AV1662" s="52">
        <v>42004</v>
      </c>
      <c r="AW1662" s="45" t="s">
        <v>567</v>
      </c>
      <c r="AX1662" s="60"/>
      <c r="AY1662" s="135"/>
      <c r="AZ1662" s="60"/>
      <c r="BA1662" s="38"/>
      <c r="BB1662" s="38"/>
      <c r="BC1662" s="60"/>
      <c r="BD1662" s="60"/>
      <c r="BE1662" s="238"/>
      <c r="BF1662" s="238"/>
      <c r="BG1662" s="238"/>
      <c r="BH1662" s="238"/>
      <c r="BI1662" s="238"/>
      <c r="BJ1662" s="238"/>
      <c r="BK1662" s="238"/>
    </row>
    <row r="1663" spans="1:63" s="268" customFormat="1" ht="112.5">
      <c r="A1663" s="25">
        <v>8</v>
      </c>
      <c r="B1663" s="60" t="s">
        <v>574</v>
      </c>
      <c r="C1663" s="60" t="s">
        <v>83</v>
      </c>
      <c r="D1663" s="60" t="s">
        <v>7461</v>
      </c>
      <c r="E1663" s="60" t="s">
        <v>564</v>
      </c>
      <c r="F1663" s="60" t="s">
        <v>349</v>
      </c>
      <c r="G1663" s="60">
        <v>4010000</v>
      </c>
      <c r="H1663" s="11">
        <v>625973</v>
      </c>
      <c r="I1663" s="16" t="s">
        <v>4644</v>
      </c>
      <c r="J1663" s="16" t="s">
        <v>275</v>
      </c>
      <c r="K1663" s="16" t="s">
        <v>275</v>
      </c>
      <c r="L1663" s="16" t="s">
        <v>88</v>
      </c>
      <c r="M1663" s="134" t="s">
        <v>566</v>
      </c>
      <c r="N1663" s="60" t="s">
        <v>5878</v>
      </c>
      <c r="O1663" s="16" t="s">
        <v>929</v>
      </c>
      <c r="P1663" s="23">
        <v>2119</v>
      </c>
      <c r="Q1663" s="23">
        <f t="shared" si="221"/>
        <v>2500.42</v>
      </c>
      <c r="R1663" s="23"/>
      <c r="S1663" s="29"/>
      <c r="T1663" s="38"/>
      <c r="U1663" s="38"/>
      <c r="V1663" s="38"/>
      <c r="W1663" s="38"/>
      <c r="X1663" s="38"/>
      <c r="Y1663" s="23">
        <v>2119</v>
      </c>
      <c r="Z1663" s="34">
        <f t="shared" si="222"/>
        <v>2500.42</v>
      </c>
      <c r="AA1663" s="36" t="s">
        <v>132</v>
      </c>
      <c r="AB1663" s="36" t="s">
        <v>132</v>
      </c>
      <c r="AC1663" s="23">
        <v>2119</v>
      </c>
      <c r="AD1663" s="34">
        <f t="shared" si="223"/>
        <v>2500.42</v>
      </c>
      <c r="AE1663" s="38" t="s">
        <v>173</v>
      </c>
      <c r="AF1663" s="38" t="s">
        <v>83</v>
      </c>
      <c r="AG1663" s="38" t="s">
        <v>83</v>
      </c>
      <c r="AH1663" s="38" t="s">
        <v>545</v>
      </c>
      <c r="AI1663" s="51">
        <v>41595</v>
      </c>
      <c r="AJ1663" s="97">
        <v>41633</v>
      </c>
      <c r="AK1663" s="60"/>
      <c r="AL1663" s="60"/>
      <c r="AM1663" s="16" t="s">
        <v>4501</v>
      </c>
      <c r="AN1663" s="60" t="s">
        <v>353</v>
      </c>
      <c r="AO1663" s="11">
        <v>796</v>
      </c>
      <c r="AP1663" s="38" t="s">
        <v>368</v>
      </c>
      <c r="AQ1663" s="38">
        <v>1</v>
      </c>
      <c r="AR1663" s="38">
        <v>45</v>
      </c>
      <c r="AS1663" s="16" t="s">
        <v>547</v>
      </c>
      <c r="AT1663" s="51">
        <v>41656</v>
      </c>
      <c r="AU1663" s="51">
        <v>41656</v>
      </c>
      <c r="AV1663" s="51">
        <v>41882</v>
      </c>
      <c r="AW1663" s="45" t="s">
        <v>567</v>
      </c>
      <c r="AX1663" s="60"/>
      <c r="AY1663" s="135"/>
      <c r="AZ1663" s="60"/>
      <c r="BA1663" s="38"/>
      <c r="BB1663" s="38"/>
      <c r="BC1663" s="60"/>
      <c r="BD1663" s="60"/>
      <c r="BE1663" s="238"/>
      <c r="BF1663" s="238"/>
      <c r="BG1663" s="238"/>
      <c r="BH1663" s="238"/>
      <c r="BI1663" s="238"/>
      <c r="BJ1663" s="238"/>
      <c r="BK1663" s="238"/>
    </row>
    <row r="1664" spans="1:63" s="268" customFormat="1" ht="112.5">
      <c r="A1664" s="25">
        <v>8</v>
      </c>
      <c r="B1664" s="60" t="s">
        <v>575</v>
      </c>
      <c r="C1664" s="60" t="s">
        <v>83</v>
      </c>
      <c r="D1664" s="60" t="s">
        <v>7461</v>
      </c>
      <c r="E1664" s="60" t="s">
        <v>564</v>
      </c>
      <c r="F1664" s="60" t="s">
        <v>349</v>
      </c>
      <c r="G1664" s="60">
        <v>4010000</v>
      </c>
      <c r="H1664" s="11">
        <v>625968</v>
      </c>
      <c r="I1664" s="16" t="s">
        <v>576</v>
      </c>
      <c r="J1664" s="16" t="s">
        <v>275</v>
      </c>
      <c r="K1664" s="16" t="s">
        <v>275</v>
      </c>
      <c r="L1664" s="16" t="s">
        <v>88</v>
      </c>
      <c r="M1664" s="134" t="s">
        <v>566</v>
      </c>
      <c r="N1664" s="60" t="s">
        <v>5878</v>
      </c>
      <c r="O1664" s="16" t="s">
        <v>929</v>
      </c>
      <c r="P1664" s="23">
        <v>2224.6</v>
      </c>
      <c r="Q1664" s="23">
        <f t="shared" si="221"/>
        <v>2625.0279999999998</v>
      </c>
      <c r="R1664" s="23"/>
      <c r="S1664" s="29"/>
      <c r="T1664" s="38"/>
      <c r="U1664" s="38"/>
      <c r="V1664" s="38"/>
      <c r="W1664" s="38"/>
      <c r="X1664" s="38"/>
      <c r="Y1664" s="23">
        <v>2224</v>
      </c>
      <c r="Z1664" s="34">
        <f t="shared" si="222"/>
        <v>2624.3199999999997</v>
      </c>
      <c r="AA1664" s="36" t="s">
        <v>132</v>
      </c>
      <c r="AB1664" s="36" t="s">
        <v>132</v>
      </c>
      <c r="AC1664" s="23">
        <v>2224</v>
      </c>
      <c r="AD1664" s="34">
        <f t="shared" si="223"/>
        <v>2624.3199999999997</v>
      </c>
      <c r="AE1664" s="38" t="s">
        <v>173</v>
      </c>
      <c r="AF1664" s="38" t="s">
        <v>83</v>
      </c>
      <c r="AG1664" s="38" t="s">
        <v>83</v>
      </c>
      <c r="AH1664" s="38" t="s">
        <v>545</v>
      </c>
      <c r="AI1664" s="51">
        <v>41579</v>
      </c>
      <c r="AJ1664" s="97">
        <v>41623</v>
      </c>
      <c r="AK1664" s="60"/>
      <c r="AL1664" s="60"/>
      <c r="AM1664" s="60" t="s">
        <v>576</v>
      </c>
      <c r="AN1664" s="60" t="s">
        <v>353</v>
      </c>
      <c r="AO1664" s="11">
        <v>796</v>
      </c>
      <c r="AP1664" s="38" t="s">
        <v>368</v>
      </c>
      <c r="AQ1664" s="38">
        <v>1</v>
      </c>
      <c r="AR1664" s="38">
        <v>45</v>
      </c>
      <c r="AS1664" s="16" t="s">
        <v>547</v>
      </c>
      <c r="AT1664" s="51">
        <v>41640</v>
      </c>
      <c r="AU1664" s="51">
        <v>41640</v>
      </c>
      <c r="AV1664" s="52">
        <v>42004</v>
      </c>
      <c r="AW1664" s="45" t="s">
        <v>567</v>
      </c>
      <c r="AX1664" s="60"/>
      <c r="AY1664" s="135"/>
      <c r="AZ1664" s="60"/>
      <c r="BA1664" s="38"/>
      <c r="BB1664" s="38"/>
      <c r="BC1664" s="60"/>
      <c r="BD1664" s="60"/>
      <c r="BE1664" s="238"/>
      <c r="BF1664" s="238"/>
      <c r="BG1664" s="238"/>
      <c r="BH1664" s="238"/>
      <c r="BI1664" s="238"/>
      <c r="BJ1664" s="238"/>
      <c r="BK1664" s="238"/>
    </row>
    <row r="1665" spans="1:63" s="268" customFormat="1" ht="112.5">
      <c r="A1665" s="25">
        <v>8</v>
      </c>
      <c r="B1665" s="60" t="s">
        <v>577</v>
      </c>
      <c r="C1665" s="60" t="s">
        <v>83</v>
      </c>
      <c r="D1665" s="60" t="s">
        <v>7461</v>
      </c>
      <c r="E1665" s="60" t="s">
        <v>564</v>
      </c>
      <c r="F1665" s="60" t="s">
        <v>349</v>
      </c>
      <c r="G1665" s="60">
        <v>4010000</v>
      </c>
      <c r="H1665" s="11">
        <v>625964</v>
      </c>
      <c r="I1665" s="16" t="s">
        <v>578</v>
      </c>
      <c r="J1665" s="16" t="s">
        <v>275</v>
      </c>
      <c r="K1665" s="16" t="s">
        <v>275</v>
      </c>
      <c r="L1665" s="16" t="s">
        <v>88</v>
      </c>
      <c r="M1665" s="134" t="s">
        <v>566</v>
      </c>
      <c r="N1665" s="60" t="s">
        <v>5878</v>
      </c>
      <c r="O1665" s="16" t="s">
        <v>929</v>
      </c>
      <c r="P1665" s="23">
        <v>5932</v>
      </c>
      <c r="Q1665" s="23">
        <f t="shared" si="221"/>
        <v>6999.7599999999993</v>
      </c>
      <c r="R1665" s="23"/>
      <c r="S1665" s="29"/>
      <c r="T1665" s="38"/>
      <c r="U1665" s="38"/>
      <c r="V1665" s="38"/>
      <c r="W1665" s="38"/>
      <c r="X1665" s="38"/>
      <c r="Y1665" s="23">
        <v>5932</v>
      </c>
      <c r="Z1665" s="34">
        <f t="shared" si="222"/>
        <v>6999.7599999999993</v>
      </c>
      <c r="AA1665" s="36" t="s">
        <v>132</v>
      </c>
      <c r="AB1665" s="36" t="s">
        <v>132</v>
      </c>
      <c r="AC1665" s="23">
        <v>5932</v>
      </c>
      <c r="AD1665" s="34">
        <f t="shared" si="223"/>
        <v>6999.7599999999993</v>
      </c>
      <c r="AE1665" s="38" t="s">
        <v>173</v>
      </c>
      <c r="AF1665" s="38" t="s">
        <v>83</v>
      </c>
      <c r="AG1665" s="38" t="s">
        <v>83</v>
      </c>
      <c r="AH1665" s="38" t="s">
        <v>545</v>
      </c>
      <c r="AI1665" s="52">
        <v>41617</v>
      </c>
      <c r="AJ1665" s="97">
        <v>41662</v>
      </c>
      <c r="AK1665" s="60"/>
      <c r="AL1665" s="60"/>
      <c r="AM1665" s="60" t="s">
        <v>578</v>
      </c>
      <c r="AN1665" s="60" t="s">
        <v>353</v>
      </c>
      <c r="AO1665" s="11">
        <v>796</v>
      </c>
      <c r="AP1665" s="38" t="s">
        <v>368</v>
      </c>
      <c r="AQ1665" s="38">
        <v>1</v>
      </c>
      <c r="AR1665" s="38">
        <v>45</v>
      </c>
      <c r="AS1665" s="16" t="s">
        <v>547</v>
      </c>
      <c r="AT1665" s="52">
        <v>41670</v>
      </c>
      <c r="AU1665" s="52">
        <v>41670</v>
      </c>
      <c r="AV1665" s="51">
        <v>42004</v>
      </c>
      <c r="AW1665" s="38">
        <v>2014</v>
      </c>
      <c r="AX1665" s="60"/>
      <c r="AY1665" s="135"/>
      <c r="AZ1665" s="60"/>
      <c r="BA1665" s="38"/>
      <c r="BB1665" s="38"/>
      <c r="BC1665" s="60"/>
      <c r="BD1665" s="60"/>
      <c r="BE1665" s="238"/>
      <c r="BF1665" s="238"/>
      <c r="BG1665" s="238"/>
      <c r="BH1665" s="238"/>
      <c r="BI1665" s="238"/>
      <c r="BJ1665" s="238"/>
      <c r="BK1665" s="238"/>
    </row>
    <row r="1666" spans="1:63" s="268" customFormat="1" ht="112.5">
      <c r="A1666" s="25">
        <v>8</v>
      </c>
      <c r="B1666" s="60" t="s">
        <v>579</v>
      </c>
      <c r="C1666" s="60" t="s">
        <v>83</v>
      </c>
      <c r="D1666" s="60" t="s">
        <v>7461</v>
      </c>
      <c r="E1666" s="60" t="s">
        <v>564</v>
      </c>
      <c r="F1666" s="60" t="s">
        <v>349</v>
      </c>
      <c r="G1666" s="60">
        <v>4010000</v>
      </c>
      <c r="H1666" s="11">
        <v>625962</v>
      </c>
      <c r="I1666" s="16" t="s">
        <v>580</v>
      </c>
      <c r="J1666" s="16" t="s">
        <v>275</v>
      </c>
      <c r="K1666" s="16" t="s">
        <v>275</v>
      </c>
      <c r="L1666" s="16" t="s">
        <v>88</v>
      </c>
      <c r="M1666" s="134" t="s">
        <v>566</v>
      </c>
      <c r="N1666" s="60" t="s">
        <v>5878</v>
      </c>
      <c r="O1666" s="16" t="s">
        <v>929</v>
      </c>
      <c r="P1666" s="23">
        <v>5932</v>
      </c>
      <c r="Q1666" s="23">
        <f t="shared" si="221"/>
        <v>6999.7599999999993</v>
      </c>
      <c r="R1666" s="23"/>
      <c r="S1666" s="29"/>
      <c r="T1666" s="38"/>
      <c r="U1666" s="38"/>
      <c r="V1666" s="38"/>
      <c r="W1666" s="38"/>
      <c r="X1666" s="38"/>
      <c r="Y1666" s="34">
        <v>5932</v>
      </c>
      <c r="Z1666" s="34">
        <f t="shared" si="222"/>
        <v>6999.7599999999993</v>
      </c>
      <c r="AA1666" s="36" t="s">
        <v>132</v>
      </c>
      <c r="AB1666" s="36" t="s">
        <v>132</v>
      </c>
      <c r="AC1666" s="34">
        <v>5932</v>
      </c>
      <c r="AD1666" s="34">
        <f t="shared" si="223"/>
        <v>6999.7599999999993</v>
      </c>
      <c r="AE1666" s="38" t="s">
        <v>173</v>
      </c>
      <c r="AF1666" s="38" t="s">
        <v>83</v>
      </c>
      <c r="AG1666" s="38" t="s">
        <v>83</v>
      </c>
      <c r="AH1666" s="38" t="s">
        <v>545</v>
      </c>
      <c r="AI1666" s="97">
        <v>41617</v>
      </c>
      <c r="AJ1666" s="97">
        <v>41662</v>
      </c>
      <c r="AK1666" s="60"/>
      <c r="AL1666" s="60"/>
      <c r="AM1666" s="60" t="s">
        <v>580</v>
      </c>
      <c r="AN1666" s="60" t="s">
        <v>353</v>
      </c>
      <c r="AO1666" s="11">
        <v>796</v>
      </c>
      <c r="AP1666" s="38" t="s">
        <v>368</v>
      </c>
      <c r="AQ1666" s="38">
        <v>1</v>
      </c>
      <c r="AR1666" s="38">
        <v>45</v>
      </c>
      <c r="AS1666" s="16" t="s">
        <v>547</v>
      </c>
      <c r="AT1666" s="52">
        <v>41670</v>
      </c>
      <c r="AU1666" s="52">
        <v>41670</v>
      </c>
      <c r="AV1666" s="51">
        <v>42004</v>
      </c>
      <c r="AW1666" s="38">
        <v>2014</v>
      </c>
      <c r="AX1666" s="60"/>
      <c r="AY1666" s="135"/>
      <c r="AZ1666" s="60"/>
      <c r="BA1666" s="38"/>
      <c r="BB1666" s="38"/>
      <c r="BC1666" s="60"/>
      <c r="BD1666" s="60"/>
      <c r="BE1666" s="238"/>
      <c r="BF1666" s="238"/>
      <c r="BG1666" s="238"/>
      <c r="BH1666" s="238"/>
      <c r="BI1666" s="238"/>
      <c r="BJ1666" s="238"/>
      <c r="BK1666" s="238"/>
    </row>
    <row r="1667" spans="1:63" s="268" customFormat="1" ht="112.5">
      <c r="A1667" s="25">
        <v>8</v>
      </c>
      <c r="B1667" s="60" t="s">
        <v>581</v>
      </c>
      <c r="C1667" s="60" t="s">
        <v>83</v>
      </c>
      <c r="D1667" s="60" t="s">
        <v>7461</v>
      </c>
      <c r="E1667" s="60" t="s">
        <v>564</v>
      </c>
      <c r="F1667" s="60" t="s">
        <v>349</v>
      </c>
      <c r="G1667" s="60">
        <v>4010000</v>
      </c>
      <c r="H1667" s="11">
        <v>625949</v>
      </c>
      <c r="I1667" s="16" t="s">
        <v>582</v>
      </c>
      <c r="J1667" s="16" t="s">
        <v>275</v>
      </c>
      <c r="K1667" s="16" t="s">
        <v>275</v>
      </c>
      <c r="L1667" s="16" t="s">
        <v>88</v>
      </c>
      <c r="M1667" s="134" t="s">
        <v>566</v>
      </c>
      <c r="N1667" s="60" t="s">
        <v>5878</v>
      </c>
      <c r="O1667" s="16" t="s">
        <v>929</v>
      </c>
      <c r="P1667" s="23">
        <v>1641.99</v>
      </c>
      <c r="Q1667" s="23">
        <f t="shared" si="221"/>
        <v>1937.5482</v>
      </c>
      <c r="R1667" s="23"/>
      <c r="S1667" s="29"/>
      <c r="T1667" s="38"/>
      <c r="U1667" s="38"/>
      <c r="V1667" s="38"/>
      <c r="W1667" s="38"/>
      <c r="X1667" s="38"/>
      <c r="Y1667" s="34">
        <v>1641.99</v>
      </c>
      <c r="Z1667" s="34">
        <f t="shared" si="222"/>
        <v>1937.5482</v>
      </c>
      <c r="AA1667" s="36" t="s">
        <v>132</v>
      </c>
      <c r="AB1667" s="36" t="s">
        <v>132</v>
      </c>
      <c r="AC1667" s="34">
        <v>1641.99</v>
      </c>
      <c r="AD1667" s="34">
        <f t="shared" si="223"/>
        <v>1937.5482</v>
      </c>
      <c r="AE1667" s="38" t="s">
        <v>173</v>
      </c>
      <c r="AF1667" s="38" t="s">
        <v>83</v>
      </c>
      <c r="AG1667" s="38" t="s">
        <v>83</v>
      </c>
      <c r="AH1667" s="38" t="s">
        <v>545</v>
      </c>
      <c r="AI1667" s="51">
        <v>41619</v>
      </c>
      <c r="AJ1667" s="52">
        <v>41649</v>
      </c>
      <c r="AK1667" s="60"/>
      <c r="AL1667" s="60"/>
      <c r="AM1667" s="60" t="s">
        <v>582</v>
      </c>
      <c r="AN1667" s="60" t="s">
        <v>353</v>
      </c>
      <c r="AO1667" s="11">
        <v>796</v>
      </c>
      <c r="AP1667" s="38" t="s">
        <v>368</v>
      </c>
      <c r="AQ1667" s="38">
        <v>1</v>
      </c>
      <c r="AR1667" s="38">
        <v>45</v>
      </c>
      <c r="AS1667" s="16" t="s">
        <v>547</v>
      </c>
      <c r="AT1667" s="51">
        <v>41670</v>
      </c>
      <c r="AU1667" s="51">
        <v>41670</v>
      </c>
      <c r="AV1667" s="52">
        <v>42004</v>
      </c>
      <c r="AW1667" s="45" t="s">
        <v>567</v>
      </c>
      <c r="AX1667" s="60"/>
      <c r="AY1667" s="135"/>
      <c r="AZ1667" s="60"/>
      <c r="BA1667" s="38"/>
      <c r="BB1667" s="38"/>
      <c r="BC1667" s="60"/>
      <c r="BD1667" s="60"/>
      <c r="BE1667" s="238"/>
      <c r="BF1667" s="238"/>
      <c r="BG1667" s="238"/>
      <c r="BH1667" s="238"/>
      <c r="BI1667" s="238"/>
      <c r="BJ1667" s="238"/>
      <c r="BK1667" s="378"/>
    </row>
    <row r="1668" spans="1:63" s="268" customFormat="1" ht="168.75">
      <c r="A1668" s="25">
        <v>8</v>
      </c>
      <c r="B1668" s="60" t="s">
        <v>583</v>
      </c>
      <c r="C1668" s="60" t="s">
        <v>83</v>
      </c>
      <c r="D1668" s="60" t="s">
        <v>7461</v>
      </c>
      <c r="E1668" s="60" t="s">
        <v>564</v>
      </c>
      <c r="F1668" s="60" t="s">
        <v>349</v>
      </c>
      <c r="G1668" s="60">
        <v>4010000</v>
      </c>
      <c r="H1668" s="11">
        <v>625976</v>
      </c>
      <c r="I1668" s="16" t="s">
        <v>4313</v>
      </c>
      <c r="J1668" s="16" t="s">
        <v>275</v>
      </c>
      <c r="K1668" s="16" t="s">
        <v>275</v>
      </c>
      <c r="L1668" s="16" t="s">
        <v>88</v>
      </c>
      <c r="M1668" s="134" t="s">
        <v>566</v>
      </c>
      <c r="N1668" s="60" t="s">
        <v>5878</v>
      </c>
      <c r="O1668" s="16" t="s">
        <v>929</v>
      </c>
      <c r="P1668" s="23">
        <v>3480</v>
      </c>
      <c r="Q1668" s="23">
        <f t="shared" si="221"/>
        <v>4106.3999999999996</v>
      </c>
      <c r="R1668" s="23"/>
      <c r="S1668" s="29"/>
      <c r="T1668" s="38"/>
      <c r="U1668" s="38"/>
      <c r="V1668" s="38"/>
      <c r="W1668" s="38"/>
      <c r="X1668" s="38"/>
      <c r="Y1668" s="34">
        <v>3480</v>
      </c>
      <c r="Z1668" s="34">
        <f t="shared" si="222"/>
        <v>4106.3999999999996</v>
      </c>
      <c r="AA1668" s="36" t="s">
        <v>132</v>
      </c>
      <c r="AB1668" s="36" t="s">
        <v>132</v>
      </c>
      <c r="AC1668" s="34">
        <v>3480</v>
      </c>
      <c r="AD1668" s="34">
        <f t="shared" si="223"/>
        <v>4106.3999999999996</v>
      </c>
      <c r="AE1668" s="38" t="s">
        <v>173</v>
      </c>
      <c r="AF1668" s="38" t="s">
        <v>83</v>
      </c>
      <c r="AG1668" s="38" t="s">
        <v>83</v>
      </c>
      <c r="AH1668" s="38" t="s">
        <v>545</v>
      </c>
      <c r="AI1668" s="51">
        <v>41579</v>
      </c>
      <c r="AJ1668" s="97">
        <v>41623</v>
      </c>
      <c r="AK1668" s="60"/>
      <c r="AL1668" s="60"/>
      <c r="AM1668" s="60" t="s">
        <v>584</v>
      </c>
      <c r="AN1668" s="60" t="s">
        <v>353</v>
      </c>
      <c r="AO1668" s="11">
        <v>796</v>
      </c>
      <c r="AP1668" s="38" t="s">
        <v>368</v>
      </c>
      <c r="AQ1668" s="38">
        <v>1</v>
      </c>
      <c r="AR1668" s="38">
        <v>45</v>
      </c>
      <c r="AS1668" s="16" t="s">
        <v>547</v>
      </c>
      <c r="AT1668" s="51">
        <v>41640</v>
      </c>
      <c r="AU1668" s="51">
        <v>41640</v>
      </c>
      <c r="AV1668" s="52">
        <v>42004</v>
      </c>
      <c r="AW1668" s="45" t="s">
        <v>567</v>
      </c>
      <c r="AX1668" s="60"/>
      <c r="AY1668" s="135"/>
      <c r="AZ1668" s="60"/>
      <c r="BA1668" s="38"/>
      <c r="BB1668" s="38"/>
      <c r="BC1668" s="60"/>
      <c r="BD1668" s="60"/>
      <c r="BE1668" s="238"/>
      <c r="BF1668" s="238"/>
      <c r="BG1668" s="238"/>
      <c r="BH1668" s="238"/>
      <c r="BI1668" s="238"/>
      <c r="BJ1668" s="238"/>
      <c r="BK1668" s="238"/>
    </row>
    <row r="1669" spans="1:63" s="268" customFormat="1" ht="112.5">
      <c r="A1669" s="25">
        <v>8</v>
      </c>
      <c r="B1669" s="60" t="s">
        <v>585</v>
      </c>
      <c r="C1669" s="60" t="s">
        <v>83</v>
      </c>
      <c r="D1669" s="60" t="s">
        <v>7461</v>
      </c>
      <c r="E1669" s="60" t="s">
        <v>564</v>
      </c>
      <c r="F1669" s="60" t="s">
        <v>349</v>
      </c>
      <c r="G1669" s="60">
        <v>4010000</v>
      </c>
      <c r="H1669" s="11">
        <v>625970</v>
      </c>
      <c r="I1669" s="16" t="s">
        <v>4314</v>
      </c>
      <c r="J1669" s="16" t="s">
        <v>275</v>
      </c>
      <c r="K1669" s="16" t="s">
        <v>275</v>
      </c>
      <c r="L1669" s="16" t="s">
        <v>180</v>
      </c>
      <c r="M1669" s="134" t="s">
        <v>5870</v>
      </c>
      <c r="N1669" s="16" t="s">
        <v>5943</v>
      </c>
      <c r="O1669" s="16" t="s">
        <v>929</v>
      </c>
      <c r="P1669" s="23">
        <v>5681</v>
      </c>
      <c r="Q1669" s="23">
        <f t="shared" si="221"/>
        <v>6703.58</v>
      </c>
      <c r="R1669" s="23"/>
      <c r="S1669" s="29"/>
      <c r="T1669" s="38"/>
      <c r="U1669" s="38"/>
      <c r="V1669" s="38"/>
      <c r="W1669" s="38"/>
      <c r="X1669" s="38"/>
      <c r="Y1669" s="23">
        <v>5681</v>
      </c>
      <c r="Z1669" s="34">
        <f t="shared" si="222"/>
        <v>6703.58</v>
      </c>
      <c r="AA1669" s="36" t="s">
        <v>132</v>
      </c>
      <c r="AB1669" s="36" t="s">
        <v>132</v>
      </c>
      <c r="AC1669" s="23">
        <v>5681</v>
      </c>
      <c r="AD1669" s="34">
        <f t="shared" si="223"/>
        <v>6703.58</v>
      </c>
      <c r="AE1669" s="38" t="s">
        <v>173</v>
      </c>
      <c r="AF1669" s="38" t="s">
        <v>83</v>
      </c>
      <c r="AG1669" s="38" t="s">
        <v>83</v>
      </c>
      <c r="AH1669" s="38" t="s">
        <v>545</v>
      </c>
      <c r="AI1669" s="51">
        <v>41579</v>
      </c>
      <c r="AJ1669" s="97">
        <v>41623</v>
      </c>
      <c r="AK1669" s="60"/>
      <c r="AL1669" s="60"/>
      <c r="AM1669" s="60" t="s">
        <v>586</v>
      </c>
      <c r="AN1669" s="60" t="s">
        <v>353</v>
      </c>
      <c r="AO1669" s="11">
        <v>796</v>
      </c>
      <c r="AP1669" s="38" t="s">
        <v>368</v>
      </c>
      <c r="AQ1669" s="38">
        <v>1</v>
      </c>
      <c r="AR1669" s="38">
        <v>45</v>
      </c>
      <c r="AS1669" s="16" t="s">
        <v>547</v>
      </c>
      <c r="AT1669" s="51">
        <v>41640</v>
      </c>
      <c r="AU1669" s="51">
        <v>41640</v>
      </c>
      <c r="AV1669" s="52">
        <v>42004</v>
      </c>
      <c r="AW1669" s="29">
        <v>2014</v>
      </c>
      <c r="AX1669" s="60"/>
      <c r="AY1669" s="135"/>
      <c r="AZ1669" s="60"/>
      <c r="BA1669" s="38"/>
      <c r="BB1669" s="38"/>
      <c r="BC1669" s="60"/>
      <c r="BD1669" s="60"/>
      <c r="BE1669" s="238"/>
      <c r="BF1669" s="238"/>
      <c r="BG1669" s="238"/>
      <c r="BH1669" s="238"/>
      <c r="BI1669" s="238"/>
      <c r="BJ1669" s="238"/>
      <c r="BK1669" s="238"/>
    </row>
    <row r="1670" spans="1:63" s="268" customFormat="1" ht="93.75" customHeight="1">
      <c r="A1670" s="25">
        <v>8</v>
      </c>
      <c r="B1670" s="60" t="s">
        <v>4315</v>
      </c>
      <c r="C1670" s="60" t="s">
        <v>83</v>
      </c>
      <c r="D1670" s="60" t="s">
        <v>7461</v>
      </c>
      <c r="E1670" s="60" t="s">
        <v>564</v>
      </c>
      <c r="F1670" s="60" t="s">
        <v>349</v>
      </c>
      <c r="G1670" s="60">
        <v>4010000</v>
      </c>
      <c r="H1670" s="11">
        <v>626504</v>
      </c>
      <c r="I1670" s="16" t="s">
        <v>4316</v>
      </c>
      <c r="J1670" s="16" t="s">
        <v>275</v>
      </c>
      <c r="K1670" s="16" t="s">
        <v>275</v>
      </c>
      <c r="L1670" s="16" t="s">
        <v>552</v>
      </c>
      <c r="M1670" s="134" t="s">
        <v>566</v>
      </c>
      <c r="N1670" s="60" t="s">
        <v>5878</v>
      </c>
      <c r="O1670" s="16" t="s">
        <v>929</v>
      </c>
      <c r="P1670" s="23">
        <v>5889</v>
      </c>
      <c r="Q1670" s="23">
        <f t="shared" si="221"/>
        <v>6949.0199999999995</v>
      </c>
      <c r="R1670" s="23"/>
      <c r="S1670" s="29"/>
      <c r="T1670" s="38"/>
      <c r="U1670" s="38"/>
      <c r="V1670" s="38"/>
      <c r="W1670" s="38"/>
      <c r="X1670" s="38"/>
      <c r="Y1670" s="23">
        <v>5889</v>
      </c>
      <c r="Z1670" s="34">
        <f t="shared" si="222"/>
        <v>6949.0199999999995</v>
      </c>
      <c r="AA1670" s="36" t="s">
        <v>132</v>
      </c>
      <c r="AB1670" s="36" t="s">
        <v>132</v>
      </c>
      <c r="AC1670" s="23">
        <v>5889</v>
      </c>
      <c r="AD1670" s="34">
        <f t="shared" si="223"/>
        <v>6949.0199999999995</v>
      </c>
      <c r="AE1670" s="38" t="s">
        <v>173</v>
      </c>
      <c r="AF1670" s="38" t="s">
        <v>83</v>
      </c>
      <c r="AG1670" s="38" t="s">
        <v>83</v>
      </c>
      <c r="AH1670" s="38" t="s">
        <v>545</v>
      </c>
      <c r="AI1670" s="52">
        <v>41619</v>
      </c>
      <c r="AJ1670" s="52">
        <v>41649</v>
      </c>
      <c r="AK1670" s="60"/>
      <c r="AL1670" s="60"/>
      <c r="AM1670" s="60" t="s">
        <v>4319</v>
      </c>
      <c r="AN1670" s="60" t="s">
        <v>353</v>
      </c>
      <c r="AO1670" s="11">
        <v>796</v>
      </c>
      <c r="AP1670" s="38" t="s">
        <v>368</v>
      </c>
      <c r="AQ1670" s="38">
        <v>1</v>
      </c>
      <c r="AR1670" s="38">
        <v>45</v>
      </c>
      <c r="AS1670" s="16" t="s">
        <v>547</v>
      </c>
      <c r="AT1670" s="52">
        <v>41670</v>
      </c>
      <c r="AU1670" s="52">
        <v>41670</v>
      </c>
      <c r="AV1670" s="52">
        <v>42004</v>
      </c>
      <c r="AW1670" s="29">
        <v>2014</v>
      </c>
      <c r="AX1670" s="60"/>
      <c r="AY1670" s="135"/>
      <c r="AZ1670" s="60"/>
      <c r="BA1670" s="38"/>
      <c r="BB1670" s="38"/>
      <c r="BC1670" s="60"/>
      <c r="BD1670" s="60"/>
      <c r="BE1670" s="238"/>
      <c r="BF1670" s="238"/>
      <c r="BG1670" s="238"/>
      <c r="BH1670" s="238"/>
      <c r="BI1670" s="238"/>
      <c r="BJ1670" s="238"/>
      <c r="BK1670" s="378"/>
    </row>
    <row r="1671" spans="1:63" s="268" customFormat="1" ht="93.75" customHeight="1">
      <c r="A1671" s="25">
        <v>8</v>
      </c>
      <c r="B1671" s="60" t="s">
        <v>4317</v>
      </c>
      <c r="C1671" s="60" t="s">
        <v>83</v>
      </c>
      <c r="D1671" s="60" t="s">
        <v>7461</v>
      </c>
      <c r="E1671" s="60" t="s">
        <v>564</v>
      </c>
      <c r="F1671" s="60" t="s">
        <v>349</v>
      </c>
      <c r="G1671" s="60">
        <v>4010000</v>
      </c>
      <c r="H1671" s="11">
        <v>626503</v>
      </c>
      <c r="I1671" s="16" t="s">
        <v>4318</v>
      </c>
      <c r="J1671" s="16" t="s">
        <v>275</v>
      </c>
      <c r="K1671" s="16" t="s">
        <v>275</v>
      </c>
      <c r="L1671" s="16" t="s">
        <v>552</v>
      </c>
      <c r="M1671" s="134" t="s">
        <v>566</v>
      </c>
      <c r="N1671" s="60" t="s">
        <v>5878</v>
      </c>
      <c r="O1671" s="16" t="s">
        <v>929</v>
      </c>
      <c r="P1671" s="23">
        <v>6770</v>
      </c>
      <c r="Q1671" s="23">
        <f t="shared" si="221"/>
        <v>7988.5999999999995</v>
      </c>
      <c r="R1671" s="23"/>
      <c r="S1671" s="29"/>
      <c r="T1671" s="38"/>
      <c r="U1671" s="38"/>
      <c r="V1671" s="38"/>
      <c r="W1671" s="38"/>
      <c r="X1671" s="38"/>
      <c r="Y1671" s="23">
        <v>6770</v>
      </c>
      <c r="Z1671" s="34">
        <f t="shared" si="222"/>
        <v>7988.5999999999995</v>
      </c>
      <c r="AA1671" s="36" t="s">
        <v>132</v>
      </c>
      <c r="AB1671" s="36" t="s">
        <v>132</v>
      </c>
      <c r="AC1671" s="23">
        <v>6770</v>
      </c>
      <c r="AD1671" s="34">
        <f t="shared" si="223"/>
        <v>7988.5999999999995</v>
      </c>
      <c r="AE1671" s="38" t="s">
        <v>173</v>
      </c>
      <c r="AF1671" s="38" t="s">
        <v>83</v>
      </c>
      <c r="AG1671" s="38" t="s">
        <v>83</v>
      </c>
      <c r="AH1671" s="38" t="s">
        <v>545</v>
      </c>
      <c r="AI1671" s="51">
        <v>41594</v>
      </c>
      <c r="AJ1671" s="97">
        <v>41623</v>
      </c>
      <c r="AK1671" s="60"/>
      <c r="AL1671" s="60"/>
      <c r="AM1671" s="60" t="s">
        <v>4320</v>
      </c>
      <c r="AN1671" s="60" t="s">
        <v>353</v>
      </c>
      <c r="AO1671" s="11">
        <v>796</v>
      </c>
      <c r="AP1671" s="38" t="s">
        <v>368</v>
      </c>
      <c r="AQ1671" s="38">
        <v>1</v>
      </c>
      <c r="AR1671" s="38">
        <v>45</v>
      </c>
      <c r="AS1671" s="16" t="s">
        <v>547</v>
      </c>
      <c r="AT1671" s="51">
        <v>41659</v>
      </c>
      <c r="AU1671" s="51">
        <v>41659</v>
      </c>
      <c r="AV1671" s="52">
        <v>42004</v>
      </c>
      <c r="AW1671" s="29">
        <v>2014</v>
      </c>
      <c r="AX1671" s="60"/>
      <c r="AY1671" s="135"/>
      <c r="AZ1671" s="60"/>
      <c r="BA1671" s="38"/>
      <c r="BB1671" s="38"/>
      <c r="BC1671" s="60"/>
      <c r="BD1671" s="60"/>
      <c r="BE1671" s="238"/>
      <c r="BF1671" s="238"/>
      <c r="BG1671" s="238"/>
      <c r="BH1671" s="238"/>
      <c r="BI1671" s="238"/>
      <c r="BJ1671" s="238"/>
      <c r="BK1671" s="238"/>
    </row>
    <row r="1672" spans="1:63" s="610" customFormat="1" ht="117" customHeight="1">
      <c r="A1672" s="25">
        <v>8</v>
      </c>
      <c r="B1672" s="47" t="s">
        <v>1104</v>
      </c>
      <c r="C1672" s="72" t="s">
        <v>83</v>
      </c>
      <c r="D1672" s="72" t="s">
        <v>1105</v>
      </c>
      <c r="E1672" s="72" t="s">
        <v>522</v>
      </c>
      <c r="F1672" s="72" t="s">
        <v>538</v>
      </c>
      <c r="G1672" s="38">
        <v>80</v>
      </c>
      <c r="H1672" s="47">
        <v>626025</v>
      </c>
      <c r="I1672" s="20" t="s">
        <v>1106</v>
      </c>
      <c r="J1672" s="16" t="s">
        <v>540</v>
      </c>
      <c r="K1672" s="16" t="s">
        <v>540</v>
      </c>
      <c r="L1672" s="16" t="s">
        <v>180</v>
      </c>
      <c r="M1672" s="134" t="s">
        <v>4726</v>
      </c>
      <c r="N1672" s="16" t="s">
        <v>5888</v>
      </c>
      <c r="O1672" s="16" t="s">
        <v>769</v>
      </c>
      <c r="P1672" s="23">
        <v>5932</v>
      </c>
      <c r="Q1672" s="23">
        <v>5932</v>
      </c>
      <c r="R1672" s="23"/>
      <c r="S1672" s="30"/>
      <c r="T1672" s="47"/>
      <c r="U1672" s="47"/>
      <c r="V1672" s="47"/>
      <c r="W1672" s="47"/>
      <c r="X1672" s="47"/>
      <c r="Y1672" s="34">
        <v>5932</v>
      </c>
      <c r="Z1672" s="34">
        <v>5932</v>
      </c>
      <c r="AA1672" s="36" t="s">
        <v>132</v>
      </c>
      <c r="AB1672" s="36" t="s">
        <v>132</v>
      </c>
      <c r="AC1672" s="34">
        <v>5932</v>
      </c>
      <c r="AD1672" s="34">
        <v>5932</v>
      </c>
      <c r="AE1672" s="38" t="s">
        <v>173</v>
      </c>
      <c r="AF1672" s="38" t="s">
        <v>83</v>
      </c>
      <c r="AG1672" s="38" t="s">
        <v>83</v>
      </c>
      <c r="AH1672" s="38" t="s">
        <v>90</v>
      </c>
      <c r="AI1672" s="51">
        <v>41811</v>
      </c>
      <c r="AJ1672" s="97">
        <v>41856</v>
      </c>
      <c r="AK1672" s="333"/>
      <c r="AL1672" s="333"/>
      <c r="AM1672" s="333" t="s">
        <v>1106</v>
      </c>
      <c r="AN1672" s="60" t="s">
        <v>171</v>
      </c>
      <c r="AO1672" s="11">
        <v>879</v>
      </c>
      <c r="AP1672" s="38" t="s">
        <v>542</v>
      </c>
      <c r="AQ1672" s="38">
        <v>1</v>
      </c>
      <c r="AR1672" s="38">
        <v>45</v>
      </c>
      <c r="AS1672" s="16" t="s">
        <v>547</v>
      </c>
      <c r="AT1672" s="52">
        <v>41876</v>
      </c>
      <c r="AU1672" s="52">
        <v>41876</v>
      </c>
      <c r="AV1672" s="51">
        <v>42369</v>
      </c>
      <c r="AW1672" s="38" t="s">
        <v>99</v>
      </c>
      <c r="AX1672" s="333" t="s">
        <v>1107</v>
      </c>
      <c r="AY1672" s="135"/>
      <c r="AZ1672" s="333"/>
      <c r="BA1672" s="47"/>
      <c r="BB1672" s="47"/>
      <c r="BC1672" s="333"/>
      <c r="BD1672" s="333"/>
      <c r="BE1672" s="354"/>
      <c r="BF1672" s="354"/>
      <c r="BG1672" s="354"/>
      <c r="BH1672" s="354"/>
      <c r="BI1672" s="354"/>
      <c r="BJ1672" s="354"/>
      <c r="BK1672" s="354"/>
    </row>
    <row r="1673" spans="1:63" s="611" customFormat="1" ht="75.75" customHeight="1">
      <c r="A1673" s="25">
        <v>8</v>
      </c>
      <c r="B1673" s="72" t="s">
        <v>537</v>
      </c>
      <c r="C1673" s="72" t="s">
        <v>83</v>
      </c>
      <c r="D1673" s="72" t="s">
        <v>1105</v>
      </c>
      <c r="E1673" s="72" t="s">
        <v>522</v>
      </c>
      <c r="F1673" s="72" t="s">
        <v>538</v>
      </c>
      <c r="G1673" s="38">
        <v>80</v>
      </c>
      <c r="H1673" s="11">
        <v>626021</v>
      </c>
      <c r="I1673" s="16" t="s">
        <v>539</v>
      </c>
      <c r="J1673" s="16" t="s">
        <v>540</v>
      </c>
      <c r="K1673" s="16" t="s">
        <v>540</v>
      </c>
      <c r="L1673" s="16" t="s">
        <v>180</v>
      </c>
      <c r="M1673" s="134" t="s">
        <v>4726</v>
      </c>
      <c r="N1673" s="16" t="s">
        <v>5888</v>
      </c>
      <c r="O1673" s="16" t="s">
        <v>769</v>
      </c>
      <c r="P1673" s="23">
        <v>5932</v>
      </c>
      <c r="Q1673" s="23">
        <v>5932</v>
      </c>
      <c r="R1673" s="23"/>
      <c r="S1673" s="29"/>
      <c r="T1673" s="38"/>
      <c r="U1673" s="38"/>
      <c r="V1673" s="38"/>
      <c r="W1673" s="38"/>
      <c r="X1673" s="38"/>
      <c r="Y1673" s="34">
        <v>5932</v>
      </c>
      <c r="Z1673" s="34">
        <v>5932</v>
      </c>
      <c r="AA1673" s="36" t="s">
        <v>132</v>
      </c>
      <c r="AB1673" s="36" t="s">
        <v>132</v>
      </c>
      <c r="AC1673" s="34">
        <v>5932</v>
      </c>
      <c r="AD1673" s="34">
        <v>5932</v>
      </c>
      <c r="AE1673" s="38" t="s">
        <v>173</v>
      </c>
      <c r="AF1673" s="38" t="s">
        <v>83</v>
      </c>
      <c r="AG1673" s="38" t="s">
        <v>83</v>
      </c>
      <c r="AH1673" s="38" t="s">
        <v>90</v>
      </c>
      <c r="AI1673" s="51">
        <v>41811</v>
      </c>
      <c r="AJ1673" s="97">
        <v>41856</v>
      </c>
      <c r="AK1673" s="60"/>
      <c r="AL1673" s="60"/>
      <c r="AM1673" s="60" t="s">
        <v>539</v>
      </c>
      <c r="AN1673" s="60" t="s">
        <v>171</v>
      </c>
      <c r="AO1673" s="11">
        <v>879</v>
      </c>
      <c r="AP1673" s="38" t="s">
        <v>542</v>
      </c>
      <c r="AQ1673" s="38">
        <v>1</v>
      </c>
      <c r="AR1673" s="38">
        <v>45</v>
      </c>
      <c r="AS1673" s="16" t="s">
        <v>547</v>
      </c>
      <c r="AT1673" s="52">
        <v>41876</v>
      </c>
      <c r="AU1673" s="52">
        <v>41876</v>
      </c>
      <c r="AV1673" s="51">
        <v>42369</v>
      </c>
      <c r="AW1673" s="38" t="s">
        <v>99</v>
      </c>
      <c r="AX1673" s="60" t="s">
        <v>1108</v>
      </c>
      <c r="AY1673" s="135"/>
      <c r="AZ1673" s="60"/>
      <c r="BA1673" s="38"/>
      <c r="BB1673" s="38"/>
      <c r="BC1673" s="60"/>
      <c r="BD1673" s="60"/>
      <c r="BE1673" s="426"/>
      <c r="BF1673" s="426"/>
      <c r="BG1673" s="426"/>
      <c r="BH1673" s="426"/>
      <c r="BI1673" s="426"/>
      <c r="BJ1673" s="426" t="s">
        <v>186</v>
      </c>
      <c r="BK1673" s="426"/>
    </row>
    <row r="1674" spans="1:63" s="610" customFormat="1" ht="84" customHeight="1">
      <c r="A1674" s="25">
        <v>8</v>
      </c>
      <c r="B1674" s="427" t="s">
        <v>1109</v>
      </c>
      <c r="C1674" s="72" t="s">
        <v>83</v>
      </c>
      <c r="D1674" s="72" t="s">
        <v>1105</v>
      </c>
      <c r="E1674" s="427" t="s">
        <v>522</v>
      </c>
      <c r="F1674" s="427" t="s">
        <v>543</v>
      </c>
      <c r="G1674" s="38">
        <v>80</v>
      </c>
      <c r="H1674" s="11">
        <v>626026</v>
      </c>
      <c r="I1674" s="16" t="s">
        <v>544</v>
      </c>
      <c r="J1674" s="16" t="s">
        <v>540</v>
      </c>
      <c r="K1674" s="16" t="s">
        <v>540</v>
      </c>
      <c r="L1674" s="16" t="s">
        <v>180</v>
      </c>
      <c r="M1674" s="134" t="s">
        <v>4726</v>
      </c>
      <c r="N1674" s="16" t="s">
        <v>5888</v>
      </c>
      <c r="O1674" s="16" t="s">
        <v>769</v>
      </c>
      <c r="P1674" s="23">
        <v>5000</v>
      </c>
      <c r="Q1674" s="23">
        <v>5000</v>
      </c>
      <c r="R1674" s="23"/>
      <c r="S1674" s="29"/>
      <c r="T1674" s="25"/>
      <c r="U1674" s="25"/>
      <c r="V1674" s="25"/>
      <c r="W1674" s="25"/>
      <c r="X1674" s="25"/>
      <c r="Y1674" s="23">
        <v>5000</v>
      </c>
      <c r="Z1674" s="23">
        <v>5000</v>
      </c>
      <c r="AA1674" s="36" t="s">
        <v>132</v>
      </c>
      <c r="AB1674" s="36" t="s">
        <v>132</v>
      </c>
      <c r="AC1674" s="23">
        <v>5000</v>
      </c>
      <c r="AD1674" s="23">
        <v>5000</v>
      </c>
      <c r="AE1674" s="38" t="s">
        <v>173</v>
      </c>
      <c r="AF1674" s="38" t="s">
        <v>83</v>
      </c>
      <c r="AG1674" s="38" t="s">
        <v>83</v>
      </c>
      <c r="AH1674" s="38" t="s">
        <v>90</v>
      </c>
      <c r="AI1674" s="51">
        <v>41893</v>
      </c>
      <c r="AJ1674" s="97">
        <v>41893</v>
      </c>
      <c r="AK1674" s="60"/>
      <c r="AL1674" s="60"/>
      <c r="AM1674" s="60" t="s">
        <v>546</v>
      </c>
      <c r="AN1674" s="60" t="s">
        <v>171</v>
      </c>
      <c r="AO1674" s="63">
        <v>879</v>
      </c>
      <c r="AP1674" s="38" t="s">
        <v>542</v>
      </c>
      <c r="AQ1674" s="25">
        <v>1</v>
      </c>
      <c r="AR1674" s="38">
        <v>45</v>
      </c>
      <c r="AS1674" s="16" t="s">
        <v>547</v>
      </c>
      <c r="AT1674" s="52">
        <v>41913</v>
      </c>
      <c r="AU1674" s="52">
        <v>41913</v>
      </c>
      <c r="AV1674" s="52">
        <v>43644</v>
      </c>
      <c r="AW1674" s="38" t="s">
        <v>1111</v>
      </c>
      <c r="AX1674" s="60" t="s">
        <v>544</v>
      </c>
      <c r="AY1674" s="135"/>
      <c r="AZ1674" s="60"/>
      <c r="BA1674" s="38"/>
      <c r="BB1674" s="38"/>
      <c r="BC1674" s="60"/>
      <c r="BD1674" s="60"/>
      <c r="BE1674" s="428"/>
      <c r="BF1674" s="428"/>
      <c r="BG1674" s="428"/>
      <c r="BH1674" s="428"/>
      <c r="BI1674" s="428"/>
      <c r="BJ1674" s="428" t="s">
        <v>186</v>
      </c>
      <c r="BK1674" s="428"/>
    </row>
    <row r="1675" spans="1:63" s="610" customFormat="1" ht="168.75">
      <c r="A1675" s="25">
        <v>8</v>
      </c>
      <c r="B1675" s="427" t="s">
        <v>1112</v>
      </c>
      <c r="C1675" s="72" t="s">
        <v>83</v>
      </c>
      <c r="D1675" s="72" t="s">
        <v>1105</v>
      </c>
      <c r="E1675" s="427" t="s">
        <v>522</v>
      </c>
      <c r="F1675" s="427" t="s">
        <v>548</v>
      </c>
      <c r="G1675" s="38">
        <v>80</v>
      </c>
      <c r="H1675" s="11">
        <v>626028</v>
      </c>
      <c r="I1675" s="16" t="s">
        <v>549</v>
      </c>
      <c r="J1675" s="16" t="s">
        <v>540</v>
      </c>
      <c r="K1675" s="16" t="s">
        <v>540</v>
      </c>
      <c r="L1675" s="16" t="s">
        <v>180</v>
      </c>
      <c r="M1675" s="134" t="s">
        <v>4726</v>
      </c>
      <c r="N1675" s="16" t="s">
        <v>5888</v>
      </c>
      <c r="O1675" s="16" t="s">
        <v>769</v>
      </c>
      <c r="P1675" s="23">
        <v>5000</v>
      </c>
      <c r="Q1675" s="23">
        <v>5000</v>
      </c>
      <c r="R1675" s="23"/>
      <c r="S1675" s="29"/>
      <c r="T1675" s="25"/>
      <c r="U1675" s="25"/>
      <c r="V1675" s="25"/>
      <c r="W1675" s="25"/>
      <c r="X1675" s="25"/>
      <c r="Y1675" s="23">
        <v>5000</v>
      </c>
      <c r="Z1675" s="23">
        <v>5000</v>
      </c>
      <c r="AA1675" s="36" t="s">
        <v>132</v>
      </c>
      <c r="AB1675" s="36" t="s">
        <v>132</v>
      </c>
      <c r="AC1675" s="23">
        <v>5000</v>
      </c>
      <c r="AD1675" s="23">
        <v>5000</v>
      </c>
      <c r="AE1675" s="38" t="s">
        <v>280</v>
      </c>
      <c r="AF1675" s="38" t="s">
        <v>83</v>
      </c>
      <c r="AG1675" s="38" t="s">
        <v>83</v>
      </c>
      <c r="AH1675" s="38" t="s">
        <v>219</v>
      </c>
      <c r="AI1675" s="51">
        <v>41893</v>
      </c>
      <c r="AJ1675" s="97">
        <v>41893</v>
      </c>
      <c r="AK1675" s="60" t="s">
        <v>1110</v>
      </c>
      <c r="AL1675" s="60" t="s">
        <v>550</v>
      </c>
      <c r="AM1675" s="60" t="s">
        <v>546</v>
      </c>
      <c r="AN1675" s="60" t="s">
        <v>171</v>
      </c>
      <c r="AO1675" s="63">
        <v>879</v>
      </c>
      <c r="AP1675" s="38" t="s">
        <v>542</v>
      </c>
      <c r="AQ1675" s="25">
        <v>1</v>
      </c>
      <c r="AR1675" s="38">
        <v>45</v>
      </c>
      <c r="AS1675" s="16" t="s">
        <v>547</v>
      </c>
      <c r="AT1675" s="52">
        <v>41913</v>
      </c>
      <c r="AU1675" s="52">
        <v>41913</v>
      </c>
      <c r="AV1675" s="52">
        <v>42914</v>
      </c>
      <c r="AW1675" s="38" t="s">
        <v>1113</v>
      </c>
      <c r="AX1675" s="60" t="s">
        <v>549</v>
      </c>
      <c r="AY1675" s="135"/>
      <c r="AZ1675" s="60"/>
      <c r="BA1675" s="38"/>
      <c r="BB1675" s="38"/>
      <c r="BC1675" s="60"/>
      <c r="BD1675" s="60"/>
      <c r="BE1675" s="428"/>
      <c r="BF1675" s="428"/>
      <c r="BG1675" s="428"/>
      <c r="BH1675" s="428"/>
      <c r="BI1675" s="428"/>
      <c r="BJ1675" s="428" t="s">
        <v>186</v>
      </c>
      <c r="BK1675" s="428"/>
    </row>
    <row r="1676" spans="1:63" s="610" customFormat="1" ht="81" customHeight="1">
      <c r="A1676" s="25">
        <v>8</v>
      </c>
      <c r="B1676" s="427" t="s">
        <v>1114</v>
      </c>
      <c r="C1676" s="72" t="s">
        <v>83</v>
      </c>
      <c r="D1676" s="72" t="s">
        <v>1105</v>
      </c>
      <c r="E1676" s="427" t="s">
        <v>522</v>
      </c>
      <c r="F1676" s="427" t="s">
        <v>548</v>
      </c>
      <c r="G1676" s="38">
        <v>80</v>
      </c>
      <c r="H1676" s="11">
        <v>626030</v>
      </c>
      <c r="I1676" s="16" t="s">
        <v>3798</v>
      </c>
      <c r="J1676" s="16" t="s">
        <v>540</v>
      </c>
      <c r="K1676" s="16" t="s">
        <v>540</v>
      </c>
      <c r="L1676" s="16" t="s">
        <v>180</v>
      </c>
      <c r="M1676" s="134" t="s">
        <v>4726</v>
      </c>
      <c r="N1676" s="16" t="s">
        <v>5888</v>
      </c>
      <c r="O1676" s="16" t="s">
        <v>769</v>
      </c>
      <c r="P1676" s="23">
        <v>5000</v>
      </c>
      <c r="Q1676" s="23">
        <v>5000</v>
      </c>
      <c r="R1676" s="23"/>
      <c r="S1676" s="29"/>
      <c r="T1676" s="25"/>
      <c r="U1676" s="25"/>
      <c r="V1676" s="25"/>
      <c r="W1676" s="25"/>
      <c r="X1676" s="25"/>
      <c r="Y1676" s="23">
        <v>5000</v>
      </c>
      <c r="Z1676" s="23">
        <v>5000</v>
      </c>
      <c r="AA1676" s="36" t="s">
        <v>132</v>
      </c>
      <c r="AB1676" s="36" t="s">
        <v>132</v>
      </c>
      <c r="AC1676" s="23">
        <v>5000</v>
      </c>
      <c r="AD1676" s="23">
        <v>5000</v>
      </c>
      <c r="AE1676" s="38" t="s">
        <v>173</v>
      </c>
      <c r="AF1676" s="38" t="s">
        <v>83</v>
      </c>
      <c r="AG1676" s="38" t="s">
        <v>83</v>
      </c>
      <c r="AH1676" s="38" t="s">
        <v>545</v>
      </c>
      <c r="AI1676" s="51">
        <v>41848</v>
      </c>
      <c r="AJ1676" s="97">
        <v>41893</v>
      </c>
      <c r="AK1676" s="60"/>
      <c r="AL1676" s="60"/>
      <c r="AM1676" s="60" t="s">
        <v>546</v>
      </c>
      <c r="AN1676" s="60" t="s">
        <v>171</v>
      </c>
      <c r="AO1676" s="63">
        <v>879</v>
      </c>
      <c r="AP1676" s="38" t="s">
        <v>542</v>
      </c>
      <c r="AQ1676" s="25">
        <v>1</v>
      </c>
      <c r="AR1676" s="38">
        <v>45</v>
      </c>
      <c r="AS1676" s="16" t="s">
        <v>547</v>
      </c>
      <c r="AT1676" s="52">
        <v>41913</v>
      </c>
      <c r="AU1676" s="52">
        <v>41913</v>
      </c>
      <c r="AV1676" s="52">
        <v>43644</v>
      </c>
      <c r="AW1676" s="38" t="s">
        <v>1111</v>
      </c>
      <c r="AX1676" s="60" t="s">
        <v>544</v>
      </c>
      <c r="AY1676" s="135"/>
      <c r="AZ1676" s="60"/>
      <c r="BA1676" s="38"/>
      <c r="BB1676" s="38"/>
      <c r="BC1676" s="60"/>
      <c r="BD1676" s="60"/>
      <c r="BE1676" s="428"/>
      <c r="BF1676" s="428"/>
      <c r="BG1676" s="428"/>
      <c r="BH1676" s="428"/>
      <c r="BI1676" s="428"/>
      <c r="BJ1676" s="428" t="s">
        <v>186</v>
      </c>
      <c r="BK1676" s="428"/>
    </row>
    <row r="1677" spans="1:63" s="610" customFormat="1" ht="66.75" customHeight="1">
      <c r="A1677" s="25">
        <v>8</v>
      </c>
      <c r="B1677" s="72" t="s">
        <v>1115</v>
      </c>
      <c r="C1677" s="72" t="s">
        <v>83</v>
      </c>
      <c r="D1677" s="72" t="s">
        <v>1105</v>
      </c>
      <c r="E1677" s="427" t="s">
        <v>522</v>
      </c>
      <c r="F1677" s="427" t="s">
        <v>548</v>
      </c>
      <c r="G1677" s="38">
        <v>80</v>
      </c>
      <c r="H1677" s="63">
        <v>626032</v>
      </c>
      <c r="I1677" s="16" t="s">
        <v>551</v>
      </c>
      <c r="J1677" s="16" t="s">
        <v>540</v>
      </c>
      <c r="K1677" s="16" t="s">
        <v>540</v>
      </c>
      <c r="L1677" s="16" t="s">
        <v>552</v>
      </c>
      <c r="M1677" s="134" t="s">
        <v>4727</v>
      </c>
      <c r="N1677" s="462" t="s">
        <v>5964</v>
      </c>
      <c r="O1677" s="16" t="s">
        <v>769</v>
      </c>
      <c r="P1677" s="23">
        <v>15949</v>
      </c>
      <c r="Q1677" s="23">
        <v>15949</v>
      </c>
      <c r="R1677" s="23"/>
      <c r="S1677" s="29"/>
      <c r="T1677" s="25"/>
      <c r="U1677" s="25"/>
      <c r="V1677" s="25"/>
      <c r="W1677" s="25"/>
      <c r="X1677" s="25"/>
      <c r="Y1677" s="23">
        <v>15949</v>
      </c>
      <c r="Z1677" s="23">
        <v>15949</v>
      </c>
      <c r="AA1677" s="36" t="s">
        <v>132</v>
      </c>
      <c r="AB1677" s="36" t="s">
        <v>132</v>
      </c>
      <c r="AC1677" s="23">
        <v>15949</v>
      </c>
      <c r="AD1677" s="23">
        <v>15949</v>
      </c>
      <c r="AE1677" s="38" t="s">
        <v>169</v>
      </c>
      <c r="AF1677" s="38" t="s">
        <v>83</v>
      </c>
      <c r="AG1677" s="38" t="s">
        <v>83</v>
      </c>
      <c r="AH1677" s="38" t="s">
        <v>545</v>
      </c>
      <c r="AI1677" s="52">
        <v>41644</v>
      </c>
      <c r="AJ1677" s="97">
        <v>41704</v>
      </c>
      <c r="AK1677" s="60"/>
      <c r="AL1677" s="60"/>
      <c r="AM1677" s="60" t="s">
        <v>551</v>
      </c>
      <c r="AN1677" s="60" t="s">
        <v>171</v>
      </c>
      <c r="AO1677" s="63">
        <v>879</v>
      </c>
      <c r="AP1677" s="38" t="s">
        <v>542</v>
      </c>
      <c r="AQ1677" s="25">
        <v>1</v>
      </c>
      <c r="AR1677" s="38">
        <v>45</v>
      </c>
      <c r="AS1677" s="16" t="s">
        <v>547</v>
      </c>
      <c r="AT1677" s="52">
        <v>41724</v>
      </c>
      <c r="AU1677" s="52">
        <v>41724</v>
      </c>
      <c r="AV1677" s="52">
        <v>42004</v>
      </c>
      <c r="AW1677" s="38">
        <v>2014</v>
      </c>
      <c r="AX1677" s="60" t="s">
        <v>551</v>
      </c>
      <c r="AY1677" s="135"/>
      <c r="AZ1677" s="60"/>
      <c r="BA1677" s="38"/>
      <c r="BB1677" s="38"/>
      <c r="BC1677" s="60"/>
      <c r="BD1677" s="60"/>
      <c r="BE1677" s="429"/>
      <c r="BF1677" s="429"/>
      <c r="BG1677" s="429"/>
      <c r="BH1677" s="429"/>
      <c r="BI1677" s="429"/>
      <c r="BJ1677" s="429"/>
      <c r="BK1677" s="429"/>
    </row>
    <row r="1678" spans="1:63" s="610" customFormat="1" ht="150">
      <c r="A1678" s="586">
        <v>8</v>
      </c>
      <c r="B1678" s="587" t="s">
        <v>7250</v>
      </c>
      <c r="C1678" s="72" t="s">
        <v>83</v>
      </c>
      <c r="D1678" s="72" t="s">
        <v>1105</v>
      </c>
      <c r="E1678" s="427" t="s">
        <v>522</v>
      </c>
      <c r="F1678" s="427" t="s">
        <v>548</v>
      </c>
      <c r="G1678" s="38">
        <v>80</v>
      </c>
      <c r="H1678" s="11">
        <v>626718</v>
      </c>
      <c r="I1678" s="462" t="s">
        <v>7251</v>
      </c>
      <c r="J1678" s="462" t="s">
        <v>540</v>
      </c>
      <c r="K1678" s="462" t="s">
        <v>540</v>
      </c>
      <c r="L1678" s="462" t="s">
        <v>180</v>
      </c>
      <c r="M1678" s="458" t="s">
        <v>4726</v>
      </c>
      <c r="N1678" s="462" t="s">
        <v>7252</v>
      </c>
      <c r="O1678" s="462" t="s">
        <v>769</v>
      </c>
      <c r="P1678" s="465">
        <v>5000</v>
      </c>
      <c r="Q1678" s="465">
        <v>5000</v>
      </c>
      <c r="R1678" s="465"/>
      <c r="S1678" s="466"/>
      <c r="T1678" s="586"/>
      <c r="U1678" s="586"/>
      <c r="V1678" s="586"/>
      <c r="W1678" s="586"/>
      <c r="X1678" s="586"/>
      <c r="Y1678" s="588">
        <v>5000</v>
      </c>
      <c r="Z1678" s="588">
        <v>5000</v>
      </c>
      <c r="AA1678" s="589" t="s">
        <v>132</v>
      </c>
      <c r="AB1678" s="589" t="s">
        <v>132</v>
      </c>
      <c r="AC1678" s="588">
        <v>5000</v>
      </c>
      <c r="AD1678" s="588">
        <v>5000</v>
      </c>
      <c r="AE1678" s="38" t="s">
        <v>173</v>
      </c>
      <c r="AF1678" s="38" t="s">
        <v>83</v>
      </c>
      <c r="AG1678" s="467" t="s">
        <v>83</v>
      </c>
      <c r="AH1678" s="467" t="s">
        <v>545</v>
      </c>
      <c r="AI1678" s="590">
        <v>41670</v>
      </c>
      <c r="AJ1678" s="97">
        <v>41701</v>
      </c>
      <c r="AK1678" s="591"/>
      <c r="AL1678" s="591"/>
      <c r="AM1678" s="591" t="s">
        <v>546</v>
      </c>
      <c r="AN1678" s="591" t="s">
        <v>171</v>
      </c>
      <c r="AO1678" s="592">
        <v>879</v>
      </c>
      <c r="AP1678" s="467" t="s">
        <v>542</v>
      </c>
      <c r="AQ1678" s="586">
        <v>1</v>
      </c>
      <c r="AR1678" s="467">
        <v>45</v>
      </c>
      <c r="AS1678" s="462" t="s">
        <v>547</v>
      </c>
      <c r="AT1678" s="52">
        <v>41718</v>
      </c>
      <c r="AU1678" s="52">
        <v>41718</v>
      </c>
      <c r="AV1678" s="593">
        <v>42004</v>
      </c>
      <c r="AW1678" s="467">
        <v>2014</v>
      </c>
      <c r="AX1678" s="591" t="s">
        <v>7251</v>
      </c>
      <c r="AY1678" s="594"/>
      <c r="AZ1678" s="591"/>
      <c r="BA1678" s="467"/>
      <c r="BB1678" s="467"/>
      <c r="BC1678" s="591"/>
      <c r="BD1678" s="591"/>
      <c r="BE1678" s="595"/>
      <c r="BF1678" s="595"/>
      <c r="BG1678" s="595"/>
      <c r="BH1678" s="595"/>
      <c r="BI1678" s="595"/>
      <c r="BJ1678" s="595" t="s">
        <v>186</v>
      </c>
      <c r="BK1678" s="429"/>
    </row>
    <row r="1679" spans="1:63" s="610" customFormat="1" ht="187.5">
      <c r="A1679" s="586">
        <v>8</v>
      </c>
      <c r="B1679" s="587" t="s">
        <v>7253</v>
      </c>
      <c r="C1679" s="72" t="s">
        <v>83</v>
      </c>
      <c r="D1679" s="72" t="s">
        <v>1105</v>
      </c>
      <c r="E1679" s="427" t="s">
        <v>522</v>
      </c>
      <c r="F1679" s="427" t="s">
        <v>548</v>
      </c>
      <c r="G1679" s="38">
        <v>80</v>
      </c>
      <c r="H1679" s="11">
        <v>626717</v>
      </c>
      <c r="I1679" s="462" t="s">
        <v>7254</v>
      </c>
      <c r="J1679" s="462" t="s">
        <v>540</v>
      </c>
      <c r="K1679" s="462" t="s">
        <v>540</v>
      </c>
      <c r="L1679" s="462" t="s">
        <v>180</v>
      </c>
      <c r="M1679" s="458" t="s">
        <v>4726</v>
      </c>
      <c r="N1679" s="462" t="s">
        <v>7252</v>
      </c>
      <c r="O1679" s="462" t="s">
        <v>769</v>
      </c>
      <c r="P1679" s="465">
        <v>4500</v>
      </c>
      <c r="Q1679" s="465">
        <v>4500</v>
      </c>
      <c r="R1679" s="465"/>
      <c r="S1679" s="466"/>
      <c r="T1679" s="586"/>
      <c r="U1679" s="586"/>
      <c r="V1679" s="586"/>
      <c r="W1679" s="586"/>
      <c r="X1679" s="586"/>
      <c r="Y1679" s="588">
        <v>4500</v>
      </c>
      <c r="Z1679" s="588">
        <v>4500</v>
      </c>
      <c r="AA1679" s="589" t="s">
        <v>132</v>
      </c>
      <c r="AB1679" s="589" t="s">
        <v>132</v>
      </c>
      <c r="AC1679" s="588">
        <v>4500</v>
      </c>
      <c r="AD1679" s="588">
        <v>4500</v>
      </c>
      <c r="AE1679" s="38" t="s">
        <v>173</v>
      </c>
      <c r="AF1679" s="38" t="s">
        <v>83</v>
      </c>
      <c r="AG1679" s="467" t="s">
        <v>83</v>
      </c>
      <c r="AH1679" s="467" t="s">
        <v>545</v>
      </c>
      <c r="AI1679" s="590">
        <v>41670</v>
      </c>
      <c r="AJ1679" s="97">
        <v>41701</v>
      </c>
      <c r="AK1679" s="591"/>
      <c r="AL1679" s="591"/>
      <c r="AM1679" s="591" t="s">
        <v>546</v>
      </c>
      <c r="AN1679" s="591" t="s">
        <v>171</v>
      </c>
      <c r="AO1679" s="592">
        <v>879</v>
      </c>
      <c r="AP1679" s="467" t="s">
        <v>542</v>
      </c>
      <c r="AQ1679" s="586">
        <v>1</v>
      </c>
      <c r="AR1679" s="467">
        <v>45</v>
      </c>
      <c r="AS1679" s="462" t="s">
        <v>547</v>
      </c>
      <c r="AT1679" s="52">
        <v>41718</v>
      </c>
      <c r="AU1679" s="52">
        <v>41718</v>
      </c>
      <c r="AV1679" s="593">
        <v>42369</v>
      </c>
      <c r="AW1679" s="467">
        <v>2014</v>
      </c>
      <c r="AX1679" s="591" t="s">
        <v>7254</v>
      </c>
      <c r="AY1679" s="594"/>
      <c r="AZ1679" s="591"/>
      <c r="BA1679" s="467"/>
      <c r="BB1679" s="467"/>
      <c r="BC1679" s="591"/>
      <c r="BD1679" s="591"/>
      <c r="BE1679" s="595"/>
      <c r="BF1679" s="595"/>
      <c r="BG1679" s="595"/>
      <c r="BH1679" s="595"/>
      <c r="BI1679" s="595"/>
      <c r="BJ1679" s="595" t="s">
        <v>186</v>
      </c>
      <c r="BK1679" s="429"/>
    </row>
    <row r="1680" spans="1:63" s="610" customFormat="1" ht="225">
      <c r="A1680" s="25">
        <v>8</v>
      </c>
      <c r="B1680" s="72" t="s">
        <v>4981</v>
      </c>
      <c r="C1680" s="72" t="s">
        <v>83</v>
      </c>
      <c r="D1680" s="72" t="s">
        <v>7462</v>
      </c>
      <c r="E1680" s="427" t="s">
        <v>522</v>
      </c>
      <c r="F1680" s="72" t="s">
        <v>548</v>
      </c>
      <c r="G1680" s="38">
        <v>80</v>
      </c>
      <c r="H1680" s="63">
        <v>626694</v>
      </c>
      <c r="I1680" s="16" t="s">
        <v>4982</v>
      </c>
      <c r="J1680" s="16" t="s">
        <v>540</v>
      </c>
      <c r="K1680" s="16" t="s">
        <v>540</v>
      </c>
      <c r="L1680" s="16" t="s">
        <v>180</v>
      </c>
      <c r="M1680" s="134" t="s">
        <v>4726</v>
      </c>
      <c r="N1680" s="16" t="s">
        <v>5888</v>
      </c>
      <c r="O1680" s="16" t="s">
        <v>769</v>
      </c>
      <c r="P1680" s="23">
        <v>3800</v>
      </c>
      <c r="Q1680" s="23">
        <v>3800</v>
      </c>
      <c r="R1680" s="23"/>
      <c r="S1680" s="29"/>
      <c r="T1680" s="25"/>
      <c r="U1680" s="25"/>
      <c r="V1680" s="25"/>
      <c r="W1680" s="25"/>
      <c r="X1680" s="25"/>
      <c r="Y1680" s="23">
        <v>3800</v>
      </c>
      <c r="Z1680" s="23">
        <v>3800</v>
      </c>
      <c r="AA1680" s="36" t="s">
        <v>132</v>
      </c>
      <c r="AB1680" s="36" t="s">
        <v>132</v>
      </c>
      <c r="AC1680" s="23">
        <v>3800</v>
      </c>
      <c r="AD1680" s="23">
        <v>3800</v>
      </c>
      <c r="AE1680" s="38" t="s">
        <v>173</v>
      </c>
      <c r="AF1680" s="38" t="s">
        <v>83</v>
      </c>
      <c r="AG1680" s="38" t="s">
        <v>83</v>
      </c>
      <c r="AH1680" s="38" t="s">
        <v>90</v>
      </c>
      <c r="AI1680" s="51">
        <v>41628</v>
      </c>
      <c r="AJ1680" s="97">
        <v>41680</v>
      </c>
      <c r="AK1680" s="60"/>
      <c r="AL1680" s="60"/>
      <c r="AM1680" s="60" t="s">
        <v>4982</v>
      </c>
      <c r="AN1680" s="60" t="s">
        <v>171</v>
      </c>
      <c r="AO1680" s="63">
        <v>879</v>
      </c>
      <c r="AP1680" s="38" t="s">
        <v>542</v>
      </c>
      <c r="AQ1680" s="25">
        <v>1</v>
      </c>
      <c r="AR1680" s="38">
        <v>45</v>
      </c>
      <c r="AS1680" s="16" t="s">
        <v>547</v>
      </c>
      <c r="AT1680" s="52">
        <v>41698</v>
      </c>
      <c r="AU1680" s="52">
        <v>41698</v>
      </c>
      <c r="AV1680" s="52">
        <v>42369</v>
      </c>
      <c r="AW1680" s="38" t="s">
        <v>99</v>
      </c>
      <c r="AX1680" s="60" t="s">
        <v>1108</v>
      </c>
      <c r="AY1680" s="135"/>
      <c r="AZ1680" s="60"/>
      <c r="BA1680" s="38"/>
      <c r="BB1680" s="38"/>
      <c r="BC1680" s="60"/>
      <c r="BD1680" s="60"/>
      <c r="BE1680" s="429"/>
      <c r="BF1680" s="429"/>
      <c r="BG1680" s="429"/>
      <c r="BH1680" s="429"/>
      <c r="BI1680" s="429"/>
      <c r="BJ1680" s="428"/>
      <c r="BK1680" s="429"/>
    </row>
    <row r="1681" spans="1:63" s="268" customFormat="1" ht="149.25" customHeight="1">
      <c r="A1681" s="25">
        <v>8</v>
      </c>
      <c r="B1681" s="60" t="s">
        <v>520</v>
      </c>
      <c r="C1681" s="60" t="s">
        <v>83</v>
      </c>
      <c r="D1681" s="60" t="s">
        <v>521</v>
      </c>
      <c r="E1681" s="60" t="s">
        <v>522</v>
      </c>
      <c r="F1681" s="60" t="s">
        <v>523</v>
      </c>
      <c r="G1681" s="60">
        <v>8512040</v>
      </c>
      <c r="H1681" s="11">
        <v>624470</v>
      </c>
      <c r="I1681" s="16" t="s">
        <v>3846</v>
      </c>
      <c r="J1681" s="16" t="s">
        <v>524</v>
      </c>
      <c r="K1681" s="16" t="s">
        <v>3847</v>
      </c>
      <c r="L1681" s="16" t="s">
        <v>180</v>
      </c>
      <c r="M1681" s="134">
        <v>20105140303</v>
      </c>
      <c r="N1681" s="16" t="s">
        <v>5864</v>
      </c>
      <c r="O1681" s="16" t="s">
        <v>525</v>
      </c>
      <c r="P1681" s="23">
        <v>60576.516000000003</v>
      </c>
      <c r="Q1681" s="23">
        <v>60576.516000000003</v>
      </c>
      <c r="R1681" s="23"/>
      <c r="S1681" s="29"/>
      <c r="T1681" s="38"/>
      <c r="U1681" s="38"/>
      <c r="V1681" s="38"/>
      <c r="W1681" s="38"/>
      <c r="X1681" s="38"/>
      <c r="Y1681" s="34">
        <v>60576.516000000003</v>
      </c>
      <c r="Z1681" s="34">
        <v>60576.516000000003</v>
      </c>
      <c r="AA1681" s="36" t="s">
        <v>132</v>
      </c>
      <c r="AB1681" s="36" t="s">
        <v>132</v>
      </c>
      <c r="AC1681" s="34">
        <v>60576.516000000003</v>
      </c>
      <c r="AD1681" s="34">
        <v>60576.516000000003</v>
      </c>
      <c r="AE1681" s="38" t="s">
        <v>169</v>
      </c>
      <c r="AF1681" s="38" t="s">
        <v>83</v>
      </c>
      <c r="AG1681" s="38" t="s">
        <v>83</v>
      </c>
      <c r="AH1681" s="38" t="s">
        <v>90</v>
      </c>
      <c r="AI1681" s="51">
        <v>41625</v>
      </c>
      <c r="AJ1681" s="97">
        <v>41685</v>
      </c>
      <c r="AK1681" s="60"/>
      <c r="AL1681" s="60"/>
      <c r="AM1681" s="60" t="s">
        <v>526</v>
      </c>
      <c r="AN1681" s="60" t="s">
        <v>527</v>
      </c>
      <c r="AO1681" s="11">
        <v>796</v>
      </c>
      <c r="AP1681" s="38" t="s">
        <v>528</v>
      </c>
      <c r="AQ1681" s="38">
        <v>20172</v>
      </c>
      <c r="AR1681" s="38" t="s">
        <v>529</v>
      </c>
      <c r="AS1681" s="16" t="s">
        <v>530</v>
      </c>
      <c r="AT1681" s="52">
        <v>41705</v>
      </c>
      <c r="AU1681" s="52">
        <v>41705</v>
      </c>
      <c r="AV1681" s="51">
        <v>42369</v>
      </c>
      <c r="AW1681" s="38" t="s">
        <v>99</v>
      </c>
      <c r="AX1681" s="60"/>
      <c r="AY1681" s="135"/>
      <c r="AZ1681" s="60"/>
      <c r="BA1681" s="38"/>
      <c r="BB1681" s="38"/>
      <c r="BC1681" s="60"/>
      <c r="BD1681" s="60"/>
      <c r="BE1681" s="246"/>
      <c r="BF1681" s="246"/>
      <c r="BG1681" s="246"/>
      <c r="BH1681" s="246"/>
      <c r="BI1681" s="246"/>
      <c r="BJ1681" s="246" t="s">
        <v>186</v>
      </c>
      <c r="BK1681" s="246"/>
    </row>
    <row r="1682" spans="1:63" s="268" customFormat="1" ht="166.5" customHeight="1">
      <c r="A1682" s="25">
        <v>8</v>
      </c>
      <c r="B1682" s="60" t="s">
        <v>531</v>
      </c>
      <c r="C1682" s="60" t="s">
        <v>83</v>
      </c>
      <c r="D1682" s="60" t="s">
        <v>521</v>
      </c>
      <c r="E1682" s="60" t="s">
        <v>522</v>
      </c>
      <c r="F1682" s="60" t="s">
        <v>532</v>
      </c>
      <c r="G1682" s="60">
        <v>8512040</v>
      </c>
      <c r="H1682" s="11">
        <v>624468</v>
      </c>
      <c r="I1682" s="16" t="s">
        <v>533</v>
      </c>
      <c r="J1682" s="16" t="s">
        <v>524</v>
      </c>
      <c r="K1682" s="16" t="s">
        <v>3847</v>
      </c>
      <c r="L1682" s="16" t="s">
        <v>180</v>
      </c>
      <c r="M1682" s="134">
        <v>20105140303</v>
      </c>
      <c r="N1682" s="16" t="s">
        <v>5864</v>
      </c>
      <c r="O1682" s="16" t="s">
        <v>534</v>
      </c>
      <c r="P1682" s="23">
        <v>109188.66</v>
      </c>
      <c r="Q1682" s="23">
        <v>109188.66</v>
      </c>
      <c r="R1682" s="23"/>
      <c r="S1682" s="29"/>
      <c r="T1682" s="38"/>
      <c r="U1682" s="38"/>
      <c r="V1682" s="38"/>
      <c r="W1682" s="38"/>
      <c r="X1682" s="38"/>
      <c r="Y1682" s="23">
        <v>109188.66</v>
      </c>
      <c r="Z1682" s="23">
        <v>109188.66</v>
      </c>
      <c r="AA1682" s="36" t="s">
        <v>132</v>
      </c>
      <c r="AB1682" s="36" t="s">
        <v>132</v>
      </c>
      <c r="AC1682" s="23">
        <v>109188.66</v>
      </c>
      <c r="AD1682" s="23">
        <v>109188.66</v>
      </c>
      <c r="AE1682" s="38" t="s">
        <v>169</v>
      </c>
      <c r="AF1682" s="38" t="s">
        <v>83</v>
      </c>
      <c r="AG1682" s="38" t="s">
        <v>83</v>
      </c>
      <c r="AH1682" s="38" t="s">
        <v>90</v>
      </c>
      <c r="AI1682" s="51">
        <v>41652</v>
      </c>
      <c r="AJ1682" s="97">
        <v>41712</v>
      </c>
      <c r="AK1682" s="60"/>
      <c r="AL1682" s="60"/>
      <c r="AM1682" s="60" t="s">
        <v>535</v>
      </c>
      <c r="AN1682" s="60" t="s">
        <v>536</v>
      </c>
      <c r="AO1682" s="11">
        <v>796</v>
      </c>
      <c r="AP1682" s="38" t="s">
        <v>528</v>
      </c>
      <c r="AQ1682" s="38">
        <v>2261823</v>
      </c>
      <c r="AR1682" s="38" t="s">
        <v>529</v>
      </c>
      <c r="AS1682" s="16" t="s">
        <v>530</v>
      </c>
      <c r="AT1682" s="52">
        <v>41732</v>
      </c>
      <c r="AU1682" s="52">
        <v>41732</v>
      </c>
      <c r="AV1682" s="51">
        <v>42185</v>
      </c>
      <c r="AW1682" s="38" t="s">
        <v>99</v>
      </c>
      <c r="AX1682" s="60"/>
      <c r="AY1682" s="135"/>
      <c r="AZ1682" s="60"/>
      <c r="BA1682" s="38"/>
      <c r="BB1682" s="38"/>
      <c r="BC1682" s="60"/>
      <c r="BD1682" s="60"/>
      <c r="BE1682" s="246"/>
      <c r="BF1682" s="246"/>
      <c r="BG1682" s="246"/>
      <c r="BH1682" s="246"/>
      <c r="BI1682" s="246"/>
      <c r="BJ1682" s="246" t="s">
        <v>186</v>
      </c>
      <c r="BK1682" s="246"/>
    </row>
    <row r="1683" spans="1:63" s="268" customFormat="1" ht="111.75" customHeight="1">
      <c r="A1683" s="25">
        <v>8</v>
      </c>
      <c r="B1683" s="72" t="s">
        <v>500</v>
      </c>
      <c r="C1683" s="72" t="s">
        <v>83</v>
      </c>
      <c r="D1683" s="72" t="s">
        <v>501</v>
      </c>
      <c r="E1683" s="409" t="s">
        <v>176</v>
      </c>
      <c r="F1683" s="72" t="s">
        <v>502</v>
      </c>
      <c r="G1683" s="72">
        <v>7210000</v>
      </c>
      <c r="H1683" s="63">
        <v>625981</v>
      </c>
      <c r="I1683" s="16" t="s">
        <v>503</v>
      </c>
      <c r="J1683" s="16" t="s">
        <v>504</v>
      </c>
      <c r="K1683" s="16" t="s">
        <v>504</v>
      </c>
      <c r="L1683" s="16" t="s">
        <v>180</v>
      </c>
      <c r="M1683" s="95" t="s">
        <v>505</v>
      </c>
      <c r="N1683" s="15" t="s">
        <v>5897</v>
      </c>
      <c r="O1683" s="16" t="s">
        <v>506</v>
      </c>
      <c r="P1683" s="23">
        <v>589.54999999999995</v>
      </c>
      <c r="Q1683" s="23">
        <f t="shared" ref="Q1683:Q1701" si="224">P1683*1.18</f>
        <v>695.66899999999987</v>
      </c>
      <c r="R1683" s="23">
        <v>502</v>
      </c>
      <c r="S1683" s="29" t="s">
        <v>507</v>
      </c>
      <c r="T1683" s="312">
        <v>1.0840000000000001</v>
      </c>
      <c r="U1683" s="312">
        <v>1.0509999999999999</v>
      </c>
      <c r="V1683" s="312">
        <v>1.0669999999999999</v>
      </c>
      <c r="W1683" s="312">
        <v>1.0529999999999999</v>
      </c>
      <c r="X1683" s="403">
        <v>0.9</v>
      </c>
      <c r="Y1683" s="23">
        <f>R1683*T1683*U1683*V1683*W1683*X1683</f>
        <v>578.32373348727117</v>
      </c>
      <c r="Z1683" s="23">
        <f t="shared" ref="Z1683:Z1701" si="225">Y1683*1.18</f>
        <v>682.4220055149799</v>
      </c>
      <c r="AA1683" s="36" t="s">
        <v>132</v>
      </c>
      <c r="AB1683" s="36" t="s">
        <v>132</v>
      </c>
      <c r="AC1683" s="23">
        <v>589.54999999999995</v>
      </c>
      <c r="AD1683" s="23">
        <f t="shared" ref="AD1683:AD1701" si="226">AC1683*1.18</f>
        <v>695.66899999999987</v>
      </c>
      <c r="AE1683" s="38" t="s">
        <v>280</v>
      </c>
      <c r="AF1683" s="38" t="s">
        <v>83</v>
      </c>
      <c r="AG1683" s="38" t="s">
        <v>83</v>
      </c>
      <c r="AH1683" s="38" t="s">
        <v>281</v>
      </c>
      <c r="AI1683" s="97">
        <v>41625</v>
      </c>
      <c r="AJ1683" s="97">
        <v>41628</v>
      </c>
      <c r="AK1683" s="60" t="s">
        <v>508</v>
      </c>
      <c r="AL1683" s="60" t="s">
        <v>509</v>
      </c>
      <c r="AM1683" s="60" t="s">
        <v>510</v>
      </c>
      <c r="AN1683" s="60" t="s">
        <v>511</v>
      </c>
      <c r="AO1683" s="63">
        <v>796</v>
      </c>
      <c r="AP1683" s="38" t="s">
        <v>94</v>
      </c>
      <c r="AQ1683" s="25">
        <v>1</v>
      </c>
      <c r="AR1683" s="25">
        <v>45</v>
      </c>
      <c r="AS1683" s="16" t="s">
        <v>512</v>
      </c>
      <c r="AT1683" s="52">
        <v>41648</v>
      </c>
      <c r="AU1683" s="52">
        <v>41648</v>
      </c>
      <c r="AV1683" s="52">
        <v>42004</v>
      </c>
      <c r="AW1683" s="11">
        <v>2014</v>
      </c>
      <c r="AX1683" s="60" t="s">
        <v>96</v>
      </c>
      <c r="AY1683" s="135"/>
      <c r="AZ1683" s="60"/>
      <c r="BA1683" s="38"/>
      <c r="BB1683" s="38"/>
      <c r="BC1683" s="60"/>
      <c r="BD1683" s="60"/>
      <c r="BE1683" s="238"/>
      <c r="BF1683" s="238"/>
      <c r="BG1683" s="238"/>
      <c r="BH1683" s="238"/>
      <c r="BI1683" s="238"/>
      <c r="BJ1683" s="238"/>
      <c r="BK1683" s="378"/>
    </row>
    <row r="1684" spans="1:63" s="268" customFormat="1" ht="144.75" customHeight="1">
      <c r="A1684" s="25">
        <v>8</v>
      </c>
      <c r="B1684" s="72" t="s">
        <v>513</v>
      </c>
      <c r="C1684" s="72" t="s">
        <v>83</v>
      </c>
      <c r="D1684" s="72" t="s">
        <v>501</v>
      </c>
      <c r="E1684" s="409" t="s">
        <v>176</v>
      </c>
      <c r="F1684" s="72" t="s">
        <v>514</v>
      </c>
      <c r="G1684" s="72">
        <v>4010000</v>
      </c>
      <c r="H1684" s="63">
        <v>625987</v>
      </c>
      <c r="I1684" s="16" t="s">
        <v>7258</v>
      </c>
      <c r="J1684" s="16" t="s">
        <v>499</v>
      </c>
      <c r="K1684" s="16" t="s">
        <v>499</v>
      </c>
      <c r="L1684" s="16" t="s">
        <v>180</v>
      </c>
      <c r="M1684" s="95" t="s">
        <v>505</v>
      </c>
      <c r="N1684" s="15" t="s">
        <v>5897</v>
      </c>
      <c r="O1684" s="16" t="s">
        <v>7259</v>
      </c>
      <c r="P1684" s="23">
        <v>10000</v>
      </c>
      <c r="Q1684" s="23">
        <f t="shared" si="224"/>
        <v>11800</v>
      </c>
      <c r="R1684" s="23">
        <v>9500</v>
      </c>
      <c r="S1684" s="29" t="s">
        <v>507</v>
      </c>
      <c r="T1684" s="25">
        <v>1.0840000000000001</v>
      </c>
      <c r="U1684" s="25">
        <v>1.0509999999999999</v>
      </c>
      <c r="V1684" s="25">
        <v>1.0669999999999999</v>
      </c>
      <c r="W1684" s="25">
        <v>1.0529999999999999</v>
      </c>
      <c r="X1684" s="25">
        <v>0.9</v>
      </c>
      <c r="Y1684" s="23">
        <f>R1684*T1684*U1684*V1684*W1684*X1684</f>
        <v>10944.373442488199</v>
      </c>
      <c r="Z1684" s="23">
        <f t="shared" si="225"/>
        <v>12914.360662136074</v>
      </c>
      <c r="AA1684" s="36" t="s">
        <v>132</v>
      </c>
      <c r="AB1684" s="36" t="s">
        <v>132</v>
      </c>
      <c r="AC1684" s="23">
        <v>10000</v>
      </c>
      <c r="AD1684" s="23">
        <f t="shared" si="226"/>
        <v>11800</v>
      </c>
      <c r="AE1684" s="38" t="s">
        <v>169</v>
      </c>
      <c r="AF1684" s="38" t="s">
        <v>83</v>
      </c>
      <c r="AG1684" s="38" t="s">
        <v>83</v>
      </c>
      <c r="AH1684" s="38" t="s">
        <v>90</v>
      </c>
      <c r="AI1684" s="159">
        <v>41699</v>
      </c>
      <c r="AJ1684" s="159">
        <v>41744</v>
      </c>
      <c r="AK1684" s="60"/>
      <c r="AL1684" s="60"/>
      <c r="AM1684" s="60" t="s">
        <v>7258</v>
      </c>
      <c r="AN1684" s="60" t="s">
        <v>171</v>
      </c>
      <c r="AO1684" s="63">
        <v>796</v>
      </c>
      <c r="AP1684" s="38" t="s">
        <v>94</v>
      </c>
      <c r="AQ1684" s="25">
        <v>1</v>
      </c>
      <c r="AR1684" s="25">
        <v>45</v>
      </c>
      <c r="AS1684" s="16" t="s">
        <v>512</v>
      </c>
      <c r="AT1684" s="52">
        <v>41760</v>
      </c>
      <c r="AU1684" s="52">
        <v>41760</v>
      </c>
      <c r="AV1684" s="224">
        <v>41912</v>
      </c>
      <c r="AW1684" s="11">
        <v>2014</v>
      </c>
      <c r="AX1684" s="60" t="s">
        <v>96</v>
      </c>
      <c r="AY1684" s="135"/>
      <c r="AZ1684" s="60"/>
      <c r="BA1684" s="38"/>
      <c r="BB1684" s="38"/>
      <c r="BC1684" s="60"/>
      <c r="BD1684" s="60"/>
      <c r="BE1684" s="238"/>
      <c r="BF1684" s="238"/>
      <c r="BG1684" s="238"/>
      <c r="BH1684" s="238"/>
      <c r="BI1684" s="238"/>
      <c r="BJ1684" s="238"/>
      <c r="BK1684" s="238"/>
    </row>
    <row r="1685" spans="1:63" s="268" customFormat="1" ht="175.5" customHeight="1">
      <c r="A1685" s="25">
        <v>8</v>
      </c>
      <c r="B1685" s="38" t="s">
        <v>558</v>
      </c>
      <c r="C1685" s="38" t="s">
        <v>83</v>
      </c>
      <c r="D1685" s="38" t="s">
        <v>559</v>
      </c>
      <c r="E1685" s="38" t="s">
        <v>84</v>
      </c>
      <c r="F1685" s="38" t="s">
        <v>925</v>
      </c>
      <c r="G1685" s="38">
        <v>7000000</v>
      </c>
      <c r="H1685" s="63">
        <v>625937</v>
      </c>
      <c r="I1685" s="16" t="s">
        <v>3861</v>
      </c>
      <c r="J1685" s="16" t="s">
        <v>560</v>
      </c>
      <c r="K1685" s="16" t="s">
        <v>560</v>
      </c>
      <c r="L1685" s="16" t="s">
        <v>180</v>
      </c>
      <c r="M1685" s="134" t="s">
        <v>5891</v>
      </c>
      <c r="N1685" s="16" t="s">
        <v>5892</v>
      </c>
      <c r="O1685" s="16" t="s">
        <v>561</v>
      </c>
      <c r="P1685" s="23">
        <v>850000</v>
      </c>
      <c r="Q1685" s="23">
        <f t="shared" si="224"/>
        <v>1003000</v>
      </c>
      <c r="R1685" s="23"/>
      <c r="S1685" s="29"/>
      <c r="T1685" s="25"/>
      <c r="U1685" s="25"/>
      <c r="V1685" s="25"/>
      <c r="W1685" s="25"/>
      <c r="X1685" s="25"/>
      <c r="Y1685" s="34">
        <v>850000</v>
      </c>
      <c r="Z1685" s="34">
        <f t="shared" si="225"/>
        <v>1003000</v>
      </c>
      <c r="AA1685" s="36" t="s">
        <v>132</v>
      </c>
      <c r="AB1685" s="36" t="s">
        <v>132</v>
      </c>
      <c r="AC1685" s="34">
        <v>850000</v>
      </c>
      <c r="AD1685" s="34">
        <f t="shared" si="226"/>
        <v>1003000</v>
      </c>
      <c r="AE1685" s="38" t="s">
        <v>97</v>
      </c>
      <c r="AF1685" s="38" t="s">
        <v>83</v>
      </c>
      <c r="AG1685" s="38" t="s">
        <v>83</v>
      </c>
      <c r="AH1685" s="38" t="s">
        <v>545</v>
      </c>
      <c r="AI1685" s="405">
        <v>41631</v>
      </c>
      <c r="AJ1685" s="97">
        <v>41654</v>
      </c>
      <c r="AK1685" s="60"/>
      <c r="AL1685" s="60"/>
      <c r="AM1685" s="16" t="s">
        <v>3862</v>
      </c>
      <c r="AN1685" s="60" t="s">
        <v>171</v>
      </c>
      <c r="AO1685" s="63">
        <v>796</v>
      </c>
      <c r="AP1685" s="38" t="s">
        <v>368</v>
      </c>
      <c r="AQ1685" s="25">
        <v>1</v>
      </c>
      <c r="AR1685" s="38" t="s">
        <v>562</v>
      </c>
      <c r="AS1685" s="16" t="s">
        <v>926</v>
      </c>
      <c r="AT1685" s="52">
        <v>41674</v>
      </c>
      <c r="AU1685" s="52">
        <v>41674</v>
      </c>
      <c r="AV1685" s="52">
        <v>42118</v>
      </c>
      <c r="AW1685" s="45" t="s">
        <v>99</v>
      </c>
      <c r="AX1685" s="60"/>
      <c r="AY1685" s="135"/>
      <c r="AZ1685" s="60"/>
      <c r="BA1685" s="38"/>
      <c r="BB1685" s="38"/>
      <c r="BC1685" s="60"/>
      <c r="BD1685" s="60"/>
      <c r="BE1685" s="331"/>
      <c r="BF1685" s="331"/>
      <c r="BG1685" s="331"/>
      <c r="BH1685" s="331"/>
      <c r="BI1685" s="331"/>
      <c r="BJ1685" s="331"/>
      <c r="BK1685" s="331"/>
    </row>
    <row r="1686" spans="1:63" s="268" customFormat="1" ht="56.25">
      <c r="A1686" s="25">
        <v>8</v>
      </c>
      <c r="B1686" s="72" t="s">
        <v>212</v>
      </c>
      <c r="C1686" s="38" t="s">
        <v>83</v>
      </c>
      <c r="D1686" s="72" t="s">
        <v>213</v>
      </c>
      <c r="E1686" s="72" t="s">
        <v>214</v>
      </c>
      <c r="F1686" s="72" t="s">
        <v>215</v>
      </c>
      <c r="G1686" s="72">
        <v>7523000</v>
      </c>
      <c r="H1686" s="63">
        <v>625986</v>
      </c>
      <c r="I1686" s="16" t="s">
        <v>216</v>
      </c>
      <c r="J1686" s="16" t="s">
        <v>216</v>
      </c>
      <c r="K1686" s="16" t="s">
        <v>4919</v>
      </c>
      <c r="L1686" s="16" t="s">
        <v>180</v>
      </c>
      <c r="M1686" s="134" t="s">
        <v>4728</v>
      </c>
      <c r="N1686" s="16" t="s">
        <v>220</v>
      </c>
      <c r="O1686" s="16" t="s">
        <v>217</v>
      </c>
      <c r="P1686" s="23">
        <v>91005.263999999996</v>
      </c>
      <c r="Q1686" s="23">
        <f t="shared" si="224"/>
        <v>107386.21151999998</v>
      </c>
      <c r="R1686" s="23"/>
      <c r="S1686" s="29"/>
      <c r="T1686" s="25"/>
      <c r="U1686" s="25"/>
      <c r="V1686" s="25"/>
      <c r="W1686" s="25"/>
      <c r="X1686" s="25"/>
      <c r="Y1686" s="23">
        <v>91005.263999999996</v>
      </c>
      <c r="Z1686" s="23">
        <f t="shared" si="225"/>
        <v>107386.21151999998</v>
      </c>
      <c r="AA1686" s="36" t="s">
        <v>132</v>
      </c>
      <c r="AB1686" s="36" t="s">
        <v>132</v>
      </c>
      <c r="AC1686" s="23">
        <v>91005.263999999996</v>
      </c>
      <c r="AD1686" s="23">
        <f t="shared" si="226"/>
        <v>107386.21151999998</v>
      </c>
      <c r="AE1686" s="38" t="s">
        <v>169</v>
      </c>
      <c r="AF1686" s="38" t="s">
        <v>83</v>
      </c>
      <c r="AG1686" s="38" t="s">
        <v>83</v>
      </c>
      <c r="AH1686" s="38" t="s">
        <v>90</v>
      </c>
      <c r="AI1686" s="52">
        <v>41687</v>
      </c>
      <c r="AJ1686" s="97">
        <v>41750</v>
      </c>
      <c r="AK1686" s="60"/>
      <c r="AL1686" s="60"/>
      <c r="AM1686" s="60" t="s">
        <v>220</v>
      </c>
      <c r="AN1686" s="60" t="s">
        <v>171</v>
      </c>
      <c r="AO1686" s="63">
        <v>796</v>
      </c>
      <c r="AP1686" s="38" t="s">
        <v>221</v>
      </c>
      <c r="AQ1686" s="25">
        <v>78</v>
      </c>
      <c r="AR1686" s="25" t="s">
        <v>222</v>
      </c>
      <c r="AS1686" s="16" t="s">
        <v>223</v>
      </c>
      <c r="AT1686" s="52">
        <v>41770</v>
      </c>
      <c r="AU1686" s="52">
        <v>41770</v>
      </c>
      <c r="AV1686" s="52">
        <v>42155</v>
      </c>
      <c r="AW1686" s="38" t="s">
        <v>99</v>
      </c>
      <c r="AX1686" s="60"/>
      <c r="AY1686" s="135"/>
      <c r="AZ1686" s="71"/>
      <c r="BA1686" s="38"/>
      <c r="BB1686" s="38"/>
      <c r="BC1686" s="60"/>
      <c r="BD1686" s="60"/>
      <c r="BE1686" s="238"/>
      <c r="BF1686" s="238"/>
      <c r="BG1686" s="238"/>
      <c r="BH1686" s="238"/>
      <c r="BI1686" s="238"/>
      <c r="BJ1686" s="238"/>
      <c r="BK1686" s="238"/>
    </row>
    <row r="1687" spans="1:63" s="268" customFormat="1" ht="56.25">
      <c r="A1687" s="25">
        <v>8</v>
      </c>
      <c r="B1687" s="72" t="s">
        <v>224</v>
      </c>
      <c r="C1687" s="38" t="s">
        <v>83</v>
      </c>
      <c r="D1687" s="72" t="s">
        <v>225</v>
      </c>
      <c r="E1687" s="72" t="s">
        <v>214</v>
      </c>
      <c r="F1687" s="72" t="s">
        <v>215</v>
      </c>
      <c r="G1687" s="72">
        <v>7523000</v>
      </c>
      <c r="H1687" s="63">
        <v>625988</v>
      </c>
      <c r="I1687" s="16" t="s">
        <v>226</v>
      </c>
      <c r="J1687" s="16" t="s">
        <v>226</v>
      </c>
      <c r="K1687" s="16" t="s">
        <v>4919</v>
      </c>
      <c r="L1687" s="16" t="s">
        <v>180</v>
      </c>
      <c r="M1687" s="134" t="s">
        <v>4728</v>
      </c>
      <c r="N1687" s="16" t="s">
        <v>220</v>
      </c>
      <c r="O1687" s="16" t="s">
        <v>217</v>
      </c>
      <c r="P1687" s="23">
        <v>73743.263999999996</v>
      </c>
      <c r="Q1687" s="23">
        <f t="shared" si="224"/>
        <v>87017.051519999994</v>
      </c>
      <c r="R1687" s="23"/>
      <c r="S1687" s="29"/>
      <c r="T1687" s="25"/>
      <c r="U1687" s="25"/>
      <c r="V1687" s="25"/>
      <c r="W1687" s="25"/>
      <c r="X1687" s="25"/>
      <c r="Y1687" s="23">
        <v>73743.263999999996</v>
      </c>
      <c r="Z1687" s="23">
        <f t="shared" si="225"/>
        <v>87017.051519999994</v>
      </c>
      <c r="AA1687" s="36" t="s">
        <v>132</v>
      </c>
      <c r="AB1687" s="36" t="s">
        <v>132</v>
      </c>
      <c r="AC1687" s="23">
        <v>73743.263999999996</v>
      </c>
      <c r="AD1687" s="23">
        <f t="shared" si="226"/>
        <v>87017.051519999994</v>
      </c>
      <c r="AE1687" s="38" t="s">
        <v>169</v>
      </c>
      <c r="AF1687" s="38" t="s">
        <v>83</v>
      </c>
      <c r="AG1687" s="38" t="s">
        <v>83</v>
      </c>
      <c r="AH1687" s="38" t="s">
        <v>90</v>
      </c>
      <c r="AI1687" s="52">
        <v>41687</v>
      </c>
      <c r="AJ1687" s="97">
        <v>41750</v>
      </c>
      <c r="AK1687" s="60"/>
      <c r="AL1687" s="60"/>
      <c r="AM1687" s="60" t="s">
        <v>220</v>
      </c>
      <c r="AN1687" s="60" t="s">
        <v>171</v>
      </c>
      <c r="AO1687" s="63">
        <v>796</v>
      </c>
      <c r="AP1687" s="38" t="s">
        <v>221</v>
      </c>
      <c r="AQ1687" s="25">
        <v>76</v>
      </c>
      <c r="AR1687" s="25" t="s">
        <v>222</v>
      </c>
      <c r="AS1687" s="16" t="s">
        <v>223</v>
      </c>
      <c r="AT1687" s="52">
        <v>41770</v>
      </c>
      <c r="AU1687" s="52">
        <v>41770</v>
      </c>
      <c r="AV1687" s="52">
        <v>42155</v>
      </c>
      <c r="AW1687" s="38" t="s">
        <v>99</v>
      </c>
      <c r="AX1687" s="60"/>
      <c r="AY1687" s="135"/>
      <c r="AZ1687" s="71"/>
      <c r="BA1687" s="38"/>
      <c r="BB1687" s="38"/>
      <c r="BC1687" s="60"/>
      <c r="BD1687" s="60"/>
      <c r="BE1687" s="238"/>
      <c r="BF1687" s="238"/>
      <c r="BG1687" s="238"/>
      <c r="BH1687" s="238"/>
      <c r="BI1687" s="238"/>
      <c r="BJ1687" s="238"/>
      <c r="BK1687" s="238"/>
    </row>
    <row r="1688" spans="1:63" s="268" customFormat="1" ht="56.25">
      <c r="A1688" s="25">
        <v>8</v>
      </c>
      <c r="B1688" s="72" t="s">
        <v>227</v>
      </c>
      <c r="C1688" s="38" t="s">
        <v>83</v>
      </c>
      <c r="D1688" s="72" t="s">
        <v>225</v>
      </c>
      <c r="E1688" s="72" t="s">
        <v>214</v>
      </c>
      <c r="F1688" s="72" t="s">
        <v>215</v>
      </c>
      <c r="G1688" s="72">
        <v>7523000</v>
      </c>
      <c r="H1688" s="63">
        <v>625989</v>
      </c>
      <c r="I1688" s="16" t="s">
        <v>226</v>
      </c>
      <c r="J1688" s="16" t="s">
        <v>226</v>
      </c>
      <c r="K1688" s="16" t="s">
        <v>4919</v>
      </c>
      <c r="L1688" s="16" t="s">
        <v>180</v>
      </c>
      <c r="M1688" s="134" t="s">
        <v>4728</v>
      </c>
      <c r="N1688" s="16" t="s">
        <v>220</v>
      </c>
      <c r="O1688" s="16" t="s">
        <v>217</v>
      </c>
      <c r="P1688" s="23">
        <v>5341.5940000000001</v>
      </c>
      <c r="Q1688" s="23">
        <f t="shared" si="224"/>
        <v>6303.0809199999994</v>
      </c>
      <c r="R1688" s="23"/>
      <c r="S1688" s="29"/>
      <c r="T1688" s="25"/>
      <c r="U1688" s="25"/>
      <c r="V1688" s="25"/>
      <c r="W1688" s="25"/>
      <c r="X1688" s="25"/>
      <c r="Y1688" s="23">
        <v>5341.5940000000001</v>
      </c>
      <c r="Z1688" s="23">
        <f t="shared" si="225"/>
        <v>6303.0809199999994</v>
      </c>
      <c r="AA1688" s="36" t="s">
        <v>132</v>
      </c>
      <c r="AB1688" s="36" t="s">
        <v>132</v>
      </c>
      <c r="AC1688" s="23">
        <v>5341.5940000000001</v>
      </c>
      <c r="AD1688" s="23">
        <f t="shared" si="226"/>
        <v>6303.0809199999994</v>
      </c>
      <c r="AE1688" s="38" t="s">
        <v>173</v>
      </c>
      <c r="AF1688" s="38" t="s">
        <v>83</v>
      </c>
      <c r="AG1688" s="38" t="s">
        <v>83</v>
      </c>
      <c r="AH1688" s="38" t="s">
        <v>90</v>
      </c>
      <c r="AI1688" s="52">
        <v>41687</v>
      </c>
      <c r="AJ1688" s="97">
        <v>41750</v>
      </c>
      <c r="AK1688" s="60"/>
      <c r="AL1688" s="60"/>
      <c r="AM1688" s="60" t="s">
        <v>220</v>
      </c>
      <c r="AN1688" s="60" t="s">
        <v>171</v>
      </c>
      <c r="AO1688" s="63">
        <v>796</v>
      </c>
      <c r="AP1688" s="38" t="s">
        <v>221</v>
      </c>
      <c r="AQ1688" s="25">
        <v>2</v>
      </c>
      <c r="AR1688" s="25" t="s">
        <v>228</v>
      </c>
      <c r="AS1688" s="16" t="s">
        <v>229</v>
      </c>
      <c r="AT1688" s="52">
        <v>41770</v>
      </c>
      <c r="AU1688" s="52">
        <v>41770</v>
      </c>
      <c r="AV1688" s="52">
        <v>42155</v>
      </c>
      <c r="AW1688" s="38" t="s">
        <v>99</v>
      </c>
      <c r="AX1688" s="60"/>
      <c r="AY1688" s="135"/>
      <c r="AZ1688" s="71"/>
      <c r="BA1688" s="38"/>
      <c r="BB1688" s="38"/>
      <c r="BC1688" s="60"/>
      <c r="BD1688" s="60"/>
      <c r="BE1688" s="238"/>
      <c r="BF1688" s="238"/>
      <c r="BG1688" s="238"/>
      <c r="BH1688" s="238"/>
      <c r="BI1688" s="238"/>
      <c r="BJ1688" s="238"/>
      <c r="BK1688" s="238"/>
    </row>
    <row r="1689" spans="1:63" s="268" customFormat="1" ht="56.25">
      <c r="A1689" s="25">
        <v>8</v>
      </c>
      <c r="B1689" s="72" t="s">
        <v>230</v>
      </c>
      <c r="C1689" s="38" t="s">
        <v>83</v>
      </c>
      <c r="D1689" s="72" t="s">
        <v>231</v>
      </c>
      <c r="E1689" s="72" t="s">
        <v>214</v>
      </c>
      <c r="F1689" s="72" t="s">
        <v>215</v>
      </c>
      <c r="G1689" s="72">
        <v>7523000</v>
      </c>
      <c r="H1689" s="63">
        <v>625990</v>
      </c>
      <c r="I1689" s="16" t="s">
        <v>232</v>
      </c>
      <c r="J1689" s="16" t="s">
        <v>232</v>
      </c>
      <c r="K1689" s="16" t="s">
        <v>4919</v>
      </c>
      <c r="L1689" s="16" t="s">
        <v>180</v>
      </c>
      <c r="M1689" s="134" t="s">
        <v>4728</v>
      </c>
      <c r="N1689" s="16" t="s">
        <v>220</v>
      </c>
      <c r="O1689" s="16" t="s">
        <v>217</v>
      </c>
      <c r="P1689" s="23">
        <v>66286.080000000002</v>
      </c>
      <c r="Q1689" s="23">
        <f t="shared" si="224"/>
        <v>78217.574399999998</v>
      </c>
      <c r="R1689" s="23"/>
      <c r="S1689" s="29"/>
      <c r="T1689" s="25"/>
      <c r="U1689" s="25"/>
      <c r="V1689" s="25"/>
      <c r="W1689" s="25"/>
      <c r="X1689" s="25"/>
      <c r="Y1689" s="23">
        <v>66286.080000000002</v>
      </c>
      <c r="Z1689" s="23">
        <f t="shared" si="225"/>
        <v>78217.574399999998</v>
      </c>
      <c r="AA1689" s="36" t="s">
        <v>132</v>
      </c>
      <c r="AB1689" s="36" t="s">
        <v>132</v>
      </c>
      <c r="AC1689" s="23">
        <v>66286.080000000002</v>
      </c>
      <c r="AD1689" s="23">
        <f t="shared" si="226"/>
        <v>78217.574399999998</v>
      </c>
      <c r="AE1689" s="38" t="s">
        <v>169</v>
      </c>
      <c r="AF1689" s="38" t="s">
        <v>83</v>
      </c>
      <c r="AG1689" s="38" t="s">
        <v>83</v>
      </c>
      <c r="AH1689" s="38" t="s">
        <v>90</v>
      </c>
      <c r="AI1689" s="52">
        <v>41687</v>
      </c>
      <c r="AJ1689" s="97">
        <v>41750</v>
      </c>
      <c r="AK1689" s="60"/>
      <c r="AL1689" s="60"/>
      <c r="AM1689" s="60" t="s">
        <v>220</v>
      </c>
      <c r="AN1689" s="60" t="s">
        <v>171</v>
      </c>
      <c r="AO1689" s="63">
        <v>796</v>
      </c>
      <c r="AP1689" s="38" t="s">
        <v>221</v>
      </c>
      <c r="AQ1689" s="25">
        <v>55</v>
      </c>
      <c r="AR1689" s="25" t="s">
        <v>222</v>
      </c>
      <c r="AS1689" s="16" t="s">
        <v>223</v>
      </c>
      <c r="AT1689" s="52">
        <v>41770</v>
      </c>
      <c r="AU1689" s="52">
        <v>41770</v>
      </c>
      <c r="AV1689" s="52">
        <v>42155</v>
      </c>
      <c r="AW1689" s="38" t="s">
        <v>99</v>
      </c>
      <c r="AX1689" s="60"/>
      <c r="AY1689" s="135"/>
      <c r="AZ1689" s="71"/>
      <c r="BA1689" s="38"/>
      <c r="BB1689" s="38"/>
      <c r="BC1689" s="60"/>
      <c r="BD1689" s="60"/>
      <c r="BE1689" s="238"/>
      <c r="BF1689" s="238"/>
      <c r="BG1689" s="238"/>
      <c r="BH1689" s="238"/>
      <c r="BI1689" s="238"/>
      <c r="BJ1689" s="238"/>
      <c r="BK1689" s="238"/>
    </row>
    <row r="1690" spans="1:63" s="268" customFormat="1" ht="56.25">
      <c r="A1690" s="25">
        <v>8</v>
      </c>
      <c r="B1690" s="72" t="s">
        <v>233</v>
      </c>
      <c r="C1690" s="38" t="s">
        <v>83</v>
      </c>
      <c r="D1690" s="72" t="s">
        <v>231</v>
      </c>
      <c r="E1690" s="72" t="s">
        <v>214</v>
      </c>
      <c r="F1690" s="72" t="s">
        <v>215</v>
      </c>
      <c r="G1690" s="72">
        <v>7523000</v>
      </c>
      <c r="H1690" s="63">
        <v>625991</v>
      </c>
      <c r="I1690" s="16" t="s">
        <v>232</v>
      </c>
      <c r="J1690" s="16" t="s">
        <v>232</v>
      </c>
      <c r="K1690" s="16" t="s">
        <v>4919</v>
      </c>
      <c r="L1690" s="16" t="s">
        <v>180</v>
      </c>
      <c r="M1690" s="134" t="s">
        <v>4728</v>
      </c>
      <c r="N1690" s="16" t="s">
        <v>220</v>
      </c>
      <c r="O1690" s="16" t="s">
        <v>217</v>
      </c>
      <c r="P1690" s="23">
        <v>4255.0280000000002</v>
      </c>
      <c r="Q1690" s="23">
        <f t="shared" si="224"/>
        <v>5020.9330399999999</v>
      </c>
      <c r="R1690" s="23"/>
      <c r="S1690" s="29"/>
      <c r="T1690" s="25"/>
      <c r="U1690" s="25"/>
      <c r="V1690" s="25"/>
      <c r="W1690" s="25"/>
      <c r="X1690" s="25"/>
      <c r="Y1690" s="23">
        <v>4255.0280000000002</v>
      </c>
      <c r="Z1690" s="23">
        <f t="shared" si="225"/>
        <v>5020.9330399999999</v>
      </c>
      <c r="AA1690" s="36" t="s">
        <v>132</v>
      </c>
      <c r="AB1690" s="36" t="s">
        <v>132</v>
      </c>
      <c r="AC1690" s="23">
        <v>4255.0280000000002</v>
      </c>
      <c r="AD1690" s="23">
        <f t="shared" si="226"/>
        <v>5020.9330399999999</v>
      </c>
      <c r="AE1690" s="38" t="s">
        <v>173</v>
      </c>
      <c r="AF1690" s="38" t="s">
        <v>83</v>
      </c>
      <c r="AG1690" s="38" t="s">
        <v>83</v>
      </c>
      <c r="AH1690" s="38" t="s">
        <v>90</v>
      </c>
      <c r="AI1690" s="52">
        <v>41687</v>
      </c>
      <c r="AJ1690" s="97">
        <v>41750</v>
      </c>
      <c r="AK1690" s="60"/>
      <c r="AL1690" s="60"/>
      <c r="AM1690" s="60" t="s">
        <v>220</v>
      </c>
      <c r="AN1690" s="60" t="s">
        <v>171</v>
      </c>
      <c r="AO1690" s="63">
        <v>796</v>
      </c>
      <c r="AP1690" s="38" t="s">
        <v>221</v>
      </c>
      <c r="AQ1690" s="25">
        <v>1</v>
      </c>
      <c r="AR1690" s="25" t="s">
        <v>228</v>
      </c>
      <c r="AS1690" s="16" t="s">
        <v>229</v>
      </c>
      <c r="AT1690" s="52">
        <v>41770</v>
      </c>
      <c r="AU1690" s="52">
        <v>41770</v>
      </c>
      <c r="AV1690" s="52">
        <v>42155</v>
      </c>
      <c r="AW1690" s="38" t="s">
        <v>99</v>
      </c>
      <c r="AX1690" s="60"/>
      <c r="AY1690" s="135"/>
      <c r="AZ1690" s="71"/>
      <c r="BA1690" s="38"/>
      <c r="BB1690" s="38"/>
      <c r="BC1690" s="60"/>
      <c r="BD1690" s="60"/>
      <c r="BE1690" s="238"/>
      <c r="BF1690" s="238"/>
      <c r="BG1690" s="238"/>
      <c r="BH1690" s="238"/>
      <c r="BI1690" s="238"/>
      <c r="BJ1690" s="238"/>
      <c r="BK1690" s="238"/>
    </row>
    <row r="1691" spans="1:63" s="268" customFormat="1" ht="56.25">
      <c r="A1691" s="25">
        <v>8</v>
      </c>
      <c r="B1691" s="72" t="s">
        <v>234</v>
      </c>
      <c r="C1691" s="38" t="s">
        <v>83</v>
      </c>
      <c r="D1691" s="72" t="s">
        <v>235</v>
      </c>
      <c r="E1691" s="72" t="s">
        <v>214</v>
      </c>
      <c r="F1691" s="72" t="s">
        <v>215</v>
      </c>
      <c r="G1691" s="72">
        <v>7523000</v>
      </c>
      <c r="H1691" s="63">
        <v>625992</v>
      </c>
      <c r="I1691" s="16" t="s">
        <v>236</v>
      </c>
      <c r="J1691" s="16" t="s">
        <v>236</v>
      </c>
      <c r="K1691" s="16" t="s">
        <v>4919</v>
      </c>
      <c r="L1691" s="16" t="s">
        <v>180</v>
      </c>
      <c r="M1691" s="134" t="s">
        <v>4728</v>
      </c>
      <c r="N1691" s="16" t="s">
        <v>220</v>
      </c>
      <c r="O1691" s="16" t="s">
        <v>217</v>
      </c>
      <c r="P1691" s="23">
        <v>78114.002999999997</v>
      </c>
      <c r="Q1691" s="23">
        <f t="shared" si="224"/>
        <v>92174.523539999995</v>
      </c>
      <c r="R1691" s="23"/>
      <c r="S1691" s="29"/>
      <c r="T1691" s="25"/>
      <c r="U1691" s="25"/>
      <c r="V1691" s="25"/>
      <c r="W1691" s="25"/>
      <c r="X1691" s="25"/>
      <c r="Y1691" s="23">
        <v>78114.002999999997</v>
      </c>
      <c r="Z1691" s="23">
        <f t="shared" si="225"/>
        <v>92174.523539999995</v>
      </c>
      <c r="AA1691" s="36" t="s">
        <v>132</v>
      </c>
      <c r="AB1691" s="36" t="s">
        <v>132</v>
      </c>
      <c r="AC1691" s="23">
        <v>78114.002999999997</v>
      </c>
      <c r="AD1691" s="23">
        <f t="shared" si="226"/>
        <v>92174.523539999995</v>
      </c>
      <c r="AE1691" s="38" t="s">
        <v>169</v>
      </c>
      <c r="AF1691" s="38" t="s">
        <v>83</v>
      </c>
      <c r="AG1691" s="38" t="s">
        <v>83</v>
      </c>
      <c r="AH1691" s="38" t="s">
        <v>90</v>
      </c>
      <c r="AI1691" s="52">
        <v>41687</v>
      </c>
      <c r="AJ1691" s="97">
        <v>41750</v>
      </c>
      <c r="AK1691" s="60"/>
      <c r="AL1691" s="60"/>
      <c r="AM1691" s="60" t="s">
        <v>220</v>
      </c>
      <c r="AN1691" s="60" t="s">
        <v>171</v>
      </c>
      <c r="AO1691" s="63">
        <v>796</v>
      </c>
      <c r="AP1691" s="38" t="s">
        <v>221</v>
      </c>
      <c r="AQ1691" s="25">
        <v>89</v>
      </c>
      <c r="AR1691" s="25" t="s">
        <v>222</v>
      </c>
      <c r="AS1691" s="16" t="s">
        <v>223</v>
      </c>
      <c r="AT1691" s="52">
        <v>41770</v>
      </c>
      <c r="AU1691" s="52">
        <v>41770</v>
      </c>
      <c r="AV1691" s="52">
        <v>42155</v>
      </c>
      <c r="AW1691" s="38" t="s">
        <v>99</v>
      </c>
      <c r="AX1691" s="60"/>
      <c r="AY1691" s="135"/>
      <c r="AZ1691" s="71"/>
      <c r="BA1691" s="38"/>
      <c r="BB1691" s="38"/>
      <c r="BC1691" s="60"/>
      <c r="BD1691" s="60"/>
      <c r="BE1691" s="238"/>
      <c r="BF1691" s="238"/>
      <c r="BG1691" s="238"/>
      <c r="BH1691" s="238"/>
      <c r="BI1691" s="238"/>
      <c r="BJ1691" s="238"/>
      <c r="BK1691" s="238"/>
    </row>
    <row r="1692" spans="1:63" s="268" customFormat="1" ht="56.25">
      <c r="A1692" s="25">
        <v>8</v>
      </c>
      <c r="B1692" s="72" t="s">
        <v>237</v>
      </c>
      <c r="C1692" s="38" t="s">
        <v>83</v>
      </c>
      <c r="D1692" s="72" t="s">
        <v>238</v>
      </c>
      <c r="E1692" s="72" t="s">
        <v>214</v>
      </c>
      <c r="F1692" s="72" t="s">
        <v>215</v>
      </c>
      <c r="G1692" s="72">
        <v>7523000</v>
      </c>
      <c r="H1692" s="63">
        <v>625993</v>
      </c>
      <c r="I1692" s="16" t="s">
        <v>239</v>
      </c>
      <c r="J1692" s="16" t="s">
        <v>239</v>
      </c>
      <c r="K1692" s="16" t="s">
        <v>4919</v>
      </c>
      <c r="L1692" s="16" t="s">
        <v>180</v>
      </c>
      <c r="M1692" s="134" t="s">
        <v>4728</v>
      </c>
      <c r="N1692" s="16" t="s">
        <v>220</v>
      </c>
      <c r="O1692" s="16" t="s">
        <v>217</v>
      </c>
      <c r="P1692" s="23">
        <v>82484.740999999995</v>
      </c>
      <c r="Q1692" s="23">
        <f t="shared" si="224"/>
        <v>97331.994379999989</v>
      </c>
      <c r="R1692" s="23"/>
      <c r="S1692" s="29"/>
      <c r="T1692" s="25"/>
      <c r="U1692" s="25"/>
      <c r="V1692" s="25"/>
      <c r="W1692" s="25"/>
      <c r="X1692" s="25"/>
      <c r="Y1692" s="23">
        <v>82484.740999999995</v>
      </c>
      <c r="Z1692" s="23">
        <f t="shared" si="225"/>
        <v>97331.994379999989</v>
      </c>
      <c r="AA1692" s="36" t="s">
        <v>132</v>
      </c>
      <c r="AB1692" s="36" t="s">
        <v>132</v>
      </c>
      <c r="AC1692" s="23">
        <v>82484.740999999995</v>
      </c>
      <c r="AD1692" s="23">
        <f t="shared" si="226"/>
        <v>97331.994379999989</v>
      </c>
      <c r="AE1692" s="38" t="s">
        <v>169</v>
      </c>
      <c r="AF1692" s="38" t="s">
        <v>83</v>
      </c>
      <c r="AG1692" s="38" t="s">
        <v>83</v>
      </c>
      <c r="AH1692" s="38" t="s">
        <v>90</v>
      </c>
      <c r="AI1692" s="52">
        <v>41687</v>
      </c>
      <c r="AJ1692" s="97">
        <v>41750</v>
      </c>
      <c r="AK1692" s="60"/>
      <c r="AL1692" s="60"/>
      <c r="AM1692" s="60" t="s">
        <v>220</v>
      </c>
      <c r="AN1692" s="60" t="s">
        <v>171</v>
      </c>
      <c r="AO1692" s="63">
        <v>796</v>
      </c>
      <c r="AP1692" s="38" t="s">
        <v>221</v>
      </c>
      <c r="AQ1692" s="25">
        <v>66</v>
      </c>
      <c r="AR1692" s="25" t="s">
        <v>228</v>
      </c>
      <c r="AS1692" s="16" t="s">
        <v>229</v>
      </c>
      <c r="AT1692" s="52">
        <v>41770</v>
      </c>
      <c r="AU1692" s="52">
        <v>41770</v>
      </c>
      <c r="AV1692" s="52">
        <v>42155</v>
      </c>
      <c r="AW1692" s="38" t="s">
        <v>99</v>
      </c>
      <c r="AX1692" s="60"/>
      <c r="AY1692" s="135"/>
      <c r="AZ1692" s="71"/>
      <c r="BA1692" s="38"/>
      <c r="BB1692" s="38"/>
      <c r="BC1692" s="60"/>
      <c r="BD1692" s="60"/>
      <c r="BE1692" s="238"/>
      <c r="BF1692" s="238"/>
      <c r="BG1692" s="238"/>
      <c r="BH1692" s="238"/>
      <c r="BI1692" s="238"/>
      <c r="BJ1692" s="238"/>
      <c r="BK1692" s="238"/>
    </row>
    <row r="1693" spans="1:63" s="268" customFormat="1" ht="56.25">
      <c r="A1693" s="25">
        <v>8</v>
      </c>
      <c r="B1693" s="72" t="s">
        <v>240</v>
      </c>
      <c r="C1693" s="38" t="s">
        <v>83</v>
      </c>
      <c r="D1693" s="72" t="s">
        <v>238</v>
      </c>
      <c r="E1693" s="72" t="s">
        <v>214</v>
      </c>
      <c r="F1693" s="72" t="s">
        <v>215</v>
      </c>
      <c r="G1693" s="72">
        <v>7523000</v>
      </c>
      <c r="H1693" s="63">
        <v>625994</v>
      </c>
      <c r="I1693" s="16" t="s">
        <v>239</v>
      </c>
      <c r="J1693" s="16" t="s">
        <v>239</v>
      </c>
      <c r="K1693" s="16" t="s">
        <v>4919</v>
      </c>
      <c r="L1693" s="16" t="s">
        <v>180</v>
      </c>
      <c r="M1693" s="134" t="s">
        <v>4728</v>
      </c>
      <c r="N1693" s="16" t="s">
        <v>220</v>
      </c>
      <c r="O1693" s="16" t="s">
        <v>217</v>
      </c>
      <c r="P1693" s="23">
        <v>52462.080000000002</v>
      </c>
      <c r="Q1693" s="23">
        <f t="shared" si="224"/>
        <v>61905.254399999998</v>
      </c>
      <c r="R1693" s="23"/>
      <c r="S1693" s="29"/>
      <c r="T1693" s="25"/>
      <c r="U1693" s="25"/>
      <c r="V1693" s="25"/>
      <c r="W1693" s="25"/>
      <c r="X1693" s="25"/>
      <c r="Y1693" s="23">
        <v>52462.080000000002</v>
      </c>
      <c r="Z1693" s="23">
        <f t="shared" si="225"/>
        <v>61905.254399999998</v>
      </c>
      <c r="AA1693" s="36" t="s">
        <v>132</v>
      </c>
      <c r="AB1693" s="36" t="s">
        <v>132</v>
      </c>
      <c r="AC1693" s="23">
        <v>52462.080000000002</v>
      </c>
      <c r="AD1693" s="23">
        <f t="shared" si="226"/>
        <v>61905.254399999998</v>
      </c>
      <c r="AE1693" s="38" t="s">
        <v>169</v>
      </c>
      <c r="AF1693" s="38" t="s">
        <v>83</v>
      </c>
      <c r="AG1693" s="38" t="s">
        <v>83</v>
      </c>
      <c r="AH1693" s="38" t="s">
        <v>90</v>
      </c>
      <c r="AI1693" s="52">
        <v>41687</v>
      </c>
      <c r="AJ1693" s="97">
        <v>41750</v>
      </c>
      <c r="AK1693" s="60"/>
      <c r="AL1693" s="60"/>
      <c r="AM1693" s="60" t="s">
        <v>220</v>
      </c>
      <c r="AN1693" s="60" t="s">
        <v>171</v>
      </c>
      <c r="AO1693" s="63">
        <v>796</v>
      </c>
      <c r="AP1693" s="38" t="s">
        <v>221</v>
      </c>
      <c r="AQ1693" s="25">
        <v>40</v>
      </c>
      <c r="AR1693" s="25" t="s">
        <v>228</v>
      </c>
      <c r="AS1693" s="16" t="s">
        <v>229</v>
      </c>
      <c r="AT1693" s="52">
        <v>41770</v>
      </c>
      <c r="AU1693" s="52">
        <v>41770</v>
      </c>
      <c r="AV1693" s="52">
        <v>42155</v>
      </c>
      <c r="AW1693" s="38" t="s">
        <v>99</v>
      </c>
      <c r="AX1693" s="60"/>
      <c r="AY1693" s="135"/>
      <c r="AZ1693" s="71"/>
      <c r="BA1693" s="38"/>
      <c r="BB1693" s="38"/>
      <c r="BC1693" s="60"/>
      <c r="BD1693" s="60"/>
      <c r="BE1693" s="238"/>
      <c r="BF1693" s="238"/>
      <c r="BG1693" s="238"/>
      <c r="BH1693" s="238"/>
      <c r="BI1693" s="238"/>
      <c r="BJ1693" s="238"/>
      <c r="BK1693" s="238"/>
    </row>
    <row r="1694" spans="1:63" s="268" customFormat="1" ht="56.25">
      <c r="A1694" s="25">
        <v>8</v>
      </c>
      <c r="B1694" s="72" t="s">
        <v>241</v>
      </c>
      <c r="C1694" s="38" t="s">
        <v>83</v>
      </c>
      <c r="D1694" s="72" t="s">
        <v>242</v>
      </c>
      <c r="E1694" s="72" t="s">
        <v>214</v>
      </c>
      <c r="F1694" s="72" t="s">
        <v>215</v>
      </c>
      <c r="G1694" s="72">
        <v>7523000</v>
      </c>
      <c r="H1694" s="63">
        <v>626002</v>
      </c>
      <c r="I1694" s="16" t="s">
        <v>243</v>
      </c>
      <c r="J1694" s="16" t="s">
        <v>243</v>
      </c>
      <c r="K1694" s="16" t="s">
        <v>4919</v>
      </c>
      <c r="L1694" s="16" t="s">
        <v>180</v>
      </c>
      <c r="M1694" s="134" t="s">
        <v>4728</v>
      </c>
      <c r="N1694" s="16" t="s">
        <v>220</v>
      </c>
      <c r="O1694" s="16" t="s">
        <v>217</v>
      </c>
      <c r="P1694" s="23">
        <v>81886.464000000007</v>
      </c>
      <c r="Q1694" s="23">
        <f t="shared" si="224"/>
        <v>96626.027520000003</v>
      </c>
      <c r="R1694" s="23"/>
      <c r="S1694" s="29"/>
      <c r="T1694" s="25"/>
      <c r="U1694" s="25"/>
      <c r="V1694" s="25"/>
      <c r="W1694" s="25"/>
      <c r="X1694" s="25"/>
      <c r="Y1694" s="23">
        <v>81886.464000000007</v>
      </c>
      <c r="Z1694" s="23">
        <f t="shared" si="225"/>
        <v>96626.027520000003</v>
      </c>
      <c r="AA1694" s="36" t="s">
        <v>132</v>
      </c>
      <c r="AB1694" s="36" t="s">
        <v>132</v>
      </c>
      <c r="AC1694" s="23">
        <v>81886.464000000007</v>
      </c>
      <c r="AD1694" s="23">
        <f t="shared" si="226"/>
        <v>96626.027520000003</v>
      </c>
      <c r="AE1694" s="38" t="s">
        <v>169</v>
      </c>
      <c r="AF1694" s="38" t="s">
        <v>83</v>
      </c>
      <c r="AG1694" s="38" t="s">
        <v>83</v>
      </c>
      <c r="AH1694" s="38" t="s">
        <v>90</v>
      </c>
      <c r="AI1694" s="52">
        <v>41687</v>
      </c>
      <c r="AJ1694" s="97">
        <v>41750</v>
      </c>
      <c r="AK1694" s="60"/>
      <c r="AL1694" s="60"/>
      <c r="AM1694" s="60" t="s">
        <v>220</v>
      </c>
      <c r="AN1694" s="60" t="s">
        <v>171</v>
      </c>
      <c r="AO1694" s="63">
        <v>796</v>
      </c>
      <c r="AP1694" s="38" t="s">
        <v>221</v>
      </c>
      <c r="AQ1694" s="25">
        <v>46</v>
      </c>
      <c r="AR1694" s="25" t="s">
        <v>228</v>
      </c>
      <c r="AS1694" s="16" t="s">
        <v>229</v>
      </c>
      <c r="AT1694" s="52">
        <v>41770</v>
      </c>
      <c r="AU1694" s="52">
        <v>41770</v>
      </c>
      <c r="AV1694" s="52">
        <v>42155</v>
      </c>
      <c r="AW1694" s="38" t="s">
        <v>99</v>
      </c>
      <c r="AX1694" s="60"/>
      <c r="AY1694" s="135"/>
      <c r="AZ1694" s="71"/>
      <c r="BA1694" s="38"/>
      <c r="BB1694" s="38"/>
      <c r="BC1694" s="60"/>
      <c r="BD1694" s="60"/>
      <c r="BE1694" s="238"/>
      <c r="BF1694" s="238"/>
      <c r="BG1694" s="238"/>
      <c r="BH1694" s="238"/>
      <c r="BI1694" s="238"/>
      <c r="BJ1694" s="238"/>
      <c r="BK1694" s="238"/>
    </row>
    <row r="1695" spans="1:63" s="268" customFormat="1" ht="56.25">
      <c r="A1695" s="25">
        <v>8</v>
      </c>
      <c r="B1695" s="72" t="s">
        <v>244</v>
      </c>
      <c r="C1695" s="38" t="s">
        <v>83</v>
      </c>
      <c r="D1695" s="72" t="s">
        <v>245</v>
      </c>
      <c r="E1695" s="72" t="s">
        <v>214</v>
      </c>
      <c r="F1695" s="72" t="s">
        <v>215</v>
      </c>
      <c r="G1695" s="72">
        <v>7523000</v>
      </c>
      <c r="H1695" s="63">
        <v>626003</v>
      </c>
      <c r="I1695" s="16" t="s">
        <v>246</v>
      </c>
      <c r="J1695" s="16" t="s">
        <v>246</v>
      </c>
      <c r="K1695" s="16" t="s">
        <v>4919</v>
      </c>
      <c r="L1695" s="16" t="s">
        <v>180</v>
      </c>
      <c r="M1695" s="134" t="s">
        <v>4728</v>
      </c>
      <c r="N1695" s="16" t="s">
        <v>220</v>
      </c>
      <c r="O1695" s="16" t="s">
        <v>217</v>
      </c>
      <c r="P1695" s="23">
        <v>16924.723999999998</v>
      </c>
      <c r="Q1695" s="23">
        <f t="shared" si="224"/>
        <v>19971.174319999998</v>
      </c>
      <c r="R1695" s="23"/>
      <c r="S1695" s="29"/>
      <c r="T1695" s="25"/>
      <c r="U1695" s="25"/>
      <c r="V1695" s="25"/>
      <c r="W1695" s="25"/>
      <c r="X1695" s="25"/>
      <c r="Y1695" s="23">
        <v>16924.723999999998</v>
      </c>
      <c r="Z1695" s="23">
        <f t="shared" si="225"/>
        <v>19971.174319999998</v>
      </c>
      <c r="AA1695" s="36" t="s">
        <v>132</v>
      </c>
      <c r="AB1695" s="36" t="s">
        <v>132</v>
      </c>
      <c r="AC1695" s="23">
        <v>16924.723999999998</v>
      </c>
      <c r="AD1695" s="23">
        <f t="shared" si="226"/>
        <v>19971.174319999998</v>
      </c>
      <c r="AE1695" s="38" t="s">
        <v>169</v>
      </c>
      <c r="AF1695" s="38" t="s">
        <v>83</v>
      </c>
      <c r="AG1695" s="38" t="s">
        <v>83</v>
      </c>
      <c r="AH1695" s="38" t="s">
        <v>90</v>
      </c>
      <c r="AI1695" s="52">
        <v>41687</v>
      </c>
      <c r="AJ1695" s="97">
        <v>41750</v>
      </c>
      <c r="AK1695" s="60"/>
      <c r="AL1695" s="60"/>
      <c r="AM1695" s="60" t="s">
        <v>220</v>
      </c>
      <c r="AN1695" s="60" t="s">
        <v>171</v>
      </c>
      <c r="AO1695" s="63">
        <v>796</v>
      </c>
      <c r="AP1695" s="38" t="s">
        <v>221</v>
      </c>
      <c r="AQ1695" s="25">
        <v>8</v>
      </c>
      <c r="AR1695" s="25" t="s">
        <v>228</v>
      </c>
      <c r="AS1695" s="16" t="s">
        <v>229</v>
      </c>
      <c r="AT1695" s="52">
        <v>41770</v>
      </c>
      <c r="AU1695" s="52">
        <v>41770</v>
      </c>
      <c r="AV1695" s="52">
        <v>42155</v>
      </c>
      <c r="AW1695" s="38" t="s">
        <v>99</v>
      </c>
      <c r="AX1695" s="60"/>
      <c r="AY1695" s="135"/>
      <c r="AZ1695" s="71"/>
      <c r="BA1695" s="38"/>
      <c r="BB1695" s="38"/>
      <c r="BC1695" s="60"/>
      <c r="BD1695" s="60"/>
      <c r="BE1695" s="238"/>
      <c r="BF1695" s="238"/>
      <c r="BG1695" s="238"/>
      <c r="BH1695" s="238"/>
      <c r="BI1695" s="238"/>
      <c r="BJ1695" s="238"/>
      <c r="BK1695" s="238"/>
    </row>
    <row r="1696" spans="1:63" s="268" customFormat="1" ht="56.25">
      <c r="A1696" s="25">
        <v>8</v>
      </c>
      <c r="B1696" s="72" t="s">
        <v>247</v>
      </c>
      <c r="C1696" s="38" t="s">
        <v>83</v>
      </c>
      <c r="D1696" s="72" t="s">
        <v>160</v>
      </c>
      <c r="E1696" s="72" t="s">
        <v>214</v>
      </c>
      <c r="F1696" s="72" t="s">
        <v>215</v>
      </c>
      <c r="G1696" s="72">
        <v>7523000</v>
      </c>
      <c r="H1696" s="63">
        <v>626004</v>
      </c>
      <c r="I1696" s="16" t="s">
        <v>248</v>
      </c>
      <c r="J1696" s="16" t="s">
        <v>248</v>
      </c>
      <c r="K1696" s="16" t="s">
        <v>4919</v>
      </c>
      <c r="L1696" s="16" t="s">
        <v>180</v>
      </c>
      <c r="M1696" s="134" t="s">
        <v>4728</v>
      </c>
      <c r="N1696" s="16" t="s">
        <v>220</v>
      </c>
      <c r="O1696" s="16" t="s">
        <v>217</v>
      </c>
      <c r="P1696" s="23">
        <v>10783.871999999999</v>
      </c>
      <c r="Q1696" s="23">
        <f t="shared" si="224"/>
        <v>12724.968959999998</v>
      </c>
      <c r="R1696" s="23"/>
      <c r="S1696" s="29"/>
      <c r="T1696" s="25"/>
      <c r="U1696" s="25"/>
      <c r="V1696" s="25"/>
      <c r="W1696" s="25"/>
      <c r="X1696" s="25"/>
      <c r="Y1696" s="23">
        <v>10783.871999999999</v>
      </c>
      <c r="Z1696" s="23">
        <f t="shared" si="225"/>
        <v>12724.968959999998</v>
      </c>
      <c r="AA1696" s="36" t="s">
        <v>132</v>
      </c>
      <c r="AB1696" s="36" t="s">
        <v>132</v>
      </c>
      <c r="AC1696" s="23">
        <v>10783.871999999999</v>
      </c>
      <c r="AD1696" s="23">
        <f t="shared" si="226"/>
        <v>12724.968959999998</v>
      </c>
      <c r="AE1696" s="38" t="s">
        <v>169</v>
      </c>
      <c r="AF1696" s="38" t="s">
        <v>83</v>
      </c>
      <c r="AG1696" s="38" t="s">
        <v>83</v>
      </c>
      <c r="AH1696" s="38" t="s">
        <v>90</v>
      </c>
      <c r="AI1696" s="52">
        <v>41687</v>
      </c>
      <c r="AJ1696" s="97">
        <v>41750</v>
      </c>
      <c r="AK1696" s="60"/>
      <c r="AL1696" s="60"/>
      <c r="AM1696" s="60" t="s">
        <v>220</v>
      </c>
      <c r="AN1696" s="60" t="s">
        <v>171</v>
      </c>
      <c r="AO1696" s="63">
        <v>796</v>
      </c>
      <c r="AP1696" s="38" t="s">
        <v>221</v>
      </c>
      <c r="AQ1696" s="25">
        <v>5</v>
      </c>
      <c r="AR1696" s="25" t="s">
        <v>228</v>
      </c>
      <c r="AS1696" s="16" t="s">
        <v>229</v>
      </c>
      <c r="AT1696" s="52">
        <v>41770</v>
      </c>
      <c r="AU1696" s="52">
        <v>41770</v>
      </c>
      <c r="AV1696" s="52">
        <v>42155</v>
      </c>
      <c r="AW1696" s="38" t="s">
        <v>99</v>
      </c>
      <c r="AX1696" s="60"/>
      <c r="AY1696" s="135"/>
      <c r="AZ1696" s="71"/>
      <c r="BA1696" s="38"/>
      <c r="BB1696" s="38"/>
      <c r="BC1696" s="60"/>
      <c r="BD1696" s="60"/>
      <c r="BE1696" s="238"/>
      <c r="BF1696" s="238"/>
      <c r="BG1696" s="238"/>
      <c r="BH1696" s="238"/>
      <c r="BI1696" s="238"/>
      <c r="BJ1696" s="238"/>
      <c r="BK1696" s="238"/>
    </row>
    <row r="1697" spans="1:63" s="606" customFormat="1" ht="131.25">
      <c r="A1697" s="25">
        <v>8</v>
      </c>
      <c r="B1697" s="38" t="s">
        <v>189</v>
      </c>
      <c r="C1697" s="72" t="s">
        <v>83</v>
      </c>
      <c r="D1697" s="72" t="s">
        <v>555</v>
      </c>
      <c r="E1697" s="38" t="s">
        <v>190</v>
      </c>
      <c r="F1697" s="60">
        <v>90.03</v>
      </c>
      <c r="G1697" s="60">
        <v>7493</v>
      </c>
      <c r="H1697" s="11">
        <v>625916</v>
      </c>
      <c r="I1697" s="16" t="s">
        <v>191</v>
      </c>
      <c r="J1697" s="16" t="s">
        <v>275</v>
      </c>
      <c r="K1697" s="16" t="s">
        <v>192</v>
      </c>
      <c r="L1697" s="16" t="s">
        <v>180</v>
      </c>
      <c r="M1697" s="134">
        <v>20105140703</v>
      </c>
      <c r="N1697" s="16" t="s">
        <v>5881</v>
      </c>
      <c r="O1697" s="16" t="s">
        <v>193</v>
      </c>
      <c r="P1697" s="23">
        <v>27648.3</v>
      </c>
      <c r="Q1697" s="23">
        <f t="shared" si="224"/>
        <v>32624.993999999999</v>
      </c>
      <c r="R1697" s="23"/>
      <c r="S1697" s="29"/>
      <c r="T1697" s="25"/>
      <c r="U1697" s="25"/>
      <c r="V1697" s="25"/>
      <c r="W1697" s="25"/>
      <c r="X1697" s="25"/>
      <c r="Y1697" s="34">
        <v>27648.3</v>
      </c>
      <c r="Z1697" s="34">
        <f t="shared" si="225"/>
        <v>32624.993999999999</v>
      </c>
      <c r="AA1697" s="36" t="s">
        <v>132</v>
      </c>
      <c r="AB1697" s="36" t="s">
        <v>132</v>
      </c>
      <c r="AC1697" s="34">
        <v>27648.3</v>
      </c>
      <c r="AD1697" s="34">
        <f t="shared" si="226"/>
        <v>32624.993999999999</v>
      </c>
      <c r="AE1697" s="38" t="s">
        <v>169</v>
      </c>
      <c r="AF1697" s="38" t="s">
        <v>83</v>
      </c>
      <c r="AG1697" s="38" t="s">
        <v>83</v>
      </c>
      <c r="AH1697" s="38" t="s">
        <v>90</v>
      </c>
      <c r="AI1697" s="52">
        <v>41717</v>
      </c>
      <c r="AJ1697" s="97">
        <v>41777</v>
      </c>
      <c r="AK1697" s="60"/>
      <c r="AL1697" s="60"/>
      <c r="AM1697" s="60" t="s">
        <v>132</v>
      </c>
      <c r="AN1697" s="60" t="s">
        <v>171</v>
      </c>
      <c r="AO1697" s="11">
        <v>796</v>
      </c>
      <c r="AP1697" s="38" t="s">
        <v>94</v>
      </c>
      <c r="AQ1697" s="25">
        <v>1</v>
      </c>
      <c r="AR1697" s="38" t="s">
        <v>93</v>
      </c>
      <c r="AS1697" s="16" t="s">
        <v>92</v>
      </c>
      <c r="AT1697" s="52">
        <v>41797</v>
      </c>
      <c r="AU1697" s="52">
        <v>41797</v>
      </c>
      <c r="AV1697" s="52">
        <v>42161</v>
      </c>
      <c r="AW1697" s="38" t="s">
        <v>99</v>
      </c>
      <c r="AX1697" s="60"/>
      <c r="AY1697" s="135"/>
      <c r="AZ1697" s="60"/>
      <c r="BA1697" s="38" t="s">
        <v>132</v>
      </c>
      <c r="BB1697" s="38" t="s">
        <v>132</v>
      </c>
      <c r="BC1697" s="60" t="s">
        <v>132</v>
      </c>
      <c r="BD1697" s="60" t="s">
        <v>132</v>
      </c>
      <c r="BE1697" s="331" t="s">
        <v>132</v>
      </c>
      <c r="BF1697" s="331" t="s">
        <v>132</v>
      </c>
      <c r="BG1697" s="331" t="s">
        <v>132</v>
      </c>
      <c r="BH1697" s="331" t="s">
        <v>132</v>
      </c>
      <c r="BI1697" s="331" t="s">
        <v>132</v>
      </c>
      <c r="BJ1697" s="331" t="s">
        <v>132</v>
      </c>
      <c r="BK1697" s="378"/>
    </row>
    <row r="1698" spans="1:63" s="606" customFormat="1" ht="131.25">
      <c r="A1698" s="25">
        <v>8</v>
      </c>
      <c r="B1698" s="38" t="s">
        <v>194</v>
      </c>
      <c r="C1698" s="72" t="s">
        <v>83</v>
      </c>
      <c r="D1698" s="72" t="s">
        <v>555</v>
      </c>
      <c r="E1698" s="38" t="s">
        <v>190</v>
      </c>
      <c r="F1698" s="430" t="s">
        <v>556</v>
      </c>
      <c r="G1698" s="60">
        <v>749</v>
      </c>
      <c r="H1698" s="11">
        <v>625919</v>
      </c>
      <c r="I1698" s="16" t="s">
        <v>195</v>
      </c>
      <c r="J1698" s="16" t="s">
        <v>275</v>
      </c>
      <c r="K1698" s="16" t="s">
        <v>192</v>
      </c>
      <c r="L1698" s="16" t="s">
        <v>88</v>
      </c>
      <c r="M1698" s="134">
        <v>20105140703</v>
      </c>
      <c r="N1698" s="16" t="s">
        <v>5965</v>
      </c>
      <c r="O1698" s="16" t="s">
        <v>193</v>
      </c>
      <c r="P1698" s="23">
        <v>2500</v>
      </c>
      <c r="Q1698" s="23">
        <f t="shared" si="224"/>
        <v>2950</v>
      </c>
      <c r="R1698" s="23"/>
      <c r="S1698" s="29"/>
      <c r="T1698" s="25"/>
      <c r="U1698" s="25"/>
      <c r="V1698" s="25"/>
      <c r="W1698" s="25"/>
      <c r="X1698" s="25"/>
      <c r="Y1698" s="34">
        <v>2500</v>
      </c>
      <c r="Z1698" s="34">
        <f t="shared" si="225"/>
        <v>2950</v>
      </c>
      <c r="AA1698" s="36" t="s">
        <v>132</v>
      </c>
      <c r="AB1698" s="36" t="s">
        <v>132</v>
      </c>
      <c r="AC1698" s="34">
        <v>2500</v>
      </c>
      <c r="AD1698" s="34">
        <f t="shared" si="226"/>
        <v>2950</v>
      </c>
      <c r="AE1698" s="38" t="s">
        <v>173</v>
      </c>
      <c r="AF1698" s="38" t="s">
        <v>83</v>
      </c>
      <c r="AG1698" s="38" t="s">
        <v>83</v>
      </c>
      <c r="AH1698" s="38" t="s">
        <v>90</v>
      </c>
      <c r="AI1698" s="52">
        <v>41720</v>
      </c>
      <c r="AJ1698" s="97">
        <v>41765</v>
      </c>
      <c r="AK1698" s="60"/>
      <c r="AL1698" s="60"/>
      <c r="AM1698" s="60" t="s">
        <v>132</v>
      </c>
      <c r="AN1698" s="60" t="s">
        <v>171</v>
      </c>
      <c r="AO1698" s="11">
        <v>797</v>
      </c>
      <c r="AP1698" s="38" t="s">
        <v>94</v>
      </c>
      <c r="AQ1698" s="25">
        <v>2</v>
      </c>
      <c r="AR1698" s="38" t="s">
        <v>188</v>
      </c>
      <c r="AS1698" s="16" t="s">
        <v>92</v>
      </c>
      <c r="AT1698" s="52">
        <v>41785</v>
      </c>
      <c r="AU1698" s="52">
        <v>41785</v>
      </c>
      <c r="AV1698" s="52">
        <v>42149</v>
      </c>
      <c r="AW1698" s="38" t="s">
        <v>99</v>
      </c>
      <c r="AX1698" s="60"/>
      <c r="AY1698" s="135"/>
      <c r="AZ1698" s="60"/>
      <c r="BA1698" s="38" t="s">
        <v>132</v>
      </c>
      <c r="BB1698" s="38" t="s">
        <v>132</v>
      </c>
      <c r="BC1698" s="60" t="s">
        <v>132</v>
      </c>
      <c r="BD1698" s="60" t="s">
        <v>132</v>
      </c>
      <c r="BE1698" s="331" t="s">
        <v>132</v>
      </c>
      <c r="BF1698" s="331" t="s">
        <v>132</v>
      </c>
      <c r="BG1698" s="331" t="s">
        <v>132</v>
      </c>
      <c r="BH1698" s="331" t="s">
        <v>132</v>
      </c>
      <c r="BI1698" s="331" t="s">
        <v>132</v>
      </c>
      <c r="BJ1698" s="331" t="s">
        <v>132</v>
      </c>
      <c r="BK1698" s="378"/>
    </row>
    <row r="1699" spans="1:63" s="606" customFormat="1" ht="131.25">
      <c r="A1699" s="25">
        <v>8</v>
      </c>
      <c r="B1699" s="38" t="s">
        <v>196</v>
      </c>
      <c r="C1699" s="72" t="s">
        <v>83</v>
      </c>
      <c r="D1699" s="72" t="s">
        <v>555</v>
      </c>
      <c r="E1699" s="38" t="s">
        <v>190</v>
      </c>
      <c r="F1699" s="430" t="s">
        <v>556</v>
      </c>
      <c r="G1699" s="60">
        <v>5121012</v>
      </c>
      <c r="H1699" s="11">
        <v>625920</v>
      </c>
      <c r="I1699" s="16" t="s">
        <v>197</v>
      </c>
      <c r="J1699" s="16" t="s">
        <v>275</v>
      </c>
      <c r="K1699" s="16" t="s">
        <v>192</v>
      </c>
      <c r="L1699" s="16" t="s">
        <v>88</v>
      </c>
      <c r="M1699" s="134" t="s">
        <v>270</v>
      </c>
      <c r="N1699" s="16" t="s">
        <v>5965</v>
      </c>
      <c r="O1699" s="16" t="s">
        <v>193</v>
      </c>
      <c r="P1699" s="23">
        <v>3910</v>
      </c>
      <c r="Q1699" s="23">
        <f t="shared" si="224"/>
        <v>4613.8</v>
      </c>
      <c r="R1699" s="23"/>
      <c r="S1699" s="29"/>
      <c r="T1699" s="25"/>
      <c r="U1699" s="25"/>
      <c r="V1699" s="25"/>
      <c r="W1699" s="25"/>
      <c r="X1699" s="25"/>
      <c r="Y1699" s="34">
        <v>3910</v>
      </c>
      <c r="Z1699" s="34">
        <f t="shared" si="225"/>
        <v>4613.8</v>
      </c>
      <c r="AA1699" s="36" t="s">
        <v>132</v>
      </c>
      <c r="AB1699" s="36" t="s">
        <v>132</v>
      </c>
      <c r="AC1699" s="34">
        <v>3910</v>
      </c>
      <c r="AD1699" s="34">
        <f t="shared" si="226"/>
        <v>4613.8</v>
      </c>
      <c r="AE1699" s="38" t="s">
        <v>173</v>
      </c>
      <c r="AF1699" s="38" t="s">
        <v>83</v>
      </c>
      <c r="AG1699" s="38" t="s">
        <v>83</v>
      </c>
      <c r="AH1699" s="38" t="s">
        <v>90</v>
      </c>
      <c r="AI1699" s="52">
        <v>41720</v>
      </c>
      <c r="AJ1699" s="97">
        <v>41765</v>
      </c>
      <c r="AK1699" s="60"/>
      <c r="AL1699" s="60"/>
      <c r="AM1699" s="60" t="s">
        <v>132</v>
      </c>
      <c r="AN1699" s="60" t="s">
        <v>171</v>
      </c>
      <c r="AO1699" s="11">
        <v>798</v>
      </c>
      <c r="AP1699" s="38" t="s">
        <v>94</v>
      </c>
      <c r="AQ1699" s="25">
        <v>3</v>
      </c>
      <c r="AR1699" s="38" t="s">
        <v>198</v>
      </c>
      <c r="AS1699" s="16" t="s">
        <v>92</v>
      </c>
      <c r="AT1699" s="52">
        <v>41785</v>
      </c>
      <c r="AU1699" s="52">
        <v>41785</v>
      </c>
      <c r="AV1699" s="52">
        <v>42149</v>
      </c>
      <c r="AW1699" s="38" t="s">
        <v>99</v>
      </c>
      <c r="AX1699" s="60"/>
      <c r="AY1699" s="135"/>
      <c r="AZ1699" s="60"/>
      <c r="BA1699" s="38" t="s">
        <v>132</v>
      </c>
      <c r="BB1699" s="38" t="s">
        <v>132</v>
      </c>
      <c r="BC1699" s="60" t="s">
        <v>132</v>
      </c>
      <c r="BD1699" s="60" t="s">
        <v>132</v>
      </c>
      <c r="BE1699" s="331" t="s">
        <v>132</v>
      </c>
      <c r="BF1699" s="331" t="s">
        <v>132</v>
      </c>
      <c r="BG1699" s="331" t="s">
        <v>132</v>
      </c>
      <c r="BH1699" s="331" t="s">
        <v>132</v>
      </c>
      <c r="BI1699" s="331" t="s">
        <v>132</v>
      </c>
      <c r="BJ1699" s="331" t="s">
        <v>132</v>
      </c>
      <c r="BK1699" s="378"/>
    </row>
    <row r="1700" spans="1:63" s="606" customFormat="1" ht="131.25">
      <c r="A1700" s="25">
        <v>8</v>
      </c>
      <c r="B1700" s="38" t="s">
        <v>199</v>
      </c>
      <c r="C1700" s="72" t="s">
        <v>83</v>
      </c>
      <c r="D1700" s="72" t="s">
        <v>555</v>
      </c>
      <c r="E1700" s="38" t="s">
        <v>190</v>
      </c>
      <c r="F1700" s="60">
        <v>92.72</v>
      </c>
      <c r="G1700" s="60">
        <v>55201102</v>
      </c>
      <c r="H1700" s="11">
        <v>625922</v>
      </c>
      <c r="I1700" s="16" t="s">
        <v>200</v>
      </c>
      <c r="J1700" s="16" t="s">
        <v>275</v>
      </c>
      <c r="K1700" s="16" t="s">
        <v>192</v>
      </c>
      <c r="L1700" s="16" t="s">
        <v>88</v>
      </c>
      <c r="M1700" s="134" t="s">
        <v>5872</v>
      </c>
      <c r="N1700" s="16" t="s">
        <v>5966</v>
      </c>
      <c r="O1700" s="16" t="s">
        <v>193</v>
      </c>
      <c r="P1700" s="23">
        <v>11000</v>
      </c>
      <c r="Q1700" s="23">
        <f t="shared" si="224"/>
        <v>12980</v>
      </c>
      <c r="R1700" s="23"/>
      <c r="S1700" s="29"/>
      <c r="T1700" s="25"/>
      <c r="U1700" s="25"/>
      <c r="V1700" s="25"/>
      <c r="W1700" s="25"/>
      <c r="X1700" s="25"/>
      <c r="Y1700" s="23">
        <v>11000</v>
      </c>
      <c r="Z1700" s="23">
        <f t="shared" si="225"/>
        <v>12980</v>
      </c>
      <c r="AA1700" s="36" t="s">
        <v>132</v>
      </c>
      <c r="AB1700" s="36" t="s">
        <v>132</v>
      </c>
      <c r="AC1700" s="23">
        <v>11000</v>
      </c>
      <c r="AD1700" s="23">
        <f t="shared" si="226"/>
        <v>12980</v>
      </c>
      <c r="AE1700" s="38" t="s">
        <v>169</v>
      </c>
      <c r="AF1700" s="38" t="s">
        <v>83</v>
      </c>
      <c r="AG1700" s="38" t="s">
        <v>83</v>
      </c>
      <c r="AH1700" s="38" t="s">
        <v>90</v>
      </c>
      <c r="AI1700" s="52">
        <v>41912</v>
      </c>
      <c r="AJ1700" s="97">
        <v>41972</v>
      </c>
      <c r="AK1700" s="60"/>
      <c r="AL1700" s="60"/>
      <c r="AM1700" s="60" t="s">
        <v>132</v>
      </c>
      <c r="AN1700" s="60" t="s">
        <v>171</v>
      </c>
      <c r="AO1700" s="11">
        <v>800</v>
      </c>
      <c r="AP1700" s="38" t="s">
        <v>94</v>
      </c>
      <c r="AQ1700" s="25">
        <v>5</v>
      </c>
      <c r="AR1700" s="38" t="s">
        <v>201</v>
      </c>
      <c r="AS1700" s="16" t="s">
        <v>92</v>
      </c>
      <c r="AT1700" s="52">
        <v>41992</v>
      </c>
      <c r="AU1700" s="52">
        <v>41992</v>
      </c>
      <c r="AV1700" s="52">
        <v>41992</v>
      </c>
      <c r="AW1700" s="38">
        <v>2014</v>
      </c>
      <c r="AX1700" s="60"/>
      <c r="AY1700" s="135"/>
      <c r="AZ1700" s="60"/>
      <c r="BA1700" s="38" t="s">
        <v>132</v>
      </c>
      <c r="BB1700" s="38" t="s">
        <v>132</v>
      </c>
      <c r="BC1700" s="60" t="s">
        <v>132</v>
      </c>
      <c r="BD1700" s="60" t="s">
        <v>132</v>
      </c>
      <c r="BE1700" s="331" t="s">
        <v>132</v>
      </c>
      <c r="BF1700" s="331" t="s">
        <v>132</v>
      </c>
      <c r="BG1700" s="331" t="s">
        <v>132</v>
      </c>
      <c r="BH1700" s="331" t="s">
        <v>132</v>
      </c>
      <c r="BI1700" s="331" t="s">
        <v>132</v>
      </c>
      <c r="BJ1700" s="331" t="s">
        <v>132</v>
      </c>
      <c r="BK1700" s="378"/>
    </row>
    <row r="1701" spans="1:63" s="606" customFormat="1" ht="131.25">
      <c r="A1701" s="25">
        <v>8</v>
      </c>
      <c r="B1701" s="38" t="s">
        <v>202</v>
      </c>
      <c r="C1701" s="72" t="s">
        <v>83</v>
      </c>
      <c r="D1701" s="72" t="s">
        <v>555</v>
      </c>
      <c r="E1701" s="38" t="s">
        <v>190</v>
      </c>
      <c r="F1701" s="431">
        <v>41</v>
      </c>
      <c r="G1701" s="60">
        <v>411</v>
      </c>
      <c r="H1701" s="11">
        <v>625923</v>
      </c>
      <c r="I1701" s="16" t="s">
        <v>203</v>
      </c>
      <c r="J1701" s="16" t="s">
        <v>275</v>
      </c>
      <c r="K1701" s="16" t="s">
        <v>192</v>
      </c>
      <c r="L1701" s="16" t="s">
        <v>88</v>
      </c>
      <c r="M1701" s="134" t="s">
        <v>270</v>
      </c>
      <c r="N1701" s="16" t="s">
        <v>5967</v>
      </c>
      <c r="O1701" s="16" t="s">
        <v>193</v>
      </c>
      <c r="P1701" s="23">
        <v>3550</v>
      </c>
      <c r="Q1701" s="23">
        <f t="shared" si="224"/>
        <v>4189</v>
      </c>
      <c r="R1701" s="23"/>
      <c r="S1701" s="29"/>
      <c r="T1701" s="25"/>
      <c r="U1701" s="25"/>
      <c r="V1701" s="25"/>
      <c r="W1701" s="25"/>
      <c r="X1701" s="25"/>
      <c r="Y1701" s="34">
        <v>3550</v>
      </c>
      <c r="Z1701" s="34">
        <f t="shared" si="225"/>
        <v>4189</v>
      </c>
      <c r="AA1701" s="36" t="s">
        <v>132</v>
      </c>
      <c r="AB1701" s="36" t="s">
        <v>132</v>
      </c>
      <c r="AC1701" s="34">
        <v>3550</v>
      </c>
      <c r="AD1701" s="34">
        <f t="shared" si="226"/>
        <v>4189</v>
      </c>
      <c r="AE1701" s="38" t="s">
        <v>173</v>
      </c>
      <c r="AF1701" s="38" t="s">
        <v>83</v>
      </c>
      <c r="AG1701" s="38" t="s">
        <v>83</v>
      </c>
      <c r="AH1701" s="38" t="s">
        <v>90</v>
      </c>
      <c r="AI1701" s="52">
        <v>41695</v>
      </c>
      <c r="AJ1701" s="97">
        <v>41740</v>
      </c>
      <c r="AK1701" s="60"/>
      <c r="AL1701" s="60"/>
      <c r="AM1701" s="60" t="s">
        <v>132</v>
      </c>
      <c r="AN1701" s="60" t="s">
        <v>171</v>
      </c>
      <c r="AO1701" s="11">
        <v>801</v>
      </c>
      <c r="AP1701" s="38" t="s">
        <v>94</v>
      </c>
      <c r="AQ1701" s="25">
        <v>6</v>
      </c>
      <c r="AR1701" s="38" t="s">
        <v>204</v>
      </c>
      <c r="AS1701" s="16" t="s">
        <v>92</v>
      </c>
      <c r="AT1701" s="52">
        <v>41760</v>
      </c>
      <c r="AU1701" s="52">
        <v>41760</v>
      </c>
      <c r="AV1701" s="52">
        <v>42124</v>
      </c>
      <c r="AW1701" s="38" t="s">
        <v>99</v>
      </c>
      <c r="AX1701" s="60"/>
      <c r="AY1701" s="135"/>
      <c r="AZ1701" s="60"/>
      <c r="BA1701" s="38" t="s">
        <v>132</v>
      </c>
      <c r="BB1701" s="38" t="s">
        <v>132</v>
      </c>
      <c r="BC1701" s="60" t="s">
        <v>132</v>
      </c>
      <c r="BD1701" s="60" t="s">
        <v>132</v>
      </c>
      <c r="BE1701" s="331" t="s">
        <v>132</v>
      </c>
      <c r="BF1701" s="331" t="s">
        <v>132</v>
      </c>
      <c r="BG1701" s="331" t="s">
        <v>132</v>
      </c>
      <c r="BH1701" s="331" t="s">
        <v>132</v>
      </c>
      <c r="BI1701" s="331" t="s">
        <v>132</v>
      </c>
      <c r="BJ1701" s="331" t="s">
        <v>132</v>
      </c>
      <c r="BK1701" s="378"/>
    </row>
    <row r="1702" spans="1:63" s="606" customFormat="1" ht="131.25">
      <c r="A1702" s="25">
        <v>8</v>
      </c>
      <c r="B1702" s="38" t="s">
        <v>205</v>
      </c>
      <c r="C1702" s="72" t="s">
        <v>83</v>
      </c>
      <c r="D1702" s="72" t="s">
        <v>555</v>
      </c>
      <c r="E1702" s="38" t="s">
        <v>190</v>
      </c>
      <c r="F1702" s="60">
        <v>64.099999999999994</v>
      </c>
      <c r="G1702" s="60">
        <v>6412</v>
      </c>
      <c r="H1702" s="11">
        <v>625924</v>
      </c>
      <c r="I1702" s="16" t="s">
        <v>206</v>
      </c>
      <c r="J1702" s="16" t="s">
        <v>275</v>
      </c>
      <c r="K1702" s="16" t="s">
        <v>192</v>
      </c>
      <c r="L1702" s="16" t="s">
        <v>180</v>
      </c>
      <c r="M1702" s="134">
        <v>20105140703</v>
      </c>
      <c r="N1702" s="16" t="s">
        <v>5884</v>
      </c>
      <c r="O1702" s="16" t="s">
        <v>193</v>
      </c>
      <c r="P1702" s="23">
        <v>15000</v>
      </c>
      <c r="Q1702" s="23">
        <f>P1702*1.18</f>
        <v>17700</v>
      </c>
      <c r="R1702" s="23"/>
      <c r="S1702" s="29"/>
      <c r="T1702" s="25"/>
      <c r="U1702" s="25"/>
      <c r="V1702" s="25"/>
      <c r="W1702" s="25"/>
      <c r="X1702" s="25"/>
      <c r="Y1702" s="23">
        <v>15000</v>
      </c>
      <c r="Z1702" s="23">
        <f>Y1702*1.18</f>
        <v>17700</v>
      </c>
      <c r="AA1702" s="36" t="s">
        <v>132</v>
      </c>
      <c r="AB1702" s="36" t="s">
        <v>132</v>
      </c>
      <c r="AC1702" s="23">
        <v>15000</v>
      </c>
      <c r="AD1702" s="23">
        <f>AC1702*1.18</f>
        <v>17700</v>
      </c>
      <c r="AE1702" s="38" t="s">
        <v>169</v>
      </c>
      <c r="AF1702" s="38" t="s">
        <v>83</v>
      </c>
      <c r="AG1702" s="38" t="s">
        <v>83</v>
      </c>
      <c r="AH1702" s="38" t="s">
        <v>90</v>
      </c>
      <c r="AI1702" s="52">
        <v>41619</v>
      </c>
      <c r="AJ1702" s="52">
        <v>41654</v>
      </c>
      <c r="AK1702" s="60"/>
      <c r="AL1702" s="60"/>
      <c r="AM1702" s="60" t="s">
        <v>132</v>
      </c>
      <c r="AN1702" s="60" t="s">
        <v>171</v>
      </c>
      <c r="AO1702" s="11">
        <v>802</v>
      </c>
      <c r="AP1702" s="38" t="s">
        <v>94</v>
      </c>
      <c r="AQ1702" s="25">
        <v>7</v>
      </c>
      <c r="AR1702" s="38" t="s">
        <v>207</v>
      </c>
      <c r="AS1702" s="16" t="s">
        <v>92</v>
      </c>
      <c r="AT1702" s="52">
        <v>41654</v>
      </c>
      <c r="AU1702" s="51">
        <v>41654</v>
      </c>
      <c r="AV1702" s="52">
        <v>42019</v>
      </c>
      <c r="AW1702" s="38" t="s">
        <v>99</v>
      </c>
      <c r="AX1702" s="60"/>
      <c r="AY1702" s="135"/>
      <c r="AZ1702" s="60"/>
      <c r="BA1702" s="38" t="s">
        <v>132</v>
      </c>
      <c r="BB1702" s="38" t="s">
        <v>132</v>
      </c>
      <c r="BC1702" s="60" t="s">
        <v>132</v>
      </c>
      <c r="BD1702" s="60" t="s">
        <v>132</v>
      </c>
      <c r="BE1702" s="331" t="s">
        <v>132</v>
      </c>
      <c r="BF1702" s="331" t="s">
        <v>132</v>
      </c>
      <c r="BG1702" s="331" t="s">
        <v>132</v>
      </c>
      <c r="BH1702" s="331" t="s">
        <v>132</v>
      </c>
      <c r="BI1702" s="331" t="s">
        <v>132</v>
      </c>
      <c r="BJ1702" s="331" t="s">
        <v>132</v>
      </c>
      <c r="BK1702" s="378"/>
    </row>
    <row r="1703" spans="1:63" s="606" customFormat="1" ht="131.25">
      <c r="A1703" s="25">
        <v>8</v>
      </c>
      <c r="B1703" s="38" t="s">
        <v>208</v>
      </c>
      <c r="C1703" s="72" t="s">
        <v>83</v>
      </c>
      <c r="D1703" s="72" t="s">
        <v>555</v>
      </c>
      <c r="E1703" s="38" t="s">
        <v>190</v>
      </c>
      <c r="F1703" s="60">
        <v>64.11</v>
      </c>
      <c r="G1703" s="60">
        <v>6411</v>
      </c>
      <c r="H1703" s="11">
        <v>625925</v>
      </c>
      <c r="I1703" s="16" t="s">
        <v>209</v>
      </c>
      <c r="J1703" s="16" t="s">
        <v>275</v>
      </c>
      <c r="K1703" s="16" t="s">
        <v>192</v>
      </c>
      <c r="L1703" s="16" t="s">
        <v>180</v>
      </c>
      <c r="M1703" s="134" t="s">
        <v>4763</v>
      </c>
      <c r="N1703" s="16" t="s">
        <v>557</v>
      </c>
      <c r="O1703" s="16" t="s">
        <v>193</v>
      </c>
      <c r="P1703" s="23">
        <v>3840</v>
      </c>
      <c r="Q1703" s="23">
        <f t="shared" ref="Q1703:Q1718" si="227">P1703*1.18</f>
        <v>4531.2</v>
      </c>
      <c r="R1703" s="23"/>
      <c r="S1703" s="29"/>
      <c r="T1703" s="25"/>
      <c r="U1703" s="25"/>
      <c r="V1703" s="25"/>
      <c r="W1703" s="25"/>
      <c r="X1703" s="25"/>
      <c r="Y1703" s="23">
        <v>3840</v>
      </c>
      <c r="Z1703" s="23">
        <f t="shared" ref="Z1703:Z1715" si="228">Y1703*1.18</f>
        <v>4531.2</v>
      </c>
      <c r="AA1703" s="36" t="s">
        <v>132</v>
      </c>
      <c r="AB1703" s="36" t="s">
        <v>132</v>
      </c>
      <c r="AC1703" s="23">
        <v>3840</v>
      </c>
      <c r="AD1703" s="23">
        <f t="shared" ref="AD1703:AD1712" si="229">AC1703*1.18</f>
        <v>4531.2</v>
      </c>
      <c r="AE1703" s="38" t="s">
        <v>173</v>
      </c>
      <c r="AF1703" s="38" t="s">
        <v>83</v>
      </c>
      <c r="AG1703" s="38" t="s">
        <v>83</v>
      </c>
      <c r="AH1703" s="38" t="s">
        <v>90</v>
      </c>
      <c r="AI1703" s="52">
        <v>41695</v>
      </c>
      <c r="AJ1703" s="97">
        <v>41740</v>
      </c>
      <c r="AK1703" s="60"/>
      <c r="AL1703" s="60"/>
      <c r="AM1703" s="60" t="s">
        <v>132</v>
      </c>
      <c r="AN1703" s="60" t="s">
        <v>171</v>
      </c>
      <c r="AO1703" s="11">
        <v>803</v>
      </c>
      <c r="AP1703" s="38" t="s">
        <v>94</v>
      </c>
      <c r="AQ1703" s="25">
        <v>8</v>
      </c>
      <c r="AR1703" s="38" t="s">
        <v>210</v>
      </c>
      <c r="AS1703" s="16" t="s">
        <v>92</v>
      </c>
      <c r="AT1703" s="52">
        <v>41755</v>
      </c>
      <c r="AU1703" s="51">
        <v>41760</v>
      </c>
      <c r="AV1703" s="52">
        <v>42124</v>
      </c>
      <c r="AW1703" s="38" t="s">
        <v>99</v>
      </c>
      <c r="AX1703" s="60"/>
      <c r="AY1703" s="135"/>
      <c r="AZ1703" s="60"/>
      <c r="BA1703" s="38" t="s">
        <v>132</v>
      </c>
      <c r="BB1703" s="38" t="s">
        <v>132</v>
      </c>
      <c r="BC1703" s="60" t="s">
        <v>132</v>
      </c>
      <c r="BD1703" s="60" t="s">
        <v>132</v>
      </c>
      <c r="BE1703" s="331" t="s">
        <v>132</v>
      </c>
      <c r="BF1703" s="331" t="s">
        <v>132</v>
      </c>
      <c r="BG1703" s="331" t="s">
        <v>132</v>
      </c>
      <c r="BH1703" s="331" t="s">
        <v>132</v>
      </c>
      <c r="BI1703" s="331" t="s">
        <v>132</v>
      </c>
      <c r="BJ1703" s="331" t="s">
        <v>132</v>
      </c>
      <c r="BK1703" s="378"/>
    </row>
    <row r="1704" spans="1:63" s="606" customFormat="1" ht="75">
      <c r="A1704" s="25">
        <v>8</v>
      </c>
      <c r="B1704" s="38" t="s">
        <v>3317</v>
      </c>
      <c r="C1704" s="72" t="s">
        <v>83</v>
      </c>
      <c r="D1704" s="72" t="s">
        <v>3329</v>
      </c>
      <c r="E1704" s="72" t="s">
        <v>274</v>
      </c>
      <c r="F1704" s="60" t="s">
        <v>880</v>
      </c>
      <c r="G1704" s="60" t="s">
        <v>882</v>
      </c>
      <c r="H1704" s="11">
        <v>626084</v>
      </c>
      <c r="I1704" s="16" t="s">
        <v>3330</v>
      </c>
      <c r="J1704" s="16" t="s">
        <v>3331</v>
      </c>
      <c r="K1704" s="16" t="s">
        <v>4918</v>
      </c>
      <c r="L1704" s="16" t="s">
        <v>180</v>
      </c>
      <c r="M1704" s="134" t="s">
        <v>4725</v>
      </c>
      <c r="N1704" s="16" t="s">
        <v>4764</v>
      </c>
      <c r="O1704" s="16" t="s">
        <v>3372</v>
      </c>
      <c r="P1704" s="23">
        <v>40980</v>
      </c>
      <c r="Q1704" s="23">
        <f t="shared" si="227"/>
        <v>48356.399999999994</v>
      </c>
      <c r="R1704" s="23"/>
      <c r="S1704" s="29"/>
      <c r="T1704" s="25"/>
      <c r="U1704" s="25"/>
      <c r="V1704" s="25"/>
      <c r="W1704" s="25"/>
      <c r="X1704" s="25"/>
      <c r="Y1704" s="23">
        <v>40980</v>
      </c>
      <c r="Z1704" s="23">
        <f t="shared" si="228"/>
        <v>48356.399999999994</v>
      </c>
      <c r="AA1704" s="36" t="s">
        <v>132</v>
      </c>
      <c r="AB1704" s="36" t="s">
        <v>132</v>
      </c>
      <c r="AC1704" s="23">
        <v>40980</v>
      </c>
      <c r="AD1704" s="23">
        <f t="shared" si="229"/>
        <v>48356.399999999994</v>
      </c>
      <c r="AE1704" s="38" t="s">
        <v>169</v>
      </c>
      <c r="AF1704" s="38" t="s">
        <v>83</v>
      </c>
      <c r="AG1704" s="38" t="s">
        <v>83</v>
      </c>
      <c r="AH1704" s="38" t="s">
        <v>90</v>
      </c>
      <c r="AI1704" s="52">
        <v>41625</v>
      </c>
      <c r="AJ1704" s="97">
        <v>41670</v>
      </c>
      <c r="AK1704" s="60"/>
      <c r="AL1704" s="60"/>
      <c r="AM1704" s="60" t="s">
        <v>3349</v>
      </c>
      <c r="AN1704" s="60" t="s">
        <v>171</v>
      </c>
      <c r="AO1704" s="11">
        <v>642</v>
      </c>
      <c r="AP1704" s="38" t="s">
        <v>3352</v>
      </c>
      <c r="AQ1704" s="25">
        <v>180</v>
      </c>
      <c r="AR1704" s="38" t="s">
        <v>2980</v>
      </c>
      <c r="AS1704" s="29" t="s">
        <v>3373</v>
      </c>
      <c r="AT1704" s="52">
        <v>41671</v>
      </c>
      <c r="AU1704" s="52">
        <v>41671</v>
      </c>
      <c r="AV1704" s="52">
        <v>42035</v>
      </c>
      <c r="AW1704" s="38" t="s">
        <v>99</v>
      </c>
      <c r="AX1704" s="60"/>
      <c r="AY1704" s="135"/>
      <c r="AZ1704" s="60"/>
      <c r="BA1704" s="38"/>
      <c r="BB1704" s="38"/>
      <c r="BC1704" s="60"/>
      <c r="BD1704" s="60"/>
      <c r="BE1704" s="331"/>
      <c r="BF1704" s="331"/>
      <c r="BG1704" s="331"/>
      <c r="BH1704" s="331"/>
      <c r="BI1704" s="331"/>
      <c r="BJ1704" s="331"/>
      <c r="BK1704" s="378"/>
    </row>
    <row r="1705" spans="1:63" s="606" customFormat="1" ht="93.75">
      <c r="A1705" s="25">
        <v>8</v>
      </c>
      <c r="B1705" s="38" t="s">
        <v>3318</v>
      </c>
      <c r="C1705" s="72" t="s">
        <v>83</v>
      </c>
      <c r="D1705" s="72" t="s">
        <v>3329</v>
      </c>
      <c r="E1705" s="72" t="s">
        <v>274</v>
      </c>
      <c r="F1705" s="60" t="s">
        <v>3332</v>
      </c>
      <c r="G1705" s="60" t="s">
        <v>3333</v>
      </c>
      <c r="H1705" s="11">
        <v>626090</v>
      </c>
      <c r="I1705" s="16" t="s">
        <v>3334</v>
      </c>
      <c r="J1705" s="16" t="s">
        <v>3331</v>
      </c>
      <c r="K1705" s="16" t="s">
        <v>4918</v>
      </c>
      <c r="L1705" s="16" t="s">
        <v>180</v>
      </c>
      <c r="M1705" s="134" t="s">
        <v>5873</v>
      </c>
      <c r="N1705" s="16" t="s">
        <v>5887</v>
      </c>
      <c r="O1705" s="16" t="s">
        <v>3372</v>
      </c>
      <c r="P1705" s="451">
        <v>107201.60000000001</v>
      </c>
      <c r="Q1705" s="23">
        <f t="shared" si="227"/>
        <v>126497.88800000001</v>
      </c>
      <c r="R1705" s="23"/>
      <c r="S1705" s="29"/>
      <c r="T1705" s="25"/>
      <c r="U1705" s="25"/>
      <c r="V1705" s="25"/>
      <c r="W1705" s="25"/>
      <c r="X1705" s="25"/>
      <c r="Y1705" s="451">
        <v>107201.60000000001</v>
      </c>
      <c r="Z1705" s="23">
        <f t="shared" si="228"/>
        <v>126497.88800000001</v>
      </c>
      <c r="AA1705" s="36" t="s">
        <v>132</v>
      </c>
      <c r="AB1705" s="36" t="s">
        <v>132</v>
      </c>
      <c r="AC1705" s="451">
        <v>107201.60000000001</v>
      </c>
      <c r="AD1705" s="23">
        <f t="shared" si="229"/>
        <v>126497.88800000001</v>
      </c>
      <c r="AE1705" s="38" t="s">
        <v>169</v>
      </c>
      <c r="AF1705" s="38" t="s">
        <v>83</v>
      </c>
      <c r="AG1705" s="38" t="s">
        <v>83</v>
      </c>
      <c r="AH1705" s="38" t="s">
        <v>90</v>
      </c>
      <c r="AI1705" s="52">
        <v>41650</v>
      </c>
      <c r="AJ1705" s="97">
        <v>41710</v>
      </c>
      <c r="AK1705" s="60"/>
      <c r="AL1705" s="60"/>
      <c r="AM1705" s="60" t="s">
        <v>3349</v>
      </c>
      <c r="AN1705" s="60" t="s">
        <v>171</v>
      </c>
      <c r="AO1705" s="11">
        <v>642</v>
      </c>
      <c r="AP1705" s="38" t="s">
        <v>3352</v>
      </c>
      <c r="AQ1705" s="25">
        <v>20</v>
      </c>
      <c r="AR1705" s="38">
        <v>46</v>
      </c>
      <c r="AS1705" s="29" t="s">
        <v>3354</v>
      </c>
      <c r="AT1705" s="52">
        <v>41730</v>
      </c>
      <c r="AU1705" s="52">
        <v>41730</v>
      </c>
      <c r="AV1705" s="52">
        <v>42094</v>
      </c>
      <c r="AW1705" s="38" t="s">
        <v>99</v>
      </c>
      <c r="AX1705" s="452" t="s">
        <v>5860</v>
      </c>
      <c r="AY1705" s="135"/>
      <c r="AZ1705" s="60"/>
      <c r="BA1705" s="38"/>
      <c r="BB1705" s="38"/>
      <c r="BC1705" s="60"/>
      <c r="BD1705" s="60"/>
      <c r="BE1705" s="331"/>
      <c r="BF1705" s="331"/>
      <c r="BG1705" s="331"/>
      <c r="BH1705" s="331"/>
      <c r="BI1705" s="331"/>
      <c r="BJ1705" s="331"/>
      <c r="BK1705" s="378"/>
    </row>
    <row r="1706" spans="1:63" s="606" customFormat="1" ht="75">
      <c r="A1706" s="25">
        <v>8</v>
      </c>
      <c r="B1706" s="38" t="s">
        <v>3319</v>
      </c>
      <c r="C1706" s="72" t="s">
        <v>83</v>
      </c>
      <c r="D1706" s="72" t="s">
        <v>3329</v>
      </c>
      <c r="E1706" s="72" t="s">
        <v>274</v>
      </c>
      <c r="F1706" s="60" t="s">
        <v>880</v>
      </c>
      <c r="G1706" s="60" t="s">
        <v>882</v>
      </c>
      <c r="H1706" s="11">
        <v>626073</v>
      </c>
      <c r="I1706" s="16" t="s">
        <v>3335</v>
      </c>
      <c r="J1706" s="16" t="s">
        <v>3331</v>
      </c>
      <c r="K1706" s="16" t="s">
        <v>4918</v>
      </c>
      <c r="L1706" s="16" t="s">
        <v>180</v>
      </c>
      <c r="M1706" s="134" t="s">
        <v>5873</v>
      </c>
      <c r="N1706" s="60" t="s">
        <v>5887</v>
      </c>
      <c r="O1706" s="16" t="s">
        <v>3372</v>
      </c>
      <c r="P1706" s="451">
        <v>211150</v>
      </c>
      <c r="Q1706" s="23">
        <f t="shared" si="227"/>
        <v>249157</v>
      </c>
      <c r="R1706" s="23"/>
      <c r="S1706" s="29"/>
      <c r="T1706" s="25"/>
      <c r="U1706" s="25"/>
      <c r="V1706" s="25"/>
      <c r="W1706" s="25"/>
      <c r="X1706" s="25"/>
      <c r="Y1706" s="451">
        <v>211150</v>
      </c>
      <c r="Z1706" s="23">
        <f t="shared" si="228"/>
        <v>249157</v>
      </c>
      <c r="AA1706" s="36" t="s">
        <v>132</v>
      </c>
      <c r="AB1706" s="36" t="s">
        <v>132</v>
      </c>
      <c r="AC1706" s="451">
        <v>211150</v>
      </c>
      <c r="AD1706" s="23">
        <f t="shared" si="229"/>
        <v>249157</v>
      </c>
      <c r="AE1706" s="38" t="s">
        <v>169</v>
      </c>
      <c r="AF1706" s="38" t="s">
        <v>83</v>
      </c>
      <c r="AG1706" s="38" t="s">
        <v>83</v>
      </c>
      <c r="AH1706" s="38" t="s">
        <v>90</v>
      </c>
      <c r="AI1706" s="52">
        <v>41650</v>
      </c>
      <c r="AJ1706" s="97">
        <v>41710</v>
      </c>
      <c r="AK1706" s="60"/>
      <c r="AL1706" s="60"/>
      <c r="AM1706" s="60" t="s">
        <v>3349</v>
      </c>
      <c r="AN1706" s="60" t="s">
        <v>171</v>
      </c>
      <c r="AO1706" s="11">
        <v>642</v>
      </c>
      <c r="AP1706" s="38" t="s">
        <v>3352</v>
      </c>
      <c r="AQ1706" s="25">
        <v>75</v>
      </c>
      <c r="AR1706" s="38" t="s">
        <v>2980</v>
      </c>
      <c r="AS1706" s="29" t="s">
        <v>3373</v>
      </c>
      <c r="AT1706" s="52">
        <v>41730</v>
      </c>
      <c r="AU1706" s="52">
        <v>41730</v>
      </c>
      <c r="AV1706" s="52">
        <v>42094</v>
      </c>
      <c r="AW1706" s="38" t="s">
        <v>99</v>
      </c>
      <c r="AX1706" s="60"/>
      <c r="AY1706" s="135"/>
      <c r="AZ1706" s="60"/>
      <c r="BA1706" s="38"/>
      <c r="BB1706" s="38"/>
      <c r="BC1706" s="60"/>
      <c r="BD1706" s="60"/>
      <c r="BE1706" s="331"/>
      <c r="BF1706" s="331"/>
      <c r="BG1706" s="331"/>
      <c r="BH1706" s="331"/>
      <c r="BI1706" s="331"/>
      <c r="BJ1706" s="331"/>
      <c r="BK1706" s="378"/>
    </row>
    <row r="1707" spans="1:63" s="606" customFormat="1" ht="75">
      <c r="A1707" s="25">
        <v>8</v>
      </c>
      <c r="B1707" s="38" t="s">
        <v>3320</v>
      </c>
      <c r="C1707" s="72" t="s">
        <v>83</v>
      </c>
      <c r="D1707" s="72" t="s">
        <v>3329</v>
      </c>
      <c r="E1707" s="72" t="s">
        <v>274</v>
      </c>
      <c r="F1707" s="60" t="s">
        <v>880</v>
      </c>
      <c r="G1707" s="60" t="s">
        <v>882</v>
      </c>
      <c r="H1707" s="11">
        <v>626086</v>
      </c>
      <c r="I1707" s="16" t="s">
        <v>3336</v>
      </c>
      <c r="J1707" s="16" t="s">
        <v>3331</v>
      </c>
      <c r="K1707" s="16" t="s">
        <v>4918</v>
      </c>
      <c r="L1707" s="16" t="s">
        <v>180</v>
      </c>
      <c r="M1707" s="134" t="s">
        <v>5873</v>
      </c>
      <c r="N1707" s="60" t="s">
        <v>4764</v>
      </c>
      <c r="O1707" s="16" t="s">
        <v>3372</v>
      </c>
      <c r="P1707" s="451">
        <v>46518</v>
      </c>
      <c r="Q1707" s="23">
        <f t="shared" si="227"/>
        <v>54891.24</v>
      </c>
      <c r="R1707" s="23"/>
      <c r="S1707" s="29"/>
      <c r="T1707" s="25"/>
      <c r="U1707" s="25"/>
      <c r="V1707" s="25"/>
      <c r="W1707" s="25"/>
      <c r="X1707" s="25"/>
      <c r="Y1707" s="451">
        <v>46518</v>
      </c>
      <c r="Z1707" s="23">
        <f t="shared" si="228"/>
        <v>54891.24</v>
      </c>
      <c r="AA1707" s="36" t="s">
        <v>132</v>
      </c>
      <c r="AB1707" s="36" t="s">
        <v>132</v>
      </c>
      <c r="AC1707" s="451">
        <v>46518</v>
      </c>
      <c r="AD1707" s="23">
        <f t="shared" si="229"/>
        <v>54891.24</v>
      </c>
      <c r="AE1707" s="38" t="s">
        <v>169</v>
      </c>
      <c r="AF1707" s="38" t="s">
        <v>83</v>
      </c>
      <c r="AG1707" s="38" t="s">
        <v>83</v>
      </c>
      <c r="AH1707" s="38" t="s">
        <v>90</v>
      </c>
      <c r="AI1707" s="51">
        <v>41625</v>
      </c>
      <c r="AJ1707" s="97">
        <v>41685</v>
      </c>
      <c r="AK1707" s="60"/>
      <c r="AL1707" s="60"/>
      <c r="AM1707" s="60" t="s">
        <v>3349</v>
      </c>
      <c r="AN1707" s="60" t="s">
        <v>171</v>
      </c>
      <c r="AO1707" s="11">
        <v>642</v>
      </c>
      <c r="AP1707" s="38" t="s">
        <v>3352</v>
      </c>
      <c r="AQ1707" s="25">
        <v>30</v>
      </c>
      <c r="AR1707" s="38">
        <v>46</v>
      </c>
      <c r="AS1707" s="29" t="s">
        <v>3354</v>
      </c>
      <c r="AT1707" s="52">
        <v>41705</v>
      </c>
      <c r="AU1707" s="52">
        <v>41705</v>
      </c>
      <c r="AV1707" s="52">
        <v>42004</v>
      </c>
      <c r="AW1707" s="38">
        <v>2014</v>
      </c>
      <c r="AX1707" s="452" t="s">
        <v>5858</v>
      </c>
      <c r="AY1707" s="135"/>
      <c r="AZ1707" s="60"/>
      <c r="BA1707" s="38"/>
      <c r="BB1707" s="38"/>
      <c r="BC1707" s="60"/>
      <c r="BD1707" s="60"/>
      <c r="BE1707" s="331"/>
      <c r="BF1707" s="331"/>
      <c r="BG1707" s="331"/>
      <c r="BH1707" s="331"/>
      <c r="BI1707" s="331"/>
      <c r="BJ1707" s="331"/>
      <c r="BK1707" s="378"/>
    </row>
    <row r="1708" spans="1:63" s="606" customFormat="1" ht="112.5">
      <c r="A1708" s="25">
        <v>8</v>
      </c>
      <c r="B1708" s="38" t="s">
        <v>3321</v>
      </c>
      <c r="C1708" s="72" t="s">
        <v>83</v>
      </c>
      <c r="D1708" s="72" t="s">
        <v>3329</v>
      </c>
      <c r="E1708" s="72" t="s">
        <v>274</v>
      </c>
      <c r="F1708" s="60" t="s">
        <v>880</v>
      </c>
      <c r="G1708" s="60" t="s">
        <v>882</v>
      </c>
      <c r="H1708" s="11">
        <v>626087</v>
      </c>
      <c r="I1708" s="16" t="s">
        <v>3337</v>
      </c>
      <c r="J1708" s="16" t="s">
        <v>3331</v>
      </c>
      <c r="K1708" s="16" t="s">
        <v>4918</v>
      </c>
      <c r="L1708" s="16" t="s">
        <v>180</v>
      </c>
      <c r="M1708" s="134" t="s">
        <v>5873</v>
      </c>
      <c r="N1708" s="16" t="s">
        <v>5887</v>
      </c>
      <c r="O1708" s="16" t="s">
        <v>3372</v>
      </c>
      <c r="P1708" s="451">
        <v>42788</v>
      </c>
      <c r="Q1708" s="23">
        <f t="shared" si="227"/>
        <v>50489.84</v>
      </c>
      <c r="R1708" s="23"/>
      <c r="S1708" s="29"/>
      <c r="T1708" s="25"/>
      <c r="U1708" s="25"/>
      <c r="V1708" s="25"/>
      <c r="W1708" s="25"/>
      <c r="X1708" s="25"/>
      <c r="Y1708" s="451">
        <v>42788</v>
      </c>
      <c r="Z1708" s="23">
        <f t="shared" si="228"/>
        <v>50489.84</v>
      </c>
      <c r="AA1708" s="36" t="s">
        <v>132</v>
      </c>
      <c r="AB1708" s="36" t="s">
        <v>132</v>
      </c>
      <c r="AC1708" s="451">
        <v>42788</v>
      </c>
      <c r="AD1708" s="23">
        <f t="shared" si="229"/>
        <v>50489.84</v>
      </c>
      <c r="AE1708" s="38" t="s">
        <v>169</v>
      </c>
      <c r="AF1708" s="38" t="s">
        <v>83</v>
      </c>
      <c r="AG1708" s="38" t="s">
        <v>83</v>
      </c>
      <c r="AH1708" s="38" t="s">
        <v>90</v>
      </c>
      <c r="AI1708" s="52">
        <v>41650</v>
      </c>
      <c r="AJ1708" s="97">
        <v>41710</v>
      </c>
      <c r="AK1708" s="60"/>
      <c r="AL1708" s="60"/>
      <c r="AM1708" s="60" t="s">
        <v>3349</v>
      </c>
      <c r="AN1708" s="60" t="s">
        <v>171</v>
      </c>
      <c r="AO1708" s="11">
        <v>642</v>
      </c>
      <c r="AP1708" s="38" t="s">
        <v>3352</v>
      </c>
      <c r="AQ1708" s="25">
        <v>110</v>
      </c>
      <c r="AR1708" s="38" t="s">
        <v>2980</v>
      </c>
      <c r="AS1708" s="29" t="s">
        <v>3373</v>
      </c>
      <c r="AT1708" s="52">
        <v>41730</v>
      </c>
      <c r="AU1708" s="52">
        <v>41730</v>
      </c>
      <c r="AV1708" s="52">
        <v>42094</v>
      </c>
      <c r="AW1708" s="38" t="s">
        <v>99</v>
      </c>
      <c r="AX1708" s="452" t="s">
        <v>5859</v>
      </c>
      <c r="AY1708" s="135"/>
      <c r="AZ1708" s="60"/>
      <c r="BA1708" s="38"/>
      <c r="BB1708" s="38"/>
      <c r="BC1708" s="60"/>
      <c r="BD1708" s="60"/>
      <c r="BE1708" s="331"/>
      <c r="BF1708" s="331"/>
      <c r="BG1708" s="331"/>
      <c r="BH1708" s="331"/>
      <c r="BI1708" s="331"/>
      <c r="BJ1708" s="331"/>
      <c r="BK1708" s="378"/>
    </row>
    <row r="1709" spans="1:63" s="606" customFormat="1" ht="93.75">
      <c r="A1709" s="25">
        <v>8</v>
      </c>
      <c r="B1709" s="38" t="s">
        <v>3322</v>
      </c>
      <c r="C1709" s="72" t="s">
        <v>83</v>
      </c>
      <c r="D1709" s="72" t="s">
        <v>3329</v>
      </c>
      <c r="E1709" s="72" t="s">
        <v>274</v>
      </c>
      <c r="F1709" s="60" t="s">
        <v>880</v>
      </c>
      <c r="G1709" s="60" t="s">
        <v>882</v>
      </c>
      <c r="H1709" s="11">
        <v>626088</v>
      </c>
      <c r="I1709" s="16" t="s">
        <v>3338</v>
      </c>
      <c r="J1709" s="16" t="s">
        <v>3331</v>
      </c>
      <c r="K1709" s="16" t="s">
        <v>4918</v>
      </c>
      <c r="L1709" s="16" t="s">
        <v>180</v>
      </c>
      <c r="M1709" s="134" t="s">
        <v>5873</v>
      </c>
      <c r="N1709" s="16" t="s">
        <v>5887</v>
      </c>
      <c r="O1709" s="16" t="s">
        <v>3372</v>
      </c>
      <c r="P1709" s="23">
        <v>21756.12</v>
      </c>
      <c r="Q1709" s="23">
        <f t="shared" si="227"/>
        <v>25672.221599999997</v>
      </c>
      <c r="R1709" s="23"/>
      <c r="S1709" s="29"/>
      <c r="T1709" s="25"/>
      <c r="U1709" s="25"/>
      <c r="V1709" s="25"/>
      <c r="W1709" s="25"/>
      <c r="X1709" s="25"/>
      <c r="Y1709" s="23">
        <v>21756.12</v>
      </c>
      <c r="Z1709" s="23">
        <f t="shared" si="228"/>
        <v>25672.221599999997</v>
      </c>
      <c r="AA1709" s="36" t="s">
        <v>132</v>
      </c>
      <c r="AB1709" s="36" t="s">
        <v>132</v>
      </c>
      <c r="AC1709" s="23">
        <v>21756.12</v>
      </c>
      <c r="AD1709" s="23">
        <f t="shared" si="229"/>
        <v>25672.221599999997</v>
      </c>
      <c r="AE1709" s="38" t="s">
        <v>169</v>
      </c>
      <c r="AF1709" s="38" t="s">
        <v>83</v>
      </c>
      <c r="AG1709" s="38" t="s">
        <v>83</v>
      </c>
      <c r="AH1709" s="38" t="s">
        <v>90</v>
      </c>
      <c r="AI1709" s="51">
        <v>41617</v>
      </c>
      <c r="AJ1709" s="97">
        <v>41640</v>
      </c>
      <c r="AK1709" s="60"/>
      <c r="AL1709" s="60"/>
      <c r="AM1709" s="60" t="s">
        <v>3349</v>
      </c>
      <c r="AN1709" s="60" t="s">
        <v>171</v>
      </c>
      <c r="AO1709" s="11">
        <v>642</v>
      </c>
      <c r="AP1709" s="38" t="s">
        <v>3352</v>
      </c>
      <c r="AQ1709" s="25">
        <v>8</v>
      </c>
      <c r="AR1709" s="38" t="s">
        <v>2980</v>
      </c>
      <c r="AS1709" s="29" t="s">
        <v>3373</v>
      </c>
      <c r="AT1709" s="52">
        <v>41640</v>
      </c>
      <c r="AU1709" s="52">
        <v>41640</v>
      </c>
      <c r="AV1709" s="52">
        <v>42094</v>
      </c>
      <c r="AW1709" s="38" t="s">
        <v>99</v>
      </c>
      <c r="AX1709" s="60" t="s">
        <v>4634</v>
      </c>
      <c r="AY1709" s="135"/>
      <c r="AZ1709" s="60"/>
      <c r="BA1709" s="38"/>
      <c r="BB1709" s="38"/>
      <c r="BC1709" s="60"/>
      <c r="BD1709" s="60"/>
      <c r="BE1709" s="331"/>
      <c r="BF1709" s="331"/>
      <c r="BG1709" s="331"/>
      <c r="BH1709" s="331"/>
      <c r="BI1709" s="331"/>
      <c r="BJ1709" s="331"/>
      <c r="BK1709" s="378"/>
    </row>
    <row r="1710" spans="1:63" s="606" customFormat="1" ht="75">
      <c r="A1710" s="25">
        <v>8</v>
      </c>
      <c r="B1710" s="38" t="s">
        <v>3323</v>
      </c>
      <c r="C1710" s="72" t="s">
        <v>83</v>
      </c>
      <c r="D1710" s="72" t="s">
        <v>3329</v>
      </c>
      <c r="E1710" s="72" t="s">
        <v>274</v>
      </c>
      <c r="F1710" s="60" t="s">
        <v>1478</v>
      </c>
      <c r="G1710" s="60" t="s">
        <v>860</v>
      </c>
      <c r="H1710" s="11">
        <v>626072</v>
      </c>
      <c r="I1710" s="16" t="s">
        <v>3339</v>
      </c>
      <c r="J1710" s="16" t="s">
        <v>3331</v>
      </c>
      <c r="K1710" s="16" t="s">
        <v>3331</v>
      </c>
      <c r="L1710" s="16" t="s">
        <v>180</v>
      </c>
      <c r="M1710" s="134" t="s">
        <v>4766</v>
      </c>
      <c r="N1710" s="16" t="s">
        <v>5942</v>
      </c>
      <c r="O1710" s="16" t="s">
        <v>3372</v>
      </c>
      <c r="P1710" s="23">
        <v>14000</v>
      </c>
      <c r="Q1710" s="23">
        <f t="shared" si="227"/>
        <v>16520</v>
      </c>
      <c r="R1710" s="23"/>
      <c r="S1710" s="29"/>
      <c r="T1710" s="25"/>
      <c r="U1710" s="25"/>
      <c r="V1710" s="25"/>
      <c r="W1710" s="25"/>
      <c r="X1710" s="25"/>
      <c r="Y1710" s="23">
        <v>14000</v>
      </c>
      <c r="Z1710" s="23">
        <f t="shared" si="228"/>
        <v>16520</v>
      </c>
      <c r="AA1710" s="36" t="s">
        <v>132</v>
      </c>
      <c r="AB1710" s="36" t="s">
        <v>132</v>
      </c>
      <c r="AC1710" s="23">
        <v>14000</v>
      </c>
      <c r="AD1710" s="23">
        <f t="shared" si="229"/>
        <v>16520</v>
      </c>
      <c r="AE1710" s="38" t="s">
        <v>169</v>
      </c>
      <c r="AF1710" s="38" t="s">
        <v>83</v>
      </c>
      <c r="AG1710" s="38" t="s">
        <v>83</v>
      </c>
      <c r="AH1710" s="38" t="s">
        <v>90</v>
      </c>
      <c r="AI1710" s="51">
        <v>41625</v>
      </c>
      <c r="AJ1710" s="97">
        <v>41685</v>
      </c>
      <c r="AK1710" s="60"/>
      <c r="AL1710" s="60"/>
      <c r="AM1710" s="60" t="s">
        <v>3350</v>
      </c>
      <c r="AN1710" s="60" t="s">
        <v>171</v>
      </c>
      <c r="AO1710" s="11">
        <v>539</v>
      </c>
      <c r="AP1710" s="38" t="s">
        <v>3353</v>
      </c>
      <c r="AQ1710" s="25">
        <v>2500</v>
      </c>
      <c r="AR1710" s="38" t="s">
        <v>2980</v>
      </c>
      <c r="AS1710" s="29" t="s">
        <v>3373</v>
      </c>
      <c r="AT1710" s="52">
        <v>41705</v>
      </c>
      <c r="AU1710" s="52">
        <v>41705</v>
      </c>
      <c r="AV1710" s="52">
        <v>42004</v>
      </c>
      <c r="AW1710" s="38">
        <v>2014</v>
      </c>
      <c r="AX1710" s="60"/>
      <c r="AY1710" s="135"/>
      <c r="AZ1710" s="60"/>
      <c r="BA1710" s="38"/>
      <c r="BB1710" s="38"/>
      <c r="BC1710" s="60"/>
      <c r="BD1710" s="60"/>
      <c r="BE1710" s="331"/>
      <c r="BF1710" s="331"/>
      <c r="BG1710" s="331"/>
      <c r="BH1710" s="331"/>
      <c r="BI1710" s="331"/>
      <c r="BJ1710" s="331"/>
      <c r="BK1710" s="378"/>
    </row>
    <row r="1711" spans="1:63" s="266" customFormat="1" ht="93" customHeight="1">
      <c r="A1711" s="25">
        <v>8</v>
      </c>
      <c r="B1711" s="46" t="s">
        <v>1448</v>
      </c>
      <c r="C1711" s="38" t="s">
        <v>83</v>
      </c>
      <c r="D1711" s="46" t="s">
        <v>1446</v>
      </c>
      <c r="E1711" s="38" t="s">
        <v>250</v>
      </c>
      <c r="F1711" s="38" t="s">
        <v>1340</v>
      </c>
      <c r="G1711" s="38">
        <v>50</v>
      </c>
      <c r="H1711" s="316">
        <v>853577</v>
      </c>
      <c r="I1711" s="19" t="s">
        <v>1449</v>
      </c>
      <c r="J1711" s="16" t="s">
        <v>5958</v>
      </c>
      <c r="K1711" s="60" t="s">
        <v>4724</v>
      </c>
      <c r="L1711" s="16" t="s">
        <v>180</v>
      </c>
      <c r="M1711" s="134" t="s">
        <v>1175</v>
      </c>
      <c r="N1711" s="16" t="s">
        <v>5923</v>
      </c>
      <c r="O1711" s="16" t="s">
        <v>1447</v>
      </c>
      <c r="P1711" s="258">
        <v>3150</v>
      </c>
      <c r="Q1711" s="23">
        <f t="shared" si="227"/>
        <v>3717</v>
      </c>
      <c r="R1711" s="23"/>
      <c r="S1711" s="29"/>
      <c r="T1711" s="25"/>
      <c r="U1711" s="25"/>
      <c r="V1711" s="25"/>
      <c r="W1711" s="25"/>
      <c r="X1711" s="25"/>
      <c r="Y1711" s="258">
        <v>3150</v>
      </c>
      <c r="Z1711" s="23">
        <f t="shared" si="228"/>
        <v>3717</v>
      </c>
      <c r="AA1711" s="36" t="s">
        <v>132</v>
      </c>
      <c r="AB1711" s="36" t="s">
        <v>132</v>
      </c>
      <c r="AC1711" s="258">
        <v>3150</v>
      </c>
      <c r="AD1711" s="23">
        <f t="shared" si="229"/>
        <v>3717</v>
      </c>
      <c r="AE1711" s="38" t="s">
        <v>173</v>
      </c>
      <c r="AF1711" s="38" t="s">
        <v>83</v>
      </c>
      <c r="AG1711" s="46" t="s">
        <v>83</v>
      </c>
      <c r="AH1711" s="45" t="s">
        <v>90</v>
      </c>
      <c r="AI1711" s="314">
        <v>41634</v>
      </c>
      <c r="AJ1711" s="97">
        <v>41679</v>
      </c>
      <c r="AK1711" s="60"/>
      <c r="AL1711" s="60"/>
      <c r="AM1711" s="60" t="s">
        <v>1450</v>
      </c>
      <c r="AN1711" s="60" t="s">
        <v>1375</v>
      </c>
      <c r="AO1711" s="63">
        <v>796</v>
      </c>
      <c r="AP1711" s="317" t="s">
        <v>419</v>
      </c>
      <c r="AQ1711" s="46" t="s">
        <v>1451</v>
      </c>
      <c r="AR1711" s="25">
        <v>45</v>
      </c>
      <c r="AS1711" s="16" t="s">
        <v>512</v>
      </c>
      <c r="AT1711" s="52">
        <v>41699</v>
      </c>
      <c r="AU1711" s="51">
        <v>41699</v>
      </c>
      <c r="AV1711" s="52">
        <v>42063</v>
      </c>
      <c r="AW1711" s="38" t="s">
        <v>99</v>
      </c>
      <c r="AX1711" s="60"/>
      <c r="AY1711" s="135"/>
      <c r="AZ1711" s="60"/>
      <c r="BA1711" s="38"/>
      <c r="BB1711" s="38"/>
      <c r="BC1711" s="60"/>
      <c r="BD1711" s="60"/>
      <c r="BE1711" s="65"/>
      <c r="BF1711" s="65"/>
      <c r="BG1711" s="65"/>
      <c r="BH1711" s="65"/>
      <c r="BI1711" s="65"/>
      <c r="BJ1711" s="65"/>
      <c r="BK1711" s="379"/>
    </row>
    <row r="1712" spans="1:63" s="266" customFormat="1" ht="75">
      <c r="A1712" s="25">
        <v>8</v>
      </c>
      <c r="B1712" s="46" t="s">
        <v>1453</v>
      </c>
      <c r="C1712" s="38" t="s">
        <v>83</v>
      </c>
      <c r="D1712" s="46" t="s">
        <v>1446</v>
      </c>
      <c r="E1712" s="38" t="s">
        <v>250</v>
      </c>
      <c r="F1712" s="38">
        <v>50</v>
      </c>
      <c r="G1712" s="38">
        <v>50</v>
      </c>
      <c r="H1712" s="316">
        <v>853588</v>
      </c>
      <c r="I1712" s="19" t="s">
        <v>1454</v>
      </c>
      <c r="J1712" s="16" t="s">
        <v>5959</v>
      </c>
      <c r="K1712" s="60" t="s">
        <v>4724</v>
      </c>
      <c r="L1712" s="16" t="s">
        <v>180</v>
      </c>
      <c r="M1712" s="134" t="s">
        <v>1175</v>
      </c>
      <c r="N1712" s="16" t="s">
        <v>5923</v>
      </c>
      <c r="O1712" s="16" t="s">
        <v>1447</v>
      </c>
      <c r="P1712" s="258">
        <v>1600</v>
      </c>
      <c r="Q1712" s="23">
        <f t="shared" si="227"/>
        <v>1888</v>
      </c>
      <c r="R1712" s="23"/>
      <c r="S1712" s="29"/>
      <c r="T1712" s="25"/>
      <c r="U1712" s="25"/>
      <c r="V1712" s="25"/>
      <c r="W1712" s="25"/>
      <c r="X1712" s="25"/>
      <c r="Y1712" s="258">
        <v>1600</v>
      </c>
      <c r="Z1712" s="23">
        <f t="shared" si="228"/>
        <v>1888</v>
      </c>
      <c r="AA1712" s="36" t="s">
        <v>132</v>
      </c>
      <c r="AB1712" s="36" t="s">
        <v>132</v>
      </c>
      <c r="AC1712" s="23">
        <v>1600</v>
      </c>
      <c r="AD1712" s="23">
        <f t="shared" si="229"/>
        <v>1888</v>
      </c>
      <c r="AE1712" s="38" t="s">
        <v>173</v>
      </c>
      <c r="AF1712" s="38" t="s">
        <v>83</v>
      </c>
      <c r="AG1712" s="46" t="s">
        <v>83</v>
      </c>
      <c r="AH1712" s="45" t="s">
        <v>90</v>
      </c>
      <c r="AI1712" s="314">
        <v>41625</v>
      </c>
      <c r="AJ1712" s="97">
        <v>41670</v>
      </c>
      <c r="AK1712" s="60"/>
      <c r="AL1712" s="60"/>
      <c r="AM1712" s="62" t="s">
        <v>1455</v>
      </c>
      <c r="AN1712" s="60" t="s">
        <v>1375</v>
      </c>
      <c r="AO1712" s="63">
        <v>796</v>
      </c>
      <c r="AP1712" s="317" t="s">
        <v>419</v>
      </c>
      <c r="AQ1712" s="46" t="s">
        <v>1456</v>
      </c>
      <c r="AR1712" s="25">
        <v>45</v>
      </c>
      <c r="AS1712" s="16" t="s">
        <v>512</v>
      </c>
      <c r="AT1712" s="52">
        <v>41690</v>
      </c>
      <c r="AU1712" s="52">
        <v>41690</v>
      </c>
      <c r="AV1712" s="52">
        <v>42004</v>
      </c>
      <c r="AW1712" s="38">
        <v>2014</v>
      </c>
      <c r="AX1712" s="60"/>
      <c r="AY1712" s="135"/>
      <c r="AZ1712" s="60"/>
      <c r="BA1712" s="38"/>
      <c r="BB1712" s="38"/>
      <c r="BC1712" s="60"/>
      <c r="BD1712" s="60"/>
      <c r="BE1712" s="65"/>
      <c r="BF1712" s="65"/>
      <c r="BG1712" s="65"/>
      <c r="BH1712" s="65"/>
      <c r="BI1712" s="65"/>
      <c r="BJ1712" s="65"/>
      <c r="BK1712" s="236"/>
    </row>
    <row r="1713" spans="1:63" s="606" customFormat="1" ht="131.25">
      <c r="A1713" s="25">
        <v>8</v>
      </c>
      <c r="B1713" s="38" t="s">
        <v>3374</v>
      </c>
      <c r="C1713" s="72" t="s">
        <v>83</v>
      </c>
      <c r="D1713" s="72" t="s">
        <v>3375</v>
      </c>
      <c r="E1713" s="38" t="s">
        <v>190</v>
      </c>
      <c r="F1713" s="38" t="s">
        <v>869</v>
      </c>
      <c r="G1713" s="38">
        <v>7493000</v>
      </c>
      <c r="H1713" s="11">
        <v>860038</v>
      </c>
      <c r="I1713" s="16" t="s">
        <v>3376</v>
      </c>
      <c r="J1713" s="16" t="s">
        <v>871</v>
      </c>
      <c r="K1713" s="16" t="s">
        <v>871</v>
      </c>
      <c r="L1713" s="16" t="s">
        <v>180</v>
      </c>
      <c r="M1713" s="134" t="s">
        <v>270</v>
      </c>
      <c r="N1713" s="16" t="s">
        <v>5881</v>
      </c>
      <c r="O1713" s="16" t="s">
        <v>769</v>
      </c>
      <c r="P1713" s="23">
        <v>2100</v>
      </c>
      <c r="Q1713" s="23">
        <f t="shared" si="227"/>
        <v>2478</v>
      </c>
      <c r="R1713" s="23"/>
      <c r="S1713" s="29"/>
      <c r="T1713" s="25"/>
      <c r="U1713" s="25"/>
      <c r="V1713" s="25"/>
      <c r="W1713" s="25"/>
      <c r="X1713" s="25"/>
      <c r="Y1713" s="23">
        <v>2100</v>
      </c>
      <c r="Z1713" s="23">
        <f t="shared" si="228"/>
        <v>2478</v>
      </c>
      <c r="AA1713" s="36" t="s">
        <v>132</v>
      </c>
      <c r="AB1713" s="36" t="s">
        <v>132</v>
      </c>
      <c r="AC1713" s="23">
        <v>2100</v>
      </c>
      <c r="AD1713" s="23">
        <v>2478</v>
      </c>
      <c r="AE1713" s="38" t="s">
        <v>173</v>
      </c>
      <c r="AF1713" s="38" t="s">
        <v>83</v>
      </c>
      <c r="AG1713" s="38" t="s">
        <v>83</v>
      </c>
      <c r="AH1713" s="38" t="s">
        <v>90</v>
      </c>
      <c r="AI1713" s="52">
        <v>41791</v>
      </c>
      <c r="AJ1713" s="97">
        <v>41810</v>
      </c>
      <c r="AK1713" s="60"/>
      <c r="AL1713" s="60"/>
      <c r="AM1713" s="60" t="s">
        <v>872</v>
      </c>
      <c r="AN1713" s="60" t="s">
        <v>171</v>
      </c>
      <c r="AO1713" s="11">
        <v>796</v>
      </c>
      <c r="AP1713" s="38" t="s">
        <v>419</v>
      </c>
      <c r="AQ1713" s="25">
        <v>1</v>
      </c>
      <c r="AR1713" s="38">
        <v>45</v>
      </c>
      <c r="AS1713" s="29" t="s">
        <v>547</v>
      </c>
      <c r="AT1713" s="52">
        <v>41830</v>
      </c>
      <c r="AU1713" s="52">
        <v>41830</v>
      </c>
      <c r="AV1713" s="52">
        <v>42185</v>
      </c>
      <c r="AW1713" s="38" t="s">
        <v>99</v>
      </c>
      <c r="AX1713" s="60"/>
      <c r="AY1713" s="135"/>
      <c r="AZ1713" s="60"/>
      <c r="BA1713" s="38"/>
      <c r="BB1713" s="38"/>
      <c r="BC1713" s="60"/>
      <c r="BD1713" s="60"/>
      <c r="BE1713" s="331"/>
      <c r="BF1713" s="331"/>
      <c r="BG1713" s="331"/>
      <c r="BH1713" s="331"/>
      <c r="BI1713" s="331"/>
      <c r="BJ1713" s="331"/>
      <c r="BK1713" s="378"/>
    </row>
    <row r="1714" spans="1:63" s="606" customFormat="1" ht="93.75">
      <c r="A1714" s="25">
        <v>8</v>
      </c>
      <c r="B1714" s="38" t="s">
        <v>3377</v>
      </c>
      <c r="C1714" s="72" t="s">
        <v>83</v>
      </c>
      <c r="D1714" s="72" t="s">
        <v>3375</v>
      </c>
      <c r="E1714" s="409" t="s">
        <v>176</v>
      </c>
      <c r="F1714" s="38">
        <v>72</v>
      </c>
      <c r="G1714" s="38">
        <v>7424020</v>
      </c>
      <c r="H1714" s="11">
        <v>860001</v>
      </c>
      <c r="I1714" s="16" t="s">
        <v>3378</v>
      </c>
      <c r="J1714" s="16" t="s">
        <v>275</v>
      </c>
      <c r="K1714" s="16" t="s">
        <v>275</v>
      </c>
      <c r="L1714" s="16" t="s">
        <v>180</v>
      </c>
      <c r="M1714" s="191" t="s">
        <v>3379</v>
      </c>
      <c r="N1714" s="16" t="s">
        <v>5885</v>
      </c>
      <c r="O1714" s="16" t="s">
        <v>1490</v>
      </c>
      <c r="P1714" s="456">
        <v>48795.34</v>
      </c>
      <c r="Q1714" s="23">
        <f t="shared" si="227"/>
        <v>57578.501199999992</v>
      </c>
      <c r="R1714" s="23"/>
      <c r="S1714" s="29"/>
      <c r="T1714" s="25"/>
      <c r="U1714" s="25"/>
      <c r="V1714" s="25"/>
      <c r="W1714" s="25"/>
      <c r="X1714" s="25"/>
      <c r="Y1714" s="456">
        <v>48795.34</v>
      </c>
      <c r="Z1714" s="23">
        <f t="shared" si="228"/>
        <v>57578.501199999992</v>
      </c>
      <c r="AA1714" s="36" t="s">
        <v>132</v>
      </c>
      <c r="AB1714" s="36" t="s">
        <v>132</v>
      </c>
      <c r="AC1714" s="456">
        <v>48795.34</v>
      </c>
      <c r="AD1714" s="23">
        <f t="shared" ref="AD1714:AD1715" si="230">Q1714</f>
        <v>57578.501199999992</v>
      </c>
      <c r="AE1714" s="38" t="s">
        <v>169</v>
      </c>
      <c r="AF1714" s="38" t="s">
        <v>83</v>
      </c>
      <c r="AG1714" s="38" t="s">
        <v>83</v>
      </c>
      <c r="AH1714" s="38" t="s">
        <v>90</v>
      </c>
      <c r="AI1714" s="52">
        <v>41625</v>
      </c>
      <c r="AJ1714" s="97">
        <v>41685</v>
      </c>
      <c r="AK1714" s="60"/>
      <c r="AL1714" s="60"/>
      <c r="AM1714" s="60" t="s">
        <v>3380</v>
      </c>
      <c r="AN1714" s="60" t="s">
        <v>171</v>
      </c>
      <c r="AO1714" s="11">
        <v>796</v>
      </c>
      <c r="AP1714" s="38" t="s">
        <v>419</v>
      </c>
      <c r="AQ1714" s="25">
        <v>1</v>
      </c>
      <c r="AR1714" s="38">
        <v>45260</v>
      </c>
      <c r="AS1714" s="29" t="s">
        <v>3381</v>
      </c>
      <c r="AT1714" s="52">
        <v>41705</v>
      </c>
      <c r="AU1714" s="52">
        <v>41705</v>
      </c>
      <c r="AV1714" s="52">
        <v>41880</v>
      </c>
      <c r="AW1714" s="38">
        <v>2014</v>
      </c>
      <c r="AX1714" s="60"/>
      <c r="AY1714" s="135"/>
      <c r="AZ1714" s="60"/>
      <c r="BA1714" s="38"/>
      <c r="BB1714" s="38"/>
      <c r="BC1714" s="60"/>
      <c r="BD1714" s="60"/>
      <c r="BE1714" s="331"/>
      <c r="BF1714" s="331"/>
      <c r="BG1714" s="331"/>
      <c r="BH1714" s="331"/>
      <c r="BI1714" s="331"/>
      <c r="BJ1714" s="331"/>
      <c r="BK1714" s="378"/>
    </row>
    <row r="1715" spans="1:63" s="606" customFormat="1" ht="93.75">
      <c r="A1715" s="25">
        <v>8</v>
      </c>
      <c r="B1715" s="38" t="s">
        <v>3382</v>
      </c>
      <c r="C1715" s="72" t="s">
        <v>83</v>
      </c>
      <c r="D1715" s="72" t="s">
        <v>3375</v>
      </c>
      <c r="E1715" s="409" t="s">
        <v>176</v>
      </c>
      <c r="F1715" s="38">
        <v>72</v>
      </c>
      <c r="G1715" s="38">
        <v>7424030</v>
      </c>
      <c r="H1715" s="11">
        <v>860002</v>
      </c>
      <c r="I1715" s="16" t="s">
        <v>5960</v>
      </c>
      <c r="J1715" s="16" t="s">
        <v>275</v>
      </c>
      <c r="K1715" s="16" t="s">
        <v>275</v>
      </c>
      <c r="L1715" s="16" t="s">
        <v>180</v>
      </c>
      <c r="M1715" s="191" t="s">
        <v>3379</v>
      </c>
      <c r="N1715" s="16" t="s">
        <v>5885</v>
      </c>
      <c r="O1715" s="16" t="s">
        <v>1490</v>
      </c>
      <c r="P1715" s="456">
        <v>92842.7</v>
      </c>
      <c r="Q1715" s="23">
        <f t="shared" si="227"/>
        <v>109554.38599999998</v>
      </c>
      <c r="R1715" s="23"/>
      <c r="S1715" s="29"/>
      <c r="T1715" s="25"/>
      <c r="U1715" s="25"/>
      <c r="V1715" s="25"/>
      <c r="W1715" s="25"/>
      <c r="X1715" s="25"/>
      <c r="Y1715" s="456">
        <v>92842.7</v>
      </c>
      <c r="Z1715" s="23">
        <f t="shared" si="228"/>
        <v>109554.38599999998</v>
      </c>
      <c r="AA1715" s="36" t="s">
        <v>132</v>
      </c>
      <c r="AB1715" s="36" t="s">
        <v>132</v>
      </c>
      <c r="AC1715" s="456">
        <v>92842.7</v>
      </c>
      <c r="AD1715" s="23">
        <f t="shared" si="230"/>
        <v>109554.38599999998</v>
      </c>
      <c r="AE1715" s="38" t="s">
        <v>169</v>
      </c>
      <c r="AF1715" s="38" t="s">
        <v>83</v>
      </c>
      <c r="AG1715" s="38" t="s">
        <v>83</v>
      </c>
      <c r="AH1715" s="38" t="s">
        <v>90</v>
      </c>
      <c r="AI1715" s="52">
        <v>41625</v>
      </c>
      <c r="AJ1715" s="97">
        <v>41685</v>
      </c>
      <c r="AK1715" s="60"/>
      <c r="AL1715" s="60"/>
      <c r="AM1715" s="60" t="s">
        <v>3380</v>
      </c>
      <c r="AN1715" s="60" t="s">
        <v>171</v>
      </c>
      <c r="AO1715" s="11">
        <v>796</v>
      </c>
      <c r="AP1715" s="38" t="s">
        <v>419</v>
      </c>
      <c r="AQ1715" s="25">
        <v>1</v>
      </c>
      <c r="AR1715" s="38">
        <v>46200</v>
      </c>
      <c r="AS1715" s="29" t="s">
        <v>3383</v>
      </c>
      <c r="AT1715" s="52">
        <v>41705</v>
      </c>
      <c r="AU1715" s="52">
        <v>41705</v>
      </c>
      <c r="AV1715" s="52">
        <v>41880</v>
      </c>
      <c r="AW1715" s="38">
        <v>2014</v>
      </c>
      <c r="AX1715" s="60"/>
      <c r="AY1715" s="135"/>
      <c r="AZ1715" s="60"/>
      <c r="BA1715" s="38"/>
      <c r="BB1715" s="38"/>
      <c r="BC1715" s="60"/>
      <c r="BD1715" s="60"/>
      <c r="BE1715" s="331"/>
      <c r="BF1715" s="331"/>
      <c r="BG1715" s="331"/>
      <c r="BH1715" s="331"/>
      <c r="BI1715" s="331"/>
      <c r="BJ1715" s="331"/>
      <c r="BK1715" s="378"/>
    </row>
    <row r="1716" spans="1:63" ht="71.25" customHeight="1">
      <c r="A1716" s="25">
        <v>8</v>
      </c>
      <c r="B1716" s="72" t="s">
        <v>3917</v>
      </c>
      <c r="C1716" s="72" t="s">
        <v>83</v>
      </c>
      <c r="D1716" s="72" t="s">
        <v>3918</v>
      </c>
      <c r="E1716" s="38" t="s">
        <v>250</v>
      </c>
      <c r="F1716" s="432" t="s">
        <v>3606</v>
      </c>
      <c r="G1716" s="25">
        <v>7425010</v>
      </c>
      <c r="H1716" s="357">
        <v>834293</v>
      </c>
      <c r="I1716" s="60" t="s">
        <v>3753</v>
      </c>
      <c r="J1716" s="72" t="s">
        <v>3754</v>
      </c>
      <c r="K1716" s="72" t="str">
        <f>J1716</f>
        <v>00081 Разработка нормативной документации</v>
      </c>
      <c r="L1716" s="16" t="s">
        <v>180</v>
      </c>
      <c r="M1716" s="433" t="s">
        <v>686</v>
      </c>
      <c r="N1716" s="60" t="s">
        <v>5925</v>
      </c>
      <c r="O1716" s="72" t="s">
        <v>3602</v>
      </c>
      <c r="P1716" s="23">
        <v>1310</v>
      </c>
      <c r="Q1716" s="23">
        <f t="shared" si="227"/>
        <v>1545.8</v>
      </c>
      <c r="R1716" s="355"/>
      <c r="S1716" s="356"/>
      <c r="T1716" s="432"/>
      <c r="U1716" s="432"/>
      <c r="V1716" s="432"/>
      <c r="W1716" s="432"/>
      <c r="X1716" s="432"/>
      <c r="Y1716" s="23">
        <v>1310</v>
      </c>
      <c r="Z1716" s="23">
        <f>Y1716*1.18</f>
        <v>1545.8</v>
      </c>
      <c r="AA1716" s="36" t="s">
        <v>132</v>
      </c>
      <c r="AB1716" s="36" t="s">
        <v>132</v>
      </c>
      <c r="AC1716" s="23">
        <v>1310</v>
      </c>
      <c r="AD1716" s="23">
        <f>AC1716*1.18</f>
        <v>1545.8</v>
      </c>
      <c r="AE1716" s="38" t="s">
        <v>173</v>
      </c>
      <c r="AF1716" s="38" t="s">
        <v>83</v>
      </c>
      <c r="AG1716" s="38" t="s">
        <v>83</v>
      </c>
      <c r="AH1716" s="38" t="s">
        <v>545</v>
      </c>
      <c r="AI1716" s="51">
        <v>41625</v>
      </c>
      <c r="AJ1716" s="97">
        <v>41670</v>
      </c>
      <c r="AK1716" s="72"/>
      <c r="AL1716" s="432"/>
      <c r="AM1716" s="60" t="s">
        <v>3753</v>
      </c>
      <c r="AN1716" s="72" t="s">
        <v>171</v>
      </c>
      <c r="AO1716" s="25">
        <v>796</v>
      </c>
      <c r="AP1716" s="38" t="s">
        <v>94</v>
      </c>
      <c r="AQ1716" s="38" t="s">
        <v>3755</v>
      </c>
      <c r="AR1716" s="256">
        <v>46200</v>
      </c>
      <c r="AS1716" s="38" t="s">
        <v>3383</v>
      </c>
      <c r="AT1716" s="52">
        <v>41690</v>
      </c>
      <c r="AU1716" s="52">
        <v>41690</v>
      </c>
      <c r="AV1716" s="52">
        <v>42004</v>
      </c>
      <c r="AW1716" s="25">
        <v>2014</v>
      </c>
      <c r="AX1716" s="432"/>
      <c r="AY1716" s="135"/>
      <c r="AZ1716" s="432"/>
      <c r="BA1716" s="432"/>
      <c r="BB1716" s="432"/>
      <c r="BC1716" s="432"/>
      <c r="BD1716" s="432"/>
      <c r="BE1716" s="432"/>
      <c r="BF1716" s="432"/>
      <c r="BG1716" s="432"/>
      <c r="BH1716" s="432"/>
      <c r="BI1716" s="432"/>
      <c r="BJ1716" s="432"/>
      <c r="BK1716" s="432"/>
    </row>
    <row r="1717" spans="1:63" ht="93.75">
      <c r="A1717" s="25">
        <v>8</v>
      </c>
      <c r="B1717" s="72" t="s">
        <v>3756</v>
      </c>
      <c r="C1717" s="72" t="s">
        <v>83</v>
      </c>
      <c r="D1717" s="72" t="s">
        <v>3919</v>
      </c>
      <c r="E1717" s="38" t="s">
        <v>250</v>
      </c>
      <c r="F1717" s="432" t="s">
        <v>679</v>
      </c>
      <c r="G1717" s="25" t="s">
        <v>3757</v>
      </c>
      <c r="H1717" s="63">
        <v>834187</v>
      </c>
      <c r="I1717" s="72" t="s">
        <v>3758</v>
      </c>
      <c r="J1717" s="72" t="s">
        <v>3759</v>
      </c>
      <c r="K1717" s="72" t="str">
        <f>J1717</f>
        <v>00285 Мероприяти по улучшению условий труда</v>
      </c>
      <c r="L1717" s="16" t="s">
        <v>180</v>
      </c>
      <c r="M1717" s="433" t="s">
        <v>5869</v>
      </c>
      <c r="N1717" s="72" t="s">
        <v>5868</v>
      </c>
      <c r="O1717" s="72" t="s">
        <v>3760</v>
      </c>
      <c r="P1717" s="23">
        <v>1126.5999999999999</v>
      </c>
      <c r="Q1717" s="23">
        <f t="shared" si="227"/>
        <v>1329.3879999999999</v>
      </c>
      <c r="R1717" s="355"/>
      <c r="S1717" s="356"/>
      <c r="T1717" s="432"/>
      <c r="U1717" s="432"/>
      <c r="V1717" s="432"/>
      <c r="W1717" s="432"/>
      <c r="X1717" s="432"/>
      <c r="Y1717" s="23">
        <v>1126.5999999999999</v>
      </c>
      <c r="Z1717" s="23">
        <f>Y1717*1.18</f>
        <v>1329.3879999999999</v>
      </c>
      <c r="AA1717" s="36" t="s">
        <v>132</v>
      </c>
      <c r="AB1717" s="36" t="s">
        <v>132</v>
      </c>
      <c r="AC1717" s="23">
        <v>1126.5999999999999</v>
      </c>
      <c r="AD1717" s="23">
        <f>AC1717*1.18</f>
        <v>1329.3879999999999</v>
      </c>
      <c r="AE1717" s="38" t="s">
        <v>173</v>
      </c>
      <c r="AF1717" s="38" t="s">
        <v>83</v>
      </c>
      <c r="AG1717" s="38" t="s">
        <v>83</v>
      </c>
      <c r="AH1717" s="38" t="s">
        <v>545</v>
      </c>
      <c r="AI1717" s="51">
        <v>41625</v>
      </c>
      <c r="AJ1717" s="97">
        <v>41670</v>
      </c>
      <c r="AK1717" s="72"/>
      <c r="AL1717" s="432"/>
      <c r="AM1717" s="72" t="s">
        <v>3758</v>
      </c>
      <c r="AN1717" s="72" t="s">
        <v>171</v>
      </c>
      <c r="AO1717" s="25">
        <v>796</v>
      </c>
      <c r="AP1717" s="38" t="s">
        <v>94</v>
      </c>
      <c r="AQ1717" s="38">
        <v>1</v>
      </c>
      <c r="AR1717" s="256">
        <v>46200</v>
      </c>
      <c r="AS1717" s="38" t="s">
        <v>3383</v>
      </c>
      <c r="AT1717" s="52">
        <v>41690</v>
      </c>
      <c r="AU1717" s="52">
        <v>41690</v>
      </c>
      <c r="AV1717" s="52">
        <v>42004</v>
      </c>
      <c r="AW1717" s="25">
        <v>2014</v>
      </c>
      <c r="AX1717" s="432"/>
      <c r="AY1717" s="135"/>
      <c r="AZ1717" s="432"/>
      <c r="BA1717" s="432"/>
      <c r="BB1717" s="432"/>
      <c r="BC1717" s="432"/>
      <c r="BD1717" s="432"/>
      <c r="BE1717" s="432"/>
      <c r="BF1717" s="432"/>
      <c r="BG1717" s="432"/>
      <c r="BH1717" s="432"/>
      <c r="BI1717" s="432"/>
      <c r="BJ1717" s="432"/>
      <c r="BK1717" s="432"/>
    </row>
    <row r="1718" spans="1:63" ht="75">
      <c r="A1718" s="25">
        <v>8</v>
      </c>
      <c r="B1718" s="72" t="s">
        <v>3921</v>
      </c>
      <c r="C1718" s="72" t="s">
        <v>83</v>
      </c>
      <c r="D1718" s="72" t="s">
        <v>3920</v>
      </c>
      <c r="E1718" s="72" t="s">
        <v>274</v>
      </c>
      <c r="F1718" s="432" t="s">
        <v>3761</v>
      </c>
      <c r="G1718" s="25">
        <v>5020000</v>
      </c>
      <c r="H1718" s="357">
        <v>834292</v>
      </c>
      <c r="I1718" s="90" t="s">
        <v>3922</v>
      </c>
      <c r="J1718" s="72" t="s">
        <v>3762</v>
      </c>
      <c r="K1718" s="72" t="str">
        <f>J1718</f>
        <v>191 Техническое обслуживание автомобилей</v>
      </c>
      <c r="L1718" s="16" t="s">
        <v>180</v>
      </c>
      <c r="M1718" s="433" t="s">
        <v>5867</v>
      </c>
      <c r="N1718" s="72" t="s">
        <v>5924</v>
      </c>
      <c r="O1718" s="72" t="s">
        <v>1490</v>
      </c>
      <c r="P1718" s="23">
        <v>1300</v>
      </c>
      <c r="Q1718" s="23">
        <f t="shared" si="227"/>
        <v>1534</v>
      </c>
      <c r="R1718" s="355"/>
      <c r="S1718" s="356"/>
      <c r="T1718" s="432"/>
      <c r="U1718" s="432"/>
      <c r="V1718" s="432"/>
      <c r="W1718" s="432"/>
      <c r="X1718" s="432"/>
      <c r="Y1718" s="23">
        <v>1300</v>
      </c>
      <c r="Z1718" s="23">
        <f>Y1718*1.18</f>
        <v>1534</v>
      </c>
      <c r="AA1718" s="36" t="s">
        <v>132</v>
      </c>
      <c r="AB1718" s="36" t="s">
        <v>132</v>
      </c>
      <c r="AC1718" s="23">
        <v>1300</v>
      </c>
      <c r="AD1718" s="23">
        <f>AC1718*1.18</f>
        <v>1534</v>
      </c>
      <c r="AE1718" s="38" t="s">
        <v>173</v>
      </c>
      <c r="AF1718" s="38" t="s">
        <v>83</v>
      </c>
      <c r="AG1718" s="38" t="s">
        <v>83</v>
      </c>
      <c r="AH1718" s="38" t="s">
        <v>545</v>
      </c>
      <c r="AI1718" s="52">
        <v>41695</v>
      </c>
      <c r="AJ1718" s="97">
        <v>41740</v>
      </c>
      <c r="AK1718" s="72"/>
      <c r="AL1718" s="432"/>
      <c r="AM1718" s="90" t="s">
        <v>3922</v>
      </c>
      <c r="AN1718" s="72" t="s">
        <v>171</v>
      </c>
      <c r="AO1718" s="25">
        <v>796</v>
      </c>
      <c r="AP1718" s="38" t="s">
        <v>94</v>
      </c>
      <c r="AQ1718" s="25">
        <v>22</v>
      </c>
      <c r="AR1718" s="256">
        <v>46200</v>
      </c>
      <c r="AS1718" s="38" t="s">
        <v>3383</v>
      </c>
      <c r="AT1718" s="52">
        <v>41760</v>
      </c>
      <c r="AU1718" s="52">
        <v>41760</v>
      </c>
      <c r="AV1718" s="52">
        <v>42124</v>
      </c>
      <c r="AW1718" s="25" t="s">
        <v>99</v>
      </c>
      <c r="AX1718" s="432"/>
      <c r="AY1718" s="135"/>
      <c r="AZ1718" s="432"/>
      <c r="BA1718" s="432"/>
      <c r="BB1718" s="432"/>
      <c r="BC1718" s="432"/>
      <c r="BD1718" s="432"/>
      <c r="BE1718" s="432"/>
      <c r="BF1718" s="432"/>
      <c r="BG1718" s="432"/>
      <c r="BH1718" s="432"/>
      <c r="BI1718" s="432"/>
      <c r="BJ1718" s="432"/>
      <c r="BK1718" s="432"/>
    </row>
    <row r="1719" spans="1:63" s="287" customFormat="1" ht="90" customHeight="1">
      <c r="A1719" s="25">
        <v>8</v>
      </c>
      <c r="B1719" s="72" t="s">
        <v>3825</v>
      </c>
      <c r="C1719" s="72" t="s">
        <v>83</v>
      </c>
      <c r="D1719" s="432" t="s">
        <v>3828</v>
      </c>
      <c r="E1719" s="60" t="s">
        <v>750</v>
      </c>
      <c r="F1719" s="25">
        <v>66</v>
      </c>
      <c r="G1719" s="25" t="s">
        <v>3799</v>
      </c>
      <c r="H1719" s="63">
        <v>626029</v>
      </c>
      <c r="I1719" s="60" t="s">
        <v>3803</v>
      </c>
      <c r="J1719" s="60" t="s">
        <v>3801</v>
      </c>
      <c r="K1719" s="60" t="s">
        <v>3801</v>
      </c>
      <c r="L1719" s="16" t="s">
        <v>180</v>
      </c>
      <c r="M1719" s="433" t="s">
        <v>3800</v>
      </c>
      <c r="N1719" s="60" t="s">
        <v>5879</v>
      </c>
      <c r="O1719" s="60" t="s">
        <v>3829</v>
      </c>
      <c r="P1719" s="356">
        <v>29000</v>
      </c>
      <c r="Q1719" s="356">
        <v>29000</v>
      </c>
      <c r="R1719" s="23"/>
      <c r="S1719" s="432"/>
      <c r="T1719" s="432"/>
      <c r="U1719" s="432"/>
      <c r="V1719" s="432"/>
      <c r="W1719" s="432"/>
      <c r="X1719" s="432"/>
      <c r="Y1719" s="356">
        <v>29000</v>
      </c>
      <c r="Z1719" s="356">
        <v>29000</v>
      </c>
      <c r="AA1719" s="36" t="s">
        <v>132</v>
      </c>
      <c r="AB1719" s="36" t="s">
        <v>132</v>
      </c>
      <c r="AC1719" s="356">
        <v>29000</v>
      </c>
      <c r="AD1719" s="356">
        <v>29000</v>
      </c>
      <c r="AE1719" s="38" t="s">
        <v>169</v>
      </c>
      <c r="AF1719" s="38" t="s">
        <v>83</v>
      </c>
      <c r="AG1719" s="60" t="s">
        <v>83</v>
      </c>
      <c r="AH1719" s="432" t="s">
        <v>90</v>
      </c>
      <c r="AI1719" s="52">
        <v>41829</v>
      </c>
      <c r="AJ1719" s="97">
        <v>41889</v>
      </c>
      <c r="AK1719" s="432"/>
      <c r="AL1719" s="432"/>
      <c r="AM1719" s="60" t="s">
        <v>3810</v>
      </c>
      <c r="AN1719" s="60" t="s">
        <v>171</v>
      </c>
      <c r="AO1719" s="25">
        <v>796</v>
      </c>
      <c r="AP1719" s="25" t="s">
        <v>3254</v>
      </c>
      <c r="AQ1719" s="25">
        <v>1</v>
      </c>
      <c r="AR1719" s="60" t="s">
        <v>2980</v>
      </c>
      <c r="AS1719" s="60" t="s">
        <v>3373</v>
      </c>
      <c r="AT1719" s="52">
        <v>41919</v>
      </c>
      <c r="AU1719" s="52">
        <v>41919</v>
      </c>
      <c r="AV1719" s="52">
        <v>42283</v>
      </c>
      <c r="AW1719" s="25" t="s">
        <v>99</v>
      </c>
      <c r="AX1719" s="357"/>
      <c r="AY1719" s="135"/>
      <c r="AZ1719" s="432"/>
      <c r="BA1719" s="432"/>
      <c r="BB1719" s="432"/>
      <c r="BC1719" s="432"/>
      <c r="BD1719" s="432"/>
      <c r="BE1719" s="432"/>
      <c r="BF1719" s="432"/>
      <c r="BG1719" s="432"/>
      <c r="BH1719" s="432"/>
      <c r="BI1719" s="432"/>
      <c r="BJ1719" s="432"/>
      <c r="BK1719" s="432"/>
    </row>
    <row r="1720" spans="1:63" s="287" customFormat="1" ht="93" customHeight="1">
      <c r="A1720" s="25">
        <v>8</v>
      </c>
      <c r="B1720" s="72" t="s">
        <v>4142</v>
      </c>
      <c r="C1720" s="72" t="s">
        <v>83</v>
      </c>
      <c r="D1720" s="432" t="s">
        <v>3828</v>
      </c>
      <c r="E1720" s="60" t="s">
        <v>750</v>
      </c>
      <c r="F1720" s="25">
        <v>66</v>
      </c>
      <c r="G1720" s="25" t="s">
        <v>3799</v>
      </c>
      <c r="H1720" s="63">
        <v>626031</v>
      </c>
      <c r="I1720" s="60" t="s">
        <v>3804</v>
      </c>
      <c r="J1720" s="60" t="s">
        <v>3801</v>
      </c>
      <c r="K1720" s="60" t="s">
        <v>3801</v>
      </c>
      <c r="L1720" s="16" t="s">
        <v>180</v>
      </c>
      <c r="M1720" s="433" t="s">
        <v>3800</v>
      </c>
      <c r="N1720" s="60" t="s">
        <v>5880</v>
      </c>
      <c r="O1720" s="60" t="s">
        <v>3830</v>
      </c>
      <c r="P1720" s="356">
        <v>24295</v>
      </c>
      <c r="Q1720" s="356">
        <v>24295</v>
      </c>
      <c r="R1720" s="23"/>
      <c r="S1720" s="432"/>
      <c r="T1720" s="432"/>
      <c r="U1720" s="432"/>
      <c r="V1720" s="432"/>
      <c r="W1720" s="432"/>
      <c r="X1720" s="432"/>
      <c r="Y1720" s="356">
        <v>24295</v>
      </c>
      <c r="Z1720" s="356">
        <v>24295</v>
      </c>
      <c r="AA1720" s="36" t="s">
        <v>132</v>
      </c>
      <c r="AB1720" s="36" t="s">
        <v>132</v>
      </c>
      <c r="AC1720" s="356">
        <v>24295</v>
      </c>
      <c r="AD1720" s="356">
        <v>24295</v>
      </c>
      <c r="AE1720" s="38" t="s">
        <v>169</v>
      </c>
      <c r="AF1720" s="38" t="s">
        <v>83</v>
      </c>
      <c r="AG1720" s="60" t="s">
        <v>83</v>
      </c>
      <c r="AH1720" s="432" t="s">
        <v>90</v>
      </c>
      <c r="AI1720" s="52">
        <v>41777</v>
      </c>
      <c r="AJ1720" s="97">
        <v>41837</v>
      </c>
      <c r="AK1720" s="432"/>
      <c r="AL1720" s="432"/>
      <c r="AM1720" s="60" t="s">
        <v>3811</v>
      </c>
      <c r="AN1720" s="60" t="s">
        <v>171</v>
      </c>
      <c r="AO1720" s="25">
        <v>796</v>
      </c>
      <c r="AP1720" s="25" t="s">
        <v>3254</v>
      </c>
      <c r="AQ1720" s="25">
        <v>1</v>
      </c>
      <c r="AR1720" s="60" t="s">
        <v>2980</v>
      </c>
      <c r="AS1720" s="60" t="s">
        <v>3373</v>
      </c>
      <c r="AT1720" s="78">
        <v>41867</v>
      </c>
      <c r="AU1720" s="78">
        <v>41867</v>
      </c>
      <c r="AV1720" s="51">
        <v>42231</v>
      </c>
      <c r="AW1720" s="25" t="s">
        <v>99</v>
      </c>
      <c r="AX1720" s="357"/>
      <c r="AY1720" s="135"/>
      <c r="AZ1720" s="432"/>
      <c r="BA1720" s="432"/>
      <c r="BB1720" s="432"/>
      <c r="BC1720" s="432"/>
      <c r="BD1720" s="432"/>
      <c r="BE1720" s="432"/>
      <c r="BF1720" s="432"/>
      <c r="BG1720" s="432"/>
      <c r="BH1720" s="432"/>
      <c r="BI1720" s="432"/>
      <c r="BJ1720" s="432"/>
      <c r="BK1720" s="432"/>
    </row>
    <row r="1721" spans="1:63" s="287" customFormat="1" ht="96" customHeight="1">
      <c r="A1721" s="25">
        <v>8</v>
      </c>
      <c r="B1721" s="72" t="s">
        <v>4143</v>
      </c>
      <c r="C1721" s="72" t="s">
        <v>83</v>
      </c>
      <c r="D1721" s="432" t="s">
        <v>3828</v>
      </c>
      <c r="E1721" s="60" t="s">
        <v>750</v>
      </c>
      <c r="F1721" s="25">
        <v>66</v>
      </c>
      <c r="G1721" s="25" t="s">
        <v>3799</v>
      </c>
      <c r="H1721" s="63">
        <v>626033</v>
      </c>
      <c r="I1721" s="60" t="s">
        <v>3805</v>
      </c>
      <c r="J1721" s="60" t="s">
        <v>3801</v>
      </c>
      <c r="K1721" s="60" t="s">
        <v>3801</v>
      </c>
      <c r="L1721" s="16" t="s">
        <v>180</v>
      </c>
      <c r="M1721" s="433" t="s">
        <v>3800</v>
      </c>
      <c r="N1721" s="60" t="s">
        <v>5880</v>
      </c>
      <c r="O1721" s="60" t="s">
        <v>3831</v>
      </c>
      <c r="P1721" s="356">
        <v>3000</v>
      </c>
      <c r="Q1721" s="356">
        <v>3000</v>
      </c>
      <c r="R1721" s="23"/>
      <c r="S1721" s="432"/>
      <c r="T1721" s="432"/>
      <c r="U1721" s="432"/>
      <c r="V1721" s="432"/>
      <c r="W1721" s="432"/>
      <c r="X1721" s="432"/>
      <c r="Y1721" s="356">
        <v>3000</v>
      </c>
      <c r="Z1721" s="356">
        <v>3000</v>
      </c>
      <c r="AA1721" s="36" t="s">
        <v>132</v>
      </c>
      <c r="AB1721" s="36" t="s">
        <v>132</v>
      </c>
      <c r="AC1721" s="356">
        <v>3000</v>
      </c>
      <c r="AD1721" s="356">
        <v>3000</v>
      </c>
      <c r="AE1721" s="38" t="s">
        <v>173</v>
      </c>
      <c r="AF1721" s="38" t="s">
        <v>83</v>
      </c>
      <c r="AG1721" s="60" t="s">
        <v>83</v>
      </c>
      <c r="AH1721" s="432" t="s">
        <v>90</v>
      </c>
      <c r="AI1721" s="52">
        <v>41777</v>
      </c>
      <c r="AJ1721" s="97">
        <v>41822</v>
      </c>
      <c r="AK1721" s="432"/>
      <c r="AL1721" s="432"/>
      <c r="AM1721" s="60" t="s">
        <v>3812</v>
      </c>
      <c r="AN1721" s="60" t="s">
        <v>171</v>
      </c>
      <c r="AO1721" s="25">
        <v>796</v>
      </c>
      <c r="AP1721" s="25" t="s">
        <v>3254</v>
      </c>
      <c r="AQ1721" s="25">
        <v>1</v>
      </c>
      <c r="AR1721" s="60" t="s">
        <v>2980</v>
      </c>
      <c r="AS1721" s="60" t="s">
        <v>3373</v>
      </c>
      <c r="AT1721" s="52">
        <v>41867</v>
      </c>
      <c r="AU1721" s="52">
        <v>41867</v>
      </c>
      <c r="AV1721" s="52">
        <v>42231</v>
      </c>
      <c r="AW1721" s="25" t="s">
        <v>99</v>
      </c>
      <c r="AX1721" s="357"/>
      <c r="AY1721" s="135"/>
      <c r="AZ1721" s="432"/>
      <c r="BA1721" s="432"/>
      <c r="BB1721" s="432"/>
      <c r="BC1721" s="432"/>
      <c r="BD1721" s="432"/>
      <c r="BE1721" s="432"/>
      <c r="BF1721" s="432"/>
      <c r="BG1721" s="432"/>
      <c r="BH1721" s="432"/>
      <c r="BI1721" s="432"/>
      <c r="BJ1721" s="432"/>
      <c r="BK1721" s="432"/>
    </row>
    <row r="1722" spans="1:63" s="287" customFormat="1" ht="112.5">
      <c r="A1722" s="25">
        <v>8</v>
      </c>
      <c r="B1722" s="72" t="s">
        <v>4144</v>
      </c>
      <c r="C1722" s="72" t="s">
        <v>83</v>
      </c>
      <c r="D1722" s="432" t="s">
        <v>3828</v>
      </c>
      <c r="E1722" s="60" t="s">
        <v>750</v>
      </c>
      <c r="F1722" s="25">
        <v>66</v>
      </c>
      <c r="G1722" s="25" t="s">
        <v>3799</v>
      </c>
      <c r="H1722" s="63">
        <v>626034</v>
      </c>
      <c r="I1722" s="60" t="s">
        <v>3806</v>
      </c>
      <c r="J1722" s="60" t="s">
        <v>3801</v>
      </c>
      <c r="K1722" s="60" t="s">
        <v>3801</v>
      </c>
      <c r="L1722" s="16" t="s">
        <v>180</v>
      </c>
      <c r="M1722" s="433" t="s">
        <v>3800</v>
      </c>
      <c r="N1722" s="60" t="s">
        <v>5879</v>
      </c>
      <c r="O1722" s="60" t="s">
        <v>3832</v>
      </c>
      <c r="P1722" s="356">
        <v>3500</v>
      </c>
      <c r="Q1722" s="356">
        <v>3500</v>
      </c>
      <c r="R1722" s="23"/>
      <c r="S1722" s="432"/>
      <c r="T1722" s="432"/>
      <c r="U1722" s="432"/>
      <c r="V1722" s="432"/>
      <c r="W1722" s="432"/>
      <c r="X1722" s="432"/>
      <c r="Y1722" s="356">
        <v>3500</v>
      </c>
      <c r="Z1722" s="356">
        <v>3500</v>
      </c>
      <c r="AA1722" s="36" t="s">
        <v>132</v>
      </c>
      <c r="AB1722" s="36" t="s">
        <v>132</v>
      </c>
      <c r="AC1722" s="356">
        <v>3500</v>
      </c>
      <c r="AD1722" s="356">
        <v>3500</v>
      </c>
      <c r="AE1722" s="38" t="s">
        <v>173</v>
      </c>
      <c r="AF1722" s="38" t="s">
        <v>83</v>
      </c>
      <c r="AG1722" s="60" t="s">
        <v>83</v>
      </c>
      <c r="AH1722" s="432" t="s">
        <v>90</v>
      </c>
      <c r="AI1722" s="52">
        <v>41626</v>
      </c>
      <c r="AJ1722" s="97">
        <v>41656</v>
      </c>
      <c r="AK1722" s="432"/>
      <c r="AL1722" s="432"/>
      <c r="AM1722" s="60" t="s">
        <v>3813</v>
      </c>
      <c r="AN1722" s="60" t="s">
        <v>171</v>
      </c>
      <c r="AO1722" s="25">
        <v>796</v>
      </c>
      <c r="AP1722" s="25" t="s">
        <v>3254</v>
      </c>
      <c r="AQ1722" s="25">
        <v>1</v>
      </c>
      <c r="AR1722" s="60" t="s">
        <v>2980</v>
      </c>
      <c r="AS1722" s="60" t="s">
        <v>3373</v>
      </c>
      <c r="AT1722" s="78">
        <v>41671</v>
      </c>
      <c r="AU1722" s="78">
        <v>41671</v>
      </c>
      <c r="AV1722" s="51">
        <v>42035</v>
      </c>
      <c r="AW1722" s="25" t="s">
        <v>99</v>
      </c>
      <c r="AX1722" s="357"/>
      <c r="AY1722" s="135"/>
      <c r="AZ1722" s="432"/>
      <c r="BA1722" s="432"/>
      <c r="BB1722" s="432"/>
      <c r="BC1722" s="432"/>
      <c r="BD1722" s="432"/>
      <c r="BE1722" s="432"/>
      <c r="BF1722" s="432"/>
      <c r="BG1722" s="432"/>
      <c r="BH1722" s="432"/>
      <c r="BI1722" s="432"/>
      <c r="BJ1722" s="432"/>
      <c r="BK1722" s="432"/>
    </row>
    <row r="1723" spans="1:63" s="287" customFormat="1" ht="112.5">
      <c r="A1723" s="25">
        <v>8</v>
      </c>
      <c r="B1723" s="72" t="s">
        <v>4145</v>
      </c>
      <c r="C1723" s="72" t="s">
        <v>83</v>
      </c>
      <c r="D1723" s="432" t="s">
        <v>3828</v>
      </c>
      <c r="E1723" s="60" t="s">
        <v>750</v>
      </c>
      <c r="F1723" s="25">
        <v>66</v>
      </c>
      <c r="G1723" s="25" t="s">
        <v>3799</v>
      </c>
      <c r="H1723" s="63">
        <v>626035</v>
      </c>
      <c r="I1723" s="60" t="s">
        <v>3807</v>
      </c>
      <c r="J1723" s="60" t="s">
        <v>3801</v>
      </c>
      <c r="K1723" s="60" t="s">
        <v>3801</v>
      </c>
      <c r="L1723" s="16" t="s">
        <v>180</v>
      </c>
      <c r="M1723" s="433" t="s">
        <v>3800</v>
      </c>
      <c r="N1723" s="463" t="s">
        <v>5879</v>
      </c>
      <c r="O1723" s="60" t="s">
        <v>3832</v>
      </c>
      <c r="P1723" s="356">
        <v>2000</v>
      </c>
      <c r="Q1723" s="356">
        <v>2000</v>
      </c>
      <c r="R1723" s="23"/>
      <c r="S1723" s="432"/>
      <c r="T1723" s="432"/>
      <c r="U1723" s="432"/>
      <c r="V1723" s="432"/>
      <c r="W1723" s="432"/>
      <c r="X1723" s="432"/>
      <c r="Y1723" s="356">
        <v>2000</v>
      </c>
      <c r="Z1723" s="356">
        <v>2000</v>
      </c>
      <c r="AA1723" s="36" t="s">
        <v>132</v>
      </c>
      <c r="AB1723" s="36" t="s">
        <v>132</v>
      </c>
      <c r="AC1723" s="356">
        <v>2000</v>
      </c>
      <c r="AD1723" s="356">
        <v>2000</v>
      </c>
      <c r="AE1723" s="38" t="s">
        <v>173</v>
      </c>
      <c r="AF1723" s="38" t="s">
        <v>83</v>
      </c>
      <c r="AG1723" s="60" t="s">
        <v>83</v>
      </c>
      <c r="AH1723" s="432" t="s">
        <v>90</v>
      </c>
      <c r="AI1723" s="52">
        <v>41628</v>
      </c>
      <c r="AJ1723" s="97">
        <v>41673</v>
      </c>
      <c r="AK1723" s="432"/>
      <c r="AL1723" s="432"/>
      <c r="AM1723" s="60" t="s">
        <v>3814</v>
      </c>
      <c r="AN1723" s="60" t="s">
        <v>171</v>
      </c>
      <c r="AO1723" s="25">
        <v>796</v>
      </c>
      <c r="AP1723" s="25" t="s">
        <v>3254</v>
      </c>
      <c r="AQ1723" s="25">
        <v>1</v>
      </c>
      <c r="AR1723" s="60" t="s">
        <v>2980</v>
      </c>
      <c r="AS1723" s="60" t="s">
        <v>3373</v>
      </c>
      <c r="AT1723" s="78">
        <v>41699</v>
      </c>
      <c r="AU1723" s="78">
        <v>41699</v>
      </c>
      <c r="AV1723" s="51">
        <v>42063</v>
      </c>
      <c r="AW1723" s="25" t="s">
        <v>99</v>
      </c>
      <c r="AX1723" s="357"/>
      <c r="AY1723" s="135"/>
      <c r="AZ1723" s="432"/>
      <c r="BA1723" s="432"/>
      <c r="BB1723" s="432"/>
      <c r="BC1723" s="432"/>
      <c r="BD1723" s="432"/>
      <c r="BE1723" s="432"/>
      <c r="BF1723" s="432"/>
      <c r="BG1723" s="432"/>
      <c r="BH1723" s="432"/>
      <c r="BI1723" s="432"/>
      <c r="BJ1723" s="432"/>
      <c r="BK1723" s="432"/>
    </row>
    <row r="1724" spans="1:63" s="287" customFormat="1" ht="112.5">
      <c r="A1724" s="25">
        <v>8</v>
      </c>
      <c r="B1724" s="72" t="s">
        <v>3820</v>
      </c>
      <c r="C1724" s="72" t="s">
        <v>83</v>
      </c>
      <c r="D1724" s="432" t="s">
        <v>3821</v>
      </c>
      <c r="E1724" s="38" t="s">
        <v>522</v>
      </c>
      <c r="F1724" s="25" t="s">
        <v>3822</v>
      </c>
      <c r="G1724" s="25">
        <v>6350010</v>
      </c>
      <c r="H1724" s="63">
        <v>813076</v>
      </c>
      <c r="I1724" s="60" t="s">
        <v>3823</v>
      </c>
      <c r="J1724" s="60" t="s">
        <v>275</v>
      </c>
      <c r="K1724" s="60" t="s">
        <v>275</v>
      </c>
      <c r="L1724" s="60" t="s">
        <v>88</v>
      </c>
      <c r="M1724" s="433" t="s">
        <v>5871</v>
      </c>
      <c r="N1724" s="60" t="s">
        <v>5930</v>
      </c>
      <c r="O1724" s="432" t="s">
        <v>541</v>
      </c>
      <c r="P1724" s="356">
        <v>2636</v>
      </c>
      <c r="Q1724" s="356">
        <f t="shared" ref="Q1724:Q1734" si="231">P1724*1.18</f>
        <v>3110.48</v>
      </c>
      <c r="R1724" s="432"/>
      <c r="S1724" s="432"/>
      <c r="T1724" s="432"/>
      <c r="U1724" s="432"/>
      <c r="V1724" s="432"/>
      <c r="W1724" s="432"/>
      <c r="X1724" s="432"/>
      <c r="Y1724" s="356">
        <v>2636</v>
      </c>
      <c r="Z1724" s="356">
        <f t="shared" ref="Z1724:Z1734" si="232">Y1724*1.18</f>
        <v>3110.48</v>
      </c>
      <c r="AA1724" s="36" t="s">
        <v>132</v>
      </c>
      <c r="AB1724" s="36" t="s">
        <v>132</v>
      </c>
      <c r="AC1724" s="356">
        <v>2636</v>
      </c>
      <c r="AD1724" s="356">
        <f t="shared" ref="AD1724:AD1734" si="233">AC1724*1.18</f>
        <v>3110.48</v>
      </c>
      <c r="AE1724" s="38" t="s">
        <v>173</v>
      </c>
      <c r="AF1724" s="38" t="s">
        <v>83</v>
      </c>
      <c r="AG1724" s="60" t="s">
        <v>83</v>
      </c>
      <c r="AH1724" s="432" t="s">
        <v>545</v>
      </c>
      <c r="AI1724" s="51">
        <v>41625</v>
      </c>
      <c r="AJ1724" s="97">
        <v>41670</v>
      </c>
      <c r="AK1724" s="432"/>
      <c r="AL1724" s="432"/>
      <c r="AM1724" s="60" t="s">
        <v>3823</v>
      </c>
      <c r="AN1724" s="60" t="s">
        <v>171</v>
      </c>
      <c r="AO1724" s="25" t="s">
        <v>3824</v>
      </c>
      <c r="AP1724" s="25" t="s">
        <v>419</v>
      </c>
      <c r="AQ1724" s="25">
        <v>67</v>
      </c>
      <c r="AR1724" s="25">
        <v>45.46</v>
      </c>
      <c r="AS1724" s="432" t="s">
        <v>92</v>
      </c>
      <c r="AT1724" s="52">
        <v>41690</v>
      </c>
      <c r="AU1724" s="52">
        <v>41690</v>
      </c>
      <c r="AV1724" s="52">
        <v>42035</v>
      </c>
      <c r="AW1724" s="25" t="s">
        <v>99</v>
      </c>
      <c r="AX1724" s="357"/>
      <c r="AY1724" s="135"/>
      <c r="AZ1724" s="432"/>
      <c r="BA1724" s="432"/>
      <c r="BB1724" s="432"/>
      <c r="BC1724" s="432"/>
      <c r="BD1724" s="432"/>
      <c r="BE1724" s="432"/>
      <c r="BF1724" s="432"/>
      <c r="BG1724" s="432"/>
      <c r="BH1724" s="432"/>
      <c r="BI1724" s="432"/>
      <c r="BJ1724" s="432"/>
      <c r="BK1724" s="432"/>
    </row>
    <row r="1725" spans="1:63" s="287" customFormat="1" ht="93.75">
      <c r="A1725" s="25">
        <v>8</v>
      </c>
      <c r="B1725" s="72" t="s">
        <v>3848</v>
      </c>
      <c r="C1725" s="72" t="s">
        <v>83</v>
      </c>
      <c r="D1725" s="72" t="s">
        <v>3849</v>
      </c>
      <c r="E1725" s="38" t="s">
        <v>522</v>
      </c>
      <c r="F1725" s="25">
        <v>92</v>
      </c>
      <c r="G1725" s="25">
        <v>9231030</v>
      </c>
      <c r="H1725" s="63">
        <v>626012</v>
      </c>
      <c r="I1725" s="60" t="s">
        <v>3850</v>
      </c>
      <c r="J1725" s="60" t="s">
        <v>1513</v>
      </c>
      <c r="K1725" s="60" t="s">
        <v>1513</v>
      </c>
      <c r="L1725" s="60" t="s">
        <v>552</v>
      </c>
      <c r="M1725" s="433" t="s">
        <v>1514</v>
      </c>
      <c r="N1725" s="60" t="s">
        <v>5902</v>
      </c>
      <c r="O1725" s="60" t="s">
        <v>3851</v>
      </c>
      <c r="P1725" s="23">
        <v>8909.3250000000007</v>
      </c>
      <c r="Q1725" s="23">
        <f t="shared" si="231"/>
        <v>10513.003500000001</v>
      </c>
      <c r="R1725" s="23"/>
      <c r="S1725" s="29"/>
      <c r="T1725" s="312"/>
      <c r="U1725" s="312"/>
      <c r="V1725" s="312"/>
      <c r="W1725" s="312"/>
      <c r="X1725" s="403"/>
      <c r="Y1725" s="23">
        <v>8909.3250000000007</v>
      </c>
      <c r="Z1725" s="23">
        <f t="shared" si="232"/>
        <v>10513.003500000001</v>
      </c>
      <c r="AA1725" s="36" t="s">
        <v>132</v>
      </c>
      <c r="AB1725" s="36" t="s">
        <v>132</v>
      </c>
      <c r="AC1725" s="23">
        <v>8909.3250000000007</v>
      </c>
      <c r="AD1725" s="23">
        <f t="shared" si="233"/>
        <v>10513.003500000001</v>
      </c>
      <c r="AE1725" s="38" t="s">
        <v>169</v>
      </c>
      <c r="AF1725" s="38" t="s">
        <v>83</v>
      </c>
      <c r="AG1725" s="60" t="s">
        <v>83</v>
      </c>
      <c r="AH1725" s="432" t="s">
        <v>90</v>
      </c>
      <c r="AI1725" s="51">
        <v>41625</v>
      </c>
      <c r="AJ1725" s="97">
        <v>41685</v>
      </c>
      <c r="AK1725" s="432"/>
      <c r="AL1725" s="432"/>
      <c r="AM1725" s="60" t="s">
        <v>3852</v>
      </c>
      <c r="AN1725" s="60" t="s">
        <v>3853</v>
      </c>
      <c r="AO1725" s="25">
        <v>796</v>
      </c>
      <c r="AP1725" s="25" t="s">
        <v>528</v>
      </c>
      <c r="AQ1725" s="25">
        <v>10</v>
      </c>
      <c r="AR1725" s="25">
        <v>45296</v>
      </c>
      <c r="AS1725" s="432" t="s">
        <v>3802</v>
      </c>
      <c r="AT1725" s="52">
        <v>41705</v>
      </c>
      <c r="AU1725" s="52">
        <v>41705</v>
      </c>
      <c r="AV1725" s="52">
        <v>42004</v>
      </c>
      <c r="AW1725" s="25">
        <v>2014</v>
      </c>
      <c r="AX1725" s="357"/>
      <c r="AY1725" s="135"/>
      <c r="AZ1725" s="432"/>
      <c r="BA1725" s="432"/>
      <c r="BB1725" s="432"/>
      <c r="BC1725" s="432"/>
      <c r="BD1725" s="432"/>
      <c r="BE1725" s="432"/>
      <c r="BF1725" s="432"/>
      <c r="BG1725" s="432"/>
      <c r="BH1725" s="432"/>
      <c r="BI1725" s="432"/>
      <c r="BJ1725" s="432"/>
      <c r="BK1725" s="432"/>
    </row>
    <row r="1726" spans="1:63" s="287" customFormat="1" ht="168.75">
      <c r="A1726" s="25">
        <v>8</v>
      </c>
      <c r="B1726" s="72" t="s">
        <v>3871</v>
      </c>
      <c r="C1726" s="72" t="s">
        <v>83</v>
      </c>
      <c r="D1726" s="72" t="s">
        <v>3872</v>
      </c>
      <c r="E1726" s="38" t="s">
        <v>250</v>
      </c>
      <c r="F1726" s="25" t="s">
        <v>3873</v>
      </c>
      <c r="G1726" s="25">
        <v>7426000</v>
      </c>
      <c r="H1726" s="63">
        <v>625959</v>
      </c>
      <c r="I1726" s="60" t="s">
        <v>3874</v>
      </c>
      <c r="J1726" s="60" t="s">
        <v>459</v>
      </c>
      <c r="K1726" s="60" t="s">
        <v>459</v>
      </c>
      <c r="L1726" s="16" t="s">
        <v>180</v>
      </c>
      <c r="M1726" s="433" t="s">
        <v>686</v>
      </c>
      <c r="N1726" s="60" t="s">
        <v>687</v>
      </c>
      <c r="O1726" s="60" t="s">
        <v>3875</v>
      </c>
      <c r="P1726" s="356">
        <v>2550</v>
      </c>
      <c r="Q1726" s="356">
        <f t="shared" si="231"/>
        <v>3009</v>
      </c>
      <c r="R1726" s="432"/>
      <c r="S1726" s="432"/>
      <c r="T1726" s="432"/>
      <c r="U1726" s="432"/>
      <c r="V1726" s="432"/>
      <c r="W1726" s="432"/>
      <c r="X1726" s="432"/>
      <c r="Y1726" s="356">
        <v>2550</v>
      </c>
      <c r="Z1726" s="356">
        <f t="shared" si="232"/>
        <v>3009</v>
      </c>
      <c r="AA1726" s="36" t="s">
        <v>132</v>
      </c>
      <c r="AB1726" s="36" t="s">
        <v>132</v>
      </c>
      <c r="AC1726" s="356">
        <v>2550</v>
      </c>
      <c r="AD1726" s="356">
        <f t="shared" si="233"/>
        <v>3009</v>
      </c>
      <c r="AE1726" s="38" t="s">
        <v>280</v>
      </c>
      <c r="AF1726" s="38" t="s">
        <v>83</v>
      </c>
      <c r="AG1726" s="60" t="s">
        <v>83</v>
      </c>
      <c r="AH1726" s="432" t="s">
        <v>219</v>
      </c>
      <c r="AI1726" s="51">
        <v>41625</v>
      </c>
      <c r="AJ1726" s="97">
        <v>41625</v>
      </c>
      <c r="AK1726" s="432" t="s">
        <v>3876</v>
      </c>
      <c r="AL1726" s="432" t="s">
        <v>3877</v>
      </c>
      <c r="AM1726" s="60" t="s">
        <v>3874</v>
      </c>
      <c r="AN1726" s="60" t="s">
        <v>3878</v>
      </c>
      <c r="AO1726" s="25">
        <v>796</v>
      </c>
      <c r="AP1726" s="25" t="s">
        <v>368</v>
      </c>
      <c r="AQ1726" s="25">
        <v>1</v>
      </c>
      <c r="AR1726" s="25">
        <v>45.46</v>
      </c>
      <c r="AS1726" s="432" t="s">
        <v>92</v>
      </c>
      <c r="AT1726" s="52">
        <v>41645</v>
      </c>
      <c r="AU1726" s="52">
        <v>41645</v>
      </c>
      <c r="AV1726" s="52">
        <v>42004</v>
      </c>
      <c r="AW1726" s="25">
        <v>2014</v>
      </c>
      <c r="AX1726" s="357"/>
      <c r="AY1726" s="135"/>
      <c r="AZ1726" s="432"/>
      <c r="BA1726" s="432"/>
      <c r="BB1726" s="432"/>
      <c r="BC1726" s="432"/>
      <c r="BD1726" s="432"/>
      <c r="BE1726" s="432"/>
      <c r="BF1726" s="432"/>
      <c r="BG1726" s="432"/>
      <c r="BH1726" s="432"/>
      <c r="BI1726" s="432"/>
      <c r="BJ1726" s="432" t="s">
        <v>400</v>
      </c>
      <c r="BK1726" s="432"/>
    </row>
    <row r="1727" spans="1:63" s="287" customFormat="1" ht="131.25">
      <c r="A1727" s="25">
        <v>8</v>
      </c>
      <c r="B1727" s="72" t="s">
        <v>3879</v>
      </c>
      <c r="C1727" s="72" t="s">
        <v>83</v>
      </c>
      <c r="D1727" s="72" t="s">
        <v>3872</v>
      </c>
      <c r="E1727" s="38" t="s">
        <v>250</v>
      </c>
      <c r="F1727" s="25" t="s">
        <v>3615</v>
      </c>
      <c r="G1727" s="25">
        <v>7425010</v>
      </c>
      <c r="H1727" s="63">
        <v>625966</v>
      </c>
      <c r="I1727" s="60" t="s">
        <v>3880</v>
      </c>
      <c r="J1727" s="60" t="s">
        <v>275</v>
      </c>
      <c r="K1727" s="60" t="s">
        <v>275</v>
      </c>
      <c r="L1727" s="16" t="s">
        <v>180</v>
      </c>
      <c r="M1727" s="134" t="s">
        <v>686</v>
      </c>
      <c r="N1727" s="60" t="s">
        <v>687</v>
      </c>
      <c r="O1727" s="60" t="s">
        <v>3875</v>
      </c>
      <c r="P1727" s="356">
        <v>2358.9</v>
      </c>
      <c r="Q1727" s="356">
        <f t="shared" si="231"/>
        <v>2783.502</v>
      </c>
      <c r="R1727" s="432"/>
      <c r="S1727" s="432"/>
      <c r="T1727" s="432"/>
      <c r="U1727" s="432"/>
      <c r="V1727" s="432"/>
      <c r="W1727" s="432"/>
      <c r="X1727" s="432"/>
      <c r="Y1727" s="356">
        <v>2358.9</v>
      </c>
      <c r="Z1727" s="356">
        <f t="shared" si="232"/>
        <v>2783.502</v>
      </c>
      <c r="AA1727" s="36" t="s">
        <v>132</v>
      </c>
      <c r="AB1727" s="36" t="s">
        <v>132</v>
      </c>
      <c r="AC1727" s="356">
        <v>2358.9</v>
      </c>
      <c r="AD1727" s="356">
        <f t="shared" si="233"/>
        <v>2783.502</v>
      </c>
      <c r="AE1727" s="38" t="s">
        <v>173</v>
      </c>
      <c r="AF1727" s="38" t="s">
        <v>83</v>
      </c>
      <c r="AG1727" s="60" t="s">
        <v>83</v>
      </c>
      <c r="AH1727" s="432" t="s">
        <v>545</v>
      </c>
      <c r="AI1727" s="52">
        <v>41655</v>
      </c>
      <c r="AJ1727" s="97">
        <v>41700</v>
      </c>
      <c r="AK1727" s="432"/>
      <c r="AL1727" s="432"/>
      <c r="AM1727" s="60" t="s">
        <v>3880</v>
      </c>
      <c r="AN1727" s="60" t="s">
        <v>3878</v>
      </c>
      <c r="AO1727" s="25">
        <v>796</v>
      </c>
      <c r="AP1727" s="25" t="s">
        <v>368</v>
      </c>
      <c r="AQ1727" s="25">
        <v>1</v>
      </c>
      <c r="AR1727" s="25">
        <v>45.46</v>
      </c>
      <c r="AS1727" s="432" t="s">
        <v>92</v>
      </c>
      <c r="AT1727" s="52">
        <v>41720</v>
      </c>
      <c r="AU1727" s="52">
        <v>41720</v>
      </c>
      <c r="AV1727" s="52">
        <v>42004</v>
      </c>
      <c r="AW1727" s="25">
        <v>2014</v>
      </c>
      <c r="AX1727" s="357"/>
      <c r="AY1727" s="135"/>
      <c r="AZ1727" s="432"/>
      <c r="BA1727" s="432"/>
      <c r="BB1727" s="432"/>
      <c r="BC1727" s="432"/>
      <c r="BD1727" s="432"/>
      <c r="BE1727" s="432"/>
      <c r="BF1727" s="432"/>
      <c r="BG1727" s="432"/>
      <c r="BH1727" s="432"/>
      <c r="BI1727" s="432"/>
      <c r="BJ1727" s="432" t="s">
        <v>400</v>
      </c>
      <c r="BK1727" s="432"/>
    </row>
    <row r="1728" spans="1:63" s="287" customFormat="1" ht="150">
      <c r="A1728" s="25">
        <v>8</v>
      </c>
      <c r="B1728" s="72" t="s">
        <v>3881</v>
      </c>
      <c r="C1728" s="72" t="s">
        <v>83</v>
      </c>
      <c r="D1728" s="72" t="s">
        <v>3872</v>
      </c>
      <c r="E1728" s="38" t="s">
        <v>250</v>
      </c>
      <c r="F1728" s="25" t="s">
        <v>3615</v>
      </c>
      <c r="G1728" s="25">
        <v>7425010</v>
      </c>
      <c r="H1728" s="63">
        <v>625971</v>
      </c>
      <c r="I1728" s="60" t="s">
        <v>3882</v>
      </c>
      <c r="J1728" s="60" t="s">
        <v>275</v>
      </c>
      <c r="K1728" s="60" t="s">
        <v>275</v>
      </c>
      <c r="L1728" s="16" t="s">
        <v>180</v>
      </c>
      <c r="M1728" s="134" t="s">
        <v>686</v>
      </c>
      <c r="N1728" s="60" t="s">
        <v>687</v>
      </c>
      <c r="O1728" s="60" t="s">
        <v>3875</v>
      </c>
      <c r="P1728" s="356">
        <v>2100</v>
      </c>
      <c r="Q1728" s="356">
        <f t="shared" si="231"/>
        <v>2478</v>
      </c>
      <c r="R1728" s="432"/>
      <c r="S1728" s="432"/>
      <c r="T1728" s="432"/>
      <c r="U1728" s="432"/>
      <c r="V1728" s="432"/>
      <c r="W1728" s="432"/>
      <c r="X1728" s="432"/>
      <c r="Y1728" s="356">
        <v>2100</v>
      </c>
      <c r="Z1728" s="356">
        <f t="shared" si="232"/>
        <v>2478</v>
      </c>
      <c r="AA1728" s="36" t="s">
        <v>132</v>
      </c>
      <c r="AB1728" s="36" t="s">
        <v>132</v>
      </c>
      <c r="AC1728" s="356">
        <v>2100</v>
      </c>
      <c r="AD1728" s="356">
        <f t="shared" si="233"/>
        <v>2478</v>
      </c>
      <c r="AE1728" s="38" t="s">
        <v>173</v>
      </c>
      <c r="AF1728" s="38" t="s">
        <v>83</v>
      </c>
      <c r="AG1728" s="60" t="s">
        <v>83</v>
      </c>
      <c r="AH1728" s="432" t="s">
        <v>545</v>
      </c>
      <c r="AI1728" s="52">
        <v>41655</v>
      </c>
      <c r="AJ1728" s="97">
        <v>41700</v>
      </c>
      <c r="AK1728" s="432"/>
      <c r="AL1728" s="432"/>
      <c r="AM1728" s="60" t="s">
        <v>3882</v>
      </c>
      <c r="AN1728" s="60" t="s">
        <v>3878</v>
      </c>
      <c r="AO1728" s="25">
        <v>796</v>
      </c>
      <c r="AP1728" s="25" t="s">
        <v>368</v>
      </c>
      <c r="AQ1728" s="25">
        <v>1</v>
      </c>
      <c r="AR1728" s="25">
        <v>45.46</v>
      </c>
      <c r="AS1728" s="432" t="s">
        <v>92</v>
      </c>
      <c r="AT1728" s="52">
        <v>41720</v>
      </c>
      <c r="AU1728" s="52">
        <v>41720</v>
      </c>
      <c r="AV1728" s="52">
        <v>42004</v>
      </c>
      <c r="AW1728" s="25">
        <v>2014</v>
      </c>
      <c r="AX1728" s="357"/>
      <c r="AY1728" s="135"/>
      <c r="AZ1728" s="432"/>
      <c r="BA1728" s="432"/>
      <c r="BB1728" s="432"/>
      <c r="BC1728" s="432"/>
      <c r="BD1728" s="432"/>
      <c r="BE1728" s="432"/>
      <c r="BF1728" s="432"/>
      <c r="BG1728" s="432"/>
      <c r="BH1728" s="432"/>
      <c r="BI1728" s="432"/>
      <c r="BJ1728" s="432" t="s">
        <v>400</v>
      </c>
      <c r="BK1728" s="432"/>
    </row>
    <row r="1729" spans="1:63" s="287" customFormat="1" ht="112.5">
      <c r="A1729" s="25">
        <v>8</v>
      </c>
      <c r="B1729" s="72" t="s">
        <v>3883</v>
      </c>
      <c r="C1729" s="72" t="s">
        <v>83</v>
      </c>
      <c r="D1729" s="72" t="s">
        <v>3872</v>
      </c>
      <c r="E1729" s="38" t="s">
        <v>250</v>
      </c>
      <c r="F1729" s="25" t="s">
        <v>3615</v>
      </c>
      <c r="G1729" s="25">
        <v>7425010</v>
      </c>
      <c r="H1729" s="63">
        <v>625997</v>
      </c>
      <c r="I1729" s="60" t="s">
        <v>3884</v>
      </c>
      <c r="J1729" s="60" t="s">
        <v>275</v>
      </c>
      <c r="K1729" s="60" t="s">
        <v>275</v>
      </c>
      <c r="L1729" s="16" t="s">
        <v>180</v>
      </c>
      <c r="M1729" s="134" t="s">
        <v>686</v>
      </c>
      <c r="N1729" s="60" t="s">
        <v>687</v>
      </c>
      <c r="O1729" s="60" t="s">
        <v>3875</v>
      </c>
      <c r="P1729" s="356">
        <v>900</v>
      </c>
      <c r="Q1729" s="356">
        <f t="shared" si="231"/>
        <v>1062</v>
      </c>
      <c r="R1729" s="432"/>
      <c r="S1729" s="432"/>
      <c r="T1729" s="432"/>
      <c r="U1729" s="432"/>
      <c r="V1729" s="432"/>
      <c r="W1729" s="432"/>
      <c r="X1729" s="432"/>
      <c r="Y1729" s="356">
        <v>900</v>
      </c>
      <c r="Z1729" s="356">
        <f t="shared" si="232"/>
        <v>1062</v>
      </c>
      <c r="AA1729" s="36" t="s">
        <v>132</v>
      </c>
      <c r="AB1729" s="36" t="s">
        <v>132</v>
      </c>
      <c r="AC1729" s="356">
        <v>900</v>
      </c>
      <c r="AD1729" s="356">
        <f t="shared" si="233"/>
        <v>1062</v>
      </c>
      <c r="AE1729" s="38" t="s">
        <v>173</v>
      </c>
      <c r="AF1729" s="38" t="s">
        <v>83</v>
      </c>
      <c r="AG1729" s="60" t="s">
        <v>83</v>
      </c>
      <c r="AH1729" s="432" t="s">
        <v>545</v>
      </c>
      <c r="AI1729" s="52">
        <v>41655</v>
      </c>
      <c r="AJ1729" s="97">
        <v>41700</v>
      </c>
      <c r="AK1729" s="432"/>
      <c r="AL1729" s="432"/>
      <c r="AM1729" s="60" t="s">
        <v>3884</v>
      </c>
      <c r="AN1729" s="60" t="s">
        <v>3878</v>
      </c>
      <c r="AO1729" s="25">
        <v>796</v>
      </c>
      <c r="AP1729" s="25" t="s">
        <v>368</v>
      </c>
      <c r="AQ1729" s="25">
        <v>1</v>
      </c>
      <c r="AR1729" s="25">
        <v>45.46</v>
      </c>
      <c r="AS1729" s="432" t="s">
        <v>92</v>
      </c>
      <c r="AT1729" s="52">
        <v>41720</v>
      </c>
      <c r="AU1729" s="52">
        <v>41720</v>
      </c>
      <c r="AV1729" s="52">
        <v>42004</v>
      </c>
      <c r="AW1729" s="25">
        <v>2014</v>
      </c>
      <c r="AX1729" s="357"/>
      <c r="AY1729" s="135"/>
      <c r="AZ1729" s="432"/>
      <c r="BA1729" s="432"/>
      <c r="BB1729" s="432"/>
      <c r="BC1729" s="432"/>
      <c r="BD1729" s="432"/>
      <c r="BE1729" s="432"/>
      <c r="BF1729" s="432"/>
      <c r="BG1729" s="432"/>
      <c r="BH1729" s="432"/>
      <c r="BI1729" s="432"/>
      <c r="BJ1729" s="432" t="s">
        <v>400</v>
      </c>
      <c r="BK1729" s="432"/>
    </row>
    <row r="1730" spans="1:63" s="287" customFormat="1" ht="56.25">
      <c r="A1730" s="25">
        <v>8</v>
      </c>
      <c r="B1730" s="72" t="s">
        <v>3900</v>
      </c>
      <c r="C1730" s="72" t="s">
        <v>83</v>
      </c>
      <c r="D1730" s="72" t="s">
        <v>3901</v>
      </c>
      <c r="E1730" s="38" t="s">
        <v>250</v>
      </c>
      <c r="F1730" s="25" t="s">
        <v>689</v>
      </c>
      <c r="G1730" s="25">
        <v>6420020</v>
      </c>
      <c r="H1730" s="63">
        <v>834160</v>
      </c>
      <c r="I1730" s="60" t="s">
        <v>3764</v>
      </c>
      <c r="J1730" s="60" t="s">
        <v>3902</v>
      </c>
      <c r="K1730" s="60" t="str">
        <f>J1730</f>
        <v>00097 Услуги связи</v>
      </c>
      <c r="L1730" s="16" t="s">
        <v>180</v>
      </c>
      <c r="M1730" s="134" t="s">
        <v>690</v>
      </c>
      <c r="N1730" s="60" t="s">
        <v>286</v>
      </c>
      <c r="O1730" s="60" t="s">
        <v>3903</v>
      </c>
      <c r="P1730" s="356">
        <v>880</v>
      </c>
      <c r="Q1730" s="356">
        <f t="shared" si="231"/>
        <v>1038.3999999999999</v>
      </c>
      <c r="R1730" s="432"/>
      <c r="S1730" s="432"/>
      <c r="T1730" s="432"/>
      <c r="U1730" s="432"/>
      <c r="V1730" s="432"/>
      <c r="W1730" s="432"/>
      <c r="X1730" s="432"/>
      <c r="Y1730" s="356">
        <v>880</v>
      </c>
      <c r="Z1730" s="356">
        <f t="shared" si="232"/>
        <v>1038.3999999999999</v>
      </c>
      <c r="AA1730" s="36" t="s">
        <v>132</v>
      </c>
      <c r="AB1730" s="36" t="s">
        <v>132</v>
      </c>
      <c r="AC1730" s="356">
        <v>880</v>
      </c>
      <c r="AD1730" s="356">
        <f t="shared" si="233"/>
        <v>1038.3999999999999</v>
      </c>
      <c r="AE1730" s="38" t="s">
        <v>173</v>
      </c>
      <c r="AF1730" s="38" t="s">
        <v>83</v>
      </c>
      <c r="AG1730" s="60" t="s">
        <v>83</v>
      </c>
      <c r="AH1730" s="432" t="s">
        <v>545</v>
      </c>
      <c r="AI1730" s="51">
        <v>41625</v>
      </c>
      <c r="AJ1730" s="97">
        <v>41670</v>
      </c>
      <c r="AK1730" s="432"/>
      <c r="AL1730" s="432"/>
      <c r="AM1730" s="60" t="str">
        <f>I1730</f>
        <v>Представление услуг связи</v>
      </c>
      <c r="AN1730" s="60" t="s">
        <v>353</v>
      </c>
      <c r="AO1730" s="25">
        <v>796</v>
      </c>
      <c r="AP1730" s="25" t="s">
        <v>94</v>
      </c>
      <c r="AQ1730" s="25">
        <v>50</v>
      </c>
      <c r="AR1730" s="25">
        <v>46200</v>
      </c>
      <c r="AS1730" s="432" t="s">
        <v>3383</v>
      </c>
      <c r="AT1730" s="52">
        <v>41690</v>
      </c>
      <c r="AU1730" s="52">
        <v>41690</v>
      </c>
      <c r="AV1730" s="52">
        <v>42004</v>
      </c>
      <c r="AW1730" s="25">
        <v>2014</v>
      </c>
      <c r="AX1730" s="357"/>
      <c r="AY1730" s="135"/>
      <c r="AZ1730" s="432"/>
      <c r="BA1730" s="432"/>
      <c r="BB1730" s="432"/>
      <c r="BC1730" s="432"/>
      <c r="BD1730" s="432"/>
      <c r="BE1730" s="432"/>
      <c r="BF1730" s="432"/>
      <c r="BG1730" s="432"/>
      <c r="BH1730" s="432"/>
      <c r="BI1730" s="432"/>
      <c r="BJ1730" s="432"/>
      <c r="BK1730" s="238"/>
    </row>
    <row r="1731" spans="1:63" s="287" customFormat="1" ht="56.25">
      <c r="A1731" s="25">
        <v>8</v>
      </c>
      <c r="B1731" s="72" t="s">
        <v>3904</v>
      </c>
      <c r="C1731" s="72" t="s">
        <v>83</v>
      </c>
      <c r="D1731" s="72" t="s">
        <v>3901</v>
      </c>
      <c r="E1731" s="38" t="s">
        <v>250</v>
      </c>
      <c r="F1731" s="25" t="s">
        <v>689</v>
      </c>
      <c r="G1731" s="25">
        <v>6420019</v>
      </c>
      <c r="H1731" s="63">
        <v>834162</v>
      </c>
      <c r="I1731" s="60" t="s">
        <v>3768</v>
      </c>
      <c r="J1731" s="60" t="s">
        <v>3902</v>
      </c>
      <c r="K1731" s="60" t="str">
        <f t="shared" ref="K1731:K1732" si="234">J1731</f>
        <v>00097 Услуги связи</v>
      </c>
      <c r="L1731" s="16" t="s">
        <v>180</v>
      </c>
      <c r="M1731" s="134" t="s">
        <v>690</v>
      </c>
      <c r="N1731" s="60" t="s">
        <v>286</v>
      </c>
      <c r="O1731" s="60" t="s">
        <v>3903</v>
      </c>
      <c r="P1731" s="356">
        <v>1455</v>
      </c>
      <c r="Q1731" s="356">
        <f t="shared" si="231"/>
        <v>1716.8999999999999</v>
      </c>
      <c r="R1731" s="432"/>
      <c r="S1731" s="432"/>
      <c r="T1731" s="432"/>
      <c r="U1731" s="432"/>
      <c r="V1731" s="432"/>
      <c r="W1731" s="432"/>
      <c r="X1731" s="432"/>
      <c r="Y1731" s="356">
        <v>1455</v>
      </c>
      <c r="Z1731" s="356">
        <f t="shared" si="232"/>
        <v>1716.8999999999999</v>
      </c>
      <c r="AA1731" s="36" t="s">
        <v>132</v>
      </c>
      <c r="AB1731" s="36" t="s">
        <v>132</v>
      </c>
      <c r="AC1731" s="356">
        <v>1455</v>
      </c>
      <c r="AD1731" s="356">
        <f t="shared" si="233"/>
        <v>1716.8999999999999</v>
      </c>
      <c r="AE1731" s="38" t="s">
        <v>173</v>
      </c>
      <c r="AF1731" s="38" t="s">
        <v>83</v>
      </c>
      <c r="AG1731" s="60" t="s">
        <v>83</v>
      </c>
      <c r="AH1731" s="432" t="s">
        <v>545</v>
      </c>
      <c r="AI1731" s="51">
        <v>41625</v>
      </c>
      <c r="AJ1731" s="97">
        <v>41670</v>
      </c>
      <c r="AK1731" s="432"/>
      <c r="AL1731" s="432"/>
      <c r="AM1731" s="60" t="str">
        <f t="shared" ref="AM1731:AM1735" si="235">I1731</f>
        <v>Услуги предоставления цифрового канала</v>
      </c>
      <c r="AN1731" s="60" t="s">
        <v>353</v>
      </c>
      <c r="AO1731" s="25">
        <v>796</v>
      </c>
      <c r="AP1731" s="25" t="s">
        <v>94</v>
      </c>
      <c r="AQ1731" s="25">
        <v>50</v>
      </c>
      <c r="AR1731" s="25">
        <v>46200</v>
      </c>
      <c r="AS1731" s="432" t="s">
        <v>3383</v>
      </c>
      <c r="AT1731" s="52">
        <v>41690</v>
      </c>
      <c r="AU1731" s="52">
        <v>41690</v>
      </c>
      <c r="AV1731" s="52">
        <v>42004</v>
      </c>
      <c r="AW1731" s="25">
        <v>2014</v>
      </c>
      <c r="AX1731" s="357"/>
      <c r="AY1731" s="135"/>
      <c r="AZ1731" s="432"/>
      <c r="BA1731" s="432"/>
      <c r="BB1731" s="432"/>
      <c r="BC1731" s="432"/>
      <c r="BD1731" s="432"/>
      <c r="BE1731" s="432"/>
      <c r="BF1731" s="432"/>
      <c r="BG1731" s="432"/>
      <c r="BH1731" s="432"/>
      <c r="BI1731" s="432"/>
      <c r="BJ1731" s="432"/>
      <c r="BK1731" s="238"/>
    </row>
    <row r="1732" spans="1:63" s="287" customFormat="1" ht="56.25">
      <c r="A1732" s="25">
        <v>8</v>
      </c>
      <c r="B1732" s="72" t="s">
        <v>3905</v>
      </c>
      <c r="C1732" s="72" t="s">
        <v>83</v>
      </c>
      <c r="D1732" s="72" t="s">
        <v>3901</v>
      </c>
      <c r="E1732" s="38" t="s">
        <v>250</v>
      </c>
      <c r="F1732" s="25" t="s">
        <v>689</v>
      </c>
      <c r="G1732" s="25">
        <v>6420019</v>
      </c>
      <c r="H1732" s="63">
        <v>834163</v>
      </c>
      <c r="I1732" s="60" t="s">
        <v>3768</v>
      </c>
      <c r="J1732" s="60" t="s">
        <v>3902</v>
      </c>
      <c r="K1732" s="60" t="str">
        <f t="shared" si="234"/>
        <v>00097 Услуги связи</v>
      </c>
      <c r="L1732" s="16" t="s">
        <v>180</v>
      </c>
      <c r="M1732" s="134" t="s">
        <v>690</v>
      </c>
      <c r="N1732" s="60" t="s">
        <v>286</v>
      </c>
      <c r="O1732" s="60" t="s">
        <v>3903</v>
      </c>
      <c r="P1732" s="356">
        <v>645</v>
      </c>
      <c r="Q1732" s="356">
        <f t="shared" si="231"/>
        <v>761.09999999999991</v>
      </c>
      <c r="R1732" s="432"/>
      <c r="S1732" s="432"/>
      <c r="T1732" s="432"/>
      <c r="U1732" s="432"/>
      <c r="V1732" s="432"/>
      <c r="W1732" s="432"/>
      <c r="X1732" s="432"/>
      <c r="Y1732" s="356">
        <v>645</v>
      </c>
      <c r="Z1732" s="356">
        <f t="shared" si="232"/>
        <v>761.09999999999991</v>
      </c>
      <c r="AA1732" s="36" t="s">
        <v>132</v>
      </c>
      <c r="AB1732" s="36" t="s">
        <v>132</v>
      </c>
      <c r="AC1732" s="356">
        <v>645</v>
      </c>
      <c r="AD1732" s="356">
        <f t="shared" si="233"/>
        <v>761.09999999999991</v>
      </c>
      <c r="AE1732" s="38" t="s">
        <v>173</v>
      </c>
      <c r="AF1732" s="38" t="s">
        <v>83</v>
      </c>
      <c r="AG1732" s="60" t="s">
        <v>83</v>
      </c>
      <c r="AH1732" s="432" t="s">
        <v>545</v>
      </c>
      <c r="AI1732" s="51">
        <v>41625</v>
      </c>
      <c r="AJ1732" s="97">
        <v>41670</v>
      </c>
      <c r="AK1732" s="432"/>
      <c r="AL1732" s="432"/>
      <c r="AM1732" s="60" t="str">
        <f t="shared" si="235"/>
        <v>Услуги предоставления цифрового канала</v>
      </c>
      <c r="AN1732" s="60" t="s">
        <v>353</v>
      </c>
      <c r="AO1732" s="25" t="s">
        <v>987</v>
      </c>
      <c r="AP1732" s="25" t="s">
        <v>3906</v>
      </c>
      <c r="AQ1732" s="25">
        <v>150</v>
      </c>
      <c r="AR1732" s="25">
        <v>46200</v>
      </c>
      <c r="AS1732" s="432" t="s">
        <v>3383</v>
      </c>
      <c r="AT1732" s="52">
        <v>41690</v>
      </c>
      <c r="AU1732" s="52">
        <v>41690</v>
      </c>
      <c r="AV1732" s="52">
        <v>42004</v>
      </c>
      <c r="AW1732" s="25">
        <v>2014</v>
      </c>
      <c r="AX1732" s="357"/>
      <c r="AY1732" s="135"/>
      <c r="AZ1732" s="432"/>
      <c r="BA1732" s="432"/>
      <c r="BB1732" s="432"/>
      <c r="BC1732" s="432"/>
      <c r="BD1732" s="432"/>
      <c r="BE1732" s="432"/>
      <c r="BF1732" s="432"/>
      <c r="BG1732" s="432"/>
      <c r="BH1732" s="432"/>
      <c r="BI1732" s="432"/>
      <c r="BJ1732" s="432"/>
      <c r="BK1732" s="238"/>
    </row>
    <row r="1733" spans="1:63" s="287" customFormat="1" ht="56.25">
      <c r="A1733" s="25">
        <v>8</v>
      </c>
      <c r="B1733" s="72" t="s">
        <v>3907</v>
      </c>
      <c r="C1733" s="72" t="s">
        <v>83</v>
      </c>
      <c r="D1733" s="72" t="s">
        <v>3901</v>
      </c>
      <c r="E1733" s="38" t="s">
        <v>250</v>
      </c>
      <c r="F1733" s="25" t="s">
        <v>689</v>
      </c>
      <c r="G1733" s="25">
        <v>6420020</v>
      </c>
      <c r="H1733" s="63">
        <v>834164</v>
      </c>
      <c r="I1733" s="60" t="s">
        <v>3764</v>
      </c>
      <c r="J1733" s="60" t="s">
        <v>3902</v>
      </c>
      <c r="K1733" s="60" t="str">
        <f>J1733</f>
        <v>00097 Услуги связи</v>
      </c>
      <c r="L1733" s="16" t="s">
        <v>180</v>
      </c>
      <c r="M1733" s="433">
        <v>20105010201</v>
      </c>
      <c r="N1733" s="60" t="s">
        <v>286</v>
      </c>
      <c r="O1733" s="60" t="s">
        <v>3903</v>
      </c>
      <c r="P1733" s="356">
        <v>1687.6</v>
      </c>
      <c r="Q1733" s="356">
        <f t="shared" si="231"/>
        <v>1991.3679999999997</v>
      </c>
      <c r="R1733" s="432"/>
      <c r="S1733" s="432"/>
      <c r="T1733" s="432"/>
      <c r="U1733" s="432"/>
      <c r="V1733" s="432"/>
      <c r="W1733" s="432"/>
      <c r="X1733" s="432"/>
      <c r="Y1733" s="356">
        <v>1687.6</v>
      </c>
      <c r="Z1733" s="356">
        <f t="shared" si="232"/>
        <v>1991.3679999999997</v>
      </c>
      <c r="AA1733" s="36" t="s">
        <v>132</v>
      </c>
      <c r="AB1733" s="36" t="s">
        <v>132</v>
      </c>
      <c r="AC1733" s="356">
        <v>1687.6</v>
      </c>
      <c r="AD1733" s="356">
        <f t="shared" si="233"/>
        <v>1991.3679999999997</v>
      </c>
      <c r="AE1733" s="38" t="s">
        <v>173</v>
      </c>
      <c r="AF1733" s="38" t="s">
        <v>83</v>
      </c>
      <c r="AG1733" s="60" t="s">
        <v>83</v>
      </c>
      <c r="AH1733" s="432" t="s">
        <v>545</v>
      </c>
      <c r="AI1733" s="51">
        <v>41625</v>
      </c>
      <c r="AJ1733" s="97">
        <v>41670</v>
      </c>
      <c r="AK1733" s="432"/>
      <c r="AL1733" s="432"/>
      <c r="AM1733" s="60" t="str">
        <f t="shared" si="235"/>
        <v>Представление услуг связи</v>
      </c>
      <c r="AN1733" s="60" t="s">
        <v>353</v>
      </c>
      <c r="AO1733" s="25">
        <v>796</v>
      </c>
      <c r="AP1733" s="25" t="s">
        <v>94</v>
      </c>
      <c r="AQ1733" s="25">
        <v>400</v>
      </c>
      <c r="AR1733" s="25">
        <v>46200</v>
      </c>
      <c r="AS1733" s="432" t="s">
        <v>3383</v>
      </c>
      <c r="AT1733" s="52">
        <v>41690</v>
      </c>
      <c r="AU1733" s="52">
        <v>41690</v>
      </c>
      <c r="AV1733" s="52">
        <v>42004</v>
      </c>
      <c r="AW1733" s="25">
        <v>2014</v>
      </c>
      <c r="AX1733" s="357"/>
      <c r="AY1733" s="135"/>
      <c r="AZ1733" s="432"/>
      <c r="BA1733" s="432"/>
      <c r="BB1733" s="432"/>
      <c r="BC1733" s="432"/>
      <c r="BD1733" s="432"/>
      <c r="BE1733" s="432"/>
      <c r="BF1733" s="432"/>
      <c r="BG1733" s="432"/>
      <c r="BH1733" s="432"/>
      <c r="BI1733" s="432"/>
      <c r="BJ1733" s="432"/>
      <c r="BK1733" s="238"/>
    </row>
    <row r="1734" spans="1:63" s="287" customFormat="1" ht="56.25">
      <c r="A1734" s="25">
        <v>8</v>
      </c>
      <c r="B1734" s="72" t="s">
        <v>3908</v>
      </c>
      <c r="C1734" s="72" t="s">
        <v>83</v>
      </c>
      <c r="D1734" s="72" t="s">
        <v>3901</v>
      </c>
      <c r="E1734" s="38" t="s">
        <v>250</v>
      </c>
      <c r="F1734" s="25" t="s">
        <v>689</v>
      </c>
      <c r="G1734" s="25">
        <v>6420019</v>
      </c>
      <c r="H1734" s="63">
        <v>834165</v>
      </c>
      <c r="I1734" s="60" t="s">
        <v>3768</v>
      </c>
      <c r="J1734" s="60" t="s">
        <v>3902</v>
      </c>
      <c r="K1734" s="60" t="str">
        <f>J1734</f>
        <v>00097 Услуги связи</v>
      </c>
      <c r="L1734" s="16" t="s">
        <v>180</v>
      </c>
      <c r="M1734" s="433" t="s">
        <v>675</v>
      </c>
      <c r="N1734" s="60" t="s">
        <v>286</v>
      </c>
      <c r="O1734" s="60" t="s">
        <v>3903</v>
      </c>
      <c r="P1734" s="356">
        <v>2389.6</v>
      </c>
      <c r="Q1734" s="356">
        <f t="shared" si="231"/>
        <v>2819.7279999999996</v>
      </c>
      <c r="R1734" s="432"/>
      <c r="S1734" s="432"/>
      <c r="T1734" s="432"/>
      <c r="U1734" s="432"/>
      <c r="V1734" s="432"/>
      <c r="W1734" s="432"/>
      <c r="X1734" s="432"/>
      <c r="Y1734" s="356">
        <v>2389.6</v>
      </c>
      <c r="Z1734" s="356">
        <f t="shared" si="232"/>
        <v>2819.7279999999996</v>
      </c>
      <c r="AA1734" s="36" t="s">
        <v>132</v>
      </c>
      <c r="AB1734" s="36" t="s">
        <v>132</v>
      </c>
      <c r="AC1734" s="356">
        <v>2389.6</v>
      </c>
      <c r="AD1734" s="356">
        <f t="shared" si="233"/>
        <v>2819.7279999999996</v>
      </c>
      <c r="AE1734" s="38" t="s">
        <v>173</v>
      </c>
      <c r="AF1734" s="38" t="s">
        <v>83</v>
      </c>
      <c r="AG1734" s="60" t="s">
        <v>83</v>
      </c>
      <c r="AH1734" s="432" t="s">
        <v>545</v>
      </c>
      <c r="AI1734" s="51">
        <v>41625</v>
      </c>
      <c r="AJ1734" s="97">
        <v>41670</v>
      </c>
      <c r="AK1734" s="432"/>
      <c r="AL1734" s="432"/>
      <c r="AM1734" s="60" t="str">
        <f t="shared" si="235"/>
        <v>Услуги предоставления цифрового канала</v>
      </c>
      <c r="AN1734" s="60" t="s">
        <v>353</v>
      </c>
      <c r="AO1734" s="25">
        <v>796</v>
      </c>
      <c r="AP1734" s="25" t="s">
        <v>94</v>
      </c>
      <c r="AQ1734" s="25">
        <v>35</v>
      </c>
      <c r="AR1734" s="25">
        <v>46200</v>
      </c>
      <c r="AS1734" s="432" t="s">
        <v>3383</v>
      </c>
      <c r="AT1734" s="52">
        <v>41690</v>
      </c>
      <c r="AU1734" s="52">
        <v>41690</v>
      </c>
      <c r="AV1734" s="52">
        <v>42004</v>
      </c>
      <c r="AW1734" s="25">
        <v>2014</v>
      </c>
      <c r="AX1734" s="357"/>
      <c r="AY1734" s="135"/>
      <c r="AZ1734" s="432"/>
      <c r="BA1734" s="432"/>
      <c r="BB1734" s="432"/>
      <c r="BC1734" s="432"/>
      <c r="BD1734" s="432"/>
      <c r="BE1734" s="432"/>
      <c r="BF1734" s="432"/>
      <c r="BG1734" s="432"/>
      <c r="BH1734" s="432"/>
      <c r="BI1734" s="432"/>
      <c r="BJ1734" s="432"/>
      <c r="BK1734" s="238"/>
    </row>
    <row r="1735" spans="1:63" s="287" customFormat="1" ht="56.25">
      <c r="A1735" s="25">
        <v>8</v>
      </c>
      <c r="B1735" s="72" t="s">
        <v>3766</v>
      </c>
      <c r="C1735" s="72" t="s">
        <v>83</v>
      </c>
      <c r="D1735" s="72" t="s">
        <v>3901</v>
      </c>
      <c r="E1735" s="38" t="s">
        <v>250</v>
      </c>
      <c r="F1735" s="25" t="s">
        <v>689</v>
      </c>
      <c r="G1735" s="25">
        <v>6420019</v>
      </c>
      <c r="H1735" s="63">
        <v>834161</v>
      </c>
      <c r="I1735" s="60" t="s">
        <v>3764</v>
      </c>
      <c r="J1735" s="60" t="s">
        <v>3902</v>
      </c>
      <c r="K1735" s="60" t="str">
        <f>J1735</f>
        <v>00097 Услуги связи</v>
      </c>
      <c r="L1735" s="16" t="s">
        <v>180</v>
      </c>
      <c r="M1735" s="433" t="s">
        <v>690</v>
      </c>
      <c r="N1735" s="60" t="s">
        <v>286</v>
      </c>
      <c r="O1735" s="60" t="s">
        <v>3903</v>
      </c>
      <c r="P1735" s="356">
        <v>942</v>
      </c>
      <c r="Q1735" s="356">
        <f>P1735*1.18</f>
        <v>1111.56</v>
      </c>
      <c r="R1735" s="432"/>
      <c r="S1735" s="432"/>
      <c r="T1735" s="432"/>
      <c r="U1735" s="432"/>
      <c r="V1735" s="432"/>
      <c r="W1735" s="432"/>
      <c r="X1735" s="432"/>
      <c r="Y1735" s="356">
        <v>942</v>
      </c>
      <c r="Z1735" s="356">
        <f>Y1735*1.18</f>
        <v>1111.56</v>
      </c>
      <c r="AA1735" s="36" t="s">
        <v>132</v>
      </c>
      <c r="AB1735" s="36" t="s">
        <v>132</v>
      </c>
      <c r="AC1735" s="356">
        <v>942</v>
      </c>
      <c r="AD1735" s="356">
        <f>AC1735*1.18</f>
        <v>1111.56</v>
      </c>
      <c r="AE1735" s="38" t="s">
        <v>173</v>
      </c>
      <c r="AF1735" s="38" t="s">
        <v>83</v>
      </c>
      <c r="AG1735" s="60" t="s">
        <v>83</v>
      </c>
      <c r="AH1735" s="432" t="s">
        <v>545</v>
      </c>
      <c r="AI1735" s="51">
        <v>41625</v>
      </c>
      <c r="AJ1735" s="97">
        <v>41670</v>
      </c>
      <c r="AK1735" s="432"/>
      <c r="AL1735" s="432"/>
      <c r="AM1735" s="60" t="str">
        <f t="shared" si="235"/>
        <v>Представление услуг связи</v>
      </c>
      <c r="AN1735" s="60" t="s">
        <v>353</v>
      </c>
      <c r="AO1735" s="25">
        <v>796</v>
      </c>
      <c r="AP1735" s="25" t="s">
        <v>94</v>
      </c>
      <c r="AQ1735" s="25">
        <v>1</v>
      </c>
      <c r="AR1735" s="25">
        <v>46200</v>
      </c>
      <c r="AS1735" s="432" t="s">
        <v>3383</v>
      </c>
      <c r="AT1735" s="52">
        <v>41690</v>
      </c>
      <c r="AU1735" s="52">
        <v>41690</v>
      </c>
      <c r="AV1735" s="52">
        <v>42004</v>
      </c>
      <c r="AW1735" s="25">
        <v>2014</v>
      </c>
      <c r="AX1735" s="357"/>
      <c r="AY1735" s="135"/>
      <c r="AZ1735" s="432"/>
      <c r="BA1735" s="432"/>
      <c r="BB1735" s="432"/>
      <c r="BC1735" s="432"/>
      <c r="BD1735" s="432"/>
      <c r="BE1735" s="432"/>
      <c r="BF1735" s="432"/>
      <c r="BG1735" s="432"/>
      <c r="BH1735" s="432"/>
      <c r="BI1735" s="432"/>
      <c r="BJ1735" s="432"/>
      <c r="BK1735" s="238"/>
    </row>
    <row r="1736" spans="1:63" s="287" customFormat="1" ht="56.25">
      <c r="A1736" s="25">
        <v>8</v>
      </c>
      <c r="B1736" s="72" t="s">
        <v>3911</v>
      </c>
      <c r="C1736" s="72" t="s">
        <v>83</v>
      </c>
      <c r="D1736" s="72" t="s">
        <v>3912</v>
      </c>
      <c r="E1736" s="38" t="s">
        <v>250</v>
      </c>
      <c r="F1736" s="25" t="s">
        <v>3913</v>
      </c>
      <c r="G1736" s="25">
        <v>7230040</v>
      </c>
      <c r="H1736" s="63">
        <v>834309</v>
      </c>
      <c r="I1736" s="60" t="s">
        <v>3914</v>
      </c>
      <c r="J1736" s="60" t="s">
        <v>3915</v>
      </c>
      <c r="K1736" s="60" t="s">
        <v>3915</v>
      </c>
      <c r="L1736" s="16" t="s">
        <v>180</v>
      </c>
      <c r="M1736" s="433" t="s">
        <v>5867</v>
      </c>
      <c r="N1736" s="60" t="s">
        <v>825</v>
      </c>
      <c r="O1736" s="60" t="s">
        <v>3916</v>
      </c>
      <c r="P1736" s="356">
        <v>4000</v>
      </c>
      <c r="Q1736" s="356">
        <f>P1736*1.18</f>
        <v>4720</v>
      </c>
      <c r="R1736" s="432"/>
      <c r="S1736" s="432"/>
      <c r="T1736" s="432"/>
      <c r="U1736" s="432"/>
      <c r="V1736" s="432"/>
      <c r="W1736" s="432"/>
      <c r="X1736" s="432"/>
      <c r="Y1736" s="356">
        <v>4000</v>
      </c>
      <c r="Z1736" s="356">
        <f>Y1736*1.18</f>
        <v>4720</v>
      </c>
      <c r="AA1736" s="36" t="s">
        <v>132</v>
      </c>
      <c r="AB1736" s="36" t="s">
        <v>132</v>
      </c>
      <c r="AC1736" s="356">
        <v>4000</v>
      </c>
      <c r="AD1736" s="356">
        <f>AC1736*1.18</f>
        <v>4720</v>
      </c>
      <c r="AE1736" s="38" t="s">
        <v>173</v>
      </c>
      <c r="AF1736" s="38" t="s">
        <v>83</v>
      </c>
      <c r="AG1736" s="60" t="s">
        <v>83</v>
      </c>
      <c r="AH1736" s="432" t="s">
        <v>545</v>
      </c>
      <c r="AI1736" s="52">
        <v>41746</v>
      </c>
      <c r="AJ1736" s="97">
        <v>41791</v>
      </c>
      <c r="AK1736" s="432"/>
      <c r="AL1736" s="432"/>
      <c r="AM1736" s="60" t="s">
        <v>3753</v>
      </c>
      <c r="AN1736" s="60" t="s">
        <v>171</v>
      </c>
      <c r="AO1736" s="25">
        <v>796</v>
      </c>
      <c r="AP1736" s="25" t="s">
        <v>94</v>
      </c>
      <c r="AQ1736" s="25">
        <v>1</v>
      </c>
      <c r="AR1736" s="25">
        <v>46200</v>
      </c>
      <c r="AS1736" s="432" t="s">
        <v>3383</v>
      </c>
      <c r="AT1736" s="52">
        <v>41811</v>
      </c>
      <c r="AU1736" s="52">
        <v>41811</v>
      </c>
      <c r="AV1736" s="52">
        <v>42004</v>
      </c>
      <c r="AW1736" s="25">
        <v>2014</v>
      </c>
      <c r="AX1736" s="357"/>
      <c r="AY1736" s="135"/>
      <c r="AZ1736" s="432"/>
      <c r="BA1736" s="432"/>
      <c r="BB1736" s="432"/>
      <c r="BC1736" s="432"/>
      <c r="BD1736" s="432"/>
      <c r="BE1736" s="432"/>
      <c r="BF1736" s="432"/>
      <c r="BG1736" s="432"/>
      <c r="BH1736" s="432"/>
      <c r="BI1736" s="432"/>
      <c r="BJ1736" s="432"/>
      <c r="BK1736" s="432"/>
    </row>
    <row r="1737" spans="1:63" s="287" customFormat="1" ht="112.5">
      <c r="A1737" s="25">
        <v>8</v>
      </c>
      <c r="B1737" s="72" t="s">
        <v>3923</v>
      </c>
      <c r="C1737" s="72" t="s">
        <v>83</v>
      </c>
      <c r="D1737" s="72" t="s">
        <v>4173</v>
      </c>
      <c r="E1737" s="38" t="s">
        <v>250</v>
      </c>
      <c r="F1737" s="25" t="s">
        <v>694</v>
      </c>
      <c r="G1737" s="25">
        <v>7422000</v>
      </c>
      <c r="H1737" s="63">
        <v>834307</v>
      </c>
      <c r="I1737" s="60" t="s">
        <v>3924</v>
      </c>
      <c r="J1737" s="60" t="s">
        <v>3925</v>
      </c>
      <c r="K1737" s="60" t="s">
        <v>3925</v>
      </c>
      <c r="L1737" s="16" t="s">
        <v>180</v>
      </c>
      <c r="M1737" s="433" t="s">
        <v>5869</v>
      </c>
      <c r="N1737" s="60" t="s">
        <v>5868</v>
      </c>
      <c r="O1737" s="60" t="s">
        <v>3926</v>
      </c>
      <c r="P1737" s="356">
        <v>1700</v>
      </c>
      <c r="Q1737" s="356">
        <f>P1737*1.18</f>
        <v>2006</v>
      </c>
      <c r="R1737" s="432"/>
      <c r="S1737" s="432"/>
      <c r="T1737" s="432"/>
      <c r="U1737" s="432"/>
      <c r="V1737" s="432"/>
      <c r="W1737" s="432"/>
      <c r="X1737" s="432"/>
      <c r="Y1737" s="356">
        <v>1700</v>
      </c>
      <c r="Z1737" s="356">
        <f>Y1737*1.18</f>
        <v>2006</v>
      </c>
      <c r="AA1737" s="36" t="s">
        <v>132</v>
      </c>
      <c r="AB1737" s="36" t="s">
        <v>132</v>
      </c>
      <c r="AC1737" s="356">
        <v>1700</v>
      </c>
      <c r="AD1737" s="356">
        <f>AC1737*1.18</f>
        <v>2006</v>
      </c>
      <c r="AE1737" s="38" t="s">
        <v>173</v>
      </c>
      <c r="AF1737" s="38" t="s">
        <v>83</v>
      </c>
      <c r="AG1737" s="60" t="s">
        <v>83</v>
      </c>
      <c r="AH1737" s="432" t="s">
        <v>545</v>
      </c>
      <c r="AI1737" s="51">
        <v>41625</v>
      </c>
      <c r="AJ1737" s="97">
        <v>41670</v>
      </c>
      <c r="AK1737" s="432"/>
      <c r="AL1737" s="432"/>
      <c r="AM1737" s="60" t="s">
        <v>3924</v>
      </c>
      <c r="AN1737" s="60" t="s">
        <v>353</v>
      </c>
      <c r="AO1737" s="25">
        <v>796</v>
      </c>
      <c r="AP1737" s="25" t="s">
        <v>94</v>
      </c>
      <c r="AQ1737" s="25">
        <v>1</v>
      </c>
      <c r="AR1737" s="25">
        <v>46209</v>
      </c>
      <c r="AS1737" s="432" t="s">
        <v>3383</v>
      </c>
      <c r="AT1737" s="52">
        <v>41690</v>
      </c>
      <c r="AU1737" s="52">
        <v>41690</v>
      </c>
      <c r="AV1737" s="52">
        <v>42004</v>
      </c>
      <c r="AW1737" s="25">
        <v>2014</v>
      </c>
      <c r="AX1737" s="357"/>
      <c r="AY1737" s="135"/>
      <c r="AZ1737" s="432"/>
      <c r="BA1737" s="432"/>
      <c r="BB1737" s="432"/>
      <c r="BC1737" s="432"/>
      <c r="BD1737" s="432"/>
      <c r="BE1737" s="432"/>
      <c r="BF1737" s="432"/>
      <c r="BG1737" s="432"/>
      <c r="BH1737" s="432"/>
      <c r="BI1737" s="432"/>
      <c r="BJ1737" s="432"/>
      <c r="BK1737" s="432"/>
    </row>
    <row r="1738" spans="1:63" s="268" customFormat="1" ht="59.25" customHeight="1">
      <c r="A1738" s="25">
        <v>8</v>
      </c>
      <c r="B1738" s="72" t="s">
        <v>3934</v>
      </c>
      <c r="C1738" s="100" t="s">
        <v>83</v>
      </c>
      <c r="D1738" s="25" t="s">
        <v>3935</v>
      </c>
      <c r="E1738" s="38" t="s">
        <v>250</v>
      </c>
      <c r="F1738" s="29" t="s">
        <v>689</v>
      </c>
      <c r="G1738" s="38">
        <v>6420090</v>
      </c>
      <c r="H1738" s="357">
        <v>626122</v>
      </c>
      <c r="I1738" s="99" t="s">
        <v>3936</v>
      </c>
      <c r="J1738" s="99" t="s">
        <v>286</v>
      </c>
      <c r="K1738" s="99" t="s">
        <v>286</v>
      </c>
      <c r="L1738" s="16" t="s">
        <v>180</v>
      </c>
      <c r="M1738" s="191" t="s">
        <v>4729</v>
      </c>
      <c r="N1738" s="72" t="s">
        <v>592</v>
      </c>
      <c r="O1738" s="83" t="s">
        <v>3312</v>
      </c>
      <c r="P1738" s="356">
        <v>16872.02</v>
      </c>
      <c r="Q1738" s="356">
        <f>P1738*1.18</f>
        <v>19908.9836</v>
      </c>
      <c r="R1738" s="241"/>
      <c r="S1738" s="241"/>
      <c r="T1738" s="241"/>
      <c r="U1738" s="241"/>
      <c r="V1738" s="241"/>
      <c r="W1738" s="241"/>
      <c r="X1738" s="241"/>
      <c r="Y1738" s="356">
        <v>16872.02</v>
      </c>
      <c r="Z1738" s="356">
        <f>Y1738*1.18</f>
        <v>19908.9836</v>
      </c>
      <c r="AA1738" s="36" t="s">
        <v>132</v>
      </c>
      <c r="AB1738" s="36" t="s">
        <v>132</v>
      </c>
      <c r="AC1738" s="356">
        <v>16872.02</v>
      </c>
      <c r="AD1738" s="356">
        <f>AC1738*1.18</f>
        <v>19908.9836</v>
      </c>
      <c r="AE1738" s="38" t="s">
        <v>280</v>
      </c>
      <c r="AF1738" s="38" t="s">
        <v>83</v>
      </c>
      <c r="AG1738" s="96" t="s">
        <v>83</v>
      </c>
      <c r="AH1738" s="96" t="s">
        <v>281</v>
      </c>
      <c r="AI1738" s="78">
        <v>41613</v>
      </c>
      <c r="AJ1738" s="97">
        <v>41613</v>
      </c>
      <c r="AK1738" s="358" t="s">
        <v>7257</v>
      </c>
      <c r="AL1738" s="80" t="s">
        <v>4116</v>
      </c>
      <c r="AM1738" s="99" t="s">
        <v>3936</v>
      </c>
      <c r="AN1738" s="100" t="s">
        <v>3937</v>
      </c>
      <c r="AO1738" s="11">
        <v>796</v>
      </c>
      <c r="AP1738" s="79" t="s">
        <v>419</v>
      </c>
      <c r="AQ1738" s="81">
        <v>1</v>
      </c>
      <c r="AR1738" s="38">
        <v>45</v>
      </c>
      <c r="AS1738" s="38" t="s">
        <v>547</v>
      </c>
      <c r="AT1738" s="53">
        <v>41640</v>
      </c>
      <c r="AU1738" s="53">
        <v>41640</v>
      </c>
      <c r="AV1738" s="52">
        <v>42004</v>
      </c>
      <c r="AW1738" s="79">
        <v>2014</v>
      </c>
      <c r="AX1738" s="432"/>
      <c r="AY1738" s="135"/>
      <c r="AZ1738" s="432"/>
      <c r="BA1738" s="432"/>
      <c r="BB1738" s="432"/>
      <c r="BC1738" s="434"/>
      <c r="BD1738" s="432"/>
      <c r="BE1738" s="435"/>
      <c r="BF1738" s="436"/>
      <c r="BG1738" s="432"/>
      <c r="BH1738" s="432"/>
      <c r="BI1738" s="432"/>
      <c r="BJ1738" s="432"/>
      <c r="BK1738" s="238"/>
    </row>
    <row r="1739" spans="1:63" s="268" customFormat="1" ht="59.25" customHeight="1">
      <c r="A1739" s="25">
        <v>8</v>
      </c>
      <c r="B1739" s="72" t="s">
        <v>3938</v>
      </c>
      <c r="C1739" s="100" t="s">
        <v>83</v>
      </c>
      <c r="D1739" s="25" t="s">
        <v>3935</v>
      </c>
      <c r="E1739" s="38" t="s">
        <v>250</v>
      </c>
      <c r="F1739" s="29" t="s">
        <v>689</v>
      </c>
      <c r="G1739" s="38">
        <v>6420090</v>
      </c>
      <c r="H1739" s="357">
        <v>626123</v>
      </c>
      <c r="I1739" s="99" t="s">
        <v>3936</v>
      </c>
      <c r="J1739" s="99" t="s">
        <v>286</v>
      </c>
      <c r="K1739" s="99" t="s">
        <v>286</v>
      </c>
      <c r="L1739" s="16" t="s">
        <v>180</v>
      </c>
      <c r="M1739" s="191" t="s">
        <v>4729</v>
      </c>
      <c r="N1739" s="72" t="s">
        <v>592</v>
      </c>
      <c r="O1739" s="83" t="s">
        <v>3312</v>
      </c>
      <c r="P1739" s="356">
        <v>16800.04</v>
      </c>
      <c r="Q1739" s="356">
        <f t="shared" ref="Q1739:Q1779" si="236">P1739*1.18</f>
        <v>19824.047200000001</v>
      </c>
      <c r="R1739" s="241"/>
      <c r="S1739" s="241"/>
      <c r="T1739" s="241"/>
      <c r="U1739" s="241"/>
      <c r="V1739" s="241"/>
      <c r="W1739" s="241"/>
      <c r="X1739" s="241"/>
      <c r="Y1739" s="356">
        <v>16800.04</v>
      </c>
      <c r="Z1739" s="356">
        <f t="shared" ref="Z1739:Z1779" si="237">Y1739*1.18</f>
        <v>19824.047200000001</v>
      </c>
      <c r="AA1739" s="36" t="s">
        <v>132</v>
      </c>
      <c r="AB1739" s="36" t="s">
        <v>132</v>
      </c>
      <c r="AC1739" s="356">
        <v>16800.04</v>
      </c>
      <c r="AD1739" s="356">
        <f t="shared" ref="AD1739:AD1779" si="238">AC1739*1.18</f>
        <v>19824.047200000001</v>
      </c>
      <c r="AE1739" s="38" t="s">
        <v>280</v>
      </c>
      <c r="AF1739" s="38" t="s">
        <v>83</v>
      </c>
      <c r="AG1739" s="96" t="s">
        <v>83</v>
      </c>
      <c r="AH1739" s="96" t="s">
        <v>281</v>
      </c>
      <c r="AI1739" s="78">
        <v>41613</v>
      </c>
      <c r="AJ1739" s="97">
        <v>41613</v>
      </c>
      <c r="AK1739" s="358" t="s">
        <v>7257</v>
      </c>
      <c r="AL1739" s="80" t="s">
        <v>4115</v>
      </c>
      <c r="AM1739" s="99" t="s">
        <v>3936</v>
      </c>
      <c r="AN1739" s="100" t="s">
        <v>3937</v>
      </c>
      <c r="AO1739" s="11">
        <v>796</v>
      </c>
      <c r="AP1739" s="79" t="s">
        <v>419</v>
      </c>
      <c r="AQ1739" s="81">
        <v>1</v>
      </c>
      <c r="AR1739" s="38">
        <v>45</v>
      </c>
      <c r="AS1739" s="38" t="s">
        <v>547</v>
      </c>
      <c r="AT1739" s="53">
        <v>41640</v>
      </c>
      <c r="AU1739" s="53">
        <v>41640</v>
      </c>
      <c r="AV1739" s="52">
        <v>42004</v>
      </c>
      <c r="AW1739" s="79">
        <v>2014</v>
      </c>
      <c r="AX1739" s="432"/>
      <c r="AY1739" s="135"/>
      <c r="AZ1739" s="432"/>
      <c r="BA1739" s="432"/>
      <c r="BB1739" s="432"/>
      <c r="BC1739" s="434"/>
      <c r="BD1739" s="432"/>
      <c r="BE1739" s="435"/>
      <c r="BF1739" s="436"/>
      <c r="BG1739" s="432"/>
      <c r="BH1739" s="432"/>
      <c r="BI1739" s="432"/>
      <c r="BJ1739" s="432"/>
      <c r="BK1739" s="238"/>
    </row>
    <row r="1740" spans="1:63" s="268" customFormat="1" ht="59.25" customHeight="1">
      <c r="A1740" s="25">
        <v>8</v>
      </c>
      <c r="B1740" s="72" t="s">
        <v>3939</v>
      </c>
      <c r="C1740" s="100" t="s">
        <v>83</v>
      </c>
      <c r="D1740" s="25" t="s">
        <v>3935</v>
      </c>
      <c r="E1740" s="38" t="s">
        <v>250</v>
      </c>
      <c r="F1740" s="29" t="s">
        <v>689</v>
      </c>
      <c r="G1740" s="38">
        <v>6420090</v>
      </c>
      <c r="H1740" s="357">
        <v>626124</v>
      </c>
      <c r="I1740" s="99" t="s">
        <v>3940</v>
      </c>
      <c r="J1740" s="99" t="s">
        <v>286</v>
      </c>
      <c r="K1740" s="99" t="s">
        <v>286</v>
      </c>
      <c r="L1740" s="16" t="s">
        <v>180</v>
      </c>
      <c r="M1740" s="191" t="s">
        <v>4729</v>
      </c>
      <c r="N1740" s="72" t="s">
        <v>592</v>
      </c>
      <c r="O1740" s="83" t="s">
        <v>3312</v>
      </c>
      <c r="P1740" s="356">
        <v>4680</v>
      </c>
      <c r="Q1740" s="356">
        <f t="shared" si="236"/>
        <v>5522.4</v>
      </c>
      <c r="R1740" s="241"/>
      <c r="S1740" s="241"/>
      <c r="T1740" s="241"/>
      <c r="U1740" s="241"/>
      <c r="V1740" s="241"/>
      <c r="W1740" s="241"/>
      <c r="X1740" s="241"/>
      <c r="Y1740" s="356">
        <v>4680</v>
      </c>
      <c r="Z1740" s="356">
        <f t="shared" si="237"/>
        <v>5522.4</v>
      </c>
      <c r="AA1740" s="36" t="s">
        <v>132</v>
      </c>
      <c r="AB1740" s="36" t="s">
        <v>132</v>
      </c>
      <c r="AC1740" s="356">
        <v>4680</v>
      </c>
      <c r="AD1740" s="356">
        <f t="shared" si="238"/>
        <v>5522.4</v>
      </c>
      <c r="AE1740" s="38" t="s">
        <v>173</v>
      </c>
      <c r="AF1740" s="38" t="s">
        <v>83</v>
      </c>
      <c r="AG1740" s="96" t="s">
        <v>83</v>
      </c>
      <c r="AH1740" s="38" t="s">
        <v>90</v>
      </c>
      <c r="AI1740" s="52">
        <v>41755</v>
      </c>
      <c r="AJ1740" s="97">
        <v>41793</v>
      </c>
      <c r="AK1740" s="437"/>
      <c r="AL1740" s="80"/>
      <c r="AM1740" s="99" t="s">
        <v>3940</v>
      </c>
      <c r="AN1740" s="100" t="s">
        <v>171</v>
      </c>
      <c r="AO1740" s="63">
        <v>257</v>
      </c>
      <c r="AP1740" s="79" t="s">
        <v>3943</v>
      </c>
      <c r="AQ1740" s="81">
        <v>1</v>
      </c>
      <c r="AR1740" s="38">
        <v>45</v>
      </c>
      <c r="AS1740" s="38" t="s">
        <v>547</v>
      </c>
      <c r="AT1740" s="52">
        <v>41813</v>
      </c>
      <c r="AU1740" s="52">
        <v>41813</v>
      </c>
      <c r="AV1740" s="438">
        <v>42185</v>
      </c>
      <c r="AW1740" s="38" t="s">
        <v>99</v>
      </c>
      <c r="AX1740" s="432"/>
      <c r="AY1740" s="135"/>
      <c r="AZ1740" s="432"/>
      <c r="BA1740" s="432"/>
      <c r="BB1740" s="432"/>
      <c r="BC1740" s="434"/>
      <c r="BD1740" s="432"/>
      <c r="BE1740" s="435"/>
      <c r="BF1740" s="436"/>
      <c r="BG1740" s="432"/>
      <c r="BH1740" s="432"/>
      <c r="BI1740" s="432"/>
      <c r="BJ1740" s="432"/>
      <c r="BK1740" s="238"/>
    </row>
    <row r="1741" spans="1:63" s="268" customFormat="1" ht="95.25" customHeight="1">
      <c r="A1741" s="25">
        <v>8</v>
      </c>
      <c r="B1741" s="72" t="s">
        <v>3941</v>
      </c>
      <c r="C1741" s="100" t="s">
        <v>83</v>
      </c>
      <c r="D1741" s="25" t="s">
        <v>3935</v>
      </c>
      <c r="E1741" s="38" t="s">
        <v>250</v>
      </c>
      <c r="F1741" s="29" t="s">
        <v>689</v>
      </c>
      <c r="G1741" s="38">
        <v>6420090</v>
      </c>
      <c r="H1741" s="357">
        <v>626125</v>
      </c>
      <c r="I1741" s="99" t="s">
        <v>3942</v>
      </c>
      <c r="J1741" s="99" t="s">
        <v>286</v>
      </c>
      <c r="K1741" s="99" t="s">
        <v>286</v>
      </c>
      <c r="L1741" s="16" t="s">
        <v>180</v>
      </c>
      <c r="M1741" s="191" t="s">
        <v>4729</v>
      </c>
      <c r="N1741" s="72" t="s">
        <v>592</v>
      </c>
      <c r="O1741" s="83" t="s">
        <v>3312</v>
      </c>
      <c r="P1741" s="356">
        <v>1882</v>
      </c>
      <c r="Q1741" s="356">
        <f>P1741*1.18</f>
        <v>2220.7599999999998</v>
      </c>
      <c r="R1741" s="241"/>
      <c r="S1741" s="241"/>
      <c r="T1741" s="241"/>
      <c r="U1741" s="241"/>
      <c r="V1741" s="241"/>
      <c r="W1741" s="241"/>
      <c r="X1741" s="241"/>
      <c r="Y1741" s="356">
        <v>1882</v>
      </c>
      <c r="Z1741" s="356">
        <f>Y1741*1.18</f>
        <v>2220.7599999999998</v>
      </c>
      <c r="AA1741" s="36" t="s">
        <v>132</v>
      </c>
      <c r="AB1741" s="36" t="s">
        <v>132</v>
      </c>
      <c r="AC1741" s="356">
        <v>1882</v>
      </c>
      <c r="AD1741" s="356">
        <f>AC1741*1.18</f>
        <v>2220.7599999999998</v>
      </c>
      <c r="AE1741" s="38" t="s">
        <v>280</v>
      </c>
      <c r="AF1741" s="38" t="s">
        <v>83</v>
      </c>
      <c r="AG1741" s="96" t="s">
        <v>83</v>
      </c>
      <c r="AH1741" s="96" t="s">
        <v>281</v>
      </c>
      <c r="AI1741" s="78">
        <v>41613</v>
      </c>
      <c r="AJ1741" s="97">
        <v>41613</v>
      </c>
      <c r="AK1741" s="358" t="s">
        <v>4155</v>
      </c>
      <c r="AL1741" s="80" t="s">
        <v>4115</v>
      </c>
      <c r="AM1741" s="99" t="s">
        <v>3942</v>
      </c>
      <c r="AN1741" s="100" t="s">
        <v>3937</v>
      </c>
      <c r="AO1741" s="63">
        <v>257</v>
      </c>
      <c r="AP1741" s="79" t="s">
        <v>3943</v>
      </c>
      <c r="AQ1741" s="81">
        <v>100</v>
      </c>
      <c r="AR1741" s="38">
        <v>45</v>
      </c>
      <c r="AS1741" s="38" t="s">
        <v>547</v>
      </c>
      <c r="AT1741" s="53">
        <v>41640</v>
      </c>
      <c r="AU1741" s="53">
        <v>41640</v>
      </c>
      <c r="AV1741" s="52">
        <v>42004</v>
      </c>
      <c r="AW1741" s="79">
        <v>2014</v>
      </c>
      <c r="AX1741" s="432"/>
      <c r="AY1741" s="135"/>
      <c r="AZ1741" s="432"/>
      <c r="BA1741" s="432"/>
      <c r="BB1741" s="432"/>
      <c r="BC1741" s="434"/>
      <c r="BD1741" s="432"/>
      <c r="BE1741" s="435"/>
      <c r="BF1741" s="436"/>
      <c r="BG1741" s="432"/>
      <c r="BH1741" s="432"/>
      <c r="BI1741" s="432"/>
      <c r="BJ1741" s="432"/>
      <c r="BK1741" s="238"/>
    </row>
    <row r="1742" spans="1:63" s="268" customFormat="1" ht="59.25" customHeight="1">
      <c r="A1742" s="25">
        <v>8</v>
      </c>
      <c r="B1742" s="72" t="s">
        <v>3944</v>
      </c>
      <c r="C1742" s="100" t="s">
        <v>83</v>
      </c>
      <c r="D1742" s="25" t="s">
        <v>3935</v>
      </c>
      <c r="E1742" s="38" t="s">
        <v>250</v>
      </c>
      <c r="F1742" s="29" t="s">
        <v>689</v>
      </c>
      <c r="G1742" s="38">
        <v>6420090</v>
      </c>
      <c r="H1742" s="357">
        <v>626126</v>
      </c>
      <c r="I1742" s="99" t="s">
        <v>3945</v>
      </c>
      <c r="J1742" s="99" t="s">
        <v>286</v>
      </c>
      <c r="K1742" s="99" t="s">
        <v>286</v>
      </c>
      <c r="L1742" s="16" t="s">
        <v>180</v>
      </c>
      <c r="M1742" s="191" t="s">
        <v>4729</v>
      </c>
      <c r="N1742" s="72" t="s">
        <v>592</v>
      </c>
      <c r="O1742" s="83" t="s">
        <v>3312</v>
      </c>
      <c r="P1742" s="356">
        <v>533</v>
      </c>
      <c r="Q1742" s="356">
        <f t="shared" si="236"/>
        <v>628.93999999999994</v>
      </c>
      <c r="R1742" s="241"/>
      <c r="S1742" s="241"/>
      <c r="T1742" s="241"/>
      <c r="U1742" s="241"/>
      <c r="V1742" s="241"/>
      <c r="W1742" s="241"/>
      <c r="X1742" s="241"/>
      <c r="Y1742" s="356">
        <v>533</v>
      </c>
      <c r="Z1742" s="356">
        <f t="shared" ref="Z1742" si="239">Y1742*1.18</f>
        <v>628.93999999999994</v>
      </c>
      <c r="AA1742" s="36" t="s">
        <v>132</v>
      </c>
      <c r="AB1742" s="36" t="s">
        <v>132</v>
      </c>
      <c r="AC1742" s="356">
        <v>533</v>
      </c>
      <c r="AD1742" s="356">
        <f t="shared" ref="AD1742" si="240">AC1742*1.18</f>
        <v>628.93999999999994</v>
      </c>
      <c r="AE1742" s="38" t="s">
        <v>280</v>
      </c>
      <c r="AF1742" s="38" t="s">
        <v>83</v>
      </c>
      <c r="AG1742" s="96" t="s">
        <v>83</v>
      </c>
      <c r="AH1742" s="96" t="s">
        <v>281</v>
      </c>
      <c r="AI1742" s="78">
        <v>41613</v>
      </c>
      <c r="AJ1742" s="97">
        <v>41613</v>
      </c>
      <c r="AK1742" s="358" t="s">
        <v>7257</v>
      </c>
      <c r="AL1742" s="80" t="s">
        <v>4113</v>
      </c>
      <c r="AM1742" s="99" t="s">
        <v>3945</v>
      </c>
      <c r="AN1742" s="100" t="s">
        <v>3937</v>
      </c>
      <c r="AO1742" s="11">
        <v>796</v>
      </c>
      <c r="AP1742" s="79" t="s">
        <v>419</v>
      </c>
      <c r="AQ1742" s="81">
        <v>1</v>
      </c>
      <c r="AR1742" s="38">
        <v>45</v>
      </c>
      <c r="AS1742" s="38" t="s">
        <v>547</v>
      </c>
      <c r="AT1742" s="53">
        <v>41640</v>
      </c>
      <c r="AU1742" s="53">
        <v>41640</v>
      </c>
      <c r="AV1742" s="52">
        <v>42004</v>
      </c>
      <c r="AW1742" s="79">
        <v>2014</v>
      </c>
      <c r="AX1742" s="432"/>
      <c r="AY1742" s="135"/>
      <c r="AZ1742" s="432"/>
      <c r="BA1742" s="432"/>
      <c r="BB1742" s="432"/>
      <c r="BC1742" s="434"/>
      <c r="BD1742" s="432"/>
      <c r="BE1742" s="435"/>
      <c r="BF1742" s="436"/>
      <c r="BG1742" s="432"/>
      <c r="BH1742" s="432"/>
      <c r="BI1742" s="432"/>
      <c r="BJ1742" s="432"/>
      <c r="BK1742" s="238"/>
    </row>
    <row r="1743" spans="1:63" s="268" customFormat="1" ht="59.25" customHeight="1">
      <c r="A1743" s="25">
        <v>8</v>
      </c>
      <c r="B1743" s="72" t="s">
        <v>3946</v>
      </c>
      <c r="C1743" s="100" t="s">
        <v>83</v>
      </c>
      <c r="D1743" s="25" t="s">
        <v>3935</v>
      </c>
      <c r="E1743" s="38" t="s">
        <v>250</v>
      </c>
      <c r="F1743" s="29" t="s">
        <v>689</v>
      </c>
      <c r="G1743" s="38">
        <v>6420090</v>
      </c>
      <c r="H1743" s="357">
        <v>626127</v>
      </c>
      <c r="I1743" s="99" t="s">
        <v>3947</v>
      </c>
      <c r="J1743" s="99" t="s">
        <v>286</v>
      </c>
      <c r="K1743" s="99" t="s">
        <v>286</v>
      </c>
      <c r="L1743" s="16" t="s">
        <v>180</v>
      </c>
      <c r="M1743" s="191" t="s">
        <v>4729</v>
      </c>
      <c r="N1743" s="72" t="s">
        <v>592</v>
      </c>
      <c r="O1743" s="83" t="s">
        <v>3312</v>
      </c>
      <c r="P1743" s="356">
        <v>4126.6400000000003</v>
      </c>
      <c r="Q1743" s="356">
        <f>P1743*1.18</f>
        <v>4869.4351999999999</v>
      </c>
      <c r="R1743" s="241"/>
      <c r="S1743" s="241"/>
      <c r="T1743" s="241"/>
      <c r="U1743" s="241"/>
      <c r="V1743" s="241"/>
      <c r="W1743" s="241"/>
      <c r="X1743" s="241"/>
      <c r="Y1743" s="356">
        <v>4126.6400000000003</v>
      </c>
      <c r="Z1743" s="356">
        <f>Y1743*1.18</f>
        <v>4869.4351999999999</v>
      </c>
      <c r="AA1743" s="36" t="s">
        <v>132</v>
      </c>
      <c r="AB1743" s="36" t="s">
        <v>132</v>
      </c>
      <c r="AC1743" s="356">
        <v>4126.6400000000003</v>
      </c>
      <c r="AD1743" s="356">
        <f>AC1743*1.18</f>
        <v>4869.4351999999999</v>
      </c>
      <c r="AE1743" s="38" t="s">
        <v>280</v>
      </c>
      <c r="AF1743" s="38" t="s">
        <v>83</v>
      </c>
      <c r="AG1743" s="96" t="s">
        <v>83</v>
      </c>
      <c r="AH1743" s="96" t="s">
        <v>281</v>
      </c>
      <c r="AI1743" s="78">
        <v>41613</v>
      </c>
      <c r="AJ1743" s="97">
        <v>41613</v>
      </c>
      <c r="AK1743" s="358" t="s">
        <v>7257</v>
      </c>
      <c r="AL1743" s="80" t="s">
        <v>4112</v>
      </c>
      <c r="AM1743" s="99" t="s">
        <v>3947</v>
      </c>
      <c r="AN1743" s="100" t="s">
        <v>3937</v>
      </c>
      <c r="AO1743" s="63">
        <v>257</v>
      </c>
      <c r="AP1743" s="79" t="s">
        <v>3943</v>
      </c>
      <c r="AQ1743" s="81">
        <v>1</v>
      </c>
      <c r="AR1743" s="38">
        <v>45</v>
      </c>
      <c r="AS1743" s="38" t="s">
        <v>547</v>
      </c>
      <c r="AT1743" s="53">
        <v>41640</v>
      </c>
      <c r="AU1743" s="53">
        <v>41640</v>
      </c>
      <c r="AV1743" s="52">
        <v>42004</v>
      </c>
      <c r="AW1743" s="79">
        <v>2014</v>
      </c>
      <c r="AX1743" s="432"/>
      <c r="AY1743" s="135"/>
      <c r="AZ1743" s="432"/>
      <c r="BA1743" s="432"/>
      <c r="BB1743" s="432"/>
      <c r="BC1743" s="434"/>
      <c r="BD1743" s="432"/>
      <c r="BE1743" s="435"/>
      <c r="BF1743" s="436"/>
      <c r="BG1743" s="432"/>
      <c r="BH1743" s="432"/>
      <c r="BI1743" s="432"/>
      <c r="BJ1743" s="432"/>
      <c r="BK1743" s="238"/>
    </row>
    <row r="1744" spans="1:63" s="268" customFormat="1" ht="62.25" customHeight="1">
      <c r="A1744" s="25">
        <v>8</v>
      </c>
      <c r="B1744" s="72" t="s">
        <v>3948</v>
      </c>
      <c r="C1744" s="100" t="s">
        <v>83</v>
      </c>
      <c r="D1744" s="25" t="s">
        <v>3935</v>
      </c>
      <c r="E1744" s="38" t="s">
        <v>250</v>
      </c>
      <c r="F1744" s="29" t="s">
        <v>689</v>
      </c>
      <c r="G1744" s="38">
        <v>6420090</v>
      </c>
      <c r="H1744" s="357">
        <v>626128</v>
      </c>
      <c r="I1744" s="99" t="s">
        <v>3949</v>
      </c>
      <c r="J1744" s="99" t="s">
        <v>286</v>
      </c>
      <c r="K1744" s="99" t="s">
        <v>286</v>
      </c>
      <c r="L1744" s="16" t="s">
        <v>180</v>
      </c>
      <c r="M1744" s="191" t="s">
        <v>4729</v>
      </c>
      <c r="N1744" s="72" t="s">
        <v>592</v>
      </c>
      <c r="O1744" s="83" t="s">
        <v>3312</v>
      </c>
      <c r="P1744" s="356">
        <v>16341.96</v>
      </c>
      <c r="Q1744" s="356">
        <f t="shared" si="236"/>
        <v>19283.512799999997</v>
      </c>
      <c r="R1744" s="241"/>
      <c r="S1744" s="241"/>
      <c r="T1744" s="241"/>
      <c r="U1744" s="241"/>
      <c r="V1744" s="241"/>
      <c r="W1744" s="241"/>
      <c r="X1744" s="241"/>
      <c r="Y1744" s="356">
        <v>16341.96</v>
      </c>
      <c r="Z1744" s="356">
        <f t="shared" si="237"/>
        <v>19283.512799999997</v>
      </c>
      <c r="AA1744" s="36" t="s">
        <v>132</v>
      </c>
      <c r="AB1744" s="36" t="s">
        <v>132</v>
      </c>
      <c r="AC1744" s="356">
        <v>16341.96</v>
      </c>
      <c r="AD1744" s="356">
        <f t="shared" si="238"/>
        <v>19283.512799999997</v>
      </c>
      <c r="AE1744" s="432" t="s">
        <v>169</v>
      </c>
      <c r="AF1744" s="38" t="s">
        <v>83</v>
      </c>
      <c r="AG1744" s="96" t="s">
        <v>83</v>
      </c>
      <c r="AH1744" s="38" t="s">
        <v>90</v>
      </c>
      <c r="AI1744" s="52">
        <v>41732</v>
      </c>
      <c r="AJ1744" s="97">
        <v>41793</v>
      </c>
      <c r="AK1744" s="437"/>
      <c r="AL1744" s="80"/>
      <c r="AM1744" s="99" t="s">
        <v>3949</v>
      </c>
      <c r="AN1744" s="100" t="s">
        <v>171</v>
      </c>
      <c r="AO1744" s="11">
        <v>796</v>
      </c>
      <c r="AP1744" s="79" t="s">
        <v>419</v>
      </c>
      <c r="AQ1744" s="81">
        <v>1</v>
      </c>
      <c r="AR1744" s="38">
        <v>45</v>
      </c>
      <c r="AS1744" s="38" t="s">
        <v>547</v>
      </c>
      <c r="AT1744" s="52">
        <v>41813</v>
      </c>
      <c r="AU1744" s="52">
        <v>41813</v>
      </c>
      <c r="AV1744" s="438">
        <v>42185</v>
      </c>
      <c r="AW1744" s="38" t="s">
        <v>99</v>
      </c>
      <c r="AX1744" s="432"/>
      <c r="AY1744" s="135"/>
      <c r="AZ1744" s="432"/>
      <c r="BA1744" s="432"/>
      <c r="BB1744" s="432"/>
      <c r="BC1744" s="434"/>
      <c r="BD1744" s="432"/>
      <c r="BE1744" s="435"/>
      <c r="BF1744" s="436"/>
      <c r="BG1744" s="432"/>
      <c r="BH1744" s="432"/>
      <c r="BI1744" s="432"/>
      <c r="BJ1744" s="432"/>
      <c r="BK1744" s="238"/>
    </row>
    <row r="1745" spans="1:63" s="268" customFormat="1" ht="62.25" customHeight="1">
      <c r="A1745" s="25">
        <v>8</v>
      </c>
      <c r="B1745" s="72" t="s">
        <v>3950</v>
      </c>
      <c r="C1745" s="100" t="s">
        <v>83</v>
      </c>
      <c r="D1745" s="25" t="s">
        <v>3935</v>
      </c>
      <c r="E1745" s="38" t="s">
        <v>250</v>
      </c>
      <c r="F1745" s="29" t="s">
        <v>689</v>
      </c>
      <c r="G1745" s="38">
        <v>6420090</v>
      </c>
      <c r="H1745" s="357">
        <v>626130</v>
      </c>
      <c r="I1745" s="99" t="s">
        <v>3951</v>
      </c>
      <c r="J1745" s="99" t="s">
        <v>286</v>
      </c>
      <c r="K1745" s="99" t="s">
        <v>286</v>
      </c>
      <c r="L1745" s="16" t="s">
        <v>180</v>
      </c>
      <c r="M1745" s="191" t="s">
        <v>4729</v>
      </c>
      <c r="N1745" s="72" t="s">
        <v>592</v>
      </c>
      <c r="O1745" s="83" t="s">
        <v>3312</v>
      </c>
      <c r="P1745" s="356">
        <v>3918.76</v>
      </c>
      <c r="Q1745" s="356">
        <f t="shared" si="236"/>
        <v>4624.1368000000002</v>
      </c>
      <c r="R1745" s="241"/>
      <c r="S1745" s="241"/>
      <c r="T1745" s="241"/>
      <c r="U1745" s="241"/>
      <c r="V1745" s="241"/>
      <c r="W1745" s="241"/>
      <c r="X1745" s="241"/>
      <c r="Y1745" s="356">
        <v>3918.76</v>
      </c>
      <c r="Z1745" s="356">
        <f t="shared" si="237"/>
        <v>4624.1368000000002</v>
      </c>
      <c r="AA1745" s="36" t="s">
        <v>132</v>
      </c>
      <c r="AB1745" s="36" t="s">
        <v>132</v>
      </c>
      <c r="AC1745" s="356">
        <v>3918.76</v>
      </c>
      <c r="AD1745" s="356">
        <f t="shared" si="238"/>
        <v>4624.1368000000002</v>
      </c>
      <c r="AE1745" s="38" t="s">
        <v>173</v>
      </c>
      <c r="AF1745" s="38" t="s">
        <v>83</v>
      </c>
      <c r="AG1745" s="96" t="s">
        <v>83</v>
      </c>
      <c r="AH1745" s="38" t="s">
        <v>90</v>
      </c>
      <c r="AI1745" s="52">
        <v>41755</v>
      </c>
      <c r="AJ1745" s="97">
        <v>41793</v>
      </c>
      <c r="AK1745" s="437"/>
      <c r="AL1745" s="80"/>
      <c r="AM1745" s="99" t="s">
        <v>3951</v>
      </c>
      <c r="AN1745" s="100" t="s">
        <v>171</v>
      </c>
      <c r="AO1745" s="11">
        <v>796</v>
      </c>
      <c r="AP1745" s="79" t="s">
        <v>419</v>
      </c>
      <c r="AQ1745" s="81">
        <v>84</v>
      </c>
      <c r="AR1745" s="38">
        <v>45</v>
      </c>
      <c r="AS1745" s="38" t="s">
        <v>547</v>
      </c>
      <c r="AT1745" s="52">
        <v>41813</v>
      </c>
      <c r="AU1745" s="52">
        <v>41813</v>
      </c>
      <c r="AV1745" s="438">
        <v>42185</v>
      </c>
      <c r="AW1745" s="38" t="s">
        <v>99</v>
      </c>
      <c r="AX1745" s="432"/>
      <c r="AY1745" s="135"/>
      <c r="AZ1745" s="432"/>
      <c r="BA1745" s="432"/>
      <c r="BB1745" s="432"/>
      <c r="BC1745" s="434"/>
      <c r="BD1745" s="432"/>
      <c r="BE1745" s="435"/>
      <c r="BF1745" s="436"/>
      <c r="BG1745" s="432"/>
      <c r="BH1745" s="432"/>
      <c r="BI1745" s="432"/>
      <c r="BJ1745" s="432"/>
      <c r="BK1745" s="238"/>
    </row>
    <row r="1746" spans="1:63" s="268" customFormat="1" ht="62.25" customHeight="1">
      <c r="A1746" s="25">
        <v>8</v>
      </c>
      <c r="B1746" s="72" t="s">
        <v>3952</v>
      </c>
      <c r="C1746" s="100" t="s">
        <v>83</v>
      </c>
      <c r="D1746" s="25" t="s">
        <v>3935</v>
      </c>
      <c r="E1746" s="38" t="s">
        <v>250</v>
      </c>
      <c r="F1746" s="29" t="s">
        <v>689</v>
      </c>
      <c r="G1746" s="38">
        <v>6420090</v>
      </c>
      <c r="H1746" s="357">
        <v>626131</v>
      </c>
      <c r="I1746" s="99" t="s">
        <v>3953</v>
      </c>
      <c r="J1746" s="99" t="s">
        <v>286</v>
      </c>
      <c r="K1746" s="99" t="s">
        <v>286</v>
      </c>
      <c r="L1746" s="16" t="s">
        <v>180</v>
      </c>
      <c r="M1746" s="191" t="s">
        <v>4729</v>
      </c>
      <c r="N1746" s="72" t="s">
        <v>592</v>
      </c>
      <c r="O1746" s="83" t="s">
        <v>3312</v>
      </c>
      <c r="P1746" s="356">
        <v>1656.62</v>
      </c>
      <c r="Q1746" s="356">
        <f>P1746*1.18</f>
        <v>1954.8115999999998</v>
      </c>
      <c r="R1746" s="241"/>
      <c r="S1746" s="241"/>
      <c r="T1746" s="241"/>
      <c r="U1746" s="241"/>
      <c r="V1746" s="241"/>
      <c r="W1746" s="241"/>
      <c r="X1746" s="241"/>
      <c r="Y1746" s="356">
        <v>1656.62</v>
      </c>
      <c r="Z1746" s="356">
        <f>Y1746*1.18</f>
        <v>1954.8115999999998</v>
      </c>
      <c r="AA1746" s="36" t="s">
        <v>132</v>
      </c>
      <c r="AB1746" s="36" t="s">
        <v>132</v>
      </c>
      <c r="AC1746" s="356">
        <v>1656.62</v>
      </c>
      <c r="AD1746" s="356">
        <f>AC1746*1.18</f>
        <v>1954.8115999999998</v>
      </c>
      <c r="AE1746" s="38" t="s">
        <v>173</v>
      </c>
      <c r="AF1746" s="38" t="s">
        <v>83</v>
      </c>
      <c r="AG1746" s="96" t="s">
        <v>83</v>
      </c>
      <c r="AH1746" s="38" t="s">
        <v>90</v>
      </c>
      <c r="AI1746" s="52">
        <v>41755</v>
      </c>
      <c r="AJ1746" s="97">
        <v>41793</v>
      </c>
      <c r="AK1746" s="437"/>
      <c r="AL1746" s="80"/>
      <c r="AM1746" s="99" t="s">
        <v>3953</v>
      </c>
      <c r="AN1746" s="100" t="s">
        <v>171</v>
      </c>
      <c r="AO1746" s="11">
        <v>796</v>
      </c>
      <c r="AP1746" s="79" t="s">
        <v>419</v>
      </c>
      <c r="AQ1746" s="81">
        <v>58</v>
      </c>
      <c r="AR1746" s="38">
        <v>45</v>
      </c>
      <c r="AS1746" s="38" t="s">
        <v>547</v>
      </c>
      <c r="AT1746" s="52">
        <v>41813</v>
      </c>
      <c r="AU1746" s="52">
        <v>41813</v>
      </c>
      <c r="AV1746" s="438">
        <v>42185</v>
      </c>
      <c r="AW1746" s="38" t="s">
        <v>99</v>
      </c>
      <c r="AX1746" s="432"/>
      <c r="AY1746" s="135"/>
      <c r="AZ1746" s="432"/>
      <c r="BA1746" s="432"/>
      <c r="BB1746" s="432"/>
      <c r="BC1746" s="434"/>
      <c r="BD1746" s="432"/>
      <c r="BE1746" s="435"/>
      <c r="BF1746" s="436"/>
      <c r="BG1746" s="432"/>
      <c r="BH1746" s="432"/>
      <c r="BI1746" s="432"/>
      <c r="BJ1746" s="432"/>
      <c r="BK1746" s="238"/>
    </row>
    <row r="1747" spans="1:63" s="268" customFormat="1" ht="62.25" customHeight="1">
      <c r="A1747" s="25">
        <v>8</v>
      </c>
      <c r="B1747" s="72" t="s">
        <v>3954</v>
      </c>
      <c r="C1747" s="100" t="s">
        <v>83</v>
      </c>
      <c r="D1747" s="25" t="s">
        <v>3935</v>
      </c>
      <c r="E1747" s="38" t="s">
        <v>250</v>
      </c>
      <c r="F1747" s="29" t="s">
        <v>689</v>
      </c>
      <c r="G1747" s="38">
        <v>6420090</v>
      </c>
      <c r="H1747" s="357">
        <v>626132</v>
      </c>
      <c r="I1747" s="99" t="s">
        <v>3955</v>
      </c>
      <c r="J1747" s="99" t="s">
        <v>286</v>
      </c>
      <c r="K1747" s="99" t="s">
        <v>286</v>
      </c>
      <c r="L1747" s="16" t="s">
        <v>180</v>
      </c>
      <c r="M1747" s="191" t="s">
        <v>4729</v>
      </c>
      <c r="N1747" s="72" t="s">
        <v>592</v>
      </c>
      <c r="O1747" s="83" t="s">
        <v>3312</v>
      </c>
      <c r="P1747" s="356">
        <v>3138</v>
      </c>
      <c r="Q1747" s="356">
        <f t="shared" si="236"/>
        <v>3702.8399999999997</v>
      </c>
      <c r="R1747" s="241"/>
      <c r="S1747" s="241"/>
      <c r="T1747" s="241"/>
      <c r="U1747" s="241"/>
      <c r="V1747" s="241"/>
      <c r="W1747" s="241"/>
      <c r="X1747" s="241"/>
      <c r="Y1747" s="356">
        <v>3138</v>
      </c>
      <c r="Z1747" s="356">
        <f t="shared" si="237"/>
        <v>3702.8399999999997</v>
      </c>
      <c r="AA1747" s="36" t="s">
        <v>132</v>
      </c>
      <c r="AB1747" s="36" t="s">
        <v>132</v>
      </c>
      <c r="AC1747" s="356">
        <v>3138</v>
      </c>
      <c r="AD1747" s="356">
        <f t="shared" si="238"/>
        <v>3702.8399999999997</v>
      </c>
      <c r="AE1747" s="38" t="s">
        <v>173</v>
      </c>
      <c r="AF1747" s="38" t="s">
        <v>83</v>
      </c>
      <c r="AG1747" s="96" t="s">
        <v>83</v>
      </c>
      <c r="AH1747" s="38" t="s">
        <v>90</v>
      </c>
      <c r="AI1747" s="52">
        <v>41755</v>
      </c>
      <c r="AJ1747" s="97">
        <v>41793</v>
      </c>
      <c r="AK1747" s="437"/>
      <c r="AL1747" s="80"/>
      <c r="AM1747" s="99" t="s">
        <v>3955</v>
      </c>
      <c r="AN1747" s="100" t="s">
        <v>171</v>
      </c>
      <c r="AO1747" s="11">
        <v>796</v>
      </c>
      <c r="AP1747" s="79" t="s">
        <v>419</v>
      </c>
      <c r="AQ1747" s="81">
        <v>10</v>
      </c>
      <c r="AR1747" s="38">
        <v>45</v>
      </c>
      <c r="AS1747" s="38" t="s">
        <v>547</v>
      </c>
      <c r="AT1747" s="52">
        <v>41813</v>
      </c>
      <c r="AU1747" s="52">
        <v>41813</v>
      </c>
      <c r="AV1747" s="438">
        <v>42185</v>
      </c>
      <c r="AW1747" s="38" t="s">
        <v>99</v>
      </c>
      <c r="AX1747" s="432"/>
      <c r="AY1747" s="135"/>
      <c r="AZ1747" s="432"/>
      <c r="BA1747" s="432"/>
      <c r="BB1747" s="432"/>
      <c r="BC1747" s="434"/>
      <c r="BD1747" s="432"/>
      <c r="BE1747" s="435"/>
      <c r="BF1747" s="436"/>
      <c r="BG1747" s="432"/>
      <c r="BH1747" s="432"/>
      <c r="BI1747" s="432"/>
      <c r="BJ1747" s="432"/>
      <c r="BK1747" s="238"/>
    </row>
    <row r="1748" spans="1:63" s="268" customFormat="1" ht="62.25" customHeight="1">
      <c r="A1748" s="25">
        <v>8</v>
      </c>
      <c r="B1748" s="72" t="s">
        <v>3956</v>
      </c>
      <c r="C1748" s="100" t="s">
        <v>83</v>
      </c>
      <c r="D1748" s="25" t="s">
        <v>3935</v>
      </c>
      <c r="E1748" s="38" t="s">
        <v>250</v>
      </c>
      <c r="F1748" s="29" t="s">
        <v>689</v>
      </c>
      <c r="G1748" s="38">
        <v>6420090</v>
      </c>
      <c r="H1748" s="357">
        <v>626133</v>
      </c>
      <c r="I1748" s="99" t="s">
        <v>3957</v>
      </c>
      <c r="J1748" s="99" t="s">
        <v>286</v>
      </c>
      <c r="K1748" s="99" t="s">
        <v>286</v>
      </c>
      <c r="L1748" s="16" t="s">
        <v>180</v>
      </c>
      <c r="M1748" s="191" t="s">
        <v>4729</v>
      </c>
      <c r="N1748" s="72" t="s">
        <v>592</v>
      </c>
      <c r="O1748" s="83" t="s">
        <v>3312</v>
      </c>
      <c r="P1748" s="356">
        <v>2284.9899999999998</v>
      </c>
      <c r="Q1748" s="356">
        <f>P1748*1.18</f>
        <v>2696.2881999999995</v>
      </c>
      <c r="R1748" s="241"/>
      <c r="S1748" s="241"/>
      <c r="T1748" s="241"/>
      <c r="U1748" s="241"/>
      <c r="V1748" s="241"/>
      <c r="W1748" s="241"/>
      <c r="X1748" s="241"/>
      <c r="Y1748" s="356">
        <v>2284.9899999999998</v>
      </c>
      <c r="Z1748" s="356">
        <f>Y1748*1.18</f>
        <v>2696.2881999999995</v>
      </c>
      <c r="AA1748" s="36" t="s">
        <v>132</v>
      </c>
      <c r="AB1748" s="36" t="s">
        <v>132</v>
      </c>
      <c r="AC1748" s="356">
        <v>2284.9899999999998</v>
      </c>
      <c r="AD1748" s="356">
        <f>AC1748*1.18</f>
        <v>2696.2881999999995</v>
      </c>
      <c r="AE1748" s="38" t="s">
        <v>173</v>
      </c>
      <c r="AF1748" s="38" t="s">
        <v>83</v>
      </c>
      <c r="AG1748" s="96" t="s">
        <v>83</v>
      </c>
      <c r="AH1748" s="38" t="s">
        <v>90</v>
      </c>
      <c r="AI1748" s="52">
        <v>41755</v>
      </c>
      <c r="AJ1748" s="97">
        <v>41793</v>
      </c>
      <c r="AK1748" s="437"/>
      <c r="AL1748" s="80"/>
      <c r="AM1748" s="99" t="s">
        <v>3957</v>
      </c>
      <c r="AN1748" s="100" t="s">
        <v>171</v>
      </c>
      <c r="AO1748" s="11">
        <v>796</v>
      </c>
      <c r="AP1748" s="79" t="s">
        <v>419</v>
      </c>
      <c r="AQ1748" s="81">
        <v>48</v>
      </c>
      <c r="AR1748" s="38">
        <v>45</v>
      </c>
      <c r="AS1748" s="38" t="s">
        <v>547</v>
      </c>
      <c r="AT1748" s="52">
        <v>41813</v>
      </c>
      <c r="AU1748" s="52">
        <v>41813</v>
      </c>
      <c r="AV1748" s="438">
        <v>42185</v>
      </c>
      <c r="AW1748" s="38" t="s">
        <v>99</v>
      </c>
      <c r="AX1748" s="432"/>
      <c r="AY1748" s="135"/>
      <c r="AZ1748" s="432"/>
      <c r="BA1748" s="432"/>
      <c r="BB1748" s="432"/>
      <c r="BC1748" s="434"/>
      <c r="BD1748" s="432"/>
      <c r="BE1748" s="435"/>
      <c r="BF1748" s="436"/>
      <c r="BG1748" s="432"/>
      <c r="BH1748" s="432"/>
      <c r="BI1748" s="432"/>
      <c r="BJ1748" s="432"/>
      <c r="BK1748" s="238"/>
    </row>
    <row r="1749" spans="1:63" s="268" customFormat="1" ht="76.5" customHeight="1">
      <c r="A1749" s="25">
        <v>8</v>
      </c>
      <c r="B1749" s="72" t="s">
        <v>3958</v>
      </c>
      <c r="C1749" s="100" t="s">
        <v>83</v>
      </c>
      <c r="D1749" s="25" t="s">
        <v>3935</v>
      </c>
      <c r="E1749" s="38" t="s">
        <v>250</v>
      </c>
      <c r="F1749" s="29" t="s">
        <v>689</v>
      </c>
      <c r="G1749" s="38">
        <v>6420090</v>
      </c>
      <c r="H1749" s="357">
        <v>626134</v>
      </c>
      <c r="I1749" s="99" t="s">
        <v>3959</v>
      </c>
      <c r="J1749" s="99" t="s">
        <v>286</v>
      </c>
      <c r="K1749" s="99" t="s">
        <v>286</v>
      </c>
      <c r="L1749" s="16" t="s">
        <v>180</v>
      </c>
      <c r="M1749" s="191" t="s">
        <v>4729</v>
      </c>
      <c r="N1749" s="72" t="s">
        <v>592</v>
      </c>
      <c r="O1749" s="83" t="s">
        <v>3312</v>
      </c>
      <c r="P1749" s="356">
        <v>3670.65</v>
      </c>
      <c r="Q1749" s="356">
        <f t="shared" si="236"/>
        <v>4331.3670000000002</v>
      </c>
      <c r="R1749" s="241"/>
      <c r="S1749" s="241"/>
      <c r="T1749" s="241"/>
      <c r="U1749" s="241"/>
      <c r="V1749" s="241"/>
      <c r="W1749" s="241"/>
      <c r="X1749" s="241"/>
      <c r="Y1749" s="356">
        <v>3670.65</v>
      </c>
      <c r="Z1749" s="356">
        <f t="shared" si="237"/>
        <v>4331.3670000000002</v>
      </c>
      <c r="AA1749" s="36" t="s">
        <v>132</v>
      </c>
      <c r="AB1749" s="36" t="s">
        <v>132</v>
      </c>
      <c r="AC1749" s="356">
        <v>3670.65</v>
      </c>
      <c r="AD1749" s="356">
        <f t="shared" si="238"/>
        <v>4331.3670000000002</v>
      </c>
      <c r="AE1749" s="38" t="s">
        <v>280</v>
      </c>
      <c r="AF1749" s="38" t="s">
        <v>83</v>
      </c>
      <c r="AG1749" s="96" t="s">
        <v>83</v>
      </c>
      <c r="AH1749" s="96" t="s">
        <v>281</v>
      </c>
      <c r="AI1749" s="78">
        <v>41613</v>
      </c>
      <c r="AJ1749" s="97">
        <v>41613</v>
      </c>
      <c r="AK1749" s="358" t="s">
        <v>5847</v>
      </c>
      <c r="AL1749" s="80" t="s">
        <v>4111</v>
      </c>
      <c r="AM1749" s="99" t="s">
        <v>3959</v>
      </c>
      <c r="AN1749" s="100" t="s">
        <v>3937</v>
      </c>
      <c r="AO1749" s="11">
        <v>796</v>
      </c>
      <c r="AP1749" s="79" t="s">
        <v>419</v>
      </c>
      <c r="AQ1749" s="81">
        <v>700</v>
      </c>
      <c r="AR1749" s="38">
        <v>45</v>
      </c>
      <c r="AS1749" s="38" t="s">
        <v>547</v>
      </c>
      <c r="AT1749" s="53">
        <v>41640</v>
      </c>
      <c r="AU1749" s="53">
        <v>41640</v>
      </c>
      <c r="AV1749" s="52">
        <v>42004</v>
      </c>
      <c r="AW1749" s="79">
        <v>2014</v>
      </c>
      <c r="AX1749" s="432"/>
      <c r="AY1749" s="135"/>
      <c r="AZ1749" s="432"/>
      <c r="BA1749" s="432"/>
      <c r="BB1749" s="432"/>
      <c r="BC1749" s="434"/>
      <c r="BD1749" s="432"/>
      <c r="BE1749" s="435"/>
      <c r="BF1749" s="436"/>
      <c r="BG1749" s="432"/>
      <c r="BH1749" s="432"/>
      <c r="BI1749" s="432"/>
      <c r="BJ1749" s="432"/>
      <c r="BK1749" s="238"/>
    </row>
    <row r="1750" spans="1:63" s="268" customFormat="1" ht="62.25" customHeight="1">
      <c r="A1750" s="25">
        <v>8</v>
      </c>
      <c r="B1750" s="72" t="s">
        <v>3960</v>
      </c>
      <c r="C1750" s="100" t="s">
        <v>83</v>
      </c>
      <c r="D1750" s="25" t="s">
        <v>3935</v>
      </c>
      <c r="E1750" s="38" t="s">
        <v>250</v>
      </c>
      <c r="F1750" s="29" t="s">
        <v>689</v>
      </c>
      <c r="G1750" s="38">
        <v>6420090</v>
      </c>
      <c r="H1750" s="357">
        <v>626135</v>
      </c>
      <c r="I1750" s="99" t="s">
        <v>3961</v>
      </c>
      <c r="J1750" s="99" t="s">
        <v>286</v>
      </c>
      <c r="K1750" s="99" t="s">
        <v>286</v>
      </c>
      <c r="L1750" s="16" t="s">
        <v>180</v>
      </c>
      <c r="M1750" s="191" t="s">
        <v>4729</v>
      </c>
      <c r="N1750" s="72" t="s">
        <v>592</v>
      </c>
      <c r="O1750" s="83" t="s">
        <v>3312</v>
      </c>
      <c r="P1750" s="356">
        <v>2800</v>
      </c>
      <c r="Q1750" s="356">
        <f t="shared" si="236"/>
        <v>3304</v>
      </c>
      <c r="R1750" s="241"/>
      <c r="S1750" s="241"/>
      <c r="T1750" s="241"/>
      <c r="U1750" s="241"/>
      <c r="V1750" s="241"/>
      <c r="W1750" s="241"/>
      <c r="X1750" s="241"/>
      <c r="Y1750" s="356">
        <v>2800</v>
      </c>
      <c r="Z1750" s="356">
        <f t="shared" si="237"/>
        <v>3304</v>
      </c>
      <c r="AA1750" s="36" t="s">
        <v>132</v>
      </c>
      <c r="AB1750" s="36" t="s">
        <v>132</v>
      </c>
      <c r="AC1750" s="356">
        <v>2800</v>
      </c>
      <c r="AD1750" s="356">
        <f t="shared" si="238"/>
        <v>3304</v>
      </c>
      <c r="AE1750" s="38" t="s">
        <v>280</v>
      </c>
      <c r="AF1750" s="38" t="s">
        <v>83</v>
      </c>
      <c r="AG1750" s="96" t="s">
        <v>83</v>
      </c>
      <c r="AH1750" s="96" t="s">
        <v>281</v>
      </c>
      <c r="AI1750" s="78">
        <v>41613</v>
      </c>
      <c r="AJ1750" s="97">
        <v>41613</v>
      </c>
      <c r="AK1750" s="358" t="s">
        <v>5847</v>
      </c>
      <c r="AL1750" s="80" t="s">
        <v>4111</v>
      </c>
      <c r="AM1750" s="99" t="s">
        <v>3961</v>
      </c>
      <c r="AN1750" s="100" t="s">
        <v>3937</v>
      </c>
      <c r="AO1750" s="11">
        <v>796</v>
      </c>
      <c r="AP1750" s="79" t="s">
        <v>419</v>
      </c>
      <c r="AQ1750" s="81">
        <v>100</v>
      </c>
      <c r="AR1750" s="38">
        <v>45</v>
      </c>
      <c r="AS1750" s="38" t="s">
        <v>547</v>
      </c>
      <c r="AT1750" s="53">
        <v>41640</v>
      </c>
      <c r="AU1750" s="53">
        <v>41640</v>
      </c>
      <c r="AV1750" s="52">
        <v>42004</v>
      </c>
      <c r="AW1750" s="79">
        <v>2014</v>
      </c>
      <c r="AX1750" s="432"/>
      <c r="AY1750" s="135"/>
      <c r="AZ1750" s="432"/>
      <c r="BA1750" s="432"/>
      <c r="BB1750" s="432"/>
      <c r="BC1750" s="434"/>
      <c r="BD1750" s="432"/>
      <c r="BE1750" s="435"/>
      <c r="BF1750" s="436"/>
      <c r="BG1750" s="432"/>
      <c r="BH1750" s="432"/>
      <c r="BI1750" s="432"/>
      <c r="BJ1750" s="432"/>
      <c r="BK1750" s="238"/>
    </row>
    <row r="1751" spans="1:63" s="268" customFormat="1" ht="59.25" customHeight="1">
      <c r="A1751" s="25">
        <v>8</v>
      </c>
      <c r="B1751" s="72" t="s">
        <v>3962</v>
      </c>
      <c r="C1751" s="100" t="s">
        <v>83</v>
      </c>
      <c r="D1751" s="25" t="s">
        <v>3935</v>
      </c>
      <c r="E1751" s="38" t="s">
        <v>250</v>
      </c>
      <c r="F1751" s="29" t="s">
        <v>689</v>
      </c>
      <c r="G1751" s="38">
        <v>6420090</v>
      </c>
      <c r="H1751" s="357">
        <v>626136</v>
      </c>
      <c r="I1751" s="99" t="s">
        <v>3963</v>
      </c>
      <c r="J1751" s="99" t="s">
        <v>286</v>
      </c>
      <c r="K1751" s="99" t="s">
        <v>286</v>
      </c>
      <c r="L1751" s="16" t="s">
        <v>180</v>
      </c>
      <c r="M1751" s="191" t="s">
        <v>4729</v>
      </c>
      <c r="N1751" s="72" t="s">
        <v>592</v>
      </c>
      <c r="O1751" s="83" t="s">
        <v>3312</v>
      </c>
      <c r="P1751" s="356">
        <v>755.4</v>
      </c>
      <c r="Q1751" s="356">
        <f t="shared" si="236"/>
        <v>891.37199999999996</v>
      </c>
      <c r="R1751" s="241"/>
      <c r="S1751" s="241"/>
      <c r="T1751" s="241"/>
      <c r="U1751" s="241"/>
      <c r="V1751" s="241"/>
      <c r="W1751" s="241"/>
      <c r="X1751" s="241"/>
      <c r="Y1751" s="356">
        <v>755.4</v>
      </c>
      <c r="Z1751" s="356">
        <f t="shared" si="237"/>
        <v>891.37199999999996</v>
      </c>
      <c r="AA1751" s="36" t="s">
        <v>132</v>
      </c>
      <c r="AB1751" s="36" t="s">
        <v>132</v>
      </c>
      <c r="AC1751" s="356">
        <v>755.4</v>
      </c>
      <c r="AD1751" s="356">
        <f t="shared" si="238"/>
        <v>891.37199999999996</v>
      </c>
      <c r="AE1751" s="38" t="s">
        <v>173</v>
      </c>
      <c r="AF1751" s="38" t="s">
        <v>83</v>
      </c>
      <c r="AG1751" s="96" t="s">
        <v>83</v>
      </c>
      <c r="AH1751" s="38" t="s">
        <v>90</v>
      </c>
      <c r="AI1751" s="52">
        <v>41755</v>
      </c>
      <c r="AJ1751" s="97">
        <v>41793</v>
      </c>
      <c r="AK1751" s="437"/>
      <c r="AL1751" s="80"/>
      <c r="AM1751" s="99" t="s">
        <v>3963</v>
      </c>
      <c r="AN1751" s="100" t="s">
        <v>171</v>
      </c>
      <c r="AO1751" s="63">
        <v>257</v>
      </c>
      <c r="AP1751" s="79" t="s">
        <v>3943</v>
      </c>
      <c r="AQ1751" s="81">
        <v>1</v>
      </c>
      <c r="AR1751" s="38">
        <v>45</v>
      </c>
      <c r="AS1751" s="38" t="s">
        <v>547</v>
      </c>
      <c r="AT1751" s="52">
        <v>41813</v>
      </c>
      <c r="AU1751" s="52">
        <v>41813</v>
      </c>
      <c r="AV1751" s="438">
        <v>42185</v>
      </c>
      <c r="AW1751" s="38" t="s">
        <v>99</v>
      </c>
      <c r="AX1751" s="432"/>
      <c r="AY1751" s="135"/>
      <c r="AZ1751" s="432"/>
      <c r="BA1751" s="432"/>
      <c r="BB1751" s="432"/>
      <c r="BC1751" s="434"/>
      <c r="BD1751" s="432"/>
      <c r="BE1751" s="435"/>
      <c r="BF1751" s="436"/>
      <c r="BG1751" s="432"/>
      <c r="BH1751" s="432"/>
      <c r="BI1751" s="432"/>
      <c r="BJ1751" s="432"/>
      <c r="BK1751" s="238"/>
    </row>
    <row r="1752" spans="1:63" s="268" customFormat="1" ht="59.25" customHeight="1">
      <c r="A1752" s="25">
        <v>8</v>
      </c>
      <c r="B1752" s="72" t="s">
        <v>3964</v>
      </c>
      <c r="C1752" s="100" t="s">
        <v>83</v>
      </c>
      <c r="D1752" s="25" t="s">
        <v>3935</v>
      </c>
      <c r="E1752" s="38" t="s">
        <v>250</v>
      </c>
      <c r="F1752" s="29" t="s">
        <v>689</v>
      </c>
      <c r="G1752" s="38">
        <v>6420090</v>
      </c>
      <c r="H1752" s="357">
        <v>626139</v>
      </c>
      <c r="I1752" s="99" t="s">
        <v>3965</v>
      </c>
      <c r="J1752" s="99" t="s">
        <v>286</v>
      </c>
      <c r="K1752" s="99" t="s">
        <v>286</v>
      </c>
      <c r="L1752" s="16" t="s">
        <v>180</v>
      </c>
      <c r="M1752" s="191" t="s">
        <v>4729</v>
      </c>
      <c r="N1752" s="72" t="s">
        <v>592</v>
      </c>
      <c r="O1752" s="83" t="s">
        <v>3312</v>
      </c>
      <c r="P1752" s="356">
        <v>1346.61</v>
      </c>
      <c r="Q1752" s="356">
        <f t="shared" si="236"/>
        <v>1588.9997999999998</v>
      </c>
      <c r="R1752" s="241"/>
      <c r="S1752" s="241"/>
      <c r="T1752" s="241"/>
      <c r="U1752" s="241"/>
      <c r="V1752" s="241"/>
      <c r="W1752" s="241"/>
      <c r="X1752" s="241"/>
      <c r="Y1752" s="356">
        <v>1346.61</v>
      </c>
      <c r="Z1752" s="356">
        <f t="shared" si="237"/>
        <v>1588.9997999999998</v>
      </c>
      <c r="AA1752" s="36" t="s">
        <v>132</v>
      </c>
      <c r="AB1752" s="36" t="s">
        <v>132</v>
      </c>
      <c r="AC1752" s="356">
        <v>1346.61</v>
      </c>
      <c r="AD1752" s="356">
        <f t="shared" si="238"/>
        <v>1588.9997999999998</v>
      </c>
      <c r="AE1752" s="38" t="s">
        <v>173</v>
      </c>
      <c r="AF1752" s="38" t="s">
        <v>83</v>
      </c>
      <c r="AG1752" s="96" t="s">
        <v>83</v>
      </c>
      <c r="AH1752" s="38" t="s">
        <v>90</v>
      </c>
      <c r="AI1752" s="52">
        <v>41755</v>
      </c>
      <c r="AJ1752" s="97">
        <v>41793</v>
      </c>
      <c r="AK1752" s="437"/>
      <c r="AL1752" s="80"/>
      <c r="AM1752" s="99" t="s">
        <v>3965</v>
      </c>
      <c r="AN1752" s="100" t="s">
        <v>171</v>
      </c>
      <c r="AO1752" s="63">
        <v>257</v>
      </c>
      <c r="AP1752" s="79" t="s">
        <v>3943</v>
      </c>
      <c r="AQ1752" s="81">
        <v>1</v>
      </c>
      <c r="AR1752" s="38">
        <v>45</v>
      </c>
      <c r="AS1752" s="38" t="s">
        <v>547</v>
      </c>
      <c r="AT1752" s="52">
        <v>41813</v>
      </c>
      <c r="AU1752" s="52">
        <v>41813</v>
      </c>
      <c r="AV1752" s="438">
        <v>42185</v>
      </c>
      <c r="AW1752" s="38" t="s">
        <v>99</v>
      </c>
      <c r="AX1752" s="432"/>
      <c r="AY1752" s="135"/>
      <c r="AZ1752" s="432"/>
      <c r="BA1752" s="432"/>
      <c r="BB1752" s="432"/>
      <c r="BC1752" s="434"/>
      <c r="BD1752" s="432"/>
      <c r="BE1752" s="435"/>
      <c r="BF1752" s="436"/>
      <c r="BG1752" s="432"/>
      <c r="BH1752" s="432"/>
      <c r="BI1752" s="432"/>
      <c r="BJ1752" s="432"/>
      <c r="BK1752" s="238"/>
    </row>
    <row r="1753" spans="1:63" s="268" customFormat="1" ht="94.5" customHeight="1">
      <c r="A1753" s="25">
        <v>8</v>
      </c>
      <c r="B1753" s="72" t="s">
        <v>3966</v>
      </c>
      <c r="C1753" s="100" t="s">
        <v>83</v>
      </c>
      <c r="D1753" s="25" t="s">
        <v>3935</v>
      </c>
      <c r="E1753" s="38" t="s">
        <v>250</v>
      </c>
      <c r="F1753" s="29" t="s">
        <v>689</v>
      </c>
      <c r="G1753" s="38">
        <v>6420090</v>
      </c>
      <c r="H1753" s="357">
        <v>626140</v>
      </c>
      <c r="I1753" s="99" t="s">
        <v>3967</v>
      </c>
      <c r="J1753" s="99" t="s">
        <v>286</v>
      </c>
      <c r="K1753" s="99" t="s">
        <v>286</v>
      </c>
      <c r="L1753" s="16" t="s">
        <v>180</v>
      </c>
      <c r="M1753" s="191" t="s">
        <v>4729</v>
      </c>
      <c r="N1753" s="72" t="s">
        <v>592</v>
      </c>
      <c r="O1753" s="83" t="s">
        <v>3312</v>
      </c>
      <c r="P1753" s="356">
        <v>2208.62</v>
      </c>
      <c r="Q1753" s="356">
        <f t="shared" si="236"/>
        <v>2606.1715999999997</v>
      </c>
      <c r="R1753" s="241"/>
      <c r="S1753" s="241"/>
      <c r="T1753" s="241"/>
      <c r="U1753" s="241"/>
      <c r="V1753" s="241"/>
      <c r="W1753" s="241"/>
      <c r="X1753" s="241"/>
      <c r="Y1753" s="356">
        <v>2208.62</v>
      </c>
      <c r="Z1753" s="356">
        <f t="shared" si="237"/>
        <v>2606.1715999999997</v>
      </c>
      <c r="AA1753" s="36" t="s">
        <v>132</v>
      </c>
      <c r="AB1753" s="36" t="s">
        <v>132</v>
      </c>
      <c r="AC1753" s="356">
        <v>2208.62</v>
      </c>
      <c r="AD1753" s="356">
        <f t="shared" si="238"/>
        <v>2606.1715999999997</v>
      </c>
      <c r="AE1753" s="38" t="s">
        <v>280</v>
      </c>
      <c r="AF1753" s="38" t="s">
        <v>83</v>
      </c>
      <c r="AG1753" s="96" t="s">
        <v>83</v>
      </c>
      <c r="AH1753" s="96" t="s">
        <v>281</v>
      </c>
      <c r="AI1753" s="52">
        <v>41793</v>
      </c>
      <c r="AJ1753" s="97">
        <v>41793</v>
      </c>
      <c r="AK1753" s="358" t="s">
        <v>4155</v>
      </c>
      <c r="AL1753" s="80" t="s">
        <v>4118</v>
      </c>
      <c r="AM1753" s="99" t="s">
        <v>3967</v>
      </c>
      <c r="AN1753" s="100" t="s">
        <v>3937</v>
      </c>
      <c r="AO1753" s="11">
        <v>796</v>
      </c>
      <c r="AP1753" s="79" t="s">
        <v>419</v>
      </c>
      <c r="AQ1753" s="81">
        <v>26</v>
      </c>
      <c r="AR1753" s="38">
        <v>45</v>
      </c>
      <c r="AS1753" s="38" t="s">
        <v>547</v>
      </c>
      <c r="AT1753" s="52">
        <v>41813</v>
      </c>
      <c r="AU1753" s="52">
        <v>41813</v>
      </c>
      <c r="AV1753" s="438">
        <v>42185</v>
      </c>
      <c r="AW1753" s="38" t="s">
        <v>99</v>
      </c>
      <c r="AX1753" s="432"/>
      <c r="AY1753" s="135"/>
      <c r="AZ1753" s="432"/>
      <c r="BA1753" s="432"/>
      <c r="BB1753" s="432"/>
      <c r="BC1753" s="434"/>
      <c r="BD1753" s="432"/>
      <c r="BE1753" s="435"/>
      <c r="BF1753" s="436"/>
      <c r="BG1753" s="432"/>
      <c r="BH1753" s="432"/>
      <c r="BI1753" s="432"/>
      <c r="BJ1753" s="432"/>
      <c r="BK1753" s="238"/>
    </row>
    <row r="1754" spans="1:63" s="268" customFormat="1" ht="94.5" customHeight="1">
      <c r="A1754" s="25">
        <v>8</v>
      </c>
      <c r="B1754" s="72" t="s">
        <v>3968</v>
      </c>
      <c r="C1754" s="100" t="s">
        <v>83</v>
      </c>
      <c r="D1754" s="25" t="s">
        <v>3935</v>
      </c>
      <c r="E1754" s="38" t="s">
        <v>250</v>
      </c>
      <c r="F1754" s="29" t="s">
        <v>689</v>
      </c>
      <c r="G1754" s="38">
        <v>6420090</v>
      </c>
      <c r="H1754" s="357">
        <v>626141</v>
      </c>
      <c r="I1754" s="99" t="s">
        <v>3969</v>
      </c>
      <c r="J1754" s="99" t="s">
        <v>286</v>
      </c>
      <c r="K1754" s="99" t="s">
        <v>286</v>
      </c>
      <c r="L1754" s="16" t="s">
        <v>180</v>
      </c>
      <c r="M1754" s="191" t="s">
        <v>4729</v>
      </c>
      <c r="N1754" s="72" t="s">
        <v>592</v>
      </c>
      <c r="O1754" s="83" t="s">
        <v>3312</v>
      </c>
      <c r="P1754" s="356">
        <v>1252.8</v>
      </c>
      <c r="Q1754" s="356">
        <f t="shared" si="236"/>
        <v>1478.3039999999999</v>
      </c>
      <c r="R1754" s="241"/>
      <c r="S1754" s="241"/>
      <c r="T1754" s="241"/>
      <c r="U1754" s="241"/>
      <c r="V1754" s="241"/>
      <c r="W1754" s="241"/>
      <c r="X1754" s="241"/>
      <c r="Y1754" s="356">
        <v>1252.8</v>
      </c>
      <c r="Z1754" s="356">
        <f t="shared" si="237"/>
        <v>1478.3039999999999</v>
      </c>
      <c r="AA1754" s="36" t="s">
        <v>132</v>
      </c>
      <c r="AB1754" s="36" t="s">
        <v>132</v>
      </c>
      <c r="AC1754" s="356">
        <v>1252.8</v>
      </c>
      <c r="AD1754" s="356">
        <f t="shared" si="238"/>
        <v>1478.3039999999999</v>
      </c>
      <c r="AE1754" s="38" t="s">
        <v>280</v>
      </c>
      <c r="AF1754" s="38" t="s">
        <v>83</v>
      </c>
      <c r="AG1754" s="96" t="s">
        <v>83</v>
      </c>
      <c r="AH1754" s="96" t="s">
        <v>281</v>
      </c>
      <c r="AI1754" s="52">
        <v>41793</v>
      </c>
      <c r="AJ1754" s="97">
        <v>41793</v>
      </c>
      <c r="AK1754" s="358" t="s">
        <v>4155</v>
      </c>
      <c r="AL1754" s="80" t="s">
        <v>4118</v>
      </c>
      <c r="AM1754" s="99" t="s">
        <v>3969</v>
      </c>
      <c r="AN1754" s="100" t="s">
        <v>3937</v>
      </c>
      <c r="AO1754" s="63">
        <v>257</v>
      </c>
      <c r="AP1754" s="79" t="s">
        <v>3943</v>
      </c>
      <c r="AQ1754" s="81">
        <v>100</v>
      </c>
      <c r="AR1754" s="38">
        <v>45</v>
      </c>
      <c r="AS1754" s="38" t="s">
        <v>547</v>
      </c>
      <c r="AT1754" s="52">
        <v>41813</v>
      </c>
      <c r="AU1754" s="52">
        <v>41813</v>
      </c>
      <c r="AV1754" s="438">
        <v>42185</v>
      </c>
      <c r="AW1754" s="38" t="s">
        <v>99</v>
      </c>
      <c r="AX1754" s="432"/>
      <c r="AY1754" s="135"/>
      <c r="AZ1754" s="432"/>
      <c r="BA1754" s="432"/>
      <c r="BB1754" s="432"/>
      <c r="BC1754" s="434"/>
      <c r="BD1754" s="432"/>
      <c r="BE1754" s="435"/>
      <c r="BF1754" s="436"/>
      <c r="BG1754" s="432"/>
      <c r="BH1754" s="432"/>
      <c r="BI1754" s="432"/>
      <c r="BJ1754" s="432"/>
      <c r="BK1754" s="238"/>
    </row>
    <row r="1755" spans="1:63" s="268" customFormat="1" ht="94.5" customHeight="1">
      <c r="A1755" s="25">
        <v>8</v>
      </c>
      <c r="B1755" s="72" t="s">
        <v>3970</v>
      </c>
      <c r="C1755" s="100" t="s">
        <v>83</v>
      </c>
      <c r="D1755" s="25" t="s">
        <v>3935</v>
      </c>
      <c r="E1755" s="38" t="s">
        <v>250</v>
      </c>
      <c r="F1755" s="29" t="s">
        <v>689</v>
      </c>
      <c r="G1755" s="38">
        <v>6420090</v>
      </c>
      <c r="H1755" s="357">
        <v>626142</v>
      </c>
      <c r="I1755" s="99" t="s">
        <v>3971</v>
      </c>
      <c r="J1755" s="99" t="s">
        <v>286</v>
      </c>
      <c r="K1755" s="99" t="s">
        <v>286</v>
      </c>
      <c r="L1755" s="16" t="s">
        <v>180</v>
      </c>
      <c r="M1755" s="191" t="s">
        <v>4729</v>
      </c>
      <c r="N1755" s="72" t="s">
        <v>592</v>
      </c>
      <c r="O1755" s="83" t="s">
        <v>3312</v>
      </c>
      <c r="P1755" s="356">
        <v>468</v>
      </c>
      <c r="Q1755" s="356">
        <f t="shared" si="236"/>
        <v>552.24</v>
      </c>
      <c r="R1755" s="241"/>
      <c r="S1755" s="241"/>
      <c r="T1755" s="241"/>
      <c r="U1755" s="241"/>
      <c r="V1755" s="241"/>
      <c r="W1755" s="241"/>
      <c r="X1755" s="241"/>
      <c r="Y1755" s="356">
        <v>468</v>
      </c>
      <c r="Z1755" s="356">
        <f t="shared" si="237"/>
        <v>552.24</v>
      </c>
      <c r="AA1755" s="36" t="s">
        <v>132</v>
      </c>
      <c r="AB1755" s="36" t="s">
        <v>132</v>
      </c>
      <c r="AC1755" s="356">
        <v>468</v>
      </c>
      <c r="AD1755" s="356">
        <f t="shared" si="238"/>
        <v>552.24</v>
      </c>
      <c r="AE1755" s="38" t="s">
        <v>280</v>
      </c>
      <c r="AF1755" s="38" t="s">
        <v>83</v>
      </c>
      <c r="AG1755" s="96" t="s">
        <v>83</v>
      </c>
      <c r="AH1755" s="96" t="s">
        <v>281</v>
      </c>
      <c r="AI1755" s="52">
        <v>41793</v>
      </c>
      <c r="AJ1755" s="97">
        <v>41793</v>
      </c>
      <c r="AK1755" s="358" t="s">
        <v>4155</v>
      </c>
      <c r="AL1755" s="80" t="s">
        <v>4118</v>
      </c>
      <c r="AM1755" s="99" t="s">
        <v>3971</v>
      </c>
      <c r="AN1755" s="100" t="s">
        <v>3937</v>
      </c>
      <c r="AO1755" s="63">
        <v>257</v>
      </c>
      <c r="AP1755" s="79" t="s">
        <v>3943</v>
      </c>
      <c r="AQ1755" s="81">
        <v>10</v>
      </c>
      <c r="AR1755" s="38">
        <v>45</v>
      </c>
      <c r="AS1755" s="38" t="s">
        <v>547</v>
      </c>
      <c r="AT1755" s="52">
        <v>41813</v>
      </c>
      <c r="AU1755" s="52">
        <v>41813</v>
      </c>
      <c r="AV1755" s="438">
        <v>42185</v>
      </c>
      <c r="AW1755" s="38" t="s">
        <v>99</v>
      </c>
      <c r="AX1755" s="432"/>
      <c r="AY1755" s="135"/>
      <c r="AZ1755" s="432"/>
      <c r="BA1755" s="432"/>
      <c r="BB1755" s="432"/>
      <c r="BC1755" s="434"/>
      <c r="BD1755" s="432"/>
      <c r="BE1755" s="435"/>
      <c r="BF1755" s="436"/>
      <c r="BG1755" s="432"/>
      <c r="BH1755" s="432"/>
      <c r="BI1755" s="432"/>
      <c r="BJ1755" s="432"/>
      <c r="BK1755" s="238"/>
    </row>
    <row r="1756" spans="1:63" s="268" customFormat="1" ht="59.25" customHeight="1">
      <c r="A1756" s="25">
        <v>8</v>
      </c>
      <c r="B1756" s="72" t="s">
        <v>3972</v>
      </c>
      <c r="C1756" s="100" t="s">
        <v>83</v>
      </c>
      <c r="D1756" s="25" t="s">
        <v>3935</v>
      </c>
      <c r="E1756" s="38" t="s">
        <v>250</v>
      </c>
      <c r="F1756" s="29" t="s">
        <v>689</v>
      </c>
      <c r="G1756" s="38">
        <v>6420090</v>
      </c>
      <c r="H1756" s="357">
        <v>626143</v>
      </c>
      <c r="I1756" s="99" t="s">
        <v>3973</v>
      </c>
      <c r="J1756" s="99" t="s">
        <v>286</v>
      </c>
      <c r="K1756" s="99" t="s">
        <v>286</v>
      </c>
      <c r="L1756" s="16" t="s">
        <v>180</v>
      </c>
      <c r="M1756" s="191" t="s">
        <v>4729</v>
      </c>
      <c r="N1756" s="72" t="s">
        <v>592</v>
      </c>
      <c r="O1756" s="432" t="s">
        <v>3974</v>
      </c>
      <c r="P1756" s="356">
        <v>3130</v>
      </c>
      <c r="Q1756" s="356">
        <f t="shared" si="236"/>
        <v>3693.3999999999996</v>
      </c>
      <c r="R1756" s="241"/>
      <c r="S1756" s="241"/>
      <c r="T1756" s="241"/>
      <c r="U1756" s="241"/>
      <c r="V1756" s="241"/>
      <c r="W1756" s="241"/>
      <c r="X1756" s="241"/>
      <c r="Y1756" s="356">
        <v>3130</v>
      </c>
      <c r="Z1756" s="356">
        <f t="shared" si="237"/>
        <v>3693.3999999999996</v>
      </c>
      <c r="AA1756" s="36" t="s">
        <v>132</v>
      </c>
      <c r="AB1756" s="36" t="s">
        <v>132</v>
      </c>
      <c r="AC1756" s="356">
        <v>3130</v>
      </c>
      <c r="AD1756" s="356">
        <f t="shared" si="238"/>
        <v>3693.3999999999996</v>
      </c>
      <c r="AE1756" s="38" t="s">
        <v>173</v>
      </c>
      <c r="AF1756" s="38" t="s">
        <v>83</v>
      </c>
      <c r="AG1756" s="96" t="s">
        <v>83</v>
      </c>
      <c r="AH1756" s="38" t="s">
        <v>90</v>
      </c>
      <c r="AI1756" s="78">
        <v>41625</v>
      </c>
      <c r="AJ1756" s="97">
        <v>41670</v>
      </c>
      <c r="AK1756" s="437"/>
      <c r="AL1756" s="432"/>
      <c r="AM1756" s="99" t="s">
        <v>3973</v>
      </c>
      <c r="AN1756" s="100" t="s">
        <v>171</v>
      </c>
      <c r="AO1756" s="11">
        <v>796</v>
      </c>
      <c r="AP1756" s="79" t="s">
        <v>419</v>
      </c>
      <c r="AQ1756" s="81">
        <v>1</v>
      </c>
      <c r="AR1756" s="38">
        <v>45</v>
      </c>
      <c r="AS1756" s="38" t="s">
        <v>547</v>
      </c>
      <c r="AT1756" s="52">
        <v>41690</v>
      </c>
      <c r="AU1756" s="52">
        <v>41690</v>
      </c>
      <c r="AV1756" s="52">
        <v>42004</v>
      </c>
      <c r="AW1756" s="79">
        <v>2014</v>
      </c>
      <c r="AX1756" s="432"/>
      <c r="AY1756" s="135"/>
      <c r="AZ1756" s="432"/>
      <c r="BA1756" s="432"/>
      <c r="BB1756" s="432"/>
      <c r="BC1756" s="434"/>
      <c r="BD1756" s="432"/>
      <c r="BE1756" s="435"/>
      <c r="BF1756" s="436"/>
      <c r="BG1756" s="432"/>
      <c r="BH1756" s="432"/>
      <c r="BI1756" s="432"/>
      <c r="BJ1756" s="432"/>
      <c r="BK1756" s="238"/>
    </row>
    <row r="1757" spans="1:63" s="268" customFormat="1" ht="59.25" customHeight="1">
      <c r="A1757" s="25">
        <v>8</v>
      </c>
      <c r="B1757" s="72" t="s">
        <v>3975</v>
      </c>
      <c r="C1757" s="100" t="s">
        <v>83</v>
      </c>
      <c r="D1757" s="25" t="s">
        <v>3935</v>
      </c>
      <c r="E1757" s="38" t="s">
        <v>250</v>
      </c>
      <c r="F1757" s="29" t="s">
        <v>689</v>
      </c>
      <c r="G1757" s="38">
        <v>6420090</v>
      </c>
      <c r="H1757" s="357">
        <v>626144</v>
      </c>
      <c r="I1757" s="99" t="s">
        <v>3976</v>
      </c>
      <c r="J1757" s="99" t="s">
        <v>286</v>
      </c>
      <c r="K1757" s="99" t="s">
        <v>286</v>
      </c>
      <c r="L1757" s="16" t="s">
        <v>180</v>
      </c>
      <c r="M1757" s="191" t="s">
        <v>4729</v>
      </c>
      <c r="N1757" s="72" t="s">
        <v>592</v>
      </c>
      <c r="O1757" s="432" t="s">
        <v>3974</v>
      </c>
      <c r="P1757" s="356">
        <v>1806.16</v>
      </c>
      <c r="Q1757" s="356">
        <f t="shared" si="236"/>
        <v>2131.2687999999998</v>
      </c>
      <c r="R1757" s="241"/>
      <c r="S1757" s="241"/>
      <c r="T1757" s="241"/>
      <c r="U1757" s="241"/>
      <c r="V1757" s="241"/>
      <c r="W1757" s="241"/>
      <c r="X1757" s="241"/>
      <c r="Y1757" s="356">
        <v>1806.16</v>
      </c>
      <c r="Z1757" s="356">
        <f t="shared" si="237"/>
        <v>2131.2687999999998</v>
      </c>
      <c r="AA1757" s="36" t="s">
        <v>132</v>
      </c>
      <c r="AB1757" s="36" t="s">
        <v>132</v>
      </c>
      <c r="AC1757" s="356">
        <v>1806.16</v>
      </c>
      <c r="AD1757" s="356">
        <f t="shared" si="238"/>
        <v>2131.2687999999998</v>
      </c>
      <c r="AE1757" s="38" t="s">
        <v>173</v>
      </c>
      <c r="AF1757" s="38" t="s">
        <v>83</v>
      </c>
      <c r="AG1757" s="96" t="s">
        <v>83</v>
      </c>
      <c r="AH1757" s="38" t="s">
        <v>90</v>
      </c>
      <c r="AI1757" s="52">
        <v>41755</v>
      </c>
      <c r="AJ1757" s="97">
        <v>41793</v>
      </c>
      <c r="AK1757" s="437"/>
      <c r="AL1757" s="432"/>
      <c r="AM1757" s="99" t="s">
        <v>3976</v>
      </c>
      <c r="AN1757" s="100" t="s">
        <v>171</v>
      </c>
      <c r="AO1757" s="11">
        <v>796</v>
      </c>
      <c r="AP1757" s="79" t="s">
        <v>419</v>
      </c>
      <c r="AQ1757" s="81">
        <v>1</v>
      </c>
      <c r="AR1757" s="38">
        <v>45</v>
      </c>
      <c r="AS1757" s="38" t="s">
        <v>547</v>
      </c>
      <c r="AT1757" s="52">
        <v>41813</v>
      </c>
      <c r="AU1757" s="52">
        <v>41813</v>
      </c>
      <c r="AV1757" s="438">
        <v>42185</v>
      </c>
      <c r="AW1757" s="38" t="s">
        <v>99</v>
      </c>
      <c r="AX1757" s="432"/>
      <c r="AY1757" s="135"/>
      <c r="AZ1757" s="432"/>
      <c r="BA1757" s="432"/>
      <c r="BB1757" s="432"/>
      <c r="BC1757" s="434"/>
      <c r="BD1757" s="432"/>
      <c r="BE1757" s="435"/>
      <c r="BF1757" s="436"/>
      <c r="BG1757" s="432"/>
      <c r="BH1757" s="432"/>
      <c r="BI1757" s="432"/>
      <c r="BJ1757" s="432"/>
      <c r="BK1757" s="238"/>
    </row>
    <row r="1758" spans="1:63" s="268" customFormat="1" ht="59.25" customHeight="1">
      <c r="A1758" s="25">
        <v>8</v>
      </c>
      <c r="B1758" s="72" t="s">
        <v>3977</v>
      </c>
      <c r="C1758" s="100" t="s">
        <v>83</v>
      </c>
      <c r="D1758" s="25" t="s">
        <v>3935</v>
      </c>
      <c r="E1758" s="38" t="s">
        <v>250</v>
      </c>
      <c r="F1758" s="29" t="s">
        <v>689</v>
      </c>
      <c r="G1758" s="38">
        <v>6420090</v>
      </c>
      <c r="H1758" s="357">
        <v>626145</v>
      </c>
      <c r="I1758" s="99" t="s">
        <v>3978</v>
      </c>
      <c r="J1758" s="99" t="s">
        <v>286</v>
      </c>
      <c r="K1758" s="99" t="s">
        <v>286</v>
      </c>
      <c r="L1758" s="16" t="s">
        <v>180</v>
      </c>
      <c r="M1758" s="191" t="s">
        <v>4729</v>
      </c>
      <c r="N1758" s="72" t="s">
        <v>592</v>
      </c>
      <c r="O1758" s="83" t="s">
        <v>3312</v>
      </c>
      <c r="P1758" s="356">
        <v>12968.41</v>
      </c>
      <c r="Q1758" s="356">
        <f t="shared" si="236"/>
        <v>15302.7238</v>
      </c>
      <c r="R1758" s="241"/>
      <c r="S1758" s="241"/>
      <c r="T1758" s="241"/>
      <c r="U1758" s="241"/>
      <c r="V1758" s="241"/>
      <c r="W1758" s="241"/>
      <c r="X1758" s="241"/>
      <c r="Y1758" s="356">
        <v>12968.41</v>
      </c>
      <c r="Z1758" s="356">
        <f>Y1758*1.18</f>
        <v>15302.7238</v>
      </c>
      <c r="AA1758" s="36" t="s">
        <v>132</v>
      </c>
      <c r="AB1758" s="36" t="s">
        <v>132</v>
      </c>
      <c r="AC1758" s="356">
        <v>12968.41</v>
      </c>
      <c r="AD1758" s="356">
        <f>AC1758*1.18</f>
        <v>15302.7238</v>
      </c>
      <c r="AE1758" s="432" t="s">
        <v>169</v>
      </c>
      <c r="AF1758" s="38" t="s">
        <v>83</v>
      </c>
      <c r="AG1758" s="96" t="s">
        <v>83</v>
      </c>
      <c r="AH1758" s="38" t="s">
        <v>90</v>
      </c>
      <c r="AI1758" s="52">
        <v>41732</v>
      </c>
      <c r="AJ1758" s="97">
        <v>41793</v>
      </c>
      <c r="AK1758" s="437"/>
      <c r="AL1758" s="80"/>
      <c r="AM1758" s="99" t="s">
        <v>3978</v>
      </c>
      <c r="AN1758" s="100" t="s">
        <v>171</v>
      </c>
      <c r="AO1758" s="11">
        <v>796</v>
      </c>
      <c r="AP1758" s="79" t="s">
        <v>419</v>
      </c>
      <c r="AQ1758" s="81">
        <v>1</v>
      </c>
      <c r="AR1758" s="38">
        <v>45</v>
      </c>
      <c r="AS1758" s="38" t="s">
        <v>547</v>
      </c>
      <c r="AT1758" s="52">
        <v>41813</v>
      </c>
      <c r="AU1758" s="52">
        <v>41813</v>
      </c>
      <c r="AV1758" s="438">
        <v>42185</v>
      </c>
      <c r="AW1758" s="38" t="s">
        <v>99</v>
      </c>
      <c r="AX1758" s="432"/>
      <c r="AY1758" s="135"/>
      <c r="AZ1758" s="432"/>
      <c r="BA1758" s="432"/>
      <c r="BB1758" s="432"/>
      <c r="BC1758" s="434"/>
      <c r="BD1758" s="432"/>
      <c r="BE1758" s="435"/>
      <c r="BF1758" s="436"/>
      <c r="BG1758" s="432"/>
      <c r="BH1758" s="432"/>
      <c r="BI1758" s="432"/>
      <c r="BJ1758" s="432"/>
      <c r="BK1758" s="238"/>
    </row>
    <row r="1759" spans="1:63" s="268" customFormat="1" ht="59.25" customHeight="1">
      <c r="A1759" s="25">
        <v>8</v>
      </c>
      <c r="B1759" s="72" t="s">
        <v>3979</v>
      </c>
      <c r="C1759" s="100" t="s">
        <v>83</v>
      </c>
      <c r="D1759" s="25" t="s">
        <v>3935</v>
      </c>
      <c r="E1759" s="38" t="s">
        <v>250</v>
      </c>
      <c r="F1759" s="29" t="s">
        <v>689</v>
      </c>
      <c r="G1759" s="38">
        <v>6420090</v>
      </c>
      <c r="H1759" s="357">
        <v>626146</v>
      </c>
      <c r="I1759" s="99" t="s">
        <v>3980</v>
      </c>
      <c r="J1759" s="99" t="s">
        <v>286</v>
      </c>
      <c r="K1759" s="99" t="s">
        <v>286</v>
      </c>
      <c r="L1759" s="16" t="s">
        <v>180</v>
      </c>
      <c r="M1759" s="191" t="s">
        <v>4729</v>
      </c>
      <c r="N1759" s="72" t="s">
        <v>592</v>
      </c>
      <c r="O1759" s="83" t="s">
        <v>3312</v>
      </c>
      <c r="P1759" s="356">
        <v>12816.95</v>
      </c>
      <c r="Q1759" s="356">
        <f>P1759*1.18</f>
        <v>15124.001</v>
      </c>
      <c r="R1759" s="241"/>
      <c r="S1759" s="241"/>
      <c r="T1759" s="241"/>
      <c r="U1759" s="241"/>
      <c r="V1759" s="241"/>
      <c r="W1759" s="241"/>
      <c r="X1759" s="241"/>
      <c r="Y1759" s="356">
        <v>12816.95</v>
      </c>
      <c r="Z1759" s="356">
        <f>Y1759*1.18</f>
        <v>15124.001</v>
      </c>
      <c r="AA1759" s="36" t="s">
        <v>132</v>
      </c>
      <c r="AB1759" s="36" t="s">
        <v>132</v>
      </c>
      <c r="AC1759" s="356">
        <v>12816.95</v>
      </c>
      <c r="AD1759" s="356">
        <f>AC1759*1.18</f>
        <v>15124.001</v>
      </c>
      <c r="AE1759" s="38" t="s">
        <v>169</v>
      </c>
      <c r="AF1759" s="38" t="s">
        <v>83</v>
      </c>
      <c r="AG1759" s="96" t="s">
        <v>83</v>
      </c>
      <c r="AH1759" s="38" t="s">
        <v>90</v>
      </c>
      <c r="AI1759" s="52">
        <v>41732</v>
      </c>
      <c r="AJ1759" s="97">
        <v>41793</v>
      </c>
      <c r="AK1759" s="437"/>
      <c r="AL1759" s="80"/>
      <c r="AM1759" s="99" t="s">
        <v>3980</v>
      </c>
      <c r="AN1759" s="100" t="s">
        <v>171</v>
      </c>
      <c r="AO1759" s="11">
        <v>796</v>
      </c>
      <c r="AP1759" s="79" t="s">
        <v>419</v>
      </c>
      <c r="AQ1759" s="81">
        <v>1</v>
      </c>
      <c r="AR1759" s="38">
        <v>45</v>
      </c>
      <c r="AS1759" s="38" t="s">
        <v>547</v>
      </c>
      <c r="AT1759" s="52">
        <v>41813</v>
      </c>
      <c r="AU1759" s="52">
        <v>41813</v>
      </c>
      <c r="AV1759" s="438">
        <v>42185</v>
      </c>
      <c r="AW1759" s="38" t="s">
        <v>99</v>
      </c>
      <c r="AX1759" s="432"/>
      <c r="AY1759" s="135"/>
      <c r="AZ1759" s="432"/>
      <c r="BA1759" s="432"/>
      <c r="BB1759" s="432"/>
      <c r="BC1759" s="434"/>
      <c r="BD1759" s="432"/>
      <c r="BE1759" s="435"/>
      <c r="BF1759" s="436"/>
      <c r="BG1759" s="432"/>
      <c r="BH1759" s="432"/>
      <c r="BI1759" s="432"/>
      <c r="BJ1759" s="432"/>
      <c r="BK1759" s="238"/>
    </row>
    <row r="1760" spans="1:63" s="268" customFormat="1" ht="59.25" customHeight="1">
      <c r="A1760" s="25">
        <v>8</v>
      </c>
      <c r="B1760" s="72" t="s">
        <v>3981</v>
      </c>
      <c r="C1760" s="100" t="s">
        <v>83</v>
      </c>
      <c r="D1760" s="25" t="s">
        <v>3935</v>
      </c>
      <c r="E1760" s="38" t="s">
        <v>250</v>
      </c>
      <c r="F1760" s="29" t="s">
        <v>689</v>
      </c>
      <c r="G1760" s="38">
        <v>6420090</v>
      </c>
      <c r="H1760" s="357">
        <v>626147</v>
      </c>
      <c r="I1760" s="72" t="s">
        <v>3982</v>
      </c>
      <c r="J1760" s="99" t="s">
        <v>286</v>
      </c>
      <c r="K1760" s="99" t="s">
        <v>286</v>
      </c>
      <c r="L1760" s="16" t="s">
        <v>180</v>
      </c>
      <c r="M1760" s="191" t="s">
        <v>4729</v>
      </c>
      <c r="N1760" s="72" t="s">
        <v>592</v>
      </c>
      <c r="O1760" s="83" t="s">
        <v>3312</v>
      </c>
      <c r="P1760" s="356">
        <v>17642.707999999999</v>
      </c>
      <c r="Q1760" s="356">
        <f t="shared" si="236"/>
        <v>20818.395439999997</v>
      </c>
      <c r="R1760" s="241"/>
      <c r="S1760" s="241"/>
      <c r="T1760" s="241"/>
      <c r="U1760" s="241"/>
      <c r="V1760" s="241"/>
      <c r="W1760" s="241"/>
      <c r="X1760" s="241"/>
      <c r="Y1760" s="356">
        <v>17642.707999999999</v>
      </c>
      <c r="Z1760" s="356">
        <f t="shared" si="237"/>
        <v>20818.395439999997</v>
      </c>
      <c r="AA1760" s="36" t="s">
        <v>132</v>
      </c>
      <c r="AB1760" s="36" t="s">
        <v>132</v>
      </c>
      <c r="AC1760" s="356">
        <v>17642.707999999999</v>
      </c>
      <c r="AD1760" s="356">
        <f t="shared" si="238"/>
        <v>20818.395439999997</v>
      </c>
      <c r="AE1760" s="432" t="s">
        <v>169</v>
      </c>
      <c r="AF1760" s="38" t="s">
        <v>83</v>
      </c>
      <c r="AG1760" s="96" t="s">
        <v>83</v>
      </c>
      <c r="AH1760" s="38" t="s">
        <v>90</v>
      </c>
      <c r="AI1760" s="52">
        <v>41732</v>
      </c>
      <c r="AJ1760" s="97">
        <v>41793</v>
      </c>
      <c r="AK1760" s="437"/>
      <c r="AL1760" s="80"/>
      <c r="AM1760" s="72" t="s">
        <v>3982</v>
      </c>
      <c r="AN1760" s="100" t="s">
        <v>171</v>
      </c>
      <c r="AO1760" s="11">
        <v>796</v>
      </c>
      <c r="AP1760" s="79" t="s">
        <v>419</v>
      </c>
      <c r="AQ1760" s="81">
        <v>1</v>
      </c>
      <c r="AR1760" s="38">
        <v>45</v>
      </c>
      <c r="AS1760" s="38" t="s">
        <v>547</v>
      </c>
      <c r="AT1760" s="52">
        <v>41813</v>
      </c>
      <c r="AU1760" s="52">
        <v>41813</v>
      </c>
      <c r="AV1760" s="438">
        <v>42185</v>
      </c>
      <c r="AW1760" s="38" t="s">
        <v>99</v>
      </c>
      <c r="AX1760" s="432"/>
      <c r="AY1760" s="135"/>
      <c r="AZ1760" s="432"/>
      <c r="BA1760" s="432"/>
      <c r="BB1760" s="432"/>
      <c r="BC1760" s="434"/>
      <c r="BD1760" s="432"/>
      <c r="BE1760" s="435"/>
      <c r="BF1760" s="436"/>
      <c r="BG1760" s="432"/>
      <c r="BH1760" s="432"/>
      <c r="BI1760" s="432"/>
      <c r="BJ1760" s="432"/>
      <c r="BK1760" s="238"/>
    </row>
    <row r="1761" spans="1:63" s="268" customFormat="1" ht="81.75" customHeight="1">
      <c r="A1761" s="25">
        <v>8</v>
      </c>
      <c r="B1761" s="72" t="s">
        <v>3983</v>
      </c>
      <c r="C1761" s="100" t="s">
        <v>83</v>
      </c>
      <c r="D1761" s="25" t="s">
        <v>3935</v>
      </c>
      <c r="E1761" s="38" t="s">
        <v>250</v>
      </c>
      <c r="F1761" s="29" t="s">
        <v>689</v>
      </c>
      <c r="G1761" s="38">
        <v>6420090</v>
      </c>
      <c r="H1761" s="357">
        <v>626149</v>
      </c>
      <c r="I1761" s="72" t="s">
        <v>4139</v>
      </c>
      <c r="J1761" s="99" t="s">
        <v>286</v>
      </c>
      <c r="K1761" s="99" t="s">
        <v>286</v>
      </c>
      <c r="L1761" s="16" t="s">
        <v>180</v>
      </c>
      <c r="M1761" s="191" t="s">
        <v>4729</v>
      </c>
      <c r="N1761" s="72" t="s">
        <v>592</v>
      </c>
      <c r="O1761" s="83" t="s">
        <v>3312</v>
      </c>
      <c r="P1761" s="356">
        <v>11578</v>
      </c>
      <c r="Q1761" s="356">
        <f t="shared" si="236"/>
        <v>13662.039999999999</v>
      </c>
      <c r="R1761" s="241"/>
      <c r="S1761" s="241"/>
      <c r="T1761" s="241"/>
      <c r="U1761" s="241"/>
      <c r="V1761" s="241"/>
      <c r="W1761" s="241"/>
      <c r="X1761" s="241"/>
      <c r="Y1761" s="356">
        <v>11578</v>
      </c>
      <c r="Z1761" s="356">
        <f>Y1761*1.18</f>
        <v>13662.039999999999</v>
      </c>
      <c r="AA1761" s="36" t="s">
        <v>132</v>
      </c>
      <c r="AB1761" s="36" t="s">
        <v>132</v>
      </c>
      <c r="AC1761" s="356">
        <v>11578</v>
      </c>
      <c r="AD1761" s="356">
        <f>AC1761*1.18</f>
        <v>13662.039999999999</v>
      </c>
      <c r="AE1761" s="38" t="s">
        <v>169</v>
      </c>
      <c r="AF1761" s="38" t="s">
        <v>83</v>
      </c>
      <c r="AG1761" s="96" t="s">
        <v>83</v>
      </c>
      <c r="AH1761" s="38" t="s">
        <v>90</v>
      </c>
      <c r="AI1761" s="52">
        <v>41732</v>
      </c>
      <c r="AJ1761" s="97">
        <v>41793</v>
      </c>
      <c r="AK1761" s="437"/>
      <c r="AL1761" s="80"/>
      <c r="AM1761" s="72" t="s">
        <v>3984</v>
      </c>
      <c r="AN1761" s="100" t="s">
        <v>171</v>
      </c>
      <c r="AO1761" s="11">
        <v>796</v>
      </c>
      <c r="AP1761" s="79" t="s">
        <v>419</v>
      </c>
      <c r="AQ1761" s="81">
        <v>1</v>
      </c>
      <c r="AR1761" s="38">
        <v>45</v>
      </c>
      <c r="AS1761" s="38" t="s">
        <v>547</v>
      </c>
      <c r="AT1761" s="52">
        <v>41813</v>
      </c>
      <c r="AU1761" s="52">
        <v>41813</v>
      </c>
      <c r="AV1761" s="438">
        <v>42185</v>
      </c>
      <c r="AW1761" s="38" t="s">
        <v>99</v>
      </c>
      <c r="AX1761" s="432"/>
      <c r="AY1761" s="135"/>
      <c r="AZ1761" s="432"/>
      <c r="BA1761" s="432"/>
      <c r="BB1761" s="432"/>
      <c r="BC1761" s="434"/>
      <c r="BD1761" s="432"/>
      <c r="BE1761" s="435"/>
      <c r="BF1761" s="436"/>
      <c r="BG1761" s="432"/>
      <c r="BH1761" s="432"/>
      <c r="BI1761" s="432"/>
      <c r="BJ1761" s="432"/>
      <c r="BK1761" s="238"/>
    </row>
    <row r="1762" spans="1:63" s="268" customFormat="1" ht="59.25" customHeight="1">
      <c r="A1762" s="25">
        <v>8</v>
      </c>
      <c r="B1762" s="72" t="s">
        <v>3985</v>
      </c>
      <c r="C1762" s="100" t="s">
        <v>83</v>
      </c>
      <c r="D1762" s="25" t="s">
        <v>3935</v>
      </c>
      <c r="E1762" s="38" t="s">
        <v>250</v>
      </c>
      <c r="F1762" s="29" t="s">
        <v>689</v>
      </c>
      <c r="G1762" s="38">
        <v>6420090</v>
      </c>
      <c r="H1762" s="357">
        <v>626150</v>
      </c>
      <c r="I1762" s="72" t="s">
        <v>3986</v>
      </c>
      <c r="J1762" s="99" t="s">
        <v>286</v>
      </c>
      <c r="K1762" s="99" t="s">
        <v>286</v>
      </c>
      <c r="L1762" s="16" t="s">
        <v>180</v>
      </c>
      <c r="M1762" s="191" t="s">
        <v>4729</v>
      </c>
      <c r="N1762" s="72" t="s">
        <v>592</v>
      </c>
      <c r="O1762" s="83" t="s">
        <v>3312</v>
      </c>
      <c r="P1762" s="356">
        <v>15912.710999999999</v>
      </c>
      <c r="Q1762" s="356">
        <f t="shared" si="236"/>
        <v>18776.998979999997</v>
      </c>
      <c r="R1762" s="241"/>
      <c r="S1762" s="241"/>
      <c r="T1762" s="241"/>
      <c r="U1762" s="241"/>
      <c r="V1762" s="241"/>
      <c r="W1762" s="241"/>
      <c r="X1762" s="241"/>
      <c r="Y1762" s="356">
        <v>15912.710999999999</v>
      </c>
      <c r="Z1762" s="356">
        <f t="shared" si="237"/>
        <v>18776.998979999997</v>
      </c>
      <c r="AA1762" s="36" t="s">
        <v>132</v>
      </c>
      <c r="AB1762" s="36" t="s">
        <v>132</v>
      </c>
      <c r="AC1762" s="356">
        <v>15912.710999999999</v>
      </c>
      <c r="AD1762" s="356">
        <f t="shared" si="238"/>
        <v>18776.998979999997</v>
      </c>
      <c r="AE1762" s="432" t="s">
        <v>169</v>
      </c>
      <c r="AF1762" s="38" t="s">
        <v>83</v>
      </c>
      <c r="AG1762" s="96" t="s">
        <v>83</v>
      </c>
      <c r="AH1762" s="38" t="s">
        <v>90</v>
      </c>
      <c r="AI1762" s="52">
        <v>41732</v>
      </c>
      <c r="AJ1762" s="97">
        <v>41793</v>
      </c>
      <c r="AK1762" s="437"/>
      <c r="AL1762" s="80"/>
      <c r="AM1762" s="72" t="s">
        <v>3986</v>
      </c>
      <c r="AN1762" s="100" t="s">
        <v>171</v>
      </c>
      <c r="AO1762" s="11">
        <v>796</v>
      </c>
      <c r="AP1762" s="79" t="s">
        <v>419</v>
      </c>
      <c r="AQ1762" s="81">
        <v>1</v>
      </c>
      <c r="AR1762" s="38">
        <v>45</v>
      </c>
      <c r="AS1762" s="38" t="s">
        <v>547</v>
      </c>
      <c r="AT1762" s="52">
        <v>41813</v>
      </c>
      <c r="AU1762" s="52">
        <v>41813</v>
      </c>
      <c r="AV1762" s="438">
        <v>42185</v>
      </c>
      <c r="AW1762" s="38" t="s">
        <v>99</v>
      </c>
      <c r="AX1762" s="432"/>
      <c r="AY1762" s="135"/>
      <c r="AZ1762" s="432"/>
      <c r="BA1762" s="432"/>
      <c r="BB1762" s="432"/>
      <c r="BC1762" s="434"/>
      <c r="BD1762" s="432"/>
      <c r="BE1762" s="435"/>
      <c r="BF1762" s="436"/>
      <c r="BG1762" s="432"/>
      <c r="BH1762" s="432"/>
      <c r="BI1762" s="432"/>
      <c r="BJ1762" s="432"/>
      <c r="BK1762" s="238"/>
    </row>
    <row r="1763" spans="1:63" s="268" customFormat="1" ht="59.25" customHeight="1">
      <c r="A1763" s="25">
        <v>8</v>
      </c>
      <c r="B1763" s="72" t="s">
        <v>3987</v>
      </c>
      <c r="C1763" s="100" t="s">
        <v>83</v>
      </c>
      <c r="D1763" s="25" t="s">
        <v>3935</v>
      </c>
      <c r="E1763" s="38" t="s">
        <v>250</v>
      </c>
      <c r="F1763" s="29" t="s">
        <v>689</v>
      </c>
      <c r="G1763" s="38">
        <v>6420090</v>
      </c>
      <c r="H1763" s="357">
        <v>626151</v>
      </c>
      <c r="I1763" s="72" t="s">
        <v>3988</v>
      </c>
      <c r="J1763" s="99" t="s">
        <v>286</v>
      </c>
      <c r="K1763" s="99" t="s">
        <v>286</v>
      </c>
      <c r="L1763" s="16" t="s">
        <v>180</v>
      </c>
      <c r="M1763" s="191" t="s">
        <v>4729</v>
      </c>
      <c r="N1763" s="72" t="s">
        <v>592</v>
      </c>
      <c r="O1763" s="83" t="s">
        <v>3312</v>
      </c>
      <c r="P1763" s="356">
        <v>12233.174999999999</v>
      </c>
      <c r="Q1763" s="356">
        <f>P1763*1.18</f>
        <v>14435.146499999999</v>
      </c>
      <c r="R1763" s="241"/>
      <c r="S1763" s="241"/>
      <c r="T1763" s="241"/>
      <c r="U1763" s="241"/>
      <c r="V1763" s="241"/>
      <c r="W1763" s="241"/>
      <c r="X1763" s="241"/>
      <c r="Y1763" s="356">
        <v>12233.174999999999</v>
      </c>
      <c r="Z1763" s="356">
        <f>Y1763*1.18</f>
        <v>14435.146499999999</v>
      </c>
      <c r="AA1763" s="36" t="s">
        <v>132</v>
      </c>
      <c r="AB1763" s="36" t="s">
        <v>132</v>
      </c>
      <c r="AC1763" s="356">
        <v>12233.174999999999</v>
      </c>
      <c r="AD1763" s="356">
        <f>AC1763*1.18</f>
        <v>14435.146499999999</v>
      </c>
      <c r="AE1763" s="432" t="s">
        <v>169</v>
      </c>
      <c r="AF1763" s="38" t="s">
        <v>83</v>
      </c>
      <c r="AG1763" s="96" t="s">
        <v>83</v>
      </c>
      <c r="AH1763" s="38" t="s">
        <v>90</v>
      </c>
      <c r="AI1763" s="52">
        <v>41625</v>
      </c>
      <c r="AJ1763" s="97">
        <v>41685</v>
      </c>
      <c r="AK1763" s="437"/>
      <c r="AL1763" s="80"/>
      <c r="AM1763" s="72" t="s">
        <v>3989</v>
      </c>
      <c r="AN1763" s="100" t="s">
        <v>171</v>
      </c>
      <c r="AO1763" s="11">
        <v>796</v>
      </c>
      <c r="AP1763" s="79" t="s">
        <v>419</v>
      </c>
      <c r="AQ1763" s="81">
        <v>1</v>
      </c>
      <c r="AR1763" s="38">
        <v>45</v>
      </c>
      <c r="AS1763" s="38" t="s">
        <v>547</v>
      </c>
      <c r="AT1763" s="52">
        <v>41705</v>
      </c>
      <c r="AU1763" s="52">
        <v>41705</v>
      </c>
      <c r="AV1763" s="438">
        <v>42063</v>
      </c>
      <c r="AW1763" s="38" t="s">
        <v>99</v>
      </c>
      <c r="AX1763" s="432"/>
      <c r="AY1763" s="135"/>
      <c r="AZ1763" s="432"/>
      <c r="BA1763" s="432"/>
      <c r="BB1763" s="432"/>
      <c r="BC1763" s="434"/>
      <c r="BD1763" s="432"/>
      <c r="BE1763" s="435"/>
      <c r="BF1763" s="436"/>
      <c r="BG1763" s="432"/>
      <c r="BH1763" s="432"/>
      <c r="BI1763" s="432"/>
      <c r="BJ1763" s="432"/>
      <c r="BK1763" s="238"/>
    </row>
    <row r="1764" spans="1:63" s="268" customFormat="1" ht="59.25" customHeight="1">
      <c r="A1764" s="25">
        <v>8</v>
      </c>
      <c r="B1764" s="72" t="s">
        <v>3990</v>
      </c>
      <c r="C1764" s="100" t="s">
        <v>83</v>
      </c>
      <c r="D1764" s="25" t="s">
        <v>3935</v>
      </c>
      <c r="E1764" s="38" t="s">
        <v>250</v>
      </c>
      <c r="F1764" s="29" t="s">
        <v>689</v>
      </c>
      <c r="G1764" s="38">
        <v>6420090</v>
      </c>
      <c r="H1764" s="357">
        <v>626152</v>
      </c>
      <c r="I1764" s="72" t="s">
        <v>3991</v>
      </c>
      <c r="J1764" s="99" t="s">
        <v>286</v>
      </c>
      <c r="K1764" s="99" t="s">
        <v>286</v>
      </c>
      <c r="L1764" s="16" t="s">
        <v>180</v>
      </c>
      <c r="M1764" s="191" t="s">
        <v>4729</v>
      </c>
      <c r="N1764" s="72" t="s">
        <v>592</v>
      </c>
      <c r="O1764" s="83" t="s">
        <v>3312</v>
      </c>
      <c r="P1764" s="356">
        <v>2116.9490000000001</v>
      </c>
      <c r="Q1764" s="356">
        <f t="shared" si="236"/>
        <v>2497.99982</v>
      </c>
      <c r="R1764" s="241"/>
      <c r="S1764" s="241"/>
      <c r="T1764" s="241"/>
      <c r="U1764" s="241"/>
      <c r="V1764" s="241"/>
      <c r="W1764" s="241"/>
      <c r="X1764" s="241"/>
      <c r="Y1764" s="356">
        <v>2116.9490000000001</v>
      </c>
      <c r="Z1764" s="356">
        <f t="shared" si="237"/>
        <v>2497.99982</v>
      </c>
      <c r="AA1764" s="36" t="s">
        <v>132</v>
      </c>
      <c r="AB1764" s="36" t="s">
        <v>132</v>
      </c>
      <c r="AC1764" s="356">
        <v>2116.9490000000001</v>
      </c>
      <c r="AD1764" s="356">
        <f t="shared" si="238"/>
        <v>2497.99982</v>
      </c>
      <c r="AE1764" s="38" t="s">
        <v>173</v>
      </c>
      <c r="AF1764" s="38" t="s">
        <v>83</v>
      </c>
      <c r="AG1764" s="96" t="s">
        <v>83</v>
      </c>
      <c r="AH1764" s="38" t="s">
        <v>90</v>
      </c>
      <c r="AI1764" s="52">
        <v>41823</v>
      </c>
      <c r="AJ1764" s="97">
        <v>41868</v>
      </c>
      <c r="AK1764" s="437"/>
      <c r="AL1764" s="80"/>
      <c r="AM1764" s="72" t="s">
        <v>3992</v>
      </c>
      <c r="AN1764" s="100" t="s">
        <v>171</v>
      </c>
      <c r="AO1764" s="11">
        <v>796</v>
      </c>
      <c r="AP1764" s="79" t="s">
        <v>419</v>
      </c>
      <c r="AQ1764" s="81">
        <v>1</v>
      </c>
      <c r="AR1764" s="38">
        <v>45</v>
      </c>
      <c r="AS1764" s="38" t="s">
        <v>547</v>
      </c>
      <c r="AT1764" s="52">
        <v>41888</v>
      </c>
      <c r="AU1764" s="52">
        <v>41888</v>
      </c>
      <c r="AV1764" s="438">
        <v>42161</v>
      </c>
      <c r="AW1764" s="38" t="s">
        <v>99</v>
      </c>
      <c r="AX1764" s="432"/>
      <c r="AY1764" s="135"/>
      <c r="AZ1764" s="432"/>
      <c r="BA1764" s="432"/>
      <c r="BB1764" s="432"/>
      <c r="BC1764" s="434"/>
      <c r="BD1764" s="432"/>
      <c r="BE1764" s="435"/>
      <c r="BF1764" s="436"/>
      <c r="BG1764" s="432"/>
      <c r="BH1764" s="432"/>
      <c r="BI1764" s="432"/>
      <c r="BJ1764" s="432"/>
      <c r="BK1764" s="238"/>
    </row>
    <row r="1765" spans="1:63" s="268" customFormat="1" ht="59.25" customHeight="1">
      <c r="A1765" s="25">
        <v>8</v>
      </c>
      <c r="B1765" s="72" t="s">
        <v>3993</v>
      </c>
      <c r="C1765" s="100" t="s">
        <v>83</v>
      </c>
      <c r="D1765" s="25" t="s">
        <v>3935</v>
      </c>
      <c r="E1765" s="38" t="s">
        <v>250</v>
      </c>
      <c r="F1765" s="29" t="s">
        <v>689</v>
      </c>
      <c r="G1765" s="38">
        <v>6420090</v>
      </c>
      <c r="H1765" s="357">
        <v>626153</v>
      </c>
      <c r="I1765" s="72" t="s">
        <v>3994</v>
      </c>
      <c r="J1765" s="99" t="s">
        <v>286</v>
      </c>
      <c r="K1765" s="99" t="s">
        <v>286</v>
      </c>
      <c r="L1765" s="16" t="s">
        <v>180</v>
      </c>
      <c r="M1765" s="191" t="s">
        <v>4729</v>
      </c>
      <c r="N1765" s="72" t="s">
        <v>592</v>
      </c>
      <c r="O1765" s="83" t="s">
        <v>3312</v>
      </c>
      <c r="P1765" s="356">
        <v>2762.3</v>
      </c>
      <c r="Q1765" s="356">
        <f>P1765*1.18</f>
        <v>3259.5140000000001</v>
      </c>
      <c r="R1765" s="241"/>
      <c r="S1765" s="241"/>
      <c r="T1765" s="241"/>
      <c r="U1765" s="241"/>
      <c r="V1765" s="241"/>
      <c r="W1765" s="241"/>
      <c r="X1765" s="241"/>
      <c r="Y1765" s="356">
        <v>2762.3</v>
      </c>
      <c r="Z1765" s="356">
        <f>Y1765*1.18</f>
        <v>3259.5140000000001</v>
      </c>
      <c r="AA1765" s="36" t="s">
        <v>132</v>
      </c>
      <c r="AB1765" s="36" t="s">
        <v>132</v>
      </c>
      <c r="AC1765" s="356">
        <v>2762.3</v>
      </c>
      <c r="AD1765" s="356">
        <f>AC1765*1.18</f>
        <v>3259.5140000000001</v>
      </c>
      <c r="AE1765" s="38" t="s">
        <v>173</v>
      </c>
      <c r="AF1765" s="38" t="s">
        <v>83</v>
      </c>
      <c r="AG1765" s="96" t="s">
        <v>83</v>
      </c>
      <c r="AH1765" s="38" t="s">
        <v>90</v>
      </c>
      <c r="AI1765" s="52">
        <v>41755</v>
      </c>
      <c r="AJ1765" s="97">
        <v>41793</v>
      </c>
      <c r="AK1765" s="437"/>
      <c r="AL1765" s="80"/>
      <c r="AM1765" s="72" t="s">
        <v>3994</v>
      </c>
      <c r="AN1765" s="100" t="s">
        <v>171</v>
      </c>
      <c r="AO1765" s="11">
        <v>796</v>
      </c>
      <c r="AP1765" s="79" t="s">
        <v>419</v>
      </c>
      <c r="AQ1765" s="81">
        <v>1</v>
      </c>
      <c r="AR1765" s="38">
        <v>45</v>
      </c>
      <c r="AS1765" s="38" t="s">
        <v>547</v>
      </c>
      <c r="AT1765" s="52">
        <v>41813</v>
      </c>
      <c r="AU1765" s="52">
        <v>41813</v>
      </c>
      <c r="AV1765" s="438">
        <v>42185</v>
      </c>
      <c r="AW1765" s="38" t="s">
        <v>99</v>
      </c>
      <c r="AX1765" s="432"/>
      <c r="AY1765" s="135"/>
      <c r="AZ1765" s="432"/>
      <c r="BA1765" s="432"/>
      <c r="BB1765" s="432"/>
      <c r="BC1765" s="434"/>
      <c r="BD1765" s="432"/>
      <c r="BE1765" s="435"/>
      <c r="BF1765" s="436"/>
      <c r="BG1765" s="432"/>
      <c r="BH1765" s="432"/>
      <c r="BI1765" s="432"/>
      <c r="BJ1765" s="432"/>
      <c r="BK1765" s="238"/>
    </row>
    <row r="1766" spans="1:63" s="268" customFormat="1" ht="59.25" customHeight="1">
      <c r="A1766" s="25">
        <v>8</v>
      </c>
      <c r="B1766" s="72" t="s">
        <v>3995</v>
      </c>
      <c r="C1766" s="100" t="s">
        <v>83</v>
      </c>
      <c r="D1766" s="25" t="s">
        <v>3935</v>
      </c>
      <c r="E1766" s="38" t="s">
        <v>250</v>
      </c>
      <c r="F1766" s="29" t="s">
        <v>689</v>
      </c>
      <c r="G1766" s="38">
        <v>6420090</v>
      </c>
      <c r="H1766" s="357">
        <v>626154</v>
      </c>
      <c r="I1766" s="72" t="s">
        <v>3996</v>
      </c>
      <c r="J1766" s="99" t="s">
        <v>286</v>
      </c>
      <c r="K1766" s="99" t="s">
        <v>286</v>
      </c>
      <c r="L1766" s="16" t="s">
        <v>180</v>
      </c>
      <c r="M1766" s="191" t="s">
        <v>4729</v>
      </c>
      <c r="N1766" s="72" t="s">
        <v>592</v>
      </c>
      <c r="O1766" s="83" t="s">
        <v>3312</v>
      </c>
      <c r="P1766" s="356">
        <v>16735.016</v>
      </c>
      <c r="Q1766" s="356">
        <f t="shared" si="236"/>
        <v>19747.318879999999</v>
      </c>
      <c r="R1766" s="241"/>
      <c r="S1766" s="241"/>
      <c r="T1766" s="241"/>
      <c r="U1766" s="241"/>
      <c r="V1766" s="241"/>
      <c r="W1766" s="241"/>
      <c r="X1766" s="241"/>
      <c r="Y1766" s="356">
        <v>16735.016</v>
      </c>
      <c r="Z1766" s="356">
        <f t="shared" si="237"/>
        <v>19747.318879999999</v>
      </c>
      <c r="AA1766" s="36" t="s">
        <v>132</v>
      </c>
      <c r="AB1766" s="36" t="s">
        <v>132</v>
      </c>
      <c r="AC1766" s="356">
        <v>16735.016</v>
      </c>
      <c r="AD1766" s="356">
        <f t="shared" si="238"/>
        <v>19747.318879999999</v>
      </c>
      <c r="AE1766" s="432" t="s">
        <v>169</v>
      </c>
      <c r="AF1766" s="38" t="s">
        <v>83</v>
      </c>
      <c r="AG1766" s="96" t="s">
        <v>83</v>
      </c>
      <c r="AH1766" s="38" t="s">
        <v>90</v>
      </c>
      <c r="AI1766" s="52">
        <v>41732</v>
      </c>
      <c r="AJ1766" s="97">
        <v>41793</v>
      </c>
      <c r="AK1766" s="437"/>
      <c r="AL1766" s="80"/>
      <c r="AM1766" s="72" t="s">
        <v>3997</v>
      </c>
      <c r="AN1766" s="100" t="s">
        <v>171</v>
      </c>
      <c r="AO1766" s="11">
        <v>796</v>
      </c>
      <c r="AP1766" s="79" t="s">
        <v>419</v>
      </c>
      <c r="AQ1766" s="81">
        <v>1</v>
      </c>
      <c r="AR1766" s="38">
        <v>45</v>
      </c>
      <c r="AS1766" s="38" t="s">
        <v>547</v>
      </c>
      <c r="AT1766" s="52">
        <v>41813</v>
      </c>
      <c r="AU1766" s="52">
        <v>41813</v>
      </c>
      <c r="AV1766" s="438">
        <v>42185</v>
      </c>
      <c r="AW1766" s="38" t="s">
        <v>99</v>
      </c>
      <c r="AX1766" s="432"/>
      <c r="AY1766" s="135"/>
      <c r="AZ1766" s="432"/>
      <c r="BA1766" s="432"/>
      <c r="BB1766" s="432"/>
      <c r="BC1766" s="434"/>
      <c r="BD1766" s="432"/>
      <c r="BE1766" s="435"/>
      <c r="BF1766" s="436"/>
      <c r="BG1766" s="432"/>
      <c r="BH1766" s="432"/>
      <c r="BI1766" s="432"/>
      <c r="BJ1766" s="432"/>
      <c r="BK1766" s="238"/>
    </row>
    <row r="1767" spans="1:63" s="268" customFormat="1" ht="59.25" customHeight="1">
      <c r="A1767" s="25">
        <v>8</v>
      </c>
      <c r="B1767" s="72" t="s">
        <v>3998</v>
      </c>
      <c r="C1767" s="100" t="s">
        <v>83</v>
      </c>
      <c r="D1767" s="25" t="s">
        <v>3935</v>
      </c>
      <c r="E1767" s="38" t="s">
        <v>250</v>
      </c>
      <c r="F1767" s="29" t="s">
        <v>689</v>
      </c>
      <c r="G1767" s="38">
        <v>6420090</v>
      </c>
      <c r="H1767" s="357">
        <v>626155</v>
      </c>
      <c r="I1767" s="72" t="s">
        <v>4140</v>
      </c>
      <c r="J1767" s="99" t="s">
        <v>286</v>
      </c>
      <c r="K1767" s="99" t="s">
        <v>286</v>
      </c>
      <c r="L1767" s="16" t="s">
        <v>180</v>
      </c>
      <c r="M1767" s="191" t="s">
        <v>4729</v>
      </c>
      <c r="N1767" s="72" t="s">
        <v>592</v>
      </c>
      <c r="O1767" s="83" t="s">
        <v>3312</v>
      </c>
      <c r="P1767" s="356">
        <v>13813.56</v>
      </c>
      <c r="Q1767" s="356">
        <f>P1767*1.18</f>
        <v>16300.000799999998</v>
      </c>
      <c r="R1767" s="241"/>
      <c r="S1767" s="241"/>
      <c r="T1767" s="241"/>
      <c r="U1767" s="241"/>
      <c r="V1767" s="241"/>
      <c r="W1767" s="241"/>
      <c r="X1767" s="241"/>
      <c r="Y1767" s="356">
        <v>13813.56</v>
      </c>
      <c r="Z1767" s="356">
        <f>Y1767*1.18</f>
        <v>16300.000799999998</v>
      </c>
      <c r="AA1767" s="36" t="s">
        <v>132</v>
      </c>
      <c r="AB1767" s="36" t="s">
        <v>132</v>
      </c>
      <c r="AC1767" s="356">
        <v>13813.56</v>
      </c>
      <c r="AD1767" s="356">
        <f>AC1767*1.18</f>
        <v>16300.000799999998</v>
      </c>
      <c r="AE1767" s="432" t="s">
        <v>169</v>
      </c>
      <c r="AF1767" s="38" t="s">
        <v>83</v>
      </c>
      <c r="AG1767" s="96" t="s">
        <v>83</v>
      </c>
      <c r="AH1767" s="38" t="s">
        <v>90</v>
      </c>
      <c r="AI1767" s="52">
        <v>41765</v>
      </c>
      <c r="AJ1767" s="97">
        <v>41856</v>
      </c>
      <c r="AK1767" s="437"/>
      <c r="AL1767" s="80"/>
      <c r="AM1767" s="72" t="s">
        <v>3999</v>
      </c>
      <c r="AN1767" s="100" t="s">
        <v>171</v>
      </c>
      <c r="AO1767" s="11">
        <v>796</v>
      </c>
      <c r="AP1767" s="79" t="s">
        <v>419</v>
      </c>
      <c r="AQ1767" s="81">
        <v>1</v>
      </c>
      <c r="AR1767" s="38">
        <v>45</v>
      </c>
      <c r="AS1767" s="38" t="s">
        <v>547</v>
      </c>
      <c r="AT1767" s="78">
        <v>41876</v>
      </c>
      <c r="AU1767" s="52">
        <v>41876</v>
      </c>
      <c r="AV1767" s="51">
        <v>42247</v>
      </c>
      <c r="AW1767" s="38" t="s">
        <v>99</v>
      </c>
      <c r="AX1767" s="432"/>
      <c r="AY1767" s="135"/>
      <c r="AZ1767" s="432"/>
      <c r="BA1767" s="432"/>
      <c r="BB1767" s="432"/>
      <c r="BC1767" s="434"/>
      <c r="BD1767" s="432"/>
      <c r="BE1767" s="435"/>
      <c r="BF1767" s="436"/>
      <c r="BG1767" s="432"/>
      <c r="BH1767" s="432"/>
      <c r="BI1767" s="432"/>
      <c r="BJ1767" s="432"/>
      <c r="BK1767" s="238"/>
    </row>
    <row r="1768" spans="1:63" s="268" customFormat="1" ht="59.25" customHeight="1">
      <c r="A1768" s="25">
        <v>8</v>
      </c>
      <c r="B1768" s="72" t="s">
        <v>4000</v>
      </c>
      <c r="C1768" s="100" t="s">
        <v>83</v>
      </c>
      <c r="D1768" s="25" t="s">
        <v>3935</v>
      </c>
      <c r="E1768" s="38" t="s">
        <v>250</v>
      </c>
      <c r="F1768" s="29" t="s">
        <v>689</v>
      </c>
      <c r="G1768" s="38">
        <v>6420090</v>
      </c>
      <c r="H1768" s="357">
        <v>626156</v>
      </c>
      <c r="I1768" s="72" t="s">
        <v>4001</v>
      </c>
      <c r="J1768" s="99" t="s">
        <v>286</v>
      </c>
      <c r="K1768" s="99" t="s">
        <v>286</v>
      </c>
      <c r="L1768" s="16" t="s">
        <v>180</v>
      </c>
      <c r="M1768" s="191" t="s">
        <v>4729</v>
      </c>
      <c r="N1768" s="72" t="s">
        <v>592</v>
      </c>
      <c r="O1768" s="83" t="s">
        <v>3312</v>
      </c>
      <c r="P1768" s="356">
        <v>3533.28</v>
      </c>
      <c r="Q1768" s="356">
        <f t="shared" si="236"/>
        <v>4169.2704000000003</v>
      </c>
      <c r="R1768" s="241"/>
      <c r="S1768" s="241"/>
      <c r="T1768" s="241"/>
      <c r="U1768" s="241"/>
      <c r="V1768" s="241"/>
      <c r="W1768" s="241"/>
      <c r="X1768" s="241"/>
      <c r="Y1768" s="356">
        <v>3533.28</v>
      </c>
      <c r="Z1768" s="356">
        <f>Y1768*1.18</f>
        <v>4169.2704000000003</v>
      </c>
      <c r="AA1768" s="36" t="s">
        <v>132</v>
      </c>
      <c r="AB1768" s="36" t="s">
        <v>132</v>
      </c>
      <c r="AC1768" s="356">
        <v>3533.28</v>
      </c>
      <c r="AD1768" s="356">
        <f>AC1768*1.18</f>
        <v>4169.2704000000003</v>
      </c>
      <c r="AE1768" s="38" t="s">
        <v>173</v>
      </c>
      <c r="AF1768" s="38" t="s">
        <v>83</v>
      </c>
      <c r="AG1768" s="96" t="s">
        <v>83</v>
      </c>
      <c r="AH1768" s="38" t="s">
        <v>90</v>
      </c>
      <c r="AI1768" s="52">
        <v>41780</v>
      </c>
      <c r="AJ1768" s="97">
        <v>41856</v>
      </c>
      <c r="AK1768" s="437"/>
      <c r="AL1768" s="80"/>
      <c r="AM1768" s="72" t="s">
        <v>4002</v>
      </c>
      <c r="AN1768" s="100" t="s">
        <v>171</v>
      </c>
      <c r="AO1768" s="11">
        <v>796</v>
      </c>
      <c r="AP1768" s="79" t="s">
        <v>419</v>
      </c>
      <c r="AQ1768" s="81">
        <v>1</v>
      </c>
      <c r="AR1768" s="38">
        <v>45</v>
      </c>
      <c r="AS1768" s="38" t="s">
        <v>547</v>
      </c>
      <c r="AT1768" s="78">
        <v>41876</v>
      </c>
      <c r="AU1768" s="52">
        <v>41876</v>
      </c>
      <c r="AV1768" s="51">
        <v>42247</v>
      </c>
      <c r="AW1768" s="38" t="s">
        <v>99</v>
      </c>
      <c r="AX1768" s="432"/>
      <c r="AY1768" s="135"/>
      <c r="AZ1768" s="432"/>
      <c r="BA1768" s="432"/>
      <c r="BB1768" s="432"/>
      <c r="BC1768" s="434"/>
      <c r="BD1768" s="432"/>
      <c r="BE1768" s="435"/>
      <c r="BF1768" s="436"/>
      <c r="BG1768" s="432"/>
      <c r="BH1768" s="432"/>
      <c r="BI1768" s="432"/>
      <c r="BJ1768" s="432"/>
      <c r="BK1768" s="238"/>
    </row>
    <row r="1769" spans="1:63" s="268" customFormat="1" ht="59.25" customHeight="1">
      <c r="A1769" s="25">
        <v>8</v>
      </c>
      <c r="B1769" s="72" t="s">
        <v>4003</v>
      </c>
      <c r="C1769" s="100" t="s">
        <v>83</v>
      </c>
      <c r="D1769" s="25" t="s">
        <v>3935</v>
      </c>
      <c r="E1769" s="38" t="s">
        <v>250</v>
      </c>
      <c r="F1769" s="29" t="s">
        <v>689</v>
      </c>
      <c r="G1769" s="38">
        <v>6420090</v>
      </c>
      <c r="H1769" s="357">
        <v>626157</v>
      </c>
      <c r="I1769" s="72" t="s">
        <v>4004</v>
      </c>
      <c r="J1769" s="99" t="s">
        <v>286</v>
      </c>
      <c r="K1769" s="99" t="s">
        <v>286</v>
      </c>
      <c r="L1769" s="16" t="s">
        <v>180</v>
      </c>
      <c r="M1769" s="191" t="s">
        <v>4729</v>
      </c>
      <c r="N1769" s="72" t="s">
        <v>592</v>
      </c>
      <c r="O1769" s="83" t="s">
        <v>3312</v>
      </c>
      <c r="P1769" s="356">
        <v>16186.44</v>
      </c>
      <c r="Q1769" s="356">
        <f t="shared" si="236"/>
        <v>19099.999199999998</v>
      </c>
      <c r="R1769" s="241"/>
      <c r="S1769" s="241"/>
      <c r="T1769" s="241"/>
      <c r="U1769" s="241"/>
      <c r="V1769" s="241"/>
      <c r="W1769" s="241"/>
      <c r="X1769" s="241"/>
      <c r="Y1769" s="356">
        <v>16186.44</v>
      </c>
      <c r="Z1769" s="356">
        <f t="shared" si="237"/>
        <v>19099.999199999998</v>
      </c>
      <c r="AA1769" s="36" t="s">
        <v>132</v>
      </c>
      <c r="AB1769" s="36" t="s">
        <v>132</v>
      </c>
      <c r="AC1769" s="356">
        <v>16186.44</v>
      </c>
      <c r="AD1769" s="356">
        <f t="shared" si="238"/>
        <v>19099.999199999998</v>
      </c>
      <c r="AE1769" s="432" t="s">
        <v>169</v>
      </c>
      <c r="AF1769" s="38" t="s">
        <v>83</v>
      </c>
      <c r="AG1769" s="96" t="s">
        <v>83</v>
      </c>
      <c r="AH1769" s="38" t="s">
        <v>90</v>
      </c>
      <c r="AI1769" s="52">
        <v>41765</v>
      </c>
      <c r="AJ1769" s="97">
        <v>41856</v>
      </c>
      <c r="AK1769" s="437"/>
      <c r="AL1769" s="80"/>
      <c r="AM1769" s="72" t="s">
        <v>4004</v>
      </c>
      <c r="AN1769" s="100" t="s">
        <v>171</v>
      </c>
      <c r="AO1769" s="11">
        <v>796</v>
      </c>
      <c r="AP1769" s="79" t="s">
        <v>419</v>
      </c>
      <c r="AQ1769" s="81">
        <v>1</v>
      </c>
      <c r="AR1769" s="38">
        <v>45</v>
      </c>
      <c r="AS1769" s="38" t="s">
        <v>547</v>
      </c>
      <c r="AT1769" s="78">
        <v>41876</v>
      </c>
      <c r="AU1769" s="52">
        <v>41876</v>
      </c>
      <c r="AV1769" s="51">
        <v>42247</v>
      </c>
      <c r="AW1769" s="38" t="s">
        <v>99</v>
      </c>
      <c r="AX1769" s="432"/>
      <c r="AY1769" s="135"/>
      <c r="AZ1769" s="432"/>
      <c r="BA1769" s="432"/>
      <c r="BB1769" s="432"/>
      <c r="BC1769" s="434"/>
      <c r="BD1769" s="432"/>
      <c r="BE1769" s="435"/>
      <c r="BF1769" s="436"/>
      <c r="BG1769" s="432"/>
      <c r="BH1769" s="432"/>
      <c r="BI1769" s="432"/>
      <c r="BJ1769" s="432"/>
      <c r="BK1769" s="238"/>
    </row>
    <row r="1770" spans="1:63" s="268" customFormat="1" ht="62.25" customHeight="1">
      <c r="A1770" s="25">
        <v>8</v>
      </c>
      <c r="B1770" s="72" t="s">
        <v>4054</v>
      </c>
      <c r="C1770" s="100" t="s">
        <v>83</v>
      </c>
      <c r="D1770" s="25" t="s">
        <v>3935</v>
      </c>
      <c r="E1770" s="38" t="s">
        <v>250</v>
      </c>
      <c r="F1770" s="29" t="s">
        <v>689</v>
      </c>
      <c r="G1770" s="38">
        <v>6420090</v>
      </c>
      <c r="H1770" s="357">
        <v>626165</v>
      </c>
      <c r="I1770" s="99" t="s">
        <v>4055</v>
      </c>
      <c r="J1770" s="99" t="s">
        <v>286</v>
      </c>
      <c r="K1770" s="99" t="s">
        <v>286</v>
      </c>
      <c r="L1770" s="16" t="s">
        <v>180</v>
      </c>
      <c r="M1770" s="191" t="s">
        <v>4729</v>
      </c>
      <c r="N1770" s="72" t="s">
        <v>592</v>
      </c>
      <c r="O1770" s="83" t="s">
        <v>3312</v>
      </c>
      <c r="P1770" s="356">
        <v>1806.16</v>
      </c>
      <c r="Q1770" s="356">
        <f>P1770*1.18</f>
        <v>2131.2687999999998</v>
      </c>
      <c r="R1770" s="241"/>
      <c r="S1770" s="241"/>
      <c r="T1770" s="241"/>
      <c r="U1770" s="241"/>
      <c r="V1770" s="241"/>
      <c r="W1770" s="241"/>
      <c r="X1770" s="241"/>
      <c r="Y1770" s="356">
        <v>1806.16</v>
      </c>
      <c r="Z1770" s="356">
        <f>Y1770*1.18</f>
        <v>2131.2687999999998</v>
      </c>
      <c r="AA1770" s="36" t="s">
        <v>132</v>
      </c>
      <c r="AB1770" s="36" t="s">
        <v>132</v>
      </c>
      <c r="AC1770" s="356">
        <v>1806.16</v>
      </c>
      <c r="AD1770" s="356">
        <f>AC1770*1.18</f>
        <v>2131.2687999999998</v>
      </c>
      <c r="AE1770" s="38" t="s">
        <v>280</v>
      </c>
      <c r="AF1770" s="38" t="s">
        <v>83</v>
      </c>
      <c r="AG1770" s="96" t="s">
        <v>83</v>
      </c>
      <c r="AH1770" s="96" t="s">
        <v>281</v>
      </c>
      <c r="AI1770" s="52">
        <v>41640</v>
      </c>
      <c r="AJ1770" s="52">
        <v>41640</v>
      </c>
      <c r="AK1770" s="358" t="s">
        <v>4155</v>
      </c>
      <c r="AL1770" s="80" t="s">
        <v>895</v>
      </c>
      <c r="AM1770" s="99" t="s">
        <v>4055</v>
      </c>
      <c r="AN1770" s="100" t="s">
        <v>3937</v>
      </c>
      <c r="AO1770" s="11">
        <v>796</v>
      </c>
      <c r="AP1770" s="79" t="s">
        <v>419</v>
      </c>
      <c r="AQ1770" s="81">
        <v>156</v>
      </c>
      <c r="AR1770" s="38">
        <v>45</v>
      </c>
      <c r="AS1770" s="38" t="s">
        <v>547</v>
      </c>
      <c r="AT1770" s="78">
        <v>41659</v>
      </c>
      <c r="AU1770" s="52">
        <v>41659</v>
      </c>
      <c r="AV1770" s="52">
        <v>42004</v>
      </c>
      <c r="AW1770" s="79">
        <v>2014</v>
      </c>
      <c r="AX1770" s="241"/>
      <c r="AY1770" s="135"/>
      <c r="AZ1770" s="241"/>
      <c r="BA1770" s="241"/>
      <c r="BB1770" s="241"/>
      <c r="BC1770" s="241"/>
      <c r="BD1770" s="241"/>
      <c r="BE1770" s="241"/>
      <c r="BF1770" s="241"/>
      <c r="BG1770" s="241"/>
      <c r="BH1770" s="241"/>
      <c r="BI1770" s="241"/>
      <c r="BJ1770" s="241"/>
      <c r="BK1770" s="238"/>
    </row>
    <row r="1771" spans="1:63" s="268" customFormat="1" ht="59.25" customHeight="1">
      <c r="A1771" s="25">
        <v>8</v>
      </c>
      <c r="B1771" s="72" t="s">
        <v>4056</v>
      </c>
      <c r="C1771" s="100" t="s">
        <v>83</v>
      </c>
      <c r="D1771" s="25" t="s">
        <v>3935</v>
      </c>
      <c r="E1771" s="38" t="s">
        <v>250</v>
      </c>
      <c r="F1771" s="29" t="s">
        <v>689</v>
      </c>
      <c r="G1771" s="38">
        <v>6420090</v>
      </c>
      <c r="H1771" s="357">
        <v>626166</v>
      </c>
      <c r="I1771" s="99" t="s">
        <v>4057</v>
      </c>
      <c r="J1771" s="99" t="s">
        <v>286</v>
      </c>
      <c r="K1771" s="99" t="s">
        <v>286</v>
      </c>
      <c r="L1771" s="16" t="s">
        <v>180</v>
      </c>
      <c r="M1771" s="191">
        <v>20105010202</v>
      </c>
      <c r="N1771" s="72" t="s">
        <v>592</v>
      </c>
      <c r="O1771" s="83" t="s">
        <v>3312</v>
      </c>
      <c r="P1771" s="356">
        <v>1116</v>
      </c>
      <c r="Q1771" s="356">
        <f t="shared" si="236"/>
        <v>1316.8799999999999</v>
      </c>
      <c r="R1771" s="241"/>
      <c r="S1771" s="241"/>
      <c r="T1771" s="241"/>
      <c r="U1771" s="241"/>
      <c r="V1771" s="241"/>
      <c r="W1771" s="241"/>
      <c r="X1771" s="241"/>
      <c r="Y1771" s="356">
        <v>1116</v>
      </c>
      <c r="Z1771" s="356">
        <f t="shared" si="237"/>
        <v>1316.8799999999999</v>
      </c>
      <c r="AA1771" s="36" t="s">
        <v>132</v>
      </c>
      <c r="AB1771" s="36" t="s">
        <v>132</v>
      </c>
      <c r="AC1771" s="356">
        <v>1116</v>
      </c>
      <c r="AD1771" s="356">
        <f t="shared" si="238"/>
        <v>1316.8799999999999</v>
      </c>
      <c r="AE1771" s="38" t="s">
        <v>280</v>
      </c>
      <c r="AF1771" s="38" t="s">
        <v>83</v>
      </c>
      <c r="AG1771" s="96" t="s">
        <v>83</v>
      </c>
      <c r="AH1771" s="96" t="s">
        <v>281</v>
      </c>
      <c r="AI1771" s="52">
        <v>41640</v>
      </c>
      <c r="AJ1771" s="52">
        <v>41640</v>
      </c>
      <c r="AK1771" s="358" t="s">
        <v>4155</v>
      </c>
      <c r="AL1771" s="80" t="s">
        <v>4058</v>
      </c>
      <c r="AM1771" s="99" t="s">
        <v>4057</v>
      </c>
      <c r="AN1771" s="100" t="s">
        <v>3937</v>
      </c>
      <c r="AO1771" s="11">
        <v>796</v>
      </c>
      <c r="AP1771" s="79" t="s">
        <v>419</v>
      </c>
      <c r="AQ1771" s="81">
        <v>2</v>
      </c>
      <c r="AR1771" s="38">
        <v>45</v>
      </c>
      <c r="AS1771" s="38" t="s">
        <v>4059</v>
      </c>
      <c r="AT1771" s="78">
        <v>41659</v>
      </c>
      <c r="AU1771" s="52">
        <v>41659</v>
      </c>
      <c r="AV1771" s="52">
        <v>42004</v>
      </c>
      <c r="AW1771" s="79">
        <v>2014</v>
      </c>
      <c r="AX1771" s="241"/>
      <c r="AY1771" s="135"/>
      <c r="AZ1771" s="241"/>
      <c r="BA1771" s="241"/>
      <c r="BB1771" s="241"/>
      <c r="BC1771" s="241"/>
      <c r="BD1771" s="241"/>
      <c r="BE1771" s="241"/>
      <c r="BF1771" s="241"/>
      <c r="BG1771" s="241"/>
      <c r="BH1771" s="241"/>
      <c r="BI1771" s="241"/>
      <c r="BJ1771" s="241"/>
      <c r="BK1771" s="238"/>
    </row>
    <row r="1772" spans="1:63" s="268" customFormat="1" ht="59.25" customHeight="1">
      <c r="A1772" s="25">
        <v>8</v>
      </c>
      <c r="B1772" s="72" t="s">
        <v>4152</v>
      </c>
      <c r="C1772" s="100" t="s">
        <v>83</v>
      </c>
      <c r="D1772" s="25" t="s">
        <v>3935</v>
      </c>
      <c r="E1772" s="60" t="s">
        <v>250</v>
      </c>
      <c r="F1772" s="29" t="s">
        <v>689</v>
      </c>
      <c r="G1772" s="38">
        <v>6420090</v>
      </c>
      <c r="H1772" s="357">
        <v>626167</v>
      </c>
      <c r="I1772" s="99" t="s">
        <v>4153</v>
      </c>
      <c r="J1772" s="99" t="s">
        <v>286</v>
      </c>
      <c r="K1772" s="99" t="s">
        <v>286</v>
      </c>
      <c r="L1772" s="99" t="s">
        <v>180</v>
      </c>
      <c r="M1772" s="191">
        <v>20105010202</v>
      </c>
      <c r="N1772" s="72" t="s">
        <v>592</v>
      </c>
      <c r="O1772" s="83" t="s">
        <v>541</v>
      </c>
      <c r="P1772" s="356">
        <v>2959.4560700000002</v>
      </c>
      <c r="Q1772" s="356">
        <f>P1772*1.18</f>
        <v>3492.1581626000002</v>
      </c>
      <c r="R1772" s="241"/>
      <c r="S1772" s="241"/>
      <c r="T1772" s="241"/>
      <c r="U1772" s="241"/>
      <c r="V1772" s="241"/>
      <c r="W1772" s="241"/>
      <c r="X1772" s="241"/>
      <c r="Y1772" s="356">
        <v>2959.4560700000002</v>
      </c>
      <c r="Z1772" s="356">
        <f>Y1772*1.18</f>
        <v>3492.1581626000002</v>
      </c>
      <c r="AA1772" s="36" t="s">
        <v>132</v>
      </c>
      <c r="AB1772" s="36" t="s">
        <v>132</v>
      </c>
      <c r="AC1772" s="356">
        <v>2959.4560700000002</v>
      </c>
      <c r="AD1772" s="356">
        <f>AC1772*1.18</f>
        <v>3492.1581626000002</v>
      </c>
      <c r="AE1772" s="72" t="s">
        <v>280</v>
      </c>
      <c r="AF1772" s="96" t="s">
        <v>83</v>
      </c>
      <c r="AG1772" s="96" t="s">
        <v>83</v>
      </c>
      <c r="AH1772" s="96" t="s">
        <v>281</v>
      </c>
      <c r="AI1772" s="52">
        <v>41640</v>
      </c>
      <c r="AJ1772" s="52">
        <v>41640</v>
      </c>
      <c r="AK1772" s="358" t="s">
        <v>4155</v>
      </c>
      <c r="AL1772" s="80" t="s">
        <v>4154</v>
      </c>
      <c r="AM1772" s="99" t="s">
        <v>4153</v>
      </c>
      <c r="AN1772" s="100" t="s">
        <v>171</v>
      </c>
      <c r="AO1772" s="11">
        <v>796</v>
      </c>
      <c r="AP1772" s="79" t="s">
        <v>419</v>
      </c>
      <c r="AQ1772" s="81">
        <v>9</v>
      </c>
      <c r="AR1772" s="38">
        <v>45</v>
      </c>
      <c r="AS1772" s="38" t="s">
        <v>547</v>
      </c>
      <c r="AT1772" s="52">
        <v>41640</v>
      </c>
      <c r="AU1772" s="52">
        <v>41640</v>
      </c>
      <c r="AV1772" s="52">
        <v>42004</v>
      </c>
      <c r="AW1772" s="79">
        <v>2014</v>
      </c>
      <c r="AX1772" s="241"/>
      <c r="AY1772" s="135"/>
      <c r="AZ1772" s="241"/>
      <c r="BA1772" s="241"/>
      <c r="BB1772" s="241"/>
      <c r="BC1772" s="241"/>
      <c r="BD1772" s="241"/>
      <c r="BE1772" s="241"/>
      <c r="BF1772" s="241"/>
      <c r="BG1772" s="241"/>
      <c r="BH1772" s="241"/>
      <c r="BI1772" s="241"/>
      <c r="BJ1772" s="241"/>
      <c r="BK1772" s="238"/>
    </row>
    <row r="1773" spans="1:63" s="268" customFormat="1" ht="57" customHeight="1">
      <c r="A1773" s="25">
        <v>8</v>
      </c>
      <c r="B1773" s="72" t="s">
        <v>4005</v>
      </c>
      <c r="C1773" s="100" t="s">
        <v>83</v>
      </c>
      <c r="D1773" s="25" t="s">
        <v>4006</v>
      </c>
      <c r="E1773" s="38" t="s">
        <v>250</v>
      </c>
      <c r="F1773" s="29" t="s">
        <v>689</v>
      </c>
      <c r="G1773" s="38">
        <v>6420090</v>
      </c>
      <c r="H1773" s="357">
        <v>860039</v>
      </c>
      <c r="I1773" s="72" t="s">
        <v>4007</v>
      </c>
      <c r="J1773" s="99" t="s">
        <v>286</v>
      </c>
      <c r="K1773" s="99" t="s">
        <v>286</v>
      </c>
      <c r="L1773" s="16" t="s">
        <v>180</v>
      </c>
      <c r="M1773" s="191" t="s">
        <v>690</v>
      </c>
      <c r="N1773" s="83" t="s">
        <v>691</v>
      </c>
      <c r="O1773" s="72" t="s">
        <v>271</v>
      </c>
      <c r="P1773" s="356">
        <v>1458.6</v>
      </c>
      <c r="Q1773" s="356">
        <f t="shared" si="236"/>
        <v>1721.1479999999999</v>
      </c>
      <c r="R1773" s="241"/>
      <c r="S1773" s="241"/>
      <c r="T1773" s="241"/>
      <c r="U1773" s="241"/>
      <c r="V1773" s="241"/>
      <c r="W1773" s="241"/>
      <c r="X1773" s="241"/>
      <c r="Y1773" s="356">
        <v>1458.6</v>
      </c>
      <c r="Z1773" s="356">
        <f t="shared" si="237"/>
        <v>1721.1479999999999</v>
      </c>
      <c r="AA1773" s="36" t="s">
        <v>132</v>
      </c>
      <c r="AB1773" s="36" t="s">
        <v>132</v>
      </c>
      <c r="AC1773" s="356">
        <v>1458.6</v>
      </c>
      <c r="AD1773" s="356">
        <f t="shared" si="238"/>
        <v>1721.1479999999999</v>
      </c>
      <c r="AE1773" s="38" t="s">
        <v>173</v>
      </c>
      <c r="AF1773" s="38" t="s">
        <v>83</v>
      </c>
      <c r="AG1773" s="96" t="s">
        <v>83</v>
      </c>
      <c r="AH1773" s="38" t="s">
        <v>90</v>
      </c>
      <c r="AI1773" s="52">
        <v>41784</v>
      </c>
      <c r="AJ1773" s="97">
        <v>41829</v>
      </c>
      <c r="AK1773" s="437"/>
      <c r="AL1773" s="432"/>
      <c r="AM1773" s="72" t="s">
        <v>4007</v>
      </c>
      <c r="AN1773" s="100" t="s">
        <v>171</v>
      </c>
      <c r="AO1773" s="11">
        <v>796</v>
      </c>
      <c r="AP1773" s="79" t="s">
        <v>419</v>
      </c>
      <c r="AQ1773" s="81">
        <v>1</v>
      </c>
      <c r="AR1773" s="38">
        <v>45</v>
      </c>
      <c r="AS1773" s="38" t="s">
        <v>547</v>
      </c>
      <c r="AT1773" s="52">
        <v>41849</v>
      </c>
      <c r="AU1773" s="52">
        <v>41849</v>
      </c>
      <c r="AV1773" s="438">
        <v>42221</v>
      </c>
      <c r="AW1773" s="38" t="s">
        <v>99</v>
      </c>
      <c r="AX1773" s="432"/>
      <c r="AY1773" s="135"/>
      <c r="AZ1773" s="432"/>
      <c r="BA1773" s="432"/>
      <c r="BB1773" s="432"/>
      <c r="BC1773" s="434"/>
      <c r="BD1773" s="432"/>
      <c r="BE1773" s="435"/>
      <c r="BF1773" s="436"/>
      <c r="BG1773" s="432"/>
      <c r="BH1773" s="432"/>
      <c r="BI1773" s="432"/>
      <c r="BJ1773" s="432"/>
      <c r="BK1773" s="238"/>
    </row>
    <row r="1774" spans="1:63" s="268" customFormat="1" ht="57" customHeight="1">
      <c r="A1774" s="25">
        <v>8</v>
      </c>
      <c r="B1774" s="72" t="s">
        <v>4008</v>
      </c>
      <c r="C1774" s="100" t="s">
        <v>83</v>
      </c>
      <c r="D1774" s="25" t="s">
        <v>4006</v>
      </c>
      <c r="E1774" s="38" t="s">
        <v>250</v>
      </c>
      <c r="F1774" s="29" t="s">
        <v>689</v>
      </c>
      <c r="G1774" s="38">
        <v>6420090</v>
      </c>
      <c r="H1774" s="357">
        <v>560041</v>
      </c>
      <c r="I1774" s="72" t="s">
        <v>4009</v>
      </c>
      <c r="J1774" s="99" t="s">
        <v>286</v>
      </c>
      <c r="K1774" s="99" t="s">
        <v>286</v>
      </c>
      <c r="L1774" s="16" t="s">
        <v>180</v>
      </c>
      <c r="M1774" s="191" t="s">
        <v>690</v>
      </c>
      <c r="N1774" s="83" t="s">
        <v>691</v>
      </c>
      <c r="O1774" s="72" t="s">
        <v>271</v>
      </c>
      <c r="P1774" s="356">
        <v>8400</v>
      </c>
      <c r="Q1774" s="356">
        <f>P1774*1.18</f>
        <v>9912</v>
      </c>
      <c r="R1774" s="241"/>
      <c r="S1774" s="241"/>
      <c r="T1774" s="241"/>
      <c r="U1774" s="241"/>
      <c r="V1774" s="241"/>
      <c r="W1774" s="241"/>
      <c r="X1774" s="241"/>
      <c r="Y1774" s="356">
        <v>8400</v>
      </c>
      <c r="Z1774" s="356">
        <f>Y1774*1.18</f>
        <v>9912</v>
      </c>
      <c r="AA1774" s="36" t="s">
        <v>132</v>
      </c>
      <c r="AB1774" s="36" t="s">
        <v>132</v>
      </c>
      <c r="AC1774" s="356">
        <v>8400</v>
      </c>
      <c r="AD1774" s="356">
        <f>AC1774*1.18</f>
        <v>9912</v>
      </c>
      <c r="AE1774" s="38" t="s">
        <v>173</v>
      </c>
      <c r="AF1774" s="38" t="s">
        <v>83</v>
      </c>
      <c r="AG1774" s="96" t="s">
        <v>83</v>
      </c>
      <c r="AH1774" s="38" t="s">
        <v>90</v>
      </c>
      <c r="AI1774" s="78">
        <v>41625</v>
      </c>
      <c r="AJ1774" s="97">
        <v>41670</v>
      </c>
      <c r="AK1774" s="437"/>
      <c r="AL1774" s="432"/>
      <c r="AM1774" s="72" t="s">
        <v>4009</v>
      </c>
      <c r="AN1774" s="100" t="s">
        <v>171</v>
      </c>
      <c r="AO1774" s="11">
        <v>796</v>
      </c>
      <c r="AP1774" s="79" t="s">
        <v>419</v>
      </c>
      <c r="AQ1774" s="81">
        <v>1</v>
      </c>
      <c r="AR1774" s="38">
        <v>45</v>
      </c>
      <c r="AS1774" s="38" t="s">
        <v>547</v>
      </c>
      <c r="AT1774" s="78">
        <v>41690</v>
      </c>
      <c r="AU1774" s="52">
        <v>41690</v>
      </c>
      <c r="AV1774" s="52">
        <v>42004</v>
      </c>
      <c r="AW1774" s="79">
        <v>2014</v>
      </c>
      <c r="AX1774" s="432"/>
      <c r="AY1774" s="135"/>
      <c r="AZ1774" s="432"/>
      <c r="BA1774" s="432"/>
      <c r="BB1774" s="432"/>
      <c r="BC1774" s="434"/>
      <c r="BD1774" s="432"/>
      <c r="BE1774" s="435"/>
      <c r="BF1774" s="436"/>
      <c r="BG1774" s="432"/>
      <c r="BH1774" s="432"/>
      <c r="BI1774" s="432"/>
      <c r="BJ1774" s="432"/>
      <c r="BK1774" s="238"/>
    </row>
    <row r="1775" spans="1:63" s="268" customFormat="1" ht="57" customHeight="1">
      <c r="A1775" s="25">
        <v>8</v>
      </c>
      <c r="B1775" s="72" t="s">
        <v>4010</v>
      </c>
      <c r="C1775" s="100" t="s">
        <v>83</v>
      </c>
      <c r="D1775" s="25" t="s">
        <v>4006</v>
      </c>
      <c r="E1775" s="38" t="s">
        <v>250</v>
      </c>
      <c r="F1775" s="29" t="s">
        <v>689</v>
      </c>
      <c r="G1775" s="38">
        <v>6420090</v>
      </c>
      <c r="H1775" s="357">
        <v>860040</v>
      </c>
      <c r="I1775" s="72" t="s">
        <v>4011</v>
      </c>
      <c r="J1775" s="99" t="s">
        <v>286</v>
      </c>
      <c r="K1775" s="99" t="s">
        <v>286</v>
      </c>
      <c r="L1775" s="16" t="s">
        <v>180</v>
      </c>
      <c r="M1775" s="191" t="s">
        <v>690</v>
      </c>
      <c r="N1775" s="83" t="s">
        <v>691</v>
      </c>
      <c r="O1775" s="72" t="s">
        <v>271</v>
      </c>
      <c r="P1775" s="356">
        <v>4862.6000000000004</v>
      </c>
      <c r="Q1775" s="356">
        <f t="shared" si="236"/>
        <v>5737.8680000000004</v>
      </c>
      <c r="R1775" s="241"/>
      <c r="S1775" s="241"/>
      <c r="T1775" s="241"/>
      <c r="U1775" s="241"/>
      <c r="V1775" s="241"/>
      <c r="W1775" s="241"/>
      <c r="X1775" s="241"/>
      <c r="Y1775" s="356">
        <v>4862.6000000000004</v>
      </c>
      <c r="Z1775" s="356">
        <f t="shared" si="237"/>
        <v>5737.8680000000004</v>
      </c>
      <c r="AA1775" s="36" t="s">
        <v>132</v>
      </c>
      <c r="AB1775" s="36" t="s">
        <v>132</v>
      </c>
      <c r="AC1775" s="356">
        <v>4862.6000000000004</v>
      </c>
      <c r="AD1775" s="356">
        <f t="shared" si="238"/>
        <v>5737.8680000000004</v>
      </c>
      <c r="AE1775" s="38" t="s">
        <v>173</v>
      </c>
      <c r="AF1775" s="38" t="s">
        <v>83</v>
      </c>
      <c r="AG1775" s="96" t="s">
        <v>83</v>
      </c>
      <c r="AH1775" s="38" t="s">
        <v>90</v>
      </c>
      <c r="AI1775" s="78">
        <v>41625</v>
      </c>
      <c r="AJ1775" s="97">
        <v>41670</v>
      </c>
      <c r="AK1775" s="437"/>
      <c r="AL1775" s="432"/>
      <c r="AM1775" s="72" t="s">
        <v>4011</v>
      </c>
      <c r="AN1775" s="100" t="s">
        <v>171</v>
      </c>
      <c r="AO1775" s="11">
        <v>796</v>
      </c>
      <c r="AP1775" s="79" t="s">
        <v>419</v>
      </c>
      <c r="AQ1775" s="81">
        <v>1</v>
      </c>
      <c r="AR1775" s="38">
        <v>45</v>
      </c>
      <c r="AS1775" s="38" t="s">
        <v>547</v>
      </c>
      <c r="AT1775" s="78">
        <v>41690</v>
      </c>
      <c r="AU1775" s="52">
        <v>41690</v>
      </c>
      <c r="AV1775" s="52">
        <v>42004</v>
      </c>
      <c r="AW1775" s="79">
        <v>2014</v>
      </c>
      <c r="AX1775" s="432"/>
      <c r="AY1775" s="135"/>
      <c r="AZ1775" s="432"/>
      <c r="BA1775" s="432"/>
      <c r="BB1775" s="432"/>
      <c r="BC1775" s="434"/>
      <c r="BD1775" s="432"/>
      <c r="BE1775" s="435"/>
      <c r="BF1775" s="436"/>
      <c r="BG1775" s="432"/>
      <c r="BH1775" s="432"/>
      <c r="BI1775" s="432"/>
      <c r="BJ1775" s="432"/>
      <c r="BK1775" s="238"/>
    </row>
    <row r="1776" spans="1:63" s="268" customFormat="1" ht="60" customHeight="1">
      <c r="A1776" s="25">
        <v>8</v>
      </c>
      <c r="B1776" s="38" t="s">
        <v>695</v>
      </c>
      <c r="C1776" s="38" t="s">
        <v>83</v>
      </c>
      <c r="D1776" s="29" t="s">
        <v>688</v>
      </c>
      <c r="E1776" s="38" t="s">
        <v>250</v>
      </c>
      <c r="F1776" s="29" t="s">
        <v>696</v>
      </c>
      <c r="G1776" s="38">
        <v>6420090</v>
      </c>
      <c r="H1776" s="63">
        <v>813066</v>
      </c>
      <c r="I1776" s="16" t="s">
        <v>453</v>
      </c>
      <c r="J1776" s="16" t="s">
        <v>286</v>
      </c>
      <c r="K1776" s="16" t="s">
        <v>286</v>
      </c>
      <c r="L1776" s="16" t="s">
        <v>180</v>
      </c>
      <c r="M1776" s="95" t="s">
        <v>697</v>
      </c>
      <c r="N1776" s="15" t="s">
        <v>453</v>
      </c>
      <c r="O1776" s="16" t="s">
        <v>692</v>
      </c>
      <c r="P1776" s="356">
        <v>428.3</v>
      </c>
      <c r="Q1776" s="356">
        <f>P1776*1.18</f>
        <v>505.39400000000001</v>
      </c>
      <c r="R1776" s="241"/>
      <c r="S1776" s="241"/>
      <c r="T1776" s="241"/>
      <c r="U1776" s="241"/>
      <c r="V1776" s="241"/>
      <c r="W1776" s="241"/>
      <c r="X1776" s="241"/>
      <c r="Y1776" s="356">
        <v>428.3</v>
      </c>
      <c r="Z1776" s="356">
        <f>Y1776*1.18</f>
        <v>505.39400000000001</v>
      </c>
      <c r="AA1776" s="36" t="s">
        <v>132</v>
      </c>
      <c r="AB1776" s="36" t="s">
        <v>132</v>
      </c>
      <c r="AC1776" s="356">
        <v>428.3</v>
      </c>
      <c r="AD1776" s="356">
        <f>AC1776*1.18</f>
        <v>505.39400000000001</v>
      </c>
      <c r="AE1776" s="38" t="s">
        <v>280</v>
      </c>
      <c r="AF1776" s="38" t="s">
        <v>83</v>
      </c>
      <c r="AG1776" s="38" t="s">
        <v>83</v>
      </c>
      <c r="AH1776" s="38" t="s">
        <v>219</v>
      </c>
      <c r="AI1776" s="97">
        <v>41625</v>
      </c>
      <c r="AJ1776" s="97">
        <v>41625</v>
      </c>
      <c r="AK1776" s="98" t="s">
        <v>4060</v>
      </c>
      <c r="AL1776" s="60" t="s">
        <v>518</v>
      </c>
      <c r="AM1776" s="60" t="s">
        <v>453</v>
      </c>
      <c r="AN1776" s="60" t="s">
        <v>353</v>
      </c>
      <c r="AO1776" s="63">
        <v>796</v>
      </c>
      <c r="AP1776" s="38" t="s">
        <v>368</v>
      </c>
      <c r="AQ1776" s="23">
        <v>1</v>
      </c>
      <c r="AR1776" s="25" t="s">
        <v>694</v>
      </c>
      <c r="AS1776" s="16" t="s">
        <v>547</v>
      </c>
      <c r="AT1776" s="52">
        <v>41645</v>
      </c>
      <c r="AU1776" s="248">
        <v>41645</v>
      </c>
      <c r="AV1776" s="52">
        <v>42004</v>
      </c>
      <c r="AW1776" s="38">
        <v>2014</v>
      </c>
      <c r="AX1776" s="60"/>
      <c r="AY1776" s="135"/>
      <c r="AZ1776" s="60"/>
      <c r="BA1776" s="38"/>
      <c r="BB1776" s="38"/>
      <c r="BC1776" s="60"/>
      <c r="BD1776" s="60"/>
      <c r="BE1776" s="238"/>
      <c r="BF1776" s="238"/>
      <c r="BG1776" s="238"/>
      <c r="BH1776" s="238"/>
      <c r="BI1776" s="238"/>
      <c r="BJ1776" s="238"/>
      <c r="BK1776" s="238"/>
    </row>
    <row r="1777" spans="1:63" s="268" customFormat="1" ht="65.25" customHeight="1">
      <c r="A1777" s="25">
        <v>8</v>
      </c>
      <c r="B1777" s="38" t="s">
        <v>722</v>
      </c>
      <c r="C1777" s="38" t="s">
        <v>83</v>
      </c>
      <c r="D1777" s="29" t="s">
        <v>688</v>
      </c>
      <c r="E1777" s="38" t="s">
        <v>250</v>
      </c>
      <c r="F1777" s="29" t="s">
        <v>689</v>
      </c>
      <c r="G1777" s="38">
        <v>6420090</v>
      </c>
      <c r="H1777" s="63">
        <v>813098</v>
      </c>
      <c r="I1777" s="16" t="s">
        <v>723</v>
      </c>
      <c r="J1777" s="16" t="s">
        <v>286</v>
      </c>
      <c r="K1777" s="16" t="s">
        <v>286</v>
      </c>
      <c r="L1777" s="16" t="s">
        <v>180</v>
      </c>
      <c r="M1777" s="95" t="s">
        <v>690</v>
      </c>
      <c r="N1777" s="15" t="s">
        <v>592</v>
      </c>
      <c r="O1777" s="16" t="s">
        <v>692</v>
      </c>
      <c r="P1777" s="356">
        <v>597.4</v>
      </c>
      <c r="Q1777" s="356">
        <f t="shared" si="236"/>
        <v>704.9319999999999</v>
      </c>
      <c r="R1777" s="241"/>
      <c r="S1777" s="241"/>
      <c r="T1777" s="241"/>
      <c r="U1777" s="241"/>
      <c r="V1777" s="241"/>
      <c r="W1777" s="241"/>
      <c r="X1777" s="241"/>
      <c r="Y1777" s="356">
        <v>597.4</v>
      </c>
      <c r="Z1777" s="356">
        <f t="shared" si="237"/>
        <v>704.9319999999999</v>
      </c>
      <c r="AA1777" s="36" t="s">
        <v>132</v>
      </c>
      <c r="AB1777" s="36" t="s">
        <v>132</v>
      </c>
      <c r="AC1777" s="356">
        <v>597.4</v>
      </c>
      <c r="AD1777" s="356">
        <f t="shared" si="238"/>
        <v>704.9319999999999</v>
      </c>
      <c r="AE1777" s="38" t="s">
        <v>280</v>
      </c>
      <c r="AF1777" s="38" t="s">
        <v>83</v>
      </c>
      <c r="AG1777" s="38" t="s">
        <v>83</v>
      </c>
      <c r="AH1777" s="38" t="s">
        <v>219</v>
      </c>
      <c r="AI1777" s="97">
        <v>41625</v>
      </c>
      <c r="AJ1777" s="97">
        <v>41625</v>
      </c>
      <c r="AK1777" s="98" t="s">
        <v>4061</v>
      </c>
      <c r="AL1777" s="60" t="s">
        <v>724</v>
      </c>
      <c r="AM1777" s="60" t="s">
        <v>723</v>
      </c>
      <c r="AN1777" s="60" t="s">
        <v>353</v>
      </c>
      <c r="AO1777" s="64">
        <v>6</v>
      </c>
      <c r="AP1777" s="38" t="s">
        <v>717</v>
      </c>
      <c r="AQ1777" s="67">
        <v>2811</v>
      </c>
      <c r="AR1777" s="38">
        <v>46200</v>
      </c>
      <c r="AS1777" s="16" t="s">
        <v>605</v>
      </c>
      <c r="AT1777" s="52">
        <v>41645</v>
      </c>
      <c r="AU1777" s="248">
        <v>41645</v>
      </c>
      <c r="AV1777" s="52">
        <v>42004</v>
      </c>
      <c r="AW1777" s="38">
        <v>2014</v>
      </c>
      <c r="AX1777" s="60"/>
      <c r="AY1777" s="135"/>
      <c r="AZ1777" s="60"/>
      <c r="BA1777" s="38"/>
      <c r="BB1777" s="38"/>
      <c r="BC1777" s="60"/>
      <c r="BD1777" s="60"/>
      <c r="BE1777" s="238"/>
      <c r="BF1777" s="238"/>
      <c r="BG1777" s="238"/>
      <c r="BH1777" s="238"/>
      <c r="BI1777" s="238"/>
      <c r="BJ1777" s="238"/>
      <c r="BK1777" s="238"/>
    </row>
    <row r="1778" spans="1:63" s="605" customFormat="1" ht="63" customHeight="1">
      <c r="A1778" s="25">
        <v>8</v>
      </c>
      <c r="B1778" s="100" t="s">
        <v>1233</v>
      </c>
      <c r="C1778" s="100" t="s">
        <v>83</v>
      </c>
      <c r="D1778" s="96" t="s">
        <v>3364</v>
      </c>
      <c r="E1778" s="38" t="s">
        <v>250</v>
      </c>
      <c r="F1778" s="318" t="s">
        <v>689</v>
      </c>
      <c r="G1778" s="318">
        <v>9430000</v>
      </c>
      <c r="H1778" s="160">
        <v>641322</v>
      </c>
      <c r="I1778" s="99" t="s">
        <v>4062</v>
      </c>
      <c r="J1778" s="99" t="s">
        <v>286</v>
      </c>
      <c r="K1778" s="99" t="s">
        <v>286</v>
      </c>
      <c r="L1778" s="16" t="s">
        <v>180</v>
      </c>
      <c r="M1778" s="191" t="s">
        <v>1346</v>
      </c>
      <c r="N1778" s="83" t="s">
        <v>849</v>
      </c>
      <c r="O1778" s="83" t="s">
        <v>3312</v>
      </c>
      <c r="P1778" s="356">
        <v>16000</v>
      </c>
      <c r="Q1778" s="356">
        <f>P1778*1.18</f>
        <v>18880</v>
      </c>
      <c r="R1778" s="241"/>
      <c r="S1778" s="241"/>
      <c r="T1778" s="241"/>
      <c r="U1778" s="241"/>
      <c r="V1778" s="241"/>
      <c r="W1778" s="241"/>
      <c r="X1778" s="241"/>
      <c r="Y1778" s="356">
        <v>16000</v>
      </c>
      <c r="Z1778" s="356">
        <f>Y1778*1.18</f>
        <v>18880</v>
      </c>
      <c r="AA1778" s="36" t="s">
        <v>132</v>
      </c>
      <c r="AB1778" s="36" t="s">
        <v>132</v>
      </c>
      <c r="AC1778" s="356">
        <v>16000</v>
      </c>
      <c r="AD1778" s="356">
        <f>AC1778*1.18</f>
        <v>18880</v>
      </c>
      <c r="AE1778" s="38" t="s">
        <v>280</v>
      </c>
      <c r="AF1778" s="38" t="s">
        <v>83</v>
      </c>
      <c r="AG1778" s="96" t="s">
        <v>83</v>
      </c>
      <c r="AH1778" s="96" t="s">
        <v>281</v>
      </c>
      <c r="AI1778" s="97">
        <v>41625</v>
      </c>
      <c r="AJ1778" s="97">
        <v>41625</v>
      </c>
      <c r="AK1778" s="83" t="s">
        <v>3858</v>
      </c>
      <c r="AL1778" s="99" t="s">
        <v>895</v>
      </c>
      <c r="AM1778" s="99" t="s">
        <v>1234</v>
      </c>
      <c r="AN1778" s="100" t="s">
        <v>171</v>
      </c>
      <c r="AO1778" s="82">
        <v>6</v>
      </c>
      <c r="AP1778" s="79" t="s">
        <v>717</v>
      </c>
      <c r="AQ1778" s="77">
        <v>1</v>
      </c>
      <c r="AR1778" s="101" t="s">
        <v>1176</v>
      </c>
      <c r="AS1778" s="83" t="s">
        <v>547</v>
      </c>
      <c r="AT1778" s="78">
        <v>41645</v>
      </c>
      <c r="AU1778" s="52">
        <v>41645</v>
      </c>
      <c r="AV1778" s="52">
        <v>42004</v>
      </c>
      <c r="AW1778" s="79">
        <v>2014</v>
      </c>
      <c r="AX1778" s="80"/>
      <c r="AY1778" s="135"/>
      <c r="AZ1778" s="80"/>
      <c r="BA1778" s="79"/>
      <c r="BB1778" s="79"/>
      <c r="BC1778" s="80"/>
      <c r="BD1778" s="80"/>
      <c r="BE1778" s="239"/>
      <c r="BF1778" s="239"/>
      <c r="BG1778" s="239"/>
      <c r="BH1778" s="239"/>
      <c r="BI1778" s="239"/>
      <c r="BJ1778" s="240"/>
      <c r="BK1778" s="238"/>
    </row>
    <row r="1779" spans="1:63" s="605" customFormat="1" ht="62.25" customHeight="1">
      <c r="A1779" s="25">
        <v>8</v>
      </c>
      <c r="B1779" s="100" t="s">
        <v>1237</v>
      </c>
      <c r="C1779" s="100" t="s">
        <v>83</v>
      </c>
      <c r="D1779" s="96" t="s">
        <v>3364</v>
      </c>
      <c r="E1779" s="38" t="s">
        <v>250</v>
      </c>
      <c r="F1779" s="318" t="s">
        <v>689</v>
      </c>
      <c r="G1779" s="318">
        <v>9430000</v>
      </c>
      <c r="H1779" s="160">
        <v>641314</v>
      </c>
      <c r="I1779" s="99" t="s">
        <v>4063</v>
      </c>
      <c r="J1779" s="99" t="s">
        <v>1239</v>
      </c>
      <c r="K1779" s="99" t="s">
        <v>1239</v>
      </c>
      <c r="L1779" s="16" t="s">
        <v>180</v>
      </c>
      <c r="M1779" s="191" t="s">
        <v>1346</v>
      </c>
      <c r="N1779" s="83" t="s">
        <v>849</v>
      </c>
      <c r="O1779" s="83" t="s">
        <v>3312</v>
      </c>
      <c r="P1779" s="356">
        <v>514.5</v>
      </c>
      <c r="Q1779" s="356">
        <f t="shared" si="236"/>
        <v>607.11</v>
      </c>
      <c r="R1779" s="241"/>
      <c r="S1779" s="241"/>
      <c r="T1779" s="241"/>
      <c r="U1779" s="241"/>
      <c r="V1779" s="241"/>
      <c r="W1779" s="241"/>
      <c r="X1779" s="241"/>
      <c r="Y1779" s="356">
        <v>514.5</v>
      </c>
      <c r="Z1779" s="356">
        <f t="shared" si="237"/>
        <v>607.11</v>
      </c>
      <c r="AA1779" s="36" t="s">
        <v>132</v>
      </c>
      <c r="AB1779" s="36" t="s">
        <v>132</v>
      </c>
      <c r="AC1779" s="356">
        <v>514.5</v>
      </c>
      <c r="AD1779" s="356">
        <f t="shared" si="238"/>
        <v>607.11</v>
      </c>
      <c r="AE1779" s="38" t="s">
        <v>280</v>
      </c>
      <c r="AF1779" s="38" t="s">
        <v>83</v>
      </c>
      <c r="AG1779" s="96" t="s">
        <v>83</v>
      </c>
      <c r="AH1779" s="96" t="s">
        <v>281</v>
      </c>
      <c r="AI1779" s="97">
        <v>41625</v>
      </c>
      <c r="AJ1779" s="97">
        <v>41625</v>
      </c>
      <c r="AK1779" s="83" t="s">
        <v>3858</v>
      </c>
      <c r="AL1779" s="99" t="s">
        <v>4064</v>
      </c>
      <c r="AM1779" s="99" t="s">
        <v>1238</v>
      </c>
      <c r="AN1779" s="100" t="s">
        <v>171</v>
      </c>
      <c r="AO1779" s="82">
        <v>6</v>
      </c>
      <c r="AP1779" s="79" t="s">
        <v>717</v>
      </c>
      <c r="AQ1779" s="77">
        <v>1</v>
      </c>
      <c r="AR1779" s="101" t="s">
        <v>1176</v>
      </c>
      <c r="AS1779" s="83" t="s">
        <v>547</v>
      </c>
      <c r="AT1779" s="78">
        <v>41645</v>
      </c>
      <c r="AU1779" s="52">
        <v>41645</v>
      </c>
      <c r="AV1779" s="52">
        <v>42004</v>
      </c>
      <c r="AW1779" s="79">
        <v>2014</v>
      </c>
      <c r="AX1779" s="80"/>
      <c r="AY1779" s="135"/>
      <c r="AZ1779" s="80"/>
      <c r="BA1779" s="79"/>
      <c r="BB1779" s="79"/>
      <c r="BC1779" s="80"/>
      <c r="BD1779" s="80"/>
      <c r="BE1779" s="239"/>
      <c r="BF1779" s="239"/>
      <c r="BG1779" s="239"/>
      <c r="BH1779" s="239"/>
      <c r="BI1779" s="239"/>
      <c r="BJ1779" s="240"/>
      <c r="BK1779" s="238"/>
    </row>
    <row r="1780" spans="1:63" s="605" customFormat="1" ht="60" customHeight="1">
      <c r="A1780" s="25">
        <v>8</v>
      </c>
      <c r="B1780" s="100" t="s">
        <v>1262</v>
      </c>
      <c r="C1780" s="100" t="s">
        <v>83</v>
      </c>
      <c r="D1780" s="96" t="s">
        <v>3364</v>
      </c>
      <c r="E1780" s="38" t="s">
        <v>250</v>
      </c>
      <c r="F1780" s="318" t="s">
        <v>689</v>
      </c>
      <c r="G1780" s="318">
        <v>9430000</v>
      </c>
      <c r="H1780" s="160">
        <v>641320</v>
      </c>
      <c r="I1780" s="99" t="s">
        <v>1263</v>
      </c>
      <c r="J1780" s="99" t="s">
        <v>1239</v>
      </c>
      <c r="K1780" s="99" t="s">
        <v>1239</v>
      </c>
      <c r="L1780" s="16" t="s">
        <v>180</v>
      </c>
      <c r="M1780" s="191" t="s">
        <v>1346</v>
      </c>
      <c r="N1780" s="83" t="s">
        <v>849</v>
      </c>
      <c r="O1780" s="83" t="s">
        <v>3312</v>
      </c>
      <c r="P1780" s="356">
        <v>468</v>
      </c>
      <c r="Q1780" s="356">
        <f>P1780*1.18</f>
        <v>552.24</v>
      </c>
      <c r="R1780" s="241"/>
      <c r="S1780" s="241"/>
      <c r="T1780" s="241"/>
      <c r="U1780" s="241"/>
      <c r="V1780" s="241"/>
      <c r="W1780" s="241"/>
      <c r="X1780" s="241"/>
      <c r="Y1780" s="356">
        <v>468</v>
      </c>
      <c r="Z1780" s="356">
        <f>Y1780*1.18</f>
        <v>552.24</v>
      </c>
      <c r="AA1780" s="36" t="s">
        <v>132</v>
      </c>
      <c r="AB1780" s="36" t="s">
        <v>132</v>
      </c>
      <c r="AC1780" s="356">
        <v>468</v>
      </c>
      <c r="AD1780" s="356">
        <f>AC1780*1.18</f>
        <v>552.24</v>
      </c>
      <c r="AE1780" s="38" t="s">
        <v>280</v>
      </c>
      <c r="AF1780" s="38" t="s">
        <v>83</v>
      </c>
      <c r="AG1780" s="96" t="s">
        <v>83</v>
      </c>
      <c r="AH1780" s="96" t="s">
        <v>281</v>
      </c>
      <c r="AI1780" s="97">
        <v>41625</v>
      </c>
      <c r="AJ1780" s="97">
        <v>41625</v>
      </c>
      <c r="AK1780" s="83" t="s">
        <v>3858</v>
      </c>
      <c r="AL1780" s="80" t="s">
        <v>3307</v>
      </c>
      <c r="AM1780" s="80" t="s">
        <v>1263</v>
      </c>
      <c r="AN1780" s="100" t="s">
        <v>171</v>
      </c>
      <c r="AO1780" s="82">
        <v>796</v>
      </c>
      <c r="AP1780" s="79" t="s">
        <v>419</v>
      </c>
      <c r="AQ1780" s="77">
        <v>1</v>
      </c>
      <c r="AR1780" s="101" t="s">
        <v>1176</v>
      </c>
      <c r="AS1780" s="83" t="s">
        <v>547</v>
      </c>
      <c r="AT1780" s="78">
        <v>41645</v>
      </c>
      <c r="AU1780" s="52">
        <v>41645</v>
      </c>
      <c r="AV1780" s="52">
        <v>42004</v>
      </c>
      <c r="AW1780" s="79">
        <v>2014</v>
      </c>
      <c r="AX1780" s="80"/>
      <c r="AY1780" s="135"/>
      <c r="AZ1780" s="80"/>
      <c r="BA1780" s="79"/>
      <c r="BB1780" s="79"/>
      <c r="BC1780" s="80"/>
      <c r="BD1780" s="80"/>
      <c r="BE1780" s="239"/>
      <c r="BF1780" s="239"/>
      <c r="BG1780" s="239"/>
      <c r="BH1780" s="239"/>
      <c r="BI1780" s="239"/>
      <c r="BJ1780" s="240"/>
      <c r="BK1780" s="238"/>
    </row>
    <row r="1781" spans="1:63" s="605" customFormat="1" ht="60" customHeight="1">
      <c r="A1781" s="25">
        <v>8</v>
      </c>
      <c r="B1781" s="100" t="s">
        <v>4078</v>
      </c>
      <c r="C1781" s="100" t="s">
        <v>83</v>
      </c>
      <c r="D1781" s="96" t="s">
        <v>4066</v>
      </c>
      <c r="E1781" s="38" t="s">
        <v>250</v>
      </c>
      <c r="F1781" s="318" t="s">
        <v>486</v>
      </c>
      <c r="G1781" s="318">
        <v>7244000</v>
      </c>
      <c r="H1781" s="160">
        <v>626177</v>
      </c>
      <c r="I1781" s="99" t="s">
        <v>4079</v>
      </c>
      <c r="J1781" s="99" t="s">
        <v>192</v>
      </c>
      <c r="K1781" s="99" t="s">
        <v>192</v>
      </c>
      <c r="L1781" s="16" t="s">
        <v>180</v>
      </c>
      <c r="M1781" s="191" t="s">
        <v>1346</v>
      </c>
      <c r="N1781" s="83" t="s">
        <v>849</v>
      </c>
      <c r="O1781" s="83" t="s">
        <v>271</v>
      </c>
      <c r="P1781" s="356">
        <v>15000</v>
      </c>
      <c r="Q1781" s="356">
        <f t="shared" ref="Q1781" si="241">P1781*1.18</f>
        <v>17700</v>
      </c>
      <c r="R1781" s="241"/>
      <c r="S1781" s="241"/>
      <c r="T1781" s="241"/>
      <c r="U1781" s="241"/>
      <c r="V1781" s="241"/>
      <c r="W1781" s="241"/>
      <c r="X1781" s="241"/>
      <c r="Y1781" s="356">
        <v>15000</v>
      </c>
      <c r="Z1781" s="356">
        <f t="shared" ref="Z1781" si="242">Y1781*1.18</f>
        <v>17700</v>
      </c>
      <c r="AA1781" s="36" t="s">
        <v>132</v>
      </c>
      <c r="AB1781" s="36" t="s">
        <v>132</v>
      </c>
      <c r="AC1781" s="356">
        <v>15000</v>
      </c>
      <c r="AD1781" s="356">
        <f t="shared" ref="AD1781" si="243">AC1781*1.18</f>
        <v>17700</v>
      </c>
      <c r="AE1781" s="38" t="s">
        <v>169</v>
      </c>
      <c r="AF1781" s="38" t="s">
        <v>83</v>
      </c>
      <c r="AG1781" s="96" t="s">
        <v>83</v>
      </c>
      <c r="AH1781" s="96" t="s">
        <v>90</v>
      </c>
      <c r="AI1781" s="97">
        <v>41883</v>
      </c>
      <c r="AJ1781" s="78">
        <v>41944</v>
      </c>
      <c r="AK1781" s="83"/>
      <c r="AL1781" s="80"/>
      <c r="AM1781" s="80" t="s">
        <v>4079</v>
      </c>
      <c r="AN1781" s="100" t="s">
        <v>171</v>
      </c>
      <c r="AO1781" s="82">
        <v>796</v>
      </c>
      <c r="AP1781" s="79" t="s">
        <v>419</v>
      </c>
      <c r="AQ1781" s="77">
        <v>1</v>
      </c>
      <c r="AR1781" s="101">
        <v>45</v>
      </c>
      <c r="AS1781" s="83" t="s">
        <v>512</v>
      </c>
      <c r="AT1781" s="78">
        <v>41964</v>
      </c>
      <c r="AU1781" s="78">
        <v>41964</v>
      </c>
      <c r="AV1781" s="78">
        <v>42369</v>
      </c>
      <c r="AW1781" s="79">
        <v>2015</v>
      </c>
      <c r="AX1781" s="80"/>
      <c r="AY1781" s="135"/>
      <c r="AZ1781" s="80"/>
      <c r="BA1781" s="79"/>
      <c r="BB1781" s="79"/>
      <c r="BC1781" s="80"/>
      <c r="BD1781" s="80"/>
      <c r="BE1781" s="239"/>
      <c r="BF1781" s="239"/>
      <c r="BG1781" s="239"/>
      <c r="BH1781" s="239"/>
      <c r="BI1781" s="239"/>
      <c r="BJ1781" s="240"/>
      <c r="BK1781" s="239"/>
    </row>
    <row r="1782" spans="1:63" s="605" customFormat="1" ht="60" customHeight="1">
      <c r="A1782" s="25">
        <v>8</v>
      </c>
      <c r="B1782" s="100" t="s">
        <v>4121</v>
      </c>
      <c r="C1782" s="100" t="s">
        <v>83</v>
      </c>
      <c r="D1782" s="96" t="s">
        <v>1105</v>
      </c>
      <c r="E1782" s="38" t="s">
        <v>522</v>
      </c>
      <c r="F1782" s="318" t="s">
        <v>164</v>
      </c>
      <c r="G1782" s="318">
        <v>7414000</v>
      </c>
      <c r="H1782" s="160">
        <v>626055</v>
      </c>
      <c r="I1782" s="99" t="s">
        <v>7283</v>
      </c>
      <c r="J1782" s="99" t="s">
        <v>4123</v>
      </c>
      <c r="K1782" s="99" t="s">
        <v>4123</v>
      </c>
      <c r="L1782" s="16" t="s">
        <v>180</v>
      </c>
      <c r="M1782" s="191" t="s">
        <v>5889</v>
      </c>
      <c r="N1782" s="83" t="s">
        <v>5890</v>
      </c>
      <c r="O1782" s="83" t="s">
        <v>769</v>
      </c>
      <c r="P1782" s="356">
        <v>3814</v>
      </c>
      <c r="Q1782" s="356">
        <f>P1782*1.18</f>
        <v>4500.5199999999995</v>
      </c>
      <c r="R1782" s="241"/>
      <c r="S1782" s="241"/>
      <c r="T1782" s="241"/>
      <c r="U1782" s="241"/>
      <c r="V1782" s="241"/>
      <c r="W1782" s="241"/>
      <c r="X1782" s="241"/>
      <c r="Y1782" s="356">
        <v>3814</v>
      </c>
      <c r="Z1782" s="356">
        <f>Y1782*1.18</f>
        <v>4500.5199999999995</v>
      </c>
      <c r="AA1782" s="36" t="s">
        <v>132</v>
      </c>
      <c r="AB1782" s="36" t="s">
        <v>132</v>
      </c>
      <c r="AC1782" s="356">
        <v>3814</v>
      </c>
      <c r="AD1782" s="356">
        <f>AC1782*1.18</f>
        <v>4500.5199999999995</v>
      </c>
      <c r="AE1782" s="38" t="s">
        <v>173</v>
      </c>
      <c r="AF1782" s="38" t="s">
        <v>83</v>
      </c>
      <c r="AG1782" s="96" t="s">
        <v>83</v>
      </c>
      <c r="AH1782" s="96" t="s">
        <v>545</v>
      </c>
      <c r="AI1782" s="97">
        <v>41630</v>
      </c>
      <c r="AJ1782" s="320">
        <v>41675</v>
      </c>
      <c r="AK1782" s="83"/>
      <c r="AL1782" s="80"/>
      <c r="AM1782" s="80" t="s">
        <v>4122</v>
      </c>
      <c r="AN1782" s="100" t="s">
        <v>171</v>
      </c>
      <c r="AO1782" s="82">
        <v>879</v>
      </c>
      <c r="AP1782" s="79" t="s">
        <v>542</v>
      </c>
      <c r="AQ1782" s="77">
        <v>1</v>
      </c>
      <c r="AR1782" s="101">
        <v>45</v>
      </c>
      <c r="AS1782" s="83" t="s">
        <v>547</v>
      </c>
      <c r="AT1782" s="78">
        <v>41695</v>
      </c>
      <c r="AU1782" s="52">
        <v>41695</v>
      </c>
      <c r="AV1782" s="52">
        <v>41822</v>
      </c>
      <c r="AW1782" s="79">
        <v>2014</v>
      </c>
      <c r="AX1782" s="80" t="s">
        <v>4122</v>
      </c>
      <c r="AY1782" s="135"/>
      <c r="AZ1782" s="80"/>
      <c r="BA1782" s="79"/>
      <c r="BB1782" s="79"/>
      <c r="BC1782" s="80"/>
      <c r="BD1782" s="80"/>
      <c r="BE1782" s="239"/>
      <c r="BF1782" s="239"/>
      <c r="BG1782" s="239"/>
      <c r="BH1782" s="239"/>
      <c r="BI1782" s="239"/>
      <c r="BJ1782" s="240"/>
      <c r="BK1782" s="239"/>
    </row>
    <row r="1783" spans="1:63" s="605" customFormat="1" ht="60" customHeight="1">
      <c r="A1783" s="25">
        <v>8</v>
      </c>
      <c r="B1783" s="100" t="s">
        <v>4126</v>
      </c>
      <c r="C1783" s="100" t="s">
        <v>83</v>
      </c>
      <c r="D1783" s="96" t="s">
        <v>1105</v>
      </c>
      <c r="E1783" s="38" t="s">
        <v>522</v>
      </c>
      <c r="F1783" s="318" t="s">
        <v>164</v>
      </c>
      <c r="G1783" s="318">
        <v>7414000</v>
      </c>
      <c r="H1783" s="160">
        <v>626182</v>
      </c>
      <c r="I1783" s="99" t="s">
        <v>4124</v>
      </c>
      <c r="J1783" s="99" t="s">
        <v>4123</v>
      </c>
      <c r="K1783" s="99" t="s">
        <v>4123</v>
      </c>
      <c r="L1783" s="16" t="s">
        <v>180</v>
      </c>
      <c r="M1783" s="464" t="s">
        <v>5889</v>
      </c>
      <c r="N1783" s="83" t="s">
        <v>5890</v>
      </c>
      <c r="O1783" s="83" t="s">
        <v>769</v>
      </c>
      <c r="P1783" s="356">
        <v>2400</v>
      </c>
      <c r="Q1783" s="356">
        <v>2400</v>
      </c>
      <c r="R1783" s="241"/>
      <c r="S1783" s="241"/>
      <c r="T1783" s="241"/>
      <c r="U1783" s="241"/>
      <c r="V1783" s="241"/>
      <c r="W1783" s="241"/>
      <c r="X1783" s="241"/>
      <c r="Y1783" s="356">
        <v>2400</v>
      </c>
      <c r="Z1783" s="356">
        <v>2400</v>
      </c>
      <c r="AA1783" s="36" t="s">
        <v>132</v>
      </c>
      <c r="AB1783" s="36" t="s">
        <v>132</v>
      </c>
      <c r="AC1783" s="356">
        <v>2400</v>
      </c>
      <c r="AD1783" s="356">
        <v>2400</v>
      </c>
      <c r="AE1783" s="38" t="s">
        <v>173</v>
      </c>
      <c r="AF1783" s="38" t="s">
        <v>83</v>
      </c>
      <c r="AG1783" s="96" t="s">
        <v>83</v>
      </c>
      <c r="AH1783" s="96" t="s">
        <v>545</v>
      </c>
      <c r="AI1783" s="97">
        <v>41661</v>
      </c>
      <c r="AJ1783" s="78">
        <v>41706</v>
      </c>
      <c r="AK1783" s="83"/>
      <c r="AL1783" s="80"/>
      <c r="AM1783" s="80" t="s">
        <v>4124</v>
      </c>
      <c r="AN1783" s="100" t="s">
        <v>171</v>
      </c>
      <c r="AO1783" s="82">
        <v>879</v>
      </c>
      <c r="AP1783" s="79" t="s">
        <v>542</v>
      </c>
      <c r="AQ1783" s="77">
        <v>1</v>
      </c>
      <c r="AR1783" s="101">
        <v>45</v>
      </c>
      <c r="AS1783" s="83" t="s">
        <v>547</v>
      </c>
      <c r="AT1783" s="78">
        <v>41726</v>
      </c>
      <c r="AU1783" s="52">
        <v>41726</v>
      </c>
      <c r="AV1783" s="52">
        <v>42004</v>
      </c>
      <c r="AW1783" s="79">
        <v>2014</v>
      </c>
      <c r="AX1783" s="80" t="s">
        <v>4124</v>
      </c>
      <c r="AY1783" s="135"/>
      <c r="AZ1783" s="80"/>
      <c r="BA1783" s="79"/>
      <c r="BB1783" s="79"/>
      <c r="BC1783" s="80"/>
      <c r="BD1783" s="80"/>
      <c r="BE1783" s="239"/>
      <c r="BF1783" s="239"/>
      <c r="BG1783" s="239"/>
      <c r="BH1783" s="239"/>
      <c r="BI1783" s="239"/>
      <c r="BJ1783" s="240"/>
      <c r="BK1783" s="239"/>
    </row>
    <row r="1784" spans="1:63" s="605" customFormat="1" ht="60" customHeight="1">
      <c r="A1784" s="25">
        <v>8</v>
      </c>
      <c r="B1784" s="100" t="s">
        <v>4127</v>
      </c>
      <c r="C1784" s="100" t="s">
        <v>83</v>
      </c>
      <c r="D1784" s="96" t="s">
        <v>1105</v>
      </c>
      <c r="E1784" s="38" t="s">
        <v>522</v>
      </c>
      <c r="F1784" s="318" t="s">
        <v>164</v>
      </c>
      <c r="G1784" s="318">
        <v>7414000</v>
      </c>
      <c r="H1784" s="160">
        <v>626183</v>
      </c>
      <c r="I1784" s="99" t="s">
        <v>4125</v>
      </c>
      <c r="J1784" s="99" t="s">
        <v>4123</v>
      </c>
      <c r="K1784" s="99" t="s">
        <v>4123</v>
      </c>
      <c r="L1784" s="16" t="s">
        <v>180</v>
      </c>
      <c r="M1784" s="464" t="s">
        <v>5889</v>
      </c>
      <c r="N1784" s="83" t="s">
        <v>5890</v>
      </c>
      <c r="O1784" s="83" t="s">
        <v>769</v>
      </c>
      <c r="P1784" s="356">
        <v>2400</v>
      </c>
      <c r="Q1784" s="356">
        <v>2400</v>
      </c>
      <c r="R1784" s="241"/>
      <c r="S1784" s="241"/>
      <c r="T1784" s="241"/>
      <c r="U1784" s="241"/>
      <c r="V1784" s="241"/>
      <c r="W1784" s="241"/>
      <c r="X1784" s="241"/>
      <c r="Y1784" s="356">
        <v>2400</v>
      </c>
      <c r="Z1784" s="356">
        <v>2400</v>
      </c>
      <c r="AA1784" s="36" t="s">
        <v>132</v>
      </c>
      <c r="AB1784" s="36" t="s">
        <v>132</v>
      </c>
      <c r="AC1784" s="356">
        <v>2400</v>
      </c>
      <c r="AD1784" s="356">
        <v>2400</v>
      </c>
      <c r="AE1784" s="38" t="s">
        <v>173</v>
      </c>
      <c r="AF1784" s="38" t="s">
        <v>83</v>
      </c>
      <c r="AG1784" s="96" t="s">
        <v>83</v>
      </c>
      <c r="AH1784" s="96" t="s">
        <v>545</v>
      </c>
      <c r="AI1784" s="97">
        <v>41661</v>
      </c>
      <c r="AJ1784" s="78">
        <v>41706</v>
      </c>
      <c r="AK1784" s="83"/>
      <c r="AL1784" s="80"/>
      <c r="AM1784" s="80" t="s">
        <v>4125</v>
      </c>
      <c r="AN1784" s="100" t="s">
        <v>171</v>
      </c>
      <c r="AO1784" s="82">
        <v>879</v>
      </c>
      <c r="AP1784" s="79" t="s">
        <v>542</v>
      </c>
      <c r="AQ1784" s="77">
        <v>1</v>
      </c>
      <c r="AR1784" s="101">
        <v>45</v>
      </c>
      <c r="AS1784" s="83" t="s">
        <v>547</v>
      </c>
      <c r="AT1784" s="78">
        <v>41726</v>
      </c>
      <c r="AU1784" s="52">
        <v>41726</v>
      </c>
      <c r="AV1784" s="52">
        <v>42004</v>
      </c>
      <c r="AW1784" s="79">
        <v>2014</v>
      </c>
      <c r="AX1784" s="80" t="s">
        <v>4125</v>
      </c>
      <c r="AY1784" s="135"/>
      <c r="AZ1784" s="80"/>
      <c r="BA1784" s="79"/>
      <c r="BB1784" s="79"/>
      <c r="BC1784" s="80"/>
      <c r="BD1784" s="80"/>
      <c r="BE1784" s="239"/>
      <c r="BF1784" s="239"/>
      <c r="BG1784" s="239"/>
      <c r="BH1784" s="239"/>
      <c r="BI1784" s="239"/>
      <c r="BJ1784" s="240"/>
      <c r="BK1784" s="239"/>
    </row>
    <row r="1785" spans="1:63" s="605" customFormat="1" ht="110.25" customHeight="1">
      <c r="A1785" s="25">
        <v>8</v>
      </c>
      <c r="B1785" s="100" t="s">
        <v>4554</v>
      </c>
      <c r="C1785" s="100" t="s">
        <v>83</v>
      </c>
      <c r="D1785" s="96" t="s">
        <v>3249</v>
      </c>
      <c r="E1785" s="38" t="s">
        <v>250</v>
      </c>
      <c r="F1785" s="318" t="s">
        <v>3250</v>
      </c>
      <c r="G1785" s="318">
        <v>6400000</v>
      </c>
      <c r="H1785" s="160">
        <v>842679</v>
      </c>
      <c r="I1785" s="99" t="s">
        <v>4555</v>
      </c>
      <c r="J1785" s="99" t="s">
        <v>1580</v>
      </c>
      <c r="K1785" s="194" t="s">
        <v>1580</v>
      </c>
      <c r="L1785" s="16" t="s">
        <v>180</v>
      </c>
      <c r="M1785" s="134" t="s">
        <v>1175</v>
      </c>
      <c r="N1785" s="461" t="s">
        <v>592</v>
      </c>
      <c r="O1785" s="83" t="s">
        <v>4556</v>
      </c>
      <c r="P1785" s="356">
        <v>2800</v>
      </c>
      <c r="Q1785" s="356">
        <f t="shared" ref="Q1785" si="244">P1785*1.18</f>
        <v>3304</v>
      </c>
      <c r="R1785" s="241"/>
      <c r="S1785" s="241"/>
      <c r="T1785" s="241"/>
      <c r="U1785" s="241"/>
      <c r="V1785" s="241"/>
      <c r="W1785" s="241"/>
      <c r="X1785" s="241"/>
      <c r="Y1785" s="356">
        <v>2800</v>
      </c>
      <c r="Z1785" s="356">
        <f>Y1785*1.18</f>
        <v>3304</v>
      </c>
      <c r="AA1785" s="36" t="s">
        <v>132</v>
      </c>
      <c r="AB1785" s="36" t="s">
        <v>132</v>
      </c>
      <c r="AC1785" s="356">
        <v>2800</v>
      </c>
      <c r="AD1785" s="356">
        <f t="shared" ref="AD1785" si="245">AC1785*1.18</f>
        <v>3304</v>
      </c>
      <c r="AE1785" s="38" t="s">
        <v>173</v>
      </c>
      <c r="AF1785" s="38" t="s">
        <v>83</v>
      </c>
      <c r="AG1785" s="96" t="s">
        <v>83</v>
      </c>
      <c r="AH1785" s="96" t="s">
        <v>545</v>
      </c>
      <c r="AI1785" s="97">
        <v>41699</v>
      </c>
      <c r="AJ1785" s="78">
        <v>41712</v>
      </c>
      <c r="AK1785" s="83"/>
      <c r="AL1785" s="80"/>
      <c r="AM1785" s="80" t="s">
        <v>4557</v>
      </c>
      <c r="AN1785" s="100" t="s">
        <v>3253</v>
      </c>
      <c r="AO1785" s="82">
        <v>796</v>
      </c>
      <c r="AP1785" s="79" t="s">
        <v>3254</v>
      </c>
      <c r="AQ1785" s="77">
        <v>1</v>
      </c>
      <c r="AR1785" s="101">
        <v>46239</v>
      </c>
      <c r="AS1785" s="83" t="s">
        <v>3255</v>
      </c>
      <c r="AT1785" s="78">
        <v>41732</v>
      </c>
      <c r="AU1785" s="52">
        <v>41732</v>
      </c>
      <c r="AV1785" s="224">
        <v>42094</v>
      </c>
      <c r="AW1785" s="79" t="s">
        <v>99</v>
      </c>
      <c r="AX1785" s="80"/>
      <c r="AY1785" s="135"/>
      <c r="AZ1785" s="80"/>
      <c r="BA1785" s="79"/>
      <c r="BB1785" s="79"/>
      <c r="BC1785" s="80"/>
      <c r="BD1785" s="80"/>
      <c r="BE1785" s="239"/>
      <c r="BF1785" s="239"/>
      <c r="BG1785" s="239"/>
      <c r="BH1785" s="239"/>
      <c r="BI1785" s="239"/>
      <c r="BJ1785" s="240"/>
      <c r="BK1785" s="238"/>
    </row>
    <row r="1786" spans="1:63" s="605" customFormat="1" ht="122.25" customHeight="1">
      <c r="A1786" s="25">
        <v>8</v>
      </c>
      <c r="B1786" s="100" t="s">
        <v>4564</v>
      </c>
      <c r="C1786" s="100" t="s">
        <v>83</v>
      </c>
      <c r="D1786" s="96" t="s">
        <v>160</v>
      </c>
      <c r="E1786" s="38" t="s">
        <v>214</v>
      </c>
      <c r="F1786" s="318" t="s">
        <v>4565</v>
      </c>
      <c r="G1786" s="318">
        <v>7422000</v>
      </c>
      <c r="H1786" s="160">
        <v>626590</v>
      </c>
      <c r="I1786" s="99" t="s">
        <v>4566</v>
      </c>
      <c r="J1786" s="99" t="s">
        <v>275</v>
      </c>
      <c r="K1786" s="99" t="s">
        <v>3001</v>
      </c>
      <c r="L1786" s="16" t="s">
        <v>180</v>
      </c>
      <c r="M1786" s="83">
        <v>201050701</v>
      </c>
      <c r="N1786" s="83" t="s">
        <v>5942</v>
      </c>
      <c r="O1786" s="83" t="s">
        <v>1490</v>
      </c>
      <c r="P1786" s="356">
        <v>5420</v>
      </c>
      <c r="Q1786" s="356">
        <f>P1786*1.18</f>
        <v>6395.5999999999995</v>
      </c>
      <c r="R1786" s="241"/>
      <c r="S1786" s="241"/>
      <c r="T1786" s="241"/>
      <c r="U1786" s="241"/>
      <c r="V1786" s="241"/>
      <c r="W1786" s="241"/>
      <c r="X1786" s="241"/>
      <c r="Y1786" s="356">
        <v>5420</v>
      </c>
      <c r="Z1786" s="356">
        <f>Y1786*1.18</f>
        <v>6395.5999999999995</v>
      </c>
      <c r="AA1786" s="36" t="s">
        <v>132</v>
      </c>
      <c r="AB1786" s="36" t="s">
        <v>132</v>
      </c>
      <c r="AC1786" s="356">
        <v>5420</v>
      </c>
      <c r="AD1786" s="356">
        <f>AC1786*1.18</f>
        <v>6395.5999999999995</v>
      </c>
      <c r="AE1786" s="38" t="s">
        <v>173</v>
      </c>
      <c r="AF1786" s="38" t="s">
        <v>83</v>
      </c>
      <c r="AG1786" s="96" t="s">
        <v>83</v>
      </c>
      <c r="AH1786" s="96" t="s">
        <v>90</v>
      </c>
      <c r="AI1786" s="97">
        <v>41687</v>
      </c>
      <c r="AJ1786" s="78">
        <v>41715</v>
      </c>
      <c r="AK1786" s="83"/>
      <c r="AL1786" s="80"/>
      <c r="AM1786" s="80" t="s">
        <v>4567</v>
      </c>
      <c r="AN1786" s="100" t="s">
        <v>171</v>
      </c>
      <c r="AO1786" s="82">
        <v>769</v>
      </c>
      <c r="AP1786" s="79" t="s">
        <v>4568</v>
      </c>
      <c r="AQ1786" s="77">
        <v>20</v>
      </c>
      <c r="AR1786" s="101" t="s">
        <v>228</v>
      </c>
      <c r="AS1786" s="83" t="s">
        <v>512</v>
      </c>
      <c r="AT1786" s="78">
        <v>41735</v>
      </c>
      <c r="AU1786" s="52">
        <v>41735</v>
      </c>
      <c r="AV1786" s="52">
        <v>42095</v>
      </c>
      <c r="AW1786" s="79" t="s">
        <v>99</v>
      </c>
      <c r="AX1786" s="80"/>
      <c r="AY1786" s="135"/>
      <c r="AZ1786" s="80"/>
      <c r="BA1786" s="79"/>
      <c r="BB1786" s="79"/>
      <c r="BC1786" s="80"/>
      <c r="BD1786" s="80"/>
      <c r="BE1786" s="239"/>
      <c r="BF1786" s="239"/>
      <c r="BG1786" s="239"/>
      <c r="BH1786" s="239"/>
      <c r="BI1786" s="239"/>
      <c r="BJ1786" s="240"/>
      <c r="BK1786" s="239"/>
    </row>
    <row r="1787" spans="1:63" s="605" customFormat="1" ht="75">
      <c r="A1787" s="25">
        <v>8</v>
      </c>
      <c r="B1787" s="100" t="s">
        <v>4672</v>
      </c>
      <c r="C1787" s="100" t="s">
        <v>83</v>
      </c>
      <c r="D1787" s="96" t="s">
        <v>3109</v>
      </c>
      <c r="E1787" s="38" t="s">
        <v>250</v>
      </c>
      <c r="F1787" s="79" t="s">
        <v>1378</v>
      </c>
      <c r="G1787" s="79">
        <v>4010412</v>
      </c>
      <c r="H1787" s="160">
        <v>842985</v>
      </c>
      <c r="I1787" s="99" t="s">
        <v>4673</v>
      </c>
      <c r="J1787" s="99" t="s">
        <v>773</v>
      </c>
      <c r="K1787" s="99" t="s">
        <v>773</v>
      </c>
      <c r="L1787" s="16" t="s">
        <v>88</v>
      </c>
      <c r="M1787" s="83">
        <v>201070703</v>
      </c>
      <c r="N1787" s="83" t="s">
        <v>5932</v>
      </c>
      <c r="O1787" s="83" t="s">
        <v>1463</v>
      </c>
      <c r="P1787" s="356">
        <v>1152.943</v>
      </c>
      <c r="Q1787" s="356">
        <f t="shared" ref="Q1787" si="246">P1787*1.18</f>
        <v>1360.4727399999999</v>
      </c>
      <c r="R1787" s="241"/>
      <c r="S1787" s="241"/>
      <c r="T1787" s="241"/>
      <c r="U1787" s="241"/>
      <c r="V1787" s="241"/>
      <c r="W1787" s="241"/>
      <c r="X1787" s="241"/>
      <c r="Y1787" s="356">
        <v>1152.943</v>
      </c>
      <c r="Z1787" s="356">
        <f t="shared" ref="Z1787" si="247">Y1787*1.18</f>
        <v>1360.4727399999999</v>
      </c>
      <c r="AA1787" s="36" t="s">
        <v>132</v>
      </c>
      <c r="AB1787" s="36" t="s">
        <v>132</v>
      </c>
      <c r="AC1787" s="356">
        <v>1152.943</v>
      </c>
      <c r="AD1787" s="356">
        <f t="shared" ref="AD1787" si="248">AC1787*1.18</f>
        <v>1360.4727399999999</v>
      </c>
      <c r="AE1787" s="38" t="s">
        <v>173</v>
      </c>
      <c r="AF1787" s="38" t="s">
        <v>83</v>
      </c>
      <c r="AG1787" s="96" t="s">
        <v>83</v>
      </c>
      <c r="AH1787" s="96" t="s">
        <v>90</v>
      </c>
      <c r="AI1787" s="97">
        <v>41624</v>
      </c>
      <c r="AJ1787" s="52">
        <v>41649</v>
      </c>
      <c r="AK1787" s="83"/>
      <c r="AL1787" s="80"/>
      <c r="AM1787" s="80" t="str">
        <f>I1787</f>
        <v xml:space="preserve">Ремонт спортивно-оздоровительного комплекса (спортивная площадка) Коломенского РЭС </v>
      </c>
      <c r="AN1787" s="100" t="s">
        <v>171</v>
      </c>
      <c r="AO1787" s="82">
        <v>796</v>
      </c>
      <c r="AP1787" s="79" t="s">
        <v>419</v>
      </c>
      <c r="AQ1787" s="77">
        <v>1</v>
      </c>
      <c r="AR1787" s="101" t="s">
        <v>3204</v>
      </c>
      <c r="AS1787" s="83" t="s">
        <v>142</v>
      </c>
      <c r="AT1787" s="78">
        <v>41671</v>
      </c>
      <c r="AU1787" s="52">
        <v>41760</v>
      </c>
      <c r="AV1787" s="52">
        <v>41820</v>
      </c>
      <c r="AW1787" s="79">
        <v>2014</v>
      </c>
      <c r="AX1787" s="80"/>
      <c r="AY1787" s="135"/>
      <c r="AZ1787" s="80"/>
      <c r="BA1787" s="79"/>
      <c r="BB1787" s="79"/>
      <c r="BC1787" s="80"/>
      <c r="BD1787" s="80"/>
      <c r="BE1787" s="239"/>
      <c r="BF1787" s="239"/>
      <c r="BG1787" s="239"/>
      <c r="BH1787" s="239"/>
      <c r="BI1787" s="239"/>
      <c r="BJ1787" s="240"/>
      <c r="BK1787" s="235"/>
    </row>
    <row r="1788" spans="1:63" s="605" customFormat="1" ht="84" customHeight="1">
      <c r="A1788" s="586">
        <v>8</v>
      </c>
      <c r="B1788" s="100" t="s">
        <v>3163</v>
      </c>
      <c r="C1788" s="100" t="s">
        <v>83</v>
      </c>
      <c r="D1788" s="96" t="s">
        <v>3109</v>
      </c>
      <c r="E1788" s="467" t="s">
        <v>250</v>
      </c>
      <c r="F1788" s="79" t="s">
        <v>1378</v>
      </c>
      <c r="G1788" s="79">
        <v>4010412</v>
      </c>
      <c r="H1788" s="160">
        <v>842609</v>
      </c>
      <c r="I1788" s="99" t="s">
        <v>3164</v>
      </c>
      <c r="J1788" s="99" t="s">
        <v>3165</v>
      </c>
      <c r="K1788" s="194" t="s">
        <v>4724</v>
      </c>
      <c r="L1788" s="462" t="s">
        <v>180</v>
      </c>
      <c r="M1788" s="191" t="s">
        <v>1175</v>
      </c>
      <c r="N1788" s="83" t="s">
        <v>825</v>
      </c>
      <c r="O1788" s="83" t="s">
        <v>271</v>
      </c>
      <c r="P1788" s="455">
        <v>12300</v>
      </c>
      <c r="Q1788" s="455">
        <f>P1788*1.18</f>
        <v>14514</v>
      </c>
      <c r="R1788" s="432"/>
      <c r="S1788" s="432"/>
      <c r="T1788" s="432"/>
      <c r="U1788" s="432"/>
      <c r="V1788" s="432"/>
      <c r="W1788" s="432"/>
      <c r="X1788" s="432"/>
      <c r="Y1788" s="588">
        <v>12300</v>
      </c>
      <c r="Z1788" s="588">
        <f>Y1788*1.18</f>
        <v>14514</v>
      </c>
      <c r="AA1788" s="36" t="s">
        <v>132</v>
      </c>
      <c r="AB1788" s="36" t="s">
        <v>132</v>
      </c>
      <c r="AC1788" s="588">
        <v>12300</v>
      </c>
      <c r="AD1788" s="588">
        <f>AC1788*1.18</f>
        <v>14514</v>
      </c>
      <c r="AE1788" s="38" t="s">
        <v>169</v>
      </c>
      <c r="AF1788" s="38" t="s">
        <v>83</v>
      </c>
      <c r="AG1788" s="96" t="s">
        <v>83</v>
      </c>
      <c r="AH1788" s="96" t="s">
        <v>90</v>
      </c>
      <c r="AI1788" s="78">
        <v>41669</v>
      </c>
      <c r="AJ1788" s="78">
        <v>41728</v>
      </c>
      <c r="AK1788" s="83"/>
      <c r="AL1788" s="80"/>
      <c r="AM1788" s="80" t="s">
        <v>3166</v>
      </c>
      <c r="AN1788" s="100" t="s">
        <v>3052</v>
      </c>
      <c r="AO1788" s="82">
        <v>796</v>
      </c>
      <c r="AP1788" s="79" t="s">
        <v>419</v>
      </c>
      <c r="AQ1788" s="77">
        <v>1</v>
      </c>
      <c r="AR1788" s="162" t="s">
        <v>4682</v>
      </c>
      <c r="AS1788" s="83" t="s">
        <v>3054</v>
      </c>
      <c r="AT1788" s="78">
        <v>41744</v>
      </c>
      <c r="AU1788" s="52">
        <v>41744</v>
      </c>
      <c r="AV1788" s="52">
        <v>42078</v>
      </c>
      <c r="AW1788" s="79" t="s">
        <v>99</v>
      </c>
      <c r="AX1788" s="80"/>
      <c r="AY1788" s="135"/>
      <c r="AZ1788" s="80"/>
      <c r="BA1788" s="79" t="s">
        <v>132</v>
      </c>
      <c r="BB1788" s="79" t="s">
        <v>132</v>
      </c>
      <c r="BC1788" s="80" t="s">
        <v>132</v>
      </c>
      <c r="BD1788" s="80" t="s">
        <v>132</v>
      </c>
      <c r="BE1788" s="612" t="s">
        <v>132</v>
      </c>
      <c r="BF1788" s="612" t="s">
        <v>132</v>
      </c>
      <c r="BG1788" s="612" t="s">
        <v>132</v>
      </c>
      <c r="BH1788" s="612" t="s">
        <v>132</v>
      </c>
      <c r="BI1788" s="612" t="s">
        <v>132</v>
      </c>
      <c r="BJ1788" s="100" t="s">
        <v>132</v>
      </c>
      <c r="BK1788" s="318"/>
    </row>
    <row r="1789" spans="1:63" s="605" customFormat="1" ht="96" customHeight="1">
      <c r="A1789" s="25">
        <v>8</v>
      </c>
      <c r="B1789" s="100" t="s">
        <v>5159</v>
      </c>
      <c r="C1789" s="100" t="s">
        <v>83</v>
      </c>
      <c r="D1789" s="96" t="s">
        <v>4066</v>
      </c>
      <c r="E1789" s="38" t="s">
        <v>250</v>
      </c>
      <c r="F1789" s="79" t="s">
        <v>4067</v>
      </c>
      <c r="G1789" s="79">
        <v>9430000</v>
      </c>
      <c r="H1789" s="160">
        <v>624612</v>
      </c>
      <c r="I1789" s="99" t="s">
        <v>5161</v>
      </c>
      <c r="J1789" s="99" t="s">
        <v>192</v>
      </c>
      <c r="K1789" s="194" t="s">
        <v>192</v>
      </c>
      <c r="L1789" s="16" t="s">
        <v>180</v>
      </c>
      <c r="M1789" s="191">
        <v>201050103</v>
      </c>
      <c r="N1789" s="83" t="s">
        <v>849</v>
      </c>
      <c r="O1789" s="83" t="s">
        <v>271</v>
      </c>
      <c r="P1789" s="455">
        <v>4733.09</v>
      </c>
      <c r="Q1789" s="356">
        <f>P1789*1.18</f>
        <v>5585.0461999999998</v>
      </c>
      <c r="R1789" s="241"/>
      <c r="S1789" s="241"/>
      <c r="T1789" s="241"/>
      <c r="U1789" s="241"/>
      <c r="V1789" s="241"/>
      <c r="W1789" s="241"/>
      <c r="X1789" s="241"/>
      <c r="Y1789" s="455">
        <v>4733.09</v>
      </c>
      <c r="Z1789" s="356">
        <f>Y1789*1.18</f>
        <v>5585.0461999999998</v>
      </c>
      <c r="AA1789" s="36" t="s">
        <v>132</v>
      </c>
      <c r="AB1789" s="36" t="s">
        <v>132</v>
      </c>
      <c r="AC1789" s="455">
        <v>4733.09</v>
      </c>
      <c r="AD1789" s="356">
        <f>AC1789*1.18</f>
        <v>5585.0461999999998</v>
      </c>
      <c r="AE1789" s="38" t="s">
        <v>173</v>
      </c>
      <c r="AF1789" s="38" t="s">
        <v>83</v>
      </c>
      <c r="AG1789" s="96" t="s">
        <v>83</v>
      </c>
      <c r="AH1789" s="96" t="s">
        <v>90</v>
      </c>
      <c r="AI1789" s="97">
        <v>41654</v>
      </c>
      <c r="AJ1789" s="78">
        <v>41669</v>
      </c>
      <c r="AK1789" s="83"/>
      <c r="AL1789" s="80"/>
      <c r="AM1789" s="80" t="s">
        <v>4070</v>
      </c>
      <c r="AN1789" s="100" t="s">
        <v>171</v>
      </c>
      <c r="AO1789" s="82">
        <v>796</v>
      </c>
      <c r="AP1789" s="79" t="s">
        <v>419</v>
      </c>
      <c r="AQ1789" s="77">
        <v>1</v>
      </c>
      <c r="AR1789" s="162">
        <v>45</v>
      </c>
      <c r="AS1789" s="83" t="s">
        <v>512</v>
      </c>
      <c r="AT1789" s="78">
        <v>41671</v>
      </c>
      <c r="AU1789" s="52">
        <v>41671</v>
      </c>
      <c r="AV1789" s="52">
        <v>42035</v>
      </c>
      <c r="AW1789" s="79" t="s">
        <v>99</v>
      </c>
      <c r="AX1789" s="80"/>
      <c r="AY1789" s="135"/>
      <c r="AZ1789" s="80"/>
      <c r="BA1789" s="79" t="s">
        <v>132</v>
      </c>
      <c r="BB1789" s="79" t="s">
        <v>132</v>
      </c>
      <c r="BC1789" s="80" t="s">
        <v>132</v>
      </c>
      <c r="BD1789" s="80" t="s">
        <v>132</v>
      </c>
      <c r="BE1789" s="239" t="s">
        <v>132</v>
      </c>
      <c r="BF1789" s="239" t="s">
        <v>132</v>
      </c>
      <c r="BG1789" s="239" t="s">
        <v>132</v>
      </c>
      <c r="BH1789" s="239" t="s">
        <v>132</v>
      </c>
      <c r="BI1789" s="239" t="s">
        <v>132</v>
      </c>
      <c r="BJ1789" s="240" t="s">
        <v>132</v>
      </c>
      <c r="BK1789" s="235"/>
    </row>
    <row r="1790" spans="1:63" s="605" customFormat="1" ht="99" customHeight="1">
      <c r="A1790" s="25">
        <v>8</v>
      </c>
      <c r="B1790" s="100" t="s">
        <v>5160</v>
      </c>
      <c r="C1790" s="100" t="s">
        <v>83</v>
      </c>
      <c r="D1790" s="96" t="s">
        <v>4066</v>
      </c>
      <c r="E1790" s="38" t="s">
        <v>250</v>
      </c>
      <c r="F1790" s="79" t="s">
        <v>486</v>
      </c>
      <c r="G1790" s="79">
        <v>7244000</v>
      </c>
      <c r="H1790" s="160">
        <v>624620</v>
      </c>
      <c r="I1790" s="99" t="s">
        <v>5162</v>
      </c>
      <c r="J1790" s="99" t="s">
        <v>192</v>
      </c>
      <c r="K1790" s="194" t="s">
        <v>192</v>
      </c>
      <c r="L1790" s="16" t="s">
        <v>180</v>
      </c>
      <c r="M1790" s="191">
        <v>201050103</v>
      </c>
      <c r="N1790" s="83" t="s">
        <v>849</v>
      </c>
      <c r="O1790" s="83" t="s">
        <v>271</v>
      </c>
      <c r="P1790" s="455">
        <v>17850.96702</v>
      </c>
      <c r="Q1790" s="455">
        <f>P1790*1.18</f>
        <v>21064.1410836</v>
      </c>
      <c r="R1790" s="241"/>
      <c r="S1790" s="241"/>
      <c r="T1790" s="241"/>
      <c r="U1790" s="241"/>
      <c r="V1790" s="241"/>
      <c r="W1790" s="241"/>
      <c r="X1790" s="241"/>
      <c r="Y1790" s="455">
        <v>17850.96702</v>
      </c>
      <c r="Z1790" s="455">
        <f>Y1790*1.18</f>
        <v>21064.1410836</v>
      </c>
      <c r="AA1790" s="36" t="s">
        <v>132</v>
      </c>
      <c r="AB1790" s="36" t="s">
        <v>132</v>
      </c>
      <c r="AC1790" s="455">
        <v>17850.96702</v>
      </c>
      <c r="AD1790" s="455">
        <f>AC1790*1.18</f>
        <v>21064.1410836</v>
      </c>
      <c r="AE1790" s="38" t="s">
        <v>169</v>
      </c>
      <c r="AF1790" s="38" t="s">
        <v>83</v>
      </c>
      <c r="AG1790" s="96" t="s">
        <v>83</v>
      </c>
      <c r="AH1790" s="96" t="s">
        <v>90</v>
      </c>
      <c r="AI1790" s="97">
        <v>41654</v>
      </c>
      <c r="AJ1790" s="78">
        <v>41669</v>
      </c>
      <c r="AK1790" s="83"/>
      <c r="AL1790" s="80"/>
      <c r="AM1790" s="80" t="s">
        <v>5162</v>
      </c>
      <c r="AN1790" s="100" t="s">
        <v>171</v>
      </c>
      <c r="AO1790" s="82">
        <v>796</v>
      </c>
      <c r="AP1790" s="79" t="s">
        <v>419</v>
      </c>
      <c r="AQ1790" s="77">
        <v>1</v>
      </c>
      <c r="AR1790" s="162">
        <v>45</v>
      </c>
      <c r="AS1790" s="83" t="s">
        <v>512</v>
      </c>
      <c r="AT1790" s="78">
        <v>41684</v>
      </c>
      <c r="AU1790" s="52">
        <v>41684</v>
      </c>
      <c r="AV1790" s="52">
        <v>42779</v>
      </c>
      <c r="AW1790" s="79" t="s">
        <v>1113</v>
      </c>
      <c r="AX1790" s="80"/>
      <c r="AY1790" s="135"/>
      <c r="AZ1790" s="80"/>
      <c r="BA1790" s="79" t="s">
        <v>132</v>
      </c>
      <c r="BB1790" s="79" t="s">
        <v>132</v>
      </c>
      <c r="BC1790" s="80" t="s">
        <v>132</v>
      </c>
      <c r="BD1790" s="80" t="s">
        <v>132</v>
      </c>
      <c r="BE1790" s="239" t="s">
        <v>132</v>
      </c>
      <c r="BF1790" s="239" t="s">
        <v>132</v>
      </c>
      <c r="BG1790" s="239" t="s">
        <v>132</v>
      </c>
      <c r="BH1790" s="239" t="s">
        <v>132</v>
      </c>
      <c r="BI1790" s="239" t="s">
        <v>132</v>
      </c>
      <c r="BJ1790" s="240" t="s">
        <v>132</v>
      </c>
      <c r="BK1790" s="235"/>
    </row>
    <row r="1791" spans="1:63" s="603" customFormat="1">
      <c r="A1791" s="91" t="s">
        <v>132</v>
      </c>
      <c r="B1791" s="7" t="s">
        <v>132</v>
      </c>
      <c r="C1791" s="7" t="s">
        <v>132</v>
      </c>
      <c r="D1791" s="7" t="s">
        <v>132</v>
      </c>
      <c r="E1791" s="7" t="s">
        <v>132</v>
      </c>
      <c r="F1791" s="7" t="s">
        <v>132</v>
      </c>
      <c r="G1791" s="7" t="s">
        <v>132</v>
      </c>
      <c r="H1791" s="7" t="s">
        <v>132</v>
      </c>
      <c r="I1791" s="7" t="s">
        <v>132</v>
      </c>
      <c r="J1791" s="7" t="s">
        <v>132</v>
      </c>
      <c r="K1791" s="7" t="s">
        <v>132</v>
      </c>
      <c r="L1791" s="7" t="s">
        <v>132</v>
      </c>
      <c r="M1791" s="190" t="s">
        <v>132</v>
      </c>
      <c r="N1791" s="7" t="s">
        <v>132</v>
      </c>
      <c r="O1791" s="7" t="s">
        <v>132</v>
      </c>
      <c r="P1791" s="7" t="s">
        <v>132</v>
      </c>
      <c r="Q1791" s="7" t="s">
        <v>132</v>
      </c>
      <c r="R1791" s="7" t="s">
        <v>132</v>
      </c>
      <c r="S1791" s="7" t="s">
        <v>132</v>
      </c>
      <c r="T1791" s="7" t="s">
        <v>132</v>
      </c>
      <c r="U1791" s="7" t="s">
        <v>132</v>
      </c>
      <c r="V1791" s="7" t="s">
        <v>132</v>
      </c>
      <c r="W1791" s="7" t="s">
        <v>132</v>
      </c>
      <c r="X1791" s="7" t="s">
        <v>132</v>
      </c>
      <c r="Y1791" s="7" t="s">
        <v>132</v>
      </c>
      <c r="Z1791" s="7" t="s">
        <v>132</v>
      </c>
      <c r="AA1791" s="225" t="s">
        <v>132</v>
      </c>
      <c r="AB1791" s="225" t="s">
        <v>132</v>
      </c>
      <c r="AC1791" s="7" t="s">
        <v>132</v>
      </c>
      <c r="AD1791" s="7" t="s">
        <v>132</v>
      </c>
      <c r="AE1791" s="7" t="s">
        <v>132</v>
      </c>
      <c r="AF1791" s="7" t="s">
        <v>132</v>
      </c>
      <c r="AG1791" s="7" t="s">
        <v>132</v>
      </c>
      <c r="AH1791" s="7" t="s">
        <v>132</v>
      </c>
      <c r="AI1791" s="7" t="s">
        <v>132</v>
      </c>
      <c r="AJ1791" s="7" t="s">
        <v>132</v>
      </c>
      <c r="AK1791" s="7" t="s">
        <v>132</v>
      </c>
      <c r="AL1791" s="7" t="s">
        <v>132</v>
      </c>
      <c r="AM1791" s="7" t="s">
        <v>132</v>
      </c>
      <c r="AN1791" s="7" t="s">
        <v>132</v>
      </c>
      <c r="AO1791" s="7" t="s">
        <v>132</v>
      </c>
      <c r="AP1791" s="7" t="s">
        <v>132</v>
      </c>
      <c r="AQ1791" s="7" t="s">
        <v>132</v>
      </c>
      <c r="AR1791" s="7" t="s">
        <v>132</v>
      </c>
      <c r="AS1791" s="7" t="s">
        <v>132</v>
      </c>
      <c r="AT1791" s="7" t="s">
        <v>132</v>
      </c>
      <c r="AU1791" s="7" t="s">
        <v>132</v>
      </c>
      <c r="AV1791" s="7" t="s">
        <v>132</v>
      </c>
      <c r="AW1791" s="7" t="s">
        <v>132</v>
      </c>
      <c r="AX1791" s="7" t="s">
        <v>132</v>
      </c>
      <c r="AY1791" s="7" t="s">
        <v>132</v>
      </c>
      <c r="AZ1791" s="7" t="s">
        <v>132</v>
      </c>
      <c r="BA1791" s="7" t="s">
        <v>132</v>
      </c>
      <c r="BB1791" s="7" t="s">
        <v>132</v>
      </c>
      <c r="BC1791" s="7" t="s">
        <v>132</v>
      </c>
      <c r="BD1791" s="7" t="s">
        <v>132</v>
      </c>
      <c r="BE1791" s="7" t="s">
        <v>132</v>
      </c>
      <c r="BF1791" s="7" t="s">
        <v>132</v>
      </c>
      <c r="BG1791" s="7" t="s">
        <v>132</v>
      </c>
      <c r="BH1791" s="7" t="s">
        <v>132</v>
      </c>
      <c r="BI1791" s="7" t="s">
        <v>132</v>
      </c>
      <c r="BJ1791" s="7" t="s">
        <v>132</v>
      </c>
      <c r="BK1791" s="7"/>
    </row>
    <row r="1792" spans="1:63" s="603" customFormat="1" ht="36.75" customHeight="1">
      <c r="A1792" s="91" t="s">
        <v>132</v>
      </c>
      <c r="B1792" s="7" t="s">
        <v>132</v>
      </c>
      <c r="C1792" s="7" t="s">
        <v>132</v>
      </c>
      <c r="D1792" s="7" t="s">
        <v>132</v>
      </c>
      <c r="E1792" s="7" t="s">
        <v>132</v>
      </c>
      <c r="F1792" s="7" t="s">
        <v>132</v>
      </c>
      <c r="G1792" s="7" t="s">
        <v>132</v>
      </c>
      <c r="H1792" s="7" t="s">
        <v>132</v>
      </c>
      <c r="I1792" s="8" t="s">
        <v>3046</v>
      </c>
      <c r="J1792" s="7" t="s">
        <v>132</v>
      </c>
      <c r="K1792" s="7" t="s">
        <v>132</v>
      </c>
      <c r="L1792" s="7" t="s">
        <v>132</v>
      </c>
      <c r="M1792" s="190" t="s">
        <v>132</v>
      </c>
      <c r="N1792" s="7" t="s">
        <v>132</v>
      </c>
      <c r="O1792" s="7" t="s">
        <v>132</v>
      </c>
      <c r="P1792" s="102">
        <f>SUMIFS(Сумма_16,Филиал,"=ОАО*",ВД,"=8")</f>
        <v>4221691.3855100004</v>
      </c>
      <c r="Q1792" s="102">
        <f>SUMIFS(Сумма_17,Филиал,"=ОАО*",ВД,"=8")</f>
        <v>4867687.0632218001</v>
      </c>
      <c r="R1792" s="7" t="s">
        <v>132</v>
      </c>
      <c r="S1792" s="7" t="s">
        <v>132</v>
      </c>
      <c r="T1792" s="7" t="s">
        <v>132</v>
      </c>
      <c r="U1792" s="7" t="s">
        <v>132</v>
      </c>
      <c r="V1792" s="7" t="s">
        <v>132</v>
      </c>
      <c r="W1792" s="7" t="s">
        <v>132</v>
      </c>
      <c r="X1792" s="7" t="s">
        <v>132</v>
      </c>
      <c r="Y1792" s="102">
        <f>SUMIFS(Сумма_25,Филиал,"=ОАО*",ВД,"=8")</f>
        <v>4225024.6443050141</v>
      </c>
      <c r="Z1792" s="102">
        <f>SUMIFS(Сумма_26,Филиал,"=ОАО*",ВД,"=8")</f>
        <v>4871620.3085999163</v>
      </c>
      <c r="AA1792" s="225" t="s">
        <v>132</v>
      </c>
      <c r="AB1792" s="225" t="s">
        <v>132</v>
      </c>
      <c r="AC1792" s="102">
        <f>SUMIFS(Сумма_29,Филиал,"=ОАО*",ВД,"=8")</f>
        <v>4221690.7855100008</v>
      </c>
      <c r="AD1792" s="102">
        <f>SUMIFS(Сумма,Филиал,"=ОАО*",ВД,"=8")</f>
        <v>4867686.3552218005</v>
      </c>
      <c r="AE1792" s="7" t="s">
        <v>132</v>
      </c>
      <c r="AF1792" s="7" t="s">
        <v>132</v>
      </c>
      <c r="AG1792" s="7" t="s">
        <v>132</v>
      </c>
      <c r="AH1792" s="7" t="s">
        <v>132</v>
      </c>
      <c r="AI1792" s="7" t="s">
        <v>132</v>
      </c>
      <c r="AJ1792" s="7" t="s">
        <v>132</v>
      </c>
      <c r="AK1792" s="7" t="s">
        <v>132</v>
      </c>
      <c r="AL1792" s="7" t="s">
        <v>132</v>
      </c>
      <c r="AM1792" s="7" t="s">
        <v>132</v>
      </c>
      <c r="AN1792" s="7" t="s">
        <v>132</v>
      </c>
      <c r="AO1792" s="7" t="s">
        <v>132</v>
      </c>
      <c r="AP1792" s="7" t="s">
        <v>132</v>
      </c>
      <c r="AQ1792" s="7" t="s">
        <v>132</v>
      </c>
      <c r="AR1792" s="7" t="s">
        <v>132</v>
      </c>
      <c r="AS1792" s="7" t="s">
        <v>132</v>
      </c>
      <c r="AT1792" s="7" t="s">
        <v>132</v>
      </c>
      <c r="AU1792" s="7" t="s">
        <v>132</v>
      </c>
      <c r="AV1792" s="7" t="s">
        <v>132</v>
      </c>
      <c r="AW1792" s="7" t="s">
        <v>132</v>
      </c>
      <c r="AX1792" s="7" t="s">
        <v>132</v>
      </c>
      <c r="AY1792" s="7" t="s">
        <v>132</v>
      </c>
      <c r="AZ1792" s="7" t="s">
        <v>132</v>
      </c>
      <c r="BA1792" s="7" t="s">
        <v>132</v>
      </c>
      <c r="BB1792" s="7" t="s">
        <v>132</v>
      </c>
      <c r="BC1792" s="7" t="s">
        <v>132</v>
      </c>
      <c r="BD1792" s="7" t="s">
        <v>132</v>
      </c>
      <c r="BE1792" s="7" t="s">
        <v>132</v>
      </c>
      <c r="BF1792" s="7" t="s">
        <v>132</v>
      </c>
      <c r="BG1792" s="7" t="s">
        <v>132</v>
      </c>
      <c r="BH1792" s="7" t="s">
        <v>132</v>
      </c>
      <c r="BI1792" s="7" t="s">
        <v>132</v>
      </c>
      <c r="BJ1792" s="7" t="s">
        <v>132</v>
      </c>
      <c r="BK1792" s="7"/>
    </row>
    <row r="1796" ht="21" customHeight="1"/>
  </sheetData>
  <autoFilter ref="A5:BK1792">
    <filterColumn colId="58"/>
    <filterColumn colId="61"/>
  </autoFilter>
  <customSheetViews>
    <customSheetView guid="{266D8910-EE63-4F03-AD8E-1EA3FEBC0F85}" scale="70" showPageBreaks="1" showAutoFilter="1">
      <pane ySplit="5" topLeftCell="A6" activePane="bottomLeft" state="frozen"/>
      <selection pane="bottomLeft" sqref="A1:BK1"/>
      <pageMargins left="0.15748031496062992" right="0.15748031496062992" top="0.23622047244094491" bottom="0.43307086614173229" header="0.15748031496062992" footer="0.23622047244094491"/>
      <printOptions horizontalCentered="1"/>
      <pageSetup paperSize="8" scale="17" fitToWidth="3" fitToHeight="0" pageOrder="overThenDown" orientation="landscape" horizontalDpi="300" verticalDpi="300" r:id="rId1"/>
      <headerFooter>
        <oddFooter>&amp;CСтраница &amp;P</oddFooter>
      </headerFooter>
      <autoFilter ref="A5:BM1496"/>
    </customSheetView>
    <customSheetView guid="{97206D4B-39D2-4633-B258-544D059AB9B9}" scale="70" showPageBreaks="1" showAutoFilter="1" hiddenColumns="1">
      <pane xSplit="10" ySplit="5" topLeftCell="L1386" activePane="bottomRight" state="frozen"/>
      <selection pane="bottomRight" activeCell="M1387" sqref="M1387"/>
      <pageMargins left="0.15748031496062992" right="0.15748031496062992" top="0.23622047244094491" bottom="0.43307086614173229" header="0.15748031496062992" footer="0.23622047244094491"/>
      <printOptions horizontalCentered="1"/>
      <pageSetup paperSize="8" scale="17" fitToWidth="3" fitToHeight="0" pageOrder="overThenDown" orientation="landscape" horizontalDpi="300" verticalDpi="300" r:id="rId2"/>
      <headerFooter>
        <oddFooter>&amp;CСтраница &amp;P</oddFooter>
      </headerFooter>
      <autoFilter ref="A5:BL1469"/>
    </customSheetView>
    <customSheetView guid="{EC8E82B3-7C73-4755-8915-0971BE19A77F}" scale="70" fitToPage="1" showAutoFilter="1">
      <pane ySplit="5" topLeftCell="A617" activePane="bottomLeft" state="frozen"/>
      <selection pane="bottomLeft" activeCell="I618" sqref="I618"/>
      <pageMargins left="0.15748031496062992" right="0.15748031496062992" top="0.23622047244094491" bottom="0.43307086614173229" header="0.15748031496062992" footer="0.23622047244094491"/>
      <pageSetup paperSize="8" scale="32" fitToWidth="3" fitToHeight="0" pageOrder="overThenDown" orientation="landscape" horizontalDpi="300" verticalDpi="300" r:id="rId3"/>
      <headerFooter>
        <oddFooter>&amp;C&amp;P&amp;R&amp;D</oddFooter>
      </headerFooter>
      <autoFilter ref="A5:CP1497"/>
    </customSheetView>
    <customSheetView guid="{3EDA8BFB-40C1-418F-AD4D-C1FEA4D906D3}" scale="55" fitToPage="1" showAutoFilter="1" hiddenRows="1" hiddenColumns="1">
      <pane xSplit="9" ySplit="5" topLeftCell="BK953" activePane="bottomRight" state="frozen"/>
      <selection pane="bottomRight" activeCell="BO955" sqref="BO955"/>
      <pageMargins left="0.15748031496062992" right="0.15748031496062992" top="0.23622047244094491" bottom="0.43307086614173229" header="0.15748031496062992" footer="0.23622047244094491"/>
      <pageSetup paperSize="8" scale="52" fitToWidth="3" fitToHeight="0" pageOrder="overThenDown" orientation="landscape" horizontalDpi="300" verticalDpi="300" r:id="rId4"/>
      <headerFooter>
        <oddFooter>&amp;C&amp;P&amp;R&amp;D</oddFooter>
      </headerFooter>
      <autoFilter ref="A5:BS1266"/>
    </customSheetView>
  </customSheetViews>
  <mergeCells count="58">
    <mergeCell ref="A1:BK1"/>
    <mergeCell ref="N2:N4"/>
    <mergeCell ref="A2:A4"/>
    <mergeCell ref="B2:B4"/>
    <mergeCell ref="C2:E2"/>
    <mergeCell ref="F2:F4"/>
    <mergeCell ref="G2:G4"/>
    <mergeCell ref="H2:H4"/>
    <mergeCell ref="I2:I4"/>
    <mergeCell ref="J2:J4"/>
    <mergeCell ref="K2:K4"/>
    <mergeCell ref="L2:L4"/>
    <mergeCell ref="X3:X4"/>
    <mergeCell ref="Y3:Z3"/>
    <mergeCell ref="AK2:AL2"/>
    <mergeCell ref="AM2:AV2"/>
    <mergeCell ref="AW2:AW4"/>
    <mergeCell ref="AJ3:AJ4"/>
    <mergeCell ref="AK3:AK4"/>
    <mergeCell ref="R2:Z2"/>
    <mergeCell ref="AC2:AD3"/>
    <mergeCell ref="AE2:AE4"/>
    <mergeCell ref="AA2:AB3"/>
    <mergeCell ref="AF2:AJ2"/>
    <mergeCell ref="AF3:AF4"/>
    <mergeCell ref="AG3:AG4"/>
    <mergeCell ref="AH3:AH4"/>
    <mergeCell ref="AI3:AI4"/>
    <mergeCell ref="C3:C4"/>
    <mergeCell ref="D3:D4"/>
    <mergeCell ref="E3:E4"/>
    <mergeCell ref="R3:R4"/>
    <mergeCell ref="S3:W3"/>
    <mergeCell ref="M2:M4"/>
    <mergeCell ref="O2:O4"/>
    <mergeCell ref="P2:Q3"/>
    <mergeCell ref="BK2:BK4"/>
    <mergeCell ref="AL3:AL4"/>
    <mergeCell ref="AM3:AM4"/>
    <mergeCell ref="AN3:AN4"/>
    <mergeCell ref="BF3:BF4"/>
    <mergeCell ref="AQ3:AQ4"/>
    <mergeCell ref="AR3:AS3"/>
    <mergeCell ref="AT3:AT4"/>
    <mergeCell ref="AU3:AU4"/>
    <mergeCell ref="AO3:AP3"/>
    <mergeCell ref="AX2:AX4"/>
    <mergeCell ref="AY2:AY4"/>
    <mergeCell ref="BG3:BI3"/>
    <mergeCell ref="BJ3:BJ4"/>
    <mergeCell ref="AV3:AV4"/>
    <mergeCell ref="BA3:BA4"/>
    <mergeCell ref="BB3:BB4"/>
    <mergeCell ref="BC3:BC4"/>
    <mergeCell ref="BD3:BD4"/>
    <mergeCell ref="BE3:BE4"/>
    <mergeCell ref="AZ2:AZ4"/>
    <mergeCell ref="BA2:BJ2"/>
  </mergeCells>
  <printOptions horizontalCentered="1"/>
  <pageMargins left="0.15748031496062992" right="0.15748031496062992" top="0.23622047244094491" bottom="0.43307086614173229" header="0.15748031496062992" footer="0.23622047244094491"/>
  <pageSetup paperSize="8" scale="17" fitToWidth="3" fitToHeight="0" pageOrder="overThenDown" orientation="landscape" horizontalDpi="300" verticalDpi="300" r:id="rId5"/>
  <headerFooter>
    <oddFooter>&amp;CСтраница &amp;P</oddFooter>
  </headerFooter>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19</vt:i4>
      </vt:variant>
    </vt:vector>
  </HeadingPairs>
  <TitlesOfParts>
    <vt:vector size="23" baseType="lpstr">
      <vt:lpstr>Справочник Вид продукции</vt:lpstr>
      <vt:lpstr>Статистика</vt:lpstr>
      <vt:lpstr>Условно-постоянные закупки</vt:lpstr>
      <vt:lpstr>План закупок 2014</vt:lpstr>
      <vt:lpstr>ВД</vt:lpstr>
      <vt:lpstr>ВидЭТП</vt:lpstr>
      <vt:lpstr>Группа_продукции</vt:lpstr>
      <vt:lpstr>'План закупок 2014'!Заголовки_для_печати</vt:lpstr>
      <vt:lpstr>Номер</vt:lpstr>
      <vt:lpstr>Номер2</vt:lpstr>
      <vt:lpstr>Статистика!Область_печати</vt:lpstr>
      <vt:lpstr>СпособЗакупки</vt:lpstr>
      <vt:lpstr>Сумма</vt:lpstr>
      <vt:lpstr>Сумма_16</vt:lpstr>
      <vt:lpstr>Сумма_17</vt:lpstr>
      <vt:lpstr>Сумма_25</vt:lpstr>
      <vt:lpstr>Сумма_26</vt:lpstr>
      <vt:lpstr>Сумма_27</vt:lpstr>
      <vt:lpstr>Сумма_28</vt:lpstr>
      <vt:lpstr>Сумма_29</vt:lpstr>
      <vt:lpstr>СуммаУПЗ</vt:lpstr>
      <vt:lpstr>Филиал</vt:lpstr>
      <vt:lpstr>ФилиалУПЗ</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Тамбиев Т.Х.</dc:creator>
  <cp:lastModifiedBy>DavletshinOR</cp:lastModifiedBy>
  <cp:lastPrinted>2013-12-23T07:01:10Z</cp:lastPrinted>
  <dcterms:created xsi:type="dcterms:W3CDTF">2011-11-18T07:59:33Z</dcterms:created>
  <dcterms:modified xsi:type="dcterms:W3CDTF">2014-03-07T12:35:12Z</dcterms:modified>
</cp:coreProperties>
</file>